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styles.xml" ContentType="application/vnd.openxmlformats-officedocument.spreadsheetml.styles+xml"/>
  <Override PartName="/xl/worksheets/sheet9.xml" ContentType="application/vnd.openxmlformats-officedocument.spreadsheetml.worksheet+xml"/>
  <Override PartName="/xl/worksheets/sheet44.xml" ContentType="application/vnd.openxmlformats-officedocument.spreadsheetml.worksheet+xml"/>
  <Override PartName="/xl/worksheets/sheet1.xml" ContentType="application/vnd.openxmlformats-officedocument.spreadsheetml.worksheet+xml"/>
  <Override PartName="/xl/worksheets/sheet45.xml" ContentType="application/vnd.openxmlformats-officedocument.spreadsheetml.worksheet+xml"/>
  <Override PartName="/xl/worksheets/sheet2.xml" ContentType="application/vnd.openxmlformats-officedocument.spreadsheetml.worksheet+xml"/>
  <Override PartName="/xl/worksheets/sheet46.xml" ContentType="application/vnd.openxmlformats-officedocument.spreadsheetml.worksheet+xml"/>
  <Override PartName="/xl/worksheets/sheet3.xml" ContentType="application/vnd.openxmlformats-officedocument.spreadsheetml.worksheet+xml"/>
  <Override PartName="/xl/worksheets/sheet47.xml" ContentType="application/vnd.openxmlformats-officedocument.spreadsheetml.worksheet+xml"/>
  <Override PartName="/xl/worksheets/sheet4.xml" ContentType="application/vnd.openxmlformats-officedocument.spreadsheetml.worksheet+xml"/>
  <Override PartName="/xl/worksheets/sheet48.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_rels/sheet12.xml.rels" ContentType="application/vnd.openxmlformats-package.relationships+xml"/>
  <Override PartName="/xl/worksheets/_rels/sheet13.xml.rels" ContentType="application/vnd.openxmlformats-package.relationships+xml"/>
  <Override PartName="/xl/worksheets/_rels/sheet14.xml.rels" ContentType="application/vnd.openxmlformats-package.relationships+xml"/>
  <Override PartName="/xl/worksheets/_rels/sheet15.xml.rels" ContentType="application/vnd.openxmlformats-package.relationships+xml"/>
  <Override PartName="/xl/worksheets/_rels/sheet23.xml.rels" ContentType="application/vnd.openxmlformats-package.relationships+xml"/>
  <Override PartName="/xl/worksheets/_rels/sheet18.xml.rels" ContentType="application/vnd.openxmlformats-package.relationships+xml"/>
  <Override PartName="/xl/worksheets/_rels/sheet19.xml.rels" ContentType="application/vnd.openxmlformats-package.relationships+xml"/>
  <Override PartName="/xl/worksheets/_rels/sheet21.xml.rels" ContentType="application/vnd.openxmlformats-package.relationships+xml"/>
  <Override PartName="/xl/worksheets/_rels/sheet22.xml.rels" ContentType="application/vnd.openxmlformats-package.relationships+xml"/>
  <Override PartName="/xl/worksheets/_rels/sheet27.xml.rels" ContentType="application/vnd.openxmlformats-package.relationships+xml"/>
  <Override PartName="/xl/worksheets/_rels/sheet31.xml.rels" ContentType="application/vnd.openxmlformats-package.relationships+xml"/>
  <Override PartName="/xl/worksheets/_rels/sheet32.xml.rels" ContentType="application/vnd.openxmlformats-package.relationships+xml"/>
  <Override PartName="/xl/worksheets/_rels/sheet37.xml.rels" ContentType="application/vnd.openxmlformats-package.relationships+xml"/>
  <Override PartName="/xl/worksheets/_rels/sheet46.xml.rels" ContentType="application/vnd.openxmlformats-package.relationships+xml"/>
  <Override PartName="/xl/worksheets/_rels/sheet47.xml.rels" ContentType="application/vnd.openxmlformats-package.relationships+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comments15.xml" ContentType="application/vnd.openxmlformats-officedocument.spreadsheetml.comments+xml"/>
  <Override PartName="/xl/workbook.xml" ContentType="application/vnd.openxmlformats-officedocument.spreadsheetml.sheet.main+xml"/>
  <Override PartName="/xl/sharedStrings.xml" ContentType="application/vnd.openxmlformats-officedocument.spreadsheetml.sharedStrings+xml"/>
  <Override PartName="/xl/externalLinks/_rels/externalLink1.xml.rels" ContentType="application/vnd.openxmlformats-package.relationships+xml"/>
  <Override PartName="/xl/externalLinks/_rels/externalLink2.xml.rels" ContentType="application/vnd.openxmlformats-package.relationships+xml"/>
  <Override PartName="/xl/externalLinks/_rels/externalLink3.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12.xml" ContentType="application/vnd.openxmlformats-officedocument.spreadsheetml.comments+xml"/>
  <Override PartName="/xl/drawings/vmlDrawing9.vml" ContentType="application/vnd.openxmlformats-officedocument.vmlDrawing"/>
  <Override PartName="/xl/drawings/vmlDrawing1.vml" ContentType="application/vnd.openxmlformats-officedocument.vmlDrawing"/>
  <Override PartName="/xl/drawings/vmlDrawing2.vml" ContentType="application/vnd.openxmlformats-officedocument.vmlDrawing"/>
  <Override PartName="/xl/drawings/vmlDrawing3.vml" ContentType="application/vnd.openxmlformats-officedocument.vmlDrawing"/>
  <Override PartName="/xl/drawings/vmlDrawing4.vml" ContentType="application/vnd.openxmlformats-officedocument.vmlDrawing"/>
  <Override PartName="/xl/drawings/vmlDrawing5.vml" ContentType="application/vnd.openxmlformats-officedocument.vmlDrawing"/>
  <Override PartName="/xl/drawings/vmlDrawing6.vml" ContentType="application/vnd.openxmlformats-officedocument.vmlDrawing"/>
  <Override PartName="/xl/drawings/_rels/drawing1.xml.rels" ContentType="application/vnd.openxmlformats-package.relationships+xml"/>
  <Override PartName="/xl/drawings/_rels/drawing2.xml.rels" ContentType="application/vnd.openxmlformats-package.relationships+xml"/>
  <Override PartName="/xl/drawings/vmlDrawing7.vml" ContentType="application/vnd.openxmlformats-officedocument.vmlDrawing"/>
  <Override PartName="/xl/drawings/vmlDrawing8.vml" ContentType="application/vnd.openxmlformats-officedocument.vmlDrawing"/>
  <Override PartName="/xl/drawings/drawing1.xml" ContentType="application/vnd.openxmlformats-officedocument.drawing+xml"/>
  <Override PartName="/xl/drawings/vmlDrawing10.vml" ContentType="application/vnd.openxmlformats-officedocument.vmlDrawing"/>
  <Override PartName="/xl/drawings/vmlDrawing11.vml" ContentType="application/vnd.openxmlformats-officedocument.vmlDrawing"/>
  <Override PartName="/xl/drawings/vmlDrawing12.vml" ContentType="application/vnd.openxmlformats-officedocument.vmlDrawing"/>
  <Override PartName="/xl/drawings/vmlDrawing13.vml" ContentType="application/vnd.openxmlformats-officedocument.vmlDrawing"/>
  <Override PartName="/xl/drawings/vmlDrawing14.vml" ContentType="application/vnd.openxmlformats-officedocument.vmlDrawing"/>
  <Override PartName="/xl/drawings/drawing2.xml" ContentType="application/vnd.openxmlformats-officedocument.drawing+xml"/>
  <Override PartName="/xl/drawings/vmlDrawing15.vml" ContentType="application/vnd.openxmlformats-officedocument.vmlDrawing"/>
  <Override PartName="/xl/comments13.xml" ContentType="application/vnd.openxmlformats-officedocument.spreadsheetml.comments+xml"/>
  <Override PartName="/xl/comments14.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7.xml" ContentType="application/vnd.openxmlformats-officedocument.spreadsheetml.comments+xml"/>
  <Override PartName="/xl/media/image1.png" ContentType="image/png"/>
  <Override PartName="/xl/media/image2.png" ContentType="image/png"/>
  <Override PartName="/xl/comments31.xml" ContentType="application/vnd.openxmlformats-officedocument.spreadsheetml.comments+xml"/>
  <Override PartName="/xl/comments32.xml" ContentType="application/vnd.openxmlformats-officedocument.spreadsheetml.comments+xml"/>
  <Override PartName="/xl/comments37.xml" ContentType="application/vnd.openxmlformats-officedocument.spreadsheetml.comments+xml"/>
  <Override PartName="/xl/comments46.xml" ContentType="application/vnd.openxmlformats-officedocument.spreadsheetml.comments+xml"/>
  <Override PartName="/xl/comments47.xml" ContentType="application/vnd.openxmlformats-officedocument.spreadsheetml.comment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1" activeTab="17"/>
  </bookViews>
  <sheets>
    <sheet name="致函链接" sheetId="1" state="hidden" r:id="rId2"/>
    <sheet name="预评函-封皮" sheetId="2" state="hidden" r:id="rId3"/>
    <sheet name="预评函-1" sheetId="3" state="hidden" r:id="rId4"/>
    <sheet name="预评函-2" sheetId="4" state="hidden" r:id="rId5"/>
    <sheet name="预评函-3" sheetId="5" state="hidden" r:id="rId6"/>
    <sheet name="预评函-4" sheetId="6" state="hidden" r:id="rId7"/>
    <sheet name="预评函-5" sheetId="7" state="hidden" r:id="rId8"/>
    <sheet name="使用说明" sheetId="8" state="hidden" r:id="rId9"/>
    <sheet name="估价师及机构信息" sheetId="9" state="hidden" r:id="rId10"/>
    <sheet name="定义" sheetId="10" state="hidden" r:id="rId11"/>
    <sheet name="常用公式" sheetId="11" state="hidden" r:id="rId12"/>
    <sheet name="项目基本情况" sheetId="12" state="visible" r:id="rId13"/>
    <sheet name="数据-基础表" sheetId="13" state="visible" r:id="rId14"/>
    <sheet name="数据-汇总表" sheetId="14" state="visible" r:id="rId15"/>
    <sheet name="数据-取费表" sheetId="15" state="visible" r:id="rId16"/>
    <sheet name="估价对象房地状况" sheetId="16" state="visible" r:id="rId17"/>
    <sheet name="系统读取表" sheetId="17" state="visible" r:id="rId18"/>
    <sheet name="结果表" sheetId="18" state="visible" r:id="rId19"/>
    <sheet name="成本法" sheetId="19" state="hidden" r:id="rId20"/>
    <sheet name="成本法 (元)" sheetId="20" state="visible" r:id="rId21"/>
    <sheet name="假设开发法" sheetId="21" state="hidden" r:id="rId22"/>
    <sheet name="收益法" sheetId="22" state="hidden" r:id="rId23"/>
    <sheet name="收益法 (元)" sheetId="23" state="hidden" r:id="rId24"/>
    <sheet name="收益法-酒店模型" sheetId="24" state="hidden" r:id="rId25"/>
    <sheet name="收益法（汇总）" sheetId="25" state="hidden" r:id="rId26"/>
    <sheet name="比较法-住宅" sheetId="26" state="visible" r:id="rId27"/>
    <sheet name="安华西里-2000" sheetId="27" state="hidden" r:id="rId28"/>
    <sheet name="比较法-商业" sheetId="28" state="hidden" r:id="rId29"/>
    <sheet name="比较法-办公" sheetId="29" state="hidden" r:id="rId30"/>
    <sheet name="比较法-工业" sheetId="30" state="hidden" r:id="rId31"/>
    <sheet name="比较法-车位" sheetId="31" state="hidden" r:id="rId32"/>
    <sheet name="比较法-仓储" sheetId="32" state="hidden" r:id="rId33"/>
    <sheet name="土地比较法-住宅、综合" sheetId="33" state="hidden" r:id="rId34"/>
    <sheet name="土地比较法-工业" sheetId="34" state="hidden" r:id="rId35"/>
    <sheet name="典型户型修正" sheetId="35" state="hidden" r:id="rId36"/>
    <sheet name="基准地价（汇总）" sheetId="36" state="hidden" r:id="rId37"/>
    <sheet name="基准地价修正" sheetId="37" state="hidden" r:id="rId38"/>
    <sheet name="修正" sheetId="38" state="hidden" r:id="rId39"/>
    <sheet name="容积率修正" sheetId="39" state="hidden" r:id="rId40"/>
    <sheet name="成本法（废）" sheetId="40" state="hidden" r:id="rId41"/>
    <sheet name="区片价" sheetId="41" state="hidden" r:id="rId42"/>
    <sheet name="因素修正幅度" sheetId="42" state="hidden" r:id="rId43"/>
    <sheet name="区片价（范围）" sheetId="43" state="hidden" r:id="rId44"/>
    <sheet name="地价-分区" sheetId="44" state="hidden" r:id="rId45"/>
    <sheet name="地价" sheetId="45" state="hidden" r:id="rId46"/>
    <sheet name="蒲安北里-06" sheetId="46" state="hidden" r:id="rId47"/>
    <sheet name="三义庙" sheetId="47" state="visible" r:id="rId48"/>
    <sheet name="存贷款利率" sheetId="48" state="visible" r:id="rId49"/>
  </sheets>
  <externalReferences>
    <externalReference r:id="rId50"/>
    <externalReference r:id="rId51"/>
    <externalReference r:id="rId52"/>
  </externalReferences>
  <definedNames>
    <definedName function="false" hidden="false" localSheetId="28" name="_xlnm.Print_Area" vbProcedure="false">'比较法-办公'!$A$1:$K$55,'比较法-办公'!$A$58:$M$132</definedName>
    <definedName function="false" hidden="false" localSheetId="31" name="_xlnm.Print_Area" vbProcedure="false">'比较法-仓储'!$A$1:$K$42,'比较法-仓储'!$A$45:$M$96</definedName>
    <definedName function="false" hidden="false" localSheetId="30" name="_xlnm.Print_Area" vbProcedure="false">'比较法-车位'!$A$1:$K$44,'比较法-车位'!$A$47:$M$102</definedName>
    <definedName function="false" hidden="false" localSheetId="29" name="_xlnm.Print_Area" vbProcedure="false">'比较法-工业'!$A$1:$K$48,'比较法-工业'!$A$51:$M$113</definedName>
    <definedName function="false" hidden="false" localSheetId="27" name="_xlnm.Print_Area" vbProcedure="false">'比较法-商业'!$A$1:$K$54,'比较法-商业'!$A$57:$M$131</definedName>
    <definedName function="false" hidden="false" localSheetId="25" name="_xlnm.Print_Area" vbProcedure="false">'比较法-住宅'!$A$1:$K$54,'比较法-住宅'!$A$57:$M$131</definedName>
    <definedName function="false" hidden="false" localSheetId="18" name="_xlnm.Print_Area" vbProcedure="false">成本法!$A$1:$G$57</definedName>
    <definedName function="false" hidden="false" localSheetId="19" name="_xlnm.Print_Area" vbProcedure="false">'成本法 (元)'!$A$1:$G$57</definedName>
    <definedName function="false" hidden="false" localSheetId="15" name="_xlnm.Print_Area" vbProcedure="false">估价对象房地状况!$A$1:$G$24</definedName>
    <definedName function="false" hidden="false" localSheetId="8" name="_xlnm.Print_Area" vbProcedure="false">估价师及机构信息!$A$1:$G$22</definedName>
    <definedName function="false" hidden="false" localSheetId="35" name="_xlnm.Print_Area" vbProcedure="false">'基准地价（汇总）'!$A$1:$E$13</definedName>
    <definedName function="false" hidden="false" localSheetId="36" name="_xlnm.Print_Area" vbProcedure="false">基准地价修正!$A$1:$J$44,基准地价修正!$A$47:$H$101,基准地价修正!$R$1:$V$16</definedName>
    <definedName function="false" hidden="false" localSheetId="20" name="_xlnm.Print_Area" vbProcedure="false">假设开发法!$A$1:$K$32</definedName>
    <definedName function="false" hidden="false" localSheetId="17" name="_xlnm.Print_Area" vbProcedure="false">结果表!$A$1:$I$127</definedName>
    <definedName function="false" hidden="false" localSheetId="21" name="_xlnm.Print_Area" vbProcedure="false">收益法!$A$1:$F$43,收益法!$H$3:$M$29,收益法!$A$46:$F$71,收益法!$I$46:$N$65</definedName>
    <definedName function="false" hidden="false" localSheetId="22" name="_xlnm.Print_Area" vbProcedure="false">'收益法 (元)'!$A$1:$F$43,'收益法 (元)'!$H$3:$M$29,'收益法 (元)'!$A$45:$F$71,'收益法 (元)'!$I$46:$N$65</definedName>
    <definedName function="false" hidden="false" localSheetId="24" name="_xlnm.Print_Area" vbProcedure="false">'收益法（汇总）'!$A$1:$F$13</definedName>
    <definedName function="false" hidden="false" localSheetId="13" name="_xlnm.Print_Area" vbProcedure="false">'数据-汇总表'!$A$1:$P$32</definedName>
    <definedName function="false" hidden="false" localSheetId="33" name="_xlnm.Print_Area" vbProcedure="false">'土地比较法-工业'!$A$1:$K$61,'土地比较法-工业'!$A$64:$M$121</definedName>
    <definedName function="false" hidden="false" localSheetId="32" name="_xlnm.Print_Area" vbProcedure="false">'土地比较法-住宅、综合'!$A$1:$K$65,'土地比较法-住宅、综合'!$A$68:$M$131</definedName>
    <definedName function="false" hidden="false" localSheetId="16" name="_xlnm.Print_Area" vbProcedure="false">系统读取表!$A$1:$I$26</definedName>
    <definedName function="false" hidden="false" localSheetId="11" name="_xlnm.Print_Area" vbProcedure="false">项目基本情况!$A$1:$I$38</definedName>
    <definedName function="false" hidden="false" name="一修多修正项2" vbProcedure="false">典型户型修正!$5:$5</definedName>
    <definedName function="false" hidden="false" name="一修多修正项3" vbProcedure="false">典型户型修正!$7:$7</definedName>
    <definedName function="false" hidden="false" name="一修多修正项4" vbProcedure="false">典型户型修正!$9:$9</definedName>
    <definedName function="false" hidden="false" name="一修多修正项5" vbProcedure="false">典型户型修正!$11:$11</definedName>
    <definedName function="false" hidden="false" name="一修多修正项6" vbProcedure="false">典型户型修正!$13:$13</definedName>
    <definedName function="false" hidden="false" name="一修多修正项7" vbProcedure="false">典型户型修正!$15:$15</definedName>
    <definedName function="false" hidden="false" name="一修多修正项8" vbProcedure="false">典型户型修正!$17:$17</definedName>
    <definedName function="false" hidden="false" name="一级" vbProcedure="false">区片价!$I$1:$I$6</definedName>
    <definedName function="false" hidden="false" name="七级" vbProcedure="false">区片价!$O$1:$O$45</definedName>
    <definedName function="false" hidden="false" name="七通一平" vbProcedure="false">修正!$A$8:$A$16</definedName>
    <definedName function="false" hidden="false" name="三级" vbProcedure="false">区片价!$K$1:$K$26</definedName>
    <definedName function="false" hidden="false" name="临街状况" vbProcedure="false">定义!$T$1:$T$5</definedName>
    <definedName function="false" hidden="false" name="主用途" vbProcedure="false">定义!$F$1:$F$12</definedName>
    <definedName function="false" hidden="false" name="九级" vbProcedure="false">区片价!$Q$1:$Q$51</definedName>
    <definedName function="false" hidden="false" name="二级" vbProcedure="false">区片价!$J$1:$J$21</definedName>
    <definedName function="false" hidden="false" name="二级分类" vbProcedure="false">修正!$C$19:$C$51</definedName>
    <definedName function="false" hidden="false" name="五等判定" vbProcedure="false">定义!$W$1:$W$6</definedName>
    <definedName function="false" hidden="false" name="五级" vbProcedure="false">区片价!$M$1:$M$41</definedName>
    <definedName function="false" hidden="false" name="交通便捷度" vbProcedure="false">定义!$O$1:$O$6</definedName>
    <definedName function="false" hidden="false" name="产业集聚程度" vbProcedure="false">定义!$N$1:$N$6</definedName>
    <definedName function="false" hidden="false" name="仓储交易情况" vbProcedure="false">'比较法-仓储'!$A$49:$M$49</definedName>
    <definedName function="false" hidden="false" name="仓储公共部分装修" vbProcedure="false">'比较法-仓储'!$B$77:$M$77</definedName>
    <definedName function="false" hidden="false" name="仓储楼层" vbProcedure="false">'比较法-仓储'!$B$69:$M$69</definedName>
    <definedName function="false" hidden="false" name="仓储物业等级" vbProcedure="false">'比较法-仓储'!$B$82:$M$82</definedName>
    <definedName function="false" hidden="false" name="仓储用途" vbProcedure="false">'比较法-仓储'!$B$51:$M$51</definedName>
    <definedName function="false" hidden="false" name="价值类型2" vbProcedure="false">定义!$B$54:$B$56</definedName>
    <definedName function="false" hidden="false" name="估价方法" vbProcedure="false">定义!$B$1:$B$50</definedName>
    <definedName function="false" hidden="false" name="估价范围判定" vbProcedure="false">定义!$D$1:$D$4</definedName>
    <definedName function="false" hidden="false" name="位置" vbProcedure="false">定义!$E$2:$E$4</definedName>
    <definedName function="false" hidden="false" name="住宅主力户型面积" vbProcedure="false">'比较法-住宅'!$B$120:$M$120</definedName>
    <definedName function="false" hidden="false" name="住宅交易情况" vbProcedure="false">'比较法-住宅'!$A$61:$M$61</definedName>
    <definedName function="false" hidden="false" name="住宅公共部分装修" vbProcedure="false">'比较法-住宅'!$B$109:$M$109</definedName>
    <definedName function="false" hidden="false" name="住宅内部装修" vbProcedure="false">'比较法-住宅'!$B$122:$M$122</definedName>
    <definedName function="false" hidden="false" name="住宅基础设施水平" vbProcedure="false">'比较法-住宅'!$B$116:$M$116</definedName>
    <definedName function="false" hidden="false" name="住宅建筑品质" vbProcedure="false">'比较法-住宅'!$B$107:$M$107</definedName>
    <definedName function="false" hidden="false" name="住宅建筑类型" vbProcedure="false">'比较法-住宅'!$B$100:$M$100</definedName>
    <definedName function="false" hidden="false" name="住宅建筑结构" vbProcedure="false">'比较法-住宅'!$B$105:$M$105</definedName>
    <definedName function="false" hidden="false" name="住宅房型" vbProcedure="false">'比较法-住宅'!$B$118:$M$118</definedName>
    <definedName function="false" hidden="false" name="住宅朝向" vbProcedure="false">'比较法-住宅'!$B$88:$M$88</definedName>
    <definedName function="false" hidden="false" name="住宅楼层" vbProcedure="false">'比较法-住宅'!$B$86:$M$86</definedName>
    <definedName function="false" hidden="false" name="住宅物业管理" vbProcedure="false">'比较法-住宅'!$B$114:$M$114</definedName>
    <definedName function="false" hidden="false" name="住宅用途" vbProcedure="false">'比较法-住宅'!$B$63:$M$63</definedName>
    <definedName function="false" hidden="false" name="八级" vbProcedure="false">区片价!$P$1:$P$44</definedName>
    <definedName function="false" hidden="false" name="公共配套设施" vbProcedure="false">定义!$Q$1:$Q$6</definedName>
    <definedName function="false" hidden="false" name="六级" vbProcedure="false">区片价!$N$1:$N$64</definedName>
    <definedName function="false" hidden="false" name="内部装修维护情况" vbProcedure="false">定义!$U$1:$U$6</definedName>
    <definedName function="false" hidden="false" name="写字楼等级" vbProcedure="false">'比较法-办公'!$B$113:$M$113</definedName>
    <definedName function="false" hidden="false" name="办公交易情况" vbProcedure="false">'比较法-办公'!$A$62:$M$62</definedName>
    <definedName function="false" hidden="false" name="办公公共部分装修" vbProcedure="false">'比较法-办公'!$B$108:$M$108</definedName>
    <definedName function="false" hidden="false" name="办公内部装修" vbProcedure="false">'比较法-办公'!$B$123:$M$123</definedName>
    <definedName function="false" hidden="false" name="办公基础设施水平" vbProcedure="false">'比较法-办公'!$B$117:$M$117</definedName>
    <definedName function="false" hidden="false" name="办公层高" vbProcedure="false">'比较法-办公'!$B$119:$M$119</definedName>
    <definedName function="false" hidden="false" name="办公建筑类型" vbProcedure="false">'比较法-办公'!$B$101:$M$101</definedName>
    <definedName function="false" hidden="false" name="办公建筑结构" vbProcedure="false">'比较法-办公'!$B$106:$M$106</definedName>
    <definedName function="false" hidden="false" name="办公朝向" vbProcedure="false">'比较法-办公'!$B$91:$M$91</definedName>
    <definedName function="false" hidden="false" name="办公楼层" vbProcedure="false">'比较法-办公'!$B$89:$M$89</definedName>
    <definedName function="false" hidden="false" name="办公物业管理" vbProcedure="false">'比较法-办公'!$B$115:$M$115</definedName>
    <definedName function="false" hidden="false" name="办公用途" vbProcedure="false">'比较法-办公'!$B$64:$M$64</definedName>
    <definedName function="false" hidden="false" name="办公道路级别" vbProcedure="false">'比较法-办公'!$B$87:$M$87</definedName>
    <definedName function="false" hidden="false" name="办公集聚程度" vbProcedure="false">定义!$M$1:$M$6</definedName>
    <definedName function="false" hidden="false" name="区域土地利用方向" vbProcedure="false">定义!$P$1:$P$6</definedName>
    <definedName function="false" hidden="false" name="十一级" vbProcedure="false">区片价!$S$1:$S$21</definedName>
    <definedName function="false" hidden="false" name="十二级" vbProcedure="false">区片价!$T$1:$T$8</definedName>
    <definedName function="false" hidden="false" name="十级" vbProcedure="false">区片价!$R$1:$R$32</definedName>
    <definedName function="false" hidden="false" name="单价内涵" vbProcedure="false">定义!$V$1:$V$3</definedName>
    <definedName function="false" hidden="false" name="商业业态" vbProcedure="false">'比较法-商业'!$B$114:$M$114</definedName>
    <definedName function="false" hidden="false" name="商业临街状况" vbProcedure="false">'比较法-商业'!$B$86:$M$86</definedName>
    <definedName function="false" hidden="false" name="商业交易情况" vbProcedure="false">'比较法-商业'!$A$61:$M$61</definedName>
    <definedName function="false" hidden="false" name="商业人流量" vbProcedure="false">'比较法-商业'!$B$90:$M$90</definedName>
    <definedName function="false" hidden="false" name="商业公共部分装修" vbProcedure="false">'比较法-商业'!$B$107:$M$107</definedName>
    <definedName function="false" hidden="false" name="商业内部装修" vbProcedure="false">'比较法-商业'!$B$122:$M$122</definedName>
    <definedName function="false" hidden="false" name="商业基础设施水平" vbProcedure="false">'比较法-商业'!$B$112:$M$112</definedName>
    <definedName function="false" hidden="false" name="商业层高" vbProcedure="false">'比较法-商业'!$B$116:$M$116</definedName>
    <definedName function="false" hidden="false" name="商业建筑结构" vbProcedure="false">'比较法-商业'!$B$105:$M$105</definedName>
    <definedName function="false" hidden="false" name="商业成新度" vbProcedure="false">'比较法-商业'!$B$109:$M$109</definedName>
    <definedName function="false" hidden="false" name="商业楼层" vbProcedure="false">'比较法-商业'!$B$92:$M$92</definedName>
    <definedName function="false" hidden="false" name="商业用途" vbProcedure="false">'比较法-商业'!$B$63:$M$63</definedName>
    <definedName function="false" hidden="false" name="商业类型" vbProcedure="false">'比较法-商业'!$B$100:$M$100</definedName>
    <definedName function="false" hidden="false" name="商业繁华度" vbProcedure="false">定义!$L$1:$L$6</definedName>
    <definedName function="false" hidden="false" name="商业街名称" vbProcedure="false">修正!$C$71:$C$138</definedName>
    <definedName function="false" hidden="false" name="商业进深比" vbProcedure="false">'比较法-商业'!$B$120:$M$120</definedName>
    <definedName function="false" hidden="false" name="四级" vbProcedure="false">区片价!$L$1:$L$33</definedName>
    <definedName function="false" hidden="false" name="土地估价师" vbProcedure="false">估价师及机构信息!$D$3:$D$24</definedName>
    <definedName function="false" hidden="false" name="土地利用方向" vbProcedure="false">定义!$P$1:$P$6</definedName>
    <definedName function="false" hidden="false" name="土地年限区间" vbProcedure="false">定义!$I$1:$I$16</definedName>
    <definedName function="false" hidden="false" name="土地级别" vbProcedure="false">定义!$C$1:$C$14</definedName>
    <definedName function="false" hidden="false" name="地类判定" vbProcedure="false">定义!$H$1:$H$9</definedName>
    <definedName function="false" hidden="false" name="城镇土地纳税等级分级范围" vbProcedure="false">'数据-取费表'!$A$53:$A$63</definedName>
    <definedName function="false" hidden="false" name="基础设施水平" vbProcedure="false">定义!$R$1:$R$6</definedName>
    <definedName function="false" hidden="false" name="套工交易情况" vbProcedure="false">'土地比较法-住宅、综合'!$A$72:$M$72</definedName>
    <definedName function="false" hidden="false" name="套工土地级别" vbProcedure="false">'土地比较法-工业'!$B$99:$M$99</definedName>
    <definedName function="false" hidden="false" name="套工地质条件" vbProcedure="false">'土地比较法-工业'!$B$114:$M$114</definedName>
    <definedName function="false" hidden="false" name="套工宗地开发程度" vbProcedure="false">'土地比较法-工业'!$B$112:$M$112</definedName>
    <definedName function="false" hidden="false" name="套工宗地形状" vbProcedure="false">'土地比较法-工业'!$B$110:$M$110</definedName>
    <definedName function="false" hidden="false" name="套工用途" vbProcedure="false">'土地比较法-工业'!$B$70:$M$70</definedName>
    <definedName function="false" hidden="false" name="套工道路等级" vbProcedure="false">'土地比较法-工业'!$B$97:$M$97</definedName>
    <definedName function="false" hidden="false" name="套综临街宽度及深度" vbProcedure="false">'土地比较法-住宅、综合'!$B$120:$M$120</definedName>
    <definedName function="false" hidden="false" name="套综交易情况" vbProcedure="false">'土地比较法-住宅、综合'!$A$72:$M$72</definedName>
    <definedName function="false" hidden="false" name="套综土地级别" vbProcedure="false">'土地比较法-住宅、综合'!$B$107:$M$107</definedName>
    <definedName function="false" hidden="false" name="套综宗地内开发程度" vbProcedure="false">'土地比较法-住宅、综合'!$B$122:$M$122</definedName>
    <definedName function="false" hidden="false" name="套综宗地形状" vbProcedure="false">'土地比较法-住宅、综合'!$B$118:$M$118</definedName>
    <definedName function="false" hidden="false" name="套综工程地质条件" vbProcedure="false">'土地比较法-住宅、综合'!$B$124:$M$124</definedName>
    <definedName function="false" hidden="false" name="套综用途" vbProcedure="false">'土地比较法-住宅、综合'!$B$74:$M$74</definedName>
    <definedName function="false" hidden="false" name="套综道路等级" vbProcedure="false">'土地比较法-住宅、综合'!$B$105:$M$105</definedName>
    <definedName function="false" hidden="false" name="季度" vbProcedure="false">基准地价修正!$Q$19:$AD$19</definedName>
    <definedName function="false" hidden="false" name="居住社区成熟度" vbProcedure="false">定义!$K$1:$K$6</definedName>
    <definedName function="false" hidden="false" name="工业交易情况" vbProcedure="false">'比较法-工业'!$A$55:$M$55</definedName>
    <definedName function="false" hidden="false" name="工业公共部分装修" vbProcedure="false">'比较法-工业'!$B$95:$M$95</definedName>
    <definedName function="false" hidden="false" name="工业内部装修" vbProcedure="false">'比较法-工业'!$B$104:$M$104</definedName>
    <definedName function="false" hidden="false" name="工业基础设施水平" vbProcedure="false">'比较法-工业'!$B$102:$M$102</definedName>
    <definedName function="false" hidden="false" name="工业建筑类型" vbProcedure="false">'比较法-工业'!$B$88:$M$88</definedName>
    <definedName function="false" hidden="false" name="工业建筑结构" vbProcedure="false">'比较法-工业'!$B$93:$M$93</definedName>
    <definedName function="false" hidden="false" name="工业物业管理" vbProcedure="false">'比较法-工业'!$B$100:$M$100</definedName>
    <definedName function="false" hidden="false" name="工业用途" vbProcedure="false">'比较法-工业'!$B$57:$M$57</definedName>
    <definedName function="false" hidden="false" name="是否封闭" vbProcedure="false">'比较法-仓储'!$B$89:$M$89</definedName>
    <definedName function="false" hidden="false" name="是否直接入户" vbProcedure="false">'比较法-车位'!$B$95:$M$95</definedName>
    <definedName function="false" hidden="false" name="有无电梯" vbProcedure="false">'比较法-仓储'!$B$84:$M$84</definedName>
    <definedName function="false" hidden="false" name="法定最高年限" vbProcedure="false">定义!$G$1:$G$6</definedName>
    <definedName function="false" hidden="false" name="注册房地产估价师" vbProcedure="false">估价师及机构信息!$A$3:$A$16</definedName>
    <definedName function="false" hidden="false" name="环境" vbProcedure="false">定义!$S$1:$S$6</definedName>
    <definedName function="false" hidden="false" name="用途明细" vbProcedure="false">定义!$A$1:$A$50</definedName>
    <definedName function="false" hidden="false" name="类别" vbProcedure="false">定义!$J$1:$J$3</definedName>
    <definedName function="false" hidden="false" name="车位交易情况" vbProcedure="false">'比较法-车位'!$A$51:$M$51</definedName>
    <definedName function="false" hidden="false" name="车位公共部分装修" vbProcedure="false">'比较法-车位'!$B$83:$M$83</definedName>
    <definedName function="false" hidden="false" name="车位楼层" vbProcedure="false">'比较法-车位'!$B$71:$M$71</definedName>
    <definedName function="false" hidden="false" name="车位物业等级" vbProcedure="false">'比较法-车位'!$B$88:$M$88</definedName>
    <definedName function="false" hidden="false" name="车位用途" vbProcedure="false">'比较法-车位'!$B$53:$M$53</definedName>
    <definedName function="false" hidden="false" name="车位类型" vbProcedure="false">'比较法-车位'!$B$93:$M$93</definedName>
    <definedName function="false" hidden="false" name="车位配套类型" vbProcedure="false">'比较法-车位'!$B$79:$M$79</definedName>
    <definedName function="false" hidden="false" name="项目类型" vbProcedure="false">'数据-汇总表'!$C$17:$C$26</definedName>
    <definedName function="false" hidden="false" localSheetId="11" name="_xlnm._FilterDatabase" vbProcedure="false">项目基本情况!$A$42:$N$42</definedName>
    <definedName function="false" hidden="false" localSheetId="12" name="_xlnm._FilterDatabase" vbProcedure="false">'数据-基础表'!$A$12:$AT$587</definedName>
    <definedName function="false" hidden="false" localSheetId="23" name="项目类型" vbProcedure="false">'[1]数据-汇总表'!$C$17:$C$26</definedName>
    <definedName function="false" hidden="false" localSheetId="25" name="_xlnm._FilterDatabase" vbProcedure="false">'比较法-住宅'!$A$1:$L$49</definedName>
    <definedName function="false" hidden="false" localSheetId="27" name="_xlnm._FilterDatabase" vbProcedure="false">'比较法-商业'!$A$1:$L$49</definedName>
    <definedName function="false" hidden="false" localSheetId="28" name="_xlnm._FilterDatabase" vbProcedure="false">'比较法-办公'!$A$1:$L$50</definedName>
    <definedName function="false" hidden="false" localSheetId="29" name="_xlnm._FilterDatabase" vbProcedure="false">'比较法-工业'!$A$1:$L$43</definedName>
    <definedName function="false" hidden="false" localSheetId="30" name="_xlnm._FilterDatabase" vbProcedure="false">'比较法-车位'!$A$1:$L$39</definedName>
    <definedName function="false" hidden="false" localSheetId="31" name="_xlnm._FilterDatabase" vbProcedure="false">'比较法-仓储'!$A$1:$L$37</definedName>
    <definedName function="false" hidden="false" localSheetId="32" name="_xlnm._FilterDatabase" vbProcedure="false">'土地比较法-住宅、综合'!$A$1:$L$48</definedName>
    <definedName function="false" hidden="false" localSheetId="33" name="_xlnm._FilterDatabase" vbProcedure="false">'土地比较法-工业'!$A$1:$L$43</definedName>
  </definedNames>
  <calcPr iterateCount="100" refMode="A1" iterate="false" iterateDelta="0.0001"/>
  <extLst>
    <ext xmlns:loext="http://schemas.libreoffice.org/" uri="{7626C862-2A13-11E5-B345-FEFF819CDC9F}">
      <loext:extCalcPr stringRefSyntax="ExcelA1"/>
    </ext>
  </extLst>
</workbook>
</file>

<file path=xl/comments12.xml><?xml version="1.0" encoding="utf-8"?>
<comments xmlns="http://schemas.openxmlformats.org/spreadsheetml/2006/main" xmlns:xdr="http://schemas.openxmlformats.org/drawingml/2006/spreadsheetDrawing">
  <authors>
    <author> </author>
  </authors>
  <commentList>
    <comment ref="B10" authorId="0">
      <text>
        <r>
          <rPr>
            <sz val="12"/>
            <rFont val="宋体"/>
            <family val="3"/>
            <charset val="134"/>
          </rPr>
          <t xml:space="preserve">其它城市请在右侧录入
</t>
        </r>
      </text>
    </comment>
    <comment ref="B11" authorId="0">
      <text>
        <r>
          <rPr>
            <sz val="12"/>
            <rFont val="宋体"/>
            <family val="3"/>
            <charset val="134"/>
          </rPr>
          <t xml:space="preserve">名称在右侧单元格录入
</t>
        </r>
      </text>
    </comment>
    <comment ref="B16" authorId="0">
      <text>
        <r>
          <rPr>
            <sz val="12"/>
            <rFont val="宋体"/>
            <family val="3"/>
            <charset val="134"/>
          </rPr>
          <t xml:space="preserve">如：住宅、办公、地下车库
</t>
        </r>
      </text>
    </comment>
    <comment ref="C28" authorId="0">
      <text>
        <r>
          <rPr>
            <sz val="11"/>
            <rFont val="楷体_GB2312"/>
            <family val="0"/>
            <charset val="134"/>
          </rPr>
          <t xml:space="preserve">其他特殊项请在右侧录入</t>
        </r>
      </text>
    </comment>
    <comment ref="C30" authorId="0">
      <text>
        <r>
          <rPr>
            <sz val="11"/>
            <rFont val="宋体"/>
            <family val="3"/>
            <charset val="134"/>
          </rPr>
          <t xml:space="preserve">廉租房、公租房、限价房、自住房
</t>
        </r>
      </text>
    </comment>
    <comment ref="E18" authorId="0">
      <text>
        <r>
          <rPr>
            <sz val="11"/>
            <rFont val="宋体"/>
            <family val="3"/>
            <charset val="134"/>
          </rPr>
          <t xml:space="preserve">有相同面积依据时，仅在土地面积依据处录入。
</t>
        </r>
      </text>
    </comment>
    <comment ref="E31" authorId="0">
      <text>
        <r>
          <rPr>
            <sz val="11"/>
            <rFont val="宋体"/>
            <family val="3"/>
            <charset val="134"/>
          </rPr>
          <t xml:space="preserve">工程停工、土地闲置、年久失修等
</t>
        </r>
      </text>
    </comment>
    <comment ref="E32" authorId="0">
      <text>
        <r>
          <rPr>
            <sz val="11"/>
            <rFont val="宋体"/>
            <family val="3"/>
            <charset val="134"/>
          </rPr>
          <t xml:space="preserve">工程停工、土地闲置、年久失修等
</t>
        </r>
      </text>
    </comment>
    <comment ref="E33" authorId="0">
      <text>
        <r>
          <rPr>
            <sz val="11"/>
            <rFont val="宋体"/>
            <family val="3"/>
            <charset val="134"/>
          </rPr>
          <t xml:space="preserve">工程停工、土地闲置、年久失修等
</t>
        </r>
      </text>
    </comment>
    <comment ref="F4" authorId="0">
      <text>
        <r>
          <rPr>
            <sz val="12"/>
            <rFont val="仿宋_GB2312"/>
            <family val="0"/>
            <charset val="134"/>
          </rPr>
          <t xml:space="preserve">没有时，请选择"——"
</t>
        </r>
      </text>
    </comment>
    <comment ref="F16" authorId="0">
      <text>
        <r>
          <rPr>
            <sz val="12"/>
            <rFont val="宋体"/>
            <family val="3"/>
            <charset val="134"/>
          </rPr>
          <t xml:space="preserve">如：住宅67.6年、办公及车库37.6年
</t>
        </r>
      </text>
    </comment>
    <comment ref="H4" authorId="0">
      <text>
        <r>
          <rPr>
            <sz val="12"/>
            <rFont val="仿宋_GB2312"/>
            <family val="0"/>
            <charset val="134"/>
          </rPr>
          <t xml:space="preserve">没有时，请选择"——"
</t>
        </r>
      </text>
    </comment>
    <comment ref="K42" authorId="0">
      <text>
        <r>
          <rPr>
            <sz val="11"/>
            <rFont val="楷体_GB2312"/>
            <family val="0"/>
            <charset val="134"/>
          </rPr>
          <t xml:space="preserve">现房/在建（简单填写进度）/未建
</t>
        </r>
      </text>
    </comment>
    <comment ref="K43" authorId="0">
      <text>
        <r>
          <rPr>
            <sz val="11"/>
            <rFont val="楷体_GB2312"/>
            <family val="0"/>
            <charset val="134"/>
          </rPr>
          <t xml:space="preserve">现房/在建（简单填写进度）/未建
</t>
        </r>
      </text>
    </comment>
    <comment ref="K44" authorId="0">
      <text>
        <r>
          <rPr>
            <sz val="11"/>
            <rFont val="楷体_GB2312"/>
            <family val="0"/>
            <charset val="134"/>
          </rPr>
          <t xml:space="preserve">现房/在建（简单填写进度）/未建
</t>
        </r>
      </text>
    </comment>
    <comment ref="K45" authorId="0">
      <text>
        <r>
          <rPr>
            <sz val="11"/>
            <rFont val="楷体_GB2312"/>
            <family val="0"/>
            <charset val="134"/>
          </rPr>
          <t xml:space="preserve">现房/在建（简单填写进度）/未建
</t>
        </r>
      </text>
    </comment>
    <comment ref="K46" authorId="0">
      <text>
        <r>
          <rPr>
            <sz val="11"/>
            <rFont val="楷体_GB2312"/>
            <family val="0"/>
            <charset val="134"/>
          </rPr>
          <t xml:space="preserve">现房/在建（简单填写进度）/未建
</t>
        </r>
      </text>
    </comment>
    <comment ref="K47" authorId="0">
      <text>
        <r>
          <rPr>
            <sz val="11"/>
            <rFont val="楷体_GB2312"/>
            <family val="0"/>
            <charset val="134"/>
          </rPr>
          <t xml:space="preserve">现房/在建（简单填写进度）/未建
</t>
        </r>
      </text>
    </comment>
    <comment ref="K52" authorId="0">
      <text>
        <r>
          <rPr>
            <sz val="11"/>
            <rFont val="楷体_GB2312"/>
            <family val="0"/>
            <charset val="134"/>
          </rPr>
          <t xml:space="preserve">现房/在建（简单填写进度）/未建
</t>
        </r>
      </text>
    </comment>
    <comment ref="K53" authorId="0">
      <text>
        <r>
          <rPr>
            <sz val="11"/>
            <rFont val="楷体_GB2312"/>
            <family val="0"/>
            <charset val="134"/>
          </rPr>
          <t xml:space="preserve">现房/在建（简单填写进度）/未建
</t>
        </r>
      </text>
    </comment>
    <comment ref="K54" authorId="0">
      <text>
        <r>
          <rPr>
            <sz val="11"/>
            <rFont val="楷体_GB2312"/>
            <family val="0"/>
            <charset val="134"/>
          </rPr>
          <t xml:space="preserve">现房/在建（简单填写进度）/未建
</t>
        </r>
      </text>
    </comment>
    <comment ref="K55" authorId="0">
      <text>
        <r>
          <rPr>
            <sz val="11"/>
            <rFont val="楷体_GB2312"/>
            <family val="0"/>
            <charset val="134"/>
          </rPr>
          <t xml:space="preserve">现房/在建（简单填写进度）/未建
</t>
        </r>
      </text>
    </comment>
    <comment ref="K56" authorId="0">
      <text>
        <r>
          <rPr>
            <sz val="11"/>
            <rFont val="楷体_GB2312"/>
            <family val="0"/>
            <charset val="134"/>
          </rPr>
          <t xml:space="preserve">现房/在建（简单填写进度）/未建
</t>
        </r>
      </text>
    </comment>
  </commentList>
</comments>
</file>

<file path=xl/comments13.xml><?xml version="1.0" encoding="utf-8"?>
<comments xmlns="http://schemas.openxmlformats.org/spreadsheetml/2006/main" xmlns:xdr="http://schemas.openxmlformats.org/drawingml/2006/spreadsheetDrawing">
  <authors>
    <author> </author>
  </authors>
  <commentList>
    <comment ref="A3" authorId="0">
      <text>
        <r>
          <rPr>
            <sz val="10"/>
            <rFont val="宋体"/>
            <family val="3"/>
            <charset val="134"/>
          </rPr>
          <t xml:space="preserve">依《国土证》或《不动产证》录入
</t>
        </r>
      </text>
    </comment>
  </commentList>
</comments>
</file>

<file path=xl/comments14.xml><?xml version="1.0" encoding="utf-8"?>
<comments xmlns="http://schemas.openxmlformats.org/spreadsheetml/2006/main" xmlns:xdr="http://schemas.openxmlformats.org/drawingml/2006/spreadsheetDrawing">
  <authors>
    <author> </author>
  </authors>
  <commentList>
    <comment ref="E9" authorId="0">
      <text>
        <r>
          <rPr>
            <b val="true"/>
            <sz val="11"/>
            <rFont val="宋体"/>
            <family val="3"/>
            <charset val="134"/>
          </rPr>
          <t xml:space="preserve">除经营性用途以外的地上计出让金部分，请按实际情况录入并作备注
</t>
        </r>
      </text>
    </comment>
  </commentList>
</comments>
</file>

<file path=xl/comments15.xml><?xml version="1.0" encoding="utf-8"?>
<comments xmlns="http://schemas.openxmlformats.org/spreadsheetml/2006/main" xmlns:xdr="http://schemas.openxmlformats.org/drawingml/2006/spreadsheetDrawing">
  <authors>
    <author> </author>
  </authors>
  <commentList>
    <comment ref="B44" authorId="0">
      <text>
        <r>
          <rPr>
            <b val="true"/>
            <sz val="8"/>
            <rFont val="宋体"/>
            <family val="3"/>
            <charset val="134"/>
          </rPr>
          <t xml:space="preserve">moqikay:
东城区、西城区、北京经济技术开发区范围内，以及在朝阳、海淀、丰台、石景山、门头沟、燕山六个区所属的街道办事处管辖范围内的，税率为7%</t>
        </r>
      </text>
    </comment>
    <comment ref="U5" authorId="0">
      <text>
        <r>
          <rPr>
            <sz val="12"/>
            <rFont val="宋体"/>
            <family val="3"/>
            <charset val="134"/>
          </rPr>
          <t xml:space="preserve">按套计取，在AF列录入套数；
按每车位计取，在AF列录入车位数；
按收益面积计取，在AF列录入收益面积
</t>
        </r>
      </text>
    </comment>
    <comment ref="W5" authorId="0">
      <text>
        <r>
          <rPr>
            <sz val="10"/>
            <rFont val="宋体"/>
            <family val="3"/>
            <charset val="134"/>
          </rPr>
          <t xml:space="preserve">5%-10%：基本呈满租状态；
15%左右：正常市场空置状态
20%：市场环境较差，项目现状及周边有空置
另，需注意租金水平与空置率的均衡关系
</t>
        </r>
      </text>
    </comment>
    <comment ref="AB5" authorId="0">
      <text>
        <r>
          <rPr>
            <sz val="11"/>
            <rFont val="宋体"/>
            <family val="3"/>
            <charset val="134"/>
          </rPr>
          <t xml:space="preserve">5%-10%：基本呈满租状态；
15%左右：正常市场空置状态；
20%：市场环境较差，项目现状及周边有空置。
另，需注意租金水平与空置率的均衡关系。
</t>
        </r>
      </text>
    </comment>
    <comment ref="AK5" authorId="0">
      <text>
        <r>
          <rPr>
            <sz val="10"/>
            <rFont val="宋体"/>
            <family val="3"/>
            <charset val="134"/>
          </rPr>
          <t xml:space="preserve">取值范围：
1.5%-2.5%
</t>
        </r>
      </text>
    </comment>
    <comment ref="AL5" authorId="0">
      <text>
        <r>
          <rPr>
            <sz val="10"/>
            <rFont val="宋体"/>
            <family val="3"/>
            <charset val="134"/>
          </rPr>
          <t xml:space="preserve">取值范围：
0.15%-0.3%
</t>
        </r>
        <r>
          <rPr>
            <sz val="9"/>
            <rFont val="宋体"/>
            <family val="3"/>
            <charset val="134"/>
          </rPr>
          <t xml:space="preserve">
</t>
        </r>
      </text>
    </comment>
    <comment ref="AM5" authorId="0">
      <text>
        <r>
          <rPr>
            <sz val="10"/>
            <rFont val="宋体"/>
            <family val="3"/>
            <charset val="134"/>
          </rPr>
          <t xml:space="preserve">取值范围：
1%-3%
</t>
        </r>
      </text>
    </comment>
  </commentList>
</comments>
</file>

<file path=xl/comments18.xml><?xml version="1.0" encoding="utf-8"?>
<comments xmlns="http://schemas.openxmlformats.org/spreadsheetml/2006/main" xmlns:xdr="http://schemas.openxmlformats.org/drawingml/2006/spreadsheetDrawing">
  <authors>
    <author> </author>
  </authors>
  <commentList>
    <comment ref="C1" authorId="0">
      <text>
        <r>
          <rPr>
            <sz val="12"/>
            <rFont val="楷体_GB2312"/>
            <family val="0"/>
            <charset val="134"/>
          </rPr>
          <t xml:space="preserve">不分项目类型时为空即可
</t>
        </r>
      </text>
    </comment>
    <comment ref="H75" authorId="0">
      <text>
        <r>
          <rPr>
            <b val="true"/>
            <sz val="9"/>
            <rFont val="宋体"/>
            <family val="3"/>
            <charset val="134"/>
          </rPr>
          <t xml:space="preserve">已购买年数；无发票此处填0(有公式链接)
</t>
        </r>
      </text>
    </comment>
  </commentList>
</comments>
</file>

<file path=xl/comments19.xml><?xml version="1.0" encoding="utf-8"?>
<comments xmlns="http://schemas.openxmlformats.org/spreadsheetml/2006/main" xmlns:xdr="http://schemas.openxmlformats.org/drawingml/2006/spreadsheetDrawing">
  <authors>
    <author> </author>
  </authors>
  <commentList>
    <comment ref="G9" authorId="0">
      <text>
        <r>
          <rPr>
            <sz val="9"/>
            <rFont val="宋体"/>
            <family val="3"/>
            <charset val="134"/>
          </rPr>
          <t xml:space="preserve">非整体项目测算时，请对是否全部缴纳进行选择，如为“部分缴纳”，请在右侧录入已缴纳的数额
</t>
        </r>
      </text>
    </comment>
  </commentList>
</comments>
</file>

<file path=xl/comments21.xml><?xml version="1.0" encoding="utf-8"?>
<comments xmlns="http://schemas.openxmlformats.org/spreadsheetml/2006/main" xmlns:xdr="http://schemas.openxmlformats.org/drawingml/2006/spreadsheetDrawing">
  <authors>
    <author> </author>
  </authors>
  <commentList>
    <comment ref="G18" authorId="0">
      <text>
        <r>
          <rPr>
            <sz val="9"/>
            <rFont val="宋体"/>
            <family val="3"/>
            <charset val="134"/>
          </rPr>
          <t xml:space="preserve">非整体项目测算时，请对是否全部缴纳进行选择，如为“部分缴纳”，请在右侧录入已缴纳的数额
</t>
        </r>
      </text>
    </comment>
  </commentList>
</comments>
</file>

<file path=xl/comments22.xml><?xml version="1.0" encoding="utf-8"?>
<comments xmlns="http://schemas.openxmlformats.org/spreadsheetml/2006/main" xmlns:xdr="http://schemas.openxmlformats.org/drawingml/2006/spreadsheetDrawing">
  <authors>
    <author> </author>
  </authors>
  <commentList>
    <comment ref="L52" authorId="0">
      <text>
        <r>
          <rPr>
            <sz val="10"/>
            <rFont val="宋体"/>
            <family val="3"/>
            <charset val="134"/>
          </rPr>
          <t xml:space="preserve">需注意，采用基准地价系数修正法中土地结果计算时，土地报酬率应采用该方法中报酬率（还原率）。
</t>
        </r>
      </text>
    </comment>
    <comment ref="L55" authorId="0">
      <text>
        <r>
          <rPr>
            <sz val="11"/>
            <rFont val="宋体"/>
            <family val="3"/>
            <charset val="134"/>
          </rPr>
          <t xml:space="preserve">采用租约时，尽量不选用收益还原法
</t>
        </r>
      </text>
    </comment>
  </commentList>
</comments>
</file>

<file path=xl/comments23.xml><?xml version="1.0" encoding="utf-8"?>
<comments xmlns="http://schemas.openxmlformats.org/spreadsheetml/2006/main" xmlns:xdr="http://schemas.openxmlformats.org/drawingml/2006/spreadsheetDrawing">
  <authors>
    <author> </author>
  </authors>
  <commentList>
    <comment ref="L52" authorId="0">
      <text>
        <r>
          <rPr>
            <sz val="10"/>
            <rFont val="宋体"/>
            <family val="3"/>
            <charset val="134"/>
          </rPr>
          <t xml:space="preserve">需注意，采用基准地价系数修正法中土地结果计算时，土地报酬率应采用该方法中报酬率（还原率）。
</t>
        </r>
      </text>
    </comment>
    <comment ref="L55" authorId="0">
      <text>
        <r>
          <rPr>
            <sz val="11"/>
            <rFont val="宋体"/>
            <family val="3"/>
            <charset val="134"/>
          </rPr>
          <t xml:space="preserve">采用租约时，尽量不选用收益还原法
</t>
        </r>
      </text>
    </comment>
  </commentList>
</comments>
</file>

<file path=xl/comments27.xml><?xml version="1.0" encoding="utf-8"?>
<comments xmlns="http://schemas.openxmlformats.org/spreadsheetml/2006/main" xmlns:xdr="http://schemas.openxmlformats.org/drawingml/2006/spreadsheetDrawing">
  <authors>
    <author> </author>
  </authors>
  <commentList>
    <comment ref="AS1" authorId="0">
      <text>
        <r>
          <rPr>
            <b val="true"/>
            <sz val="9"/>
            <rFont val="宋体"/>
            <family val="3"/>
            <charset val="134"/>
          </rPr>
          <t xml:space="preserve">填写交易证明的类型，分为商品房合同、认购书。</t>
        </r>
      </text>
    </comment>
    <comment ref="AT1" authorId="0">
      <text>
        <r>
          <rPr>
            <b val="true"/>
            <sz val="9"/>
            <rFont val="宋体"/>
            <family val="3"/>
            <charset val="134"/>
          </rPr>
          <t xml:space="preserve">填写新版合同编号前的大写汉语拼音字母</t>
        </r>
        <r>
          <rPr>
            <b val="true"/>
            <sz val="9"/>
            <rFont val="Times New Roman"/>
            <family val="1"/>
            <charset val="1"/>
          </rPr>
          <t xml:space="preserve">N</t>
        </r>
        <r>
          <rPr>
            <b val="true"/>
            <sz val="9"/>
            <rFont val="宋体"/>
            <family val="3"/>
            <charset val="134"/>
          </rPr>
          <t xml:space="preserve">：内销
</t>
        </r>
        <r>
          <rPr>
            <b val="true"/>
            <sz val="9"/>
            <rFont val="Times New Roman"/>
            <family val="1"/>
            <charset val="1"/>
          </rPr>
          <t xml:space="preserve">W</t>
        </r>
        <r>
          <rPr>
            <b val="true"/>
            <sz val="9"/>
            <rFont val="宋体"/>
            <family val="3"/>
            <charset val="134"/>
          </rPr>
          <t xml:space="preserve">：外销
</t>
        </r>
        <r>
          <rPr>
            <b val="true"/>
            <sz val="9"/>
            <rFont val="Times New Roman"/>
            <family val="1"/>
            <charset val="1"/>
          </rPr>
          <t xml:space="preserve">J</t>
        </r>
        <r>
          <rPr>
            <b val="true"/>
            <sz val="9"/>
            <rFont val="宋体"/>
            <family val="3"/>
            <charset val="134"/>
          </rPr>
          <t xml:space="preserve">：经济适用房</t>
        </r>
      </text>
    </comment>
    <comment ref="BB1" authorId="0">
      <text>
        <r>
          <rPr>
            <b val="true"/>
            <sz val="9"/>
            <rFont val="宋体"/>
            <family val="3"/>
            <charset val="134"/>
          </rPr>
          <t xml:space="preserve">填写数值型数据，保留小数点后一位。</t>
        </r>
      </text>
    </comment>
    <comment ref="BC1" authorId="0">
      <text>
        <r>
          <rPr>
            <b val="true"/>
            <sz val="9"/>
            <rFont val="宋体"/>
            <family val="3"/>
            <charset val="134"/>
          </rPr>
          <t xml:space="preserve">此项填写合同日期，无合同日期填写预售登记日期，均无则在备注中注明</t>
        </r>
      </text>
    </comment>
    <comment ref="BD1" authorId="0">
      <text>
        <r>
          <rPr>
            <b val="true"/>
            <sz val="9"/>
            <rFont val="宋体"/>
            <family val="3"/>
            <charset val="134"/>
          </rPr>
          <t xml:space="preserve">在补充过程中发现合同遗漏的项目，不能正常补充的需注明。</t>
        </r>
      </text>
    </comment>
  </commentList>
</comments>
</file>

<file path=xl/comments31.xml><?xml version="1.0" encoding="utf-8"?>
<comments xmlns="http://schemas.openxmlformats.org/spreadsheetml/2006/main" xmlns:xdr="http://schemas.openxmlformats.org/drawingml/2006/spreadsheetDrawing">
  <authors>
    <author> </author>
  </authors>
  <commentList>
    <comment ref="B1" authorId="0">
      <text>
        <r>
          <rPr>
            <b val="true"/>
            <sz val="12"/>
            <rFont val="宋体"/>
            <family val="3"/>
            <charset val="134"/>
          </rPr>
          <t xml:space="preserve">主用途
</t>
        </r>
      </text>
    </comment>
  </commentList>
</comments>
</file>

<file path=xl/comments32.xml><?xml version="1.0" encoding="utf-8"?>
<comments xmlns="http://schemas.openxmlformats.org/spreadsheetml/2006/main" xmlns:xdr="http://schemas.openxmlformats.org/drawingml/2006/spreadsheetDrawing">
  <authors>
    <author> </author>
  </authors>
  <commentList>
    <comment ref="B1" authorId="0">
      <text>
        <r>
          <rPr>
            <b val="true"/>
            <sz val="12"/>
            <rFont val="宋体"/>
            <family val="3"/>
            <charset val="134"/>
          </rPr>
          <t xml:space="preserve">主用途
</t>
        </r>
        <r>
          <rPr>
            <sz val="9"/>
            <rFont val="宋体"/>
            <family val="3"/>
            <charset val="134"/>
          </rPr>
          <t xml:space="preserve">
</t>
        </r>
      </text>
    </comment>
  </commentList>
</comments>
</file>

<file path=xl/comments37.xml><?xml version="1.0" encoding="utf-8"?>
<comments xmlns="http://schemas.openxmlformats.org/spreadsheetml/2006/main" xmlns:xdr="http://schemas.openxmlformats.org/drawingml/2006/spreadsheetDrawing">
  <authors>
    <author> </author>
  </authors>
  <commentList>
    <comment ref="C16" authorId="0">
      <text>
        <r>
          <rPr>
            <sz val="12"/>
            <rFont val="宋体"/>
            <family val="3"/>
            <charset val="134"/>
          </rPr>
          <t xml:space="preserve">1.1~1.15
</t>
        </r>
        <r>
          <rPr>
            <sz val="9"/>
            <rFont val="宋体"/>
            <family val="3"/>
            <charset val="134"/>
          </rPr>
          <t xml:space="preserve">
</t>
        </r>
      </text>
    </comment>
    <comment ref="D16" authorId="0">
      <text>
        <r>
          <rPr>
            <sz val="12"/>
            <rFont val="宋体"/>
            <family val="3"/>
            <charset val="134"/>
          </rPr>
          <t xml:space="preserve">1.05~1.1
</t>
        </r>
      </text>
    </comment>
    <comment ref="E16" authorId="0">
      <text>
        <r>
          <rPr>
            <sz val="12"/>
            <rFont val="宋体"/>
            <family val="3"/>
            <charset val="134"/>
          </rPr>
          <t xml:space="preserve">＜500米，   1.1  ~ 1.15
500~1000米，1.05 ~ 1.1
1000~1500,  1.0  ~ 1.05
</t>
        </r>
      </text>
    </comment>
    <comment ref="G44" authorId="0">
      <text>
        <r>
          <rPr>
            <sz val="9"/>
            <rFont val="宋体"/>
            <family val="3"/>
            <charset val="134"/>
          </rPr>
          <t xml:space="preserve">需在此处填写剩余土地年限
</t>
        </r>
      </text>
    </comment>
    <comment ref="J23" authorId="0">
      <text>
        <r>
          <rPr>
            <b val="true"/>
            <sz val="14"/>
            <rFont val="宋体"/>
            <family val="3"/>
            <charset val="134"/>
          </rPr>
          <t xml:space="preserve">工业选“中心城区”
</t>
        </r>
      </text>
    </comment>
    <comment ref="Y9" authorId="0">
      <text>
        <r>
          <rPr>
            <sz val="11"/>
            <rFont val="宋体"/>
            <family val="3"/>
            <charset val="134"/>
          </rPr>
          <t xml:space="preserve">录入层数，将对应的结果录入至左侧相应层的楼层修正系数单元格中
</t>
        </r>
      </text>
    </comment>
  </commentList>
</comments>
</file>

<file path=xl/comments46.xml><?xml version="1.0" encoding="utf-8"?>
<comments xmlns="http://schemas.openxmlformats.org/spreadsheetml/2006/main" xmlns:xdr="http://schemas.openxmlformats.org/drawingml/2006/spreadsheetDrawing">
  <authors>
    <author> </author>
  </authors>
  <commentList>
    <comment ref="AR1" authorId="0">
      <text>
        <r>
          <rPr>
            <b val="true"/>
            <sz val="9"/>
            <rFont val="宋体"/>
            <family val="3"/>
            <charset val="134"/>
          </rPr>
          <t xml:space="preserve">填写交易证明的类型，分为商品房合同、预售契约、买卖契约、认购书。</t>
        </r>
      </text>
    </comment>
    <comment ref="AS1" authorId="0">
      <text>
        <r>
          <rPr>
            <b val="true"/>
            <sz val="9"/>
            <rFont val="宋体"/>
            <family val="3"/>
            <charset val="134"/>
          </rPr>
          <t xml:space="preserve">填写新版合同编号前的大写汉语拼音字母</t>
        </r>
        <r>
          <rPr>
            <b val="true"/>
            <sz val="9"/>
            <rFont val="Times New Roman"/>
            <family val="1"/>
            <charset val="1"/>
          </rPr>
          <t xml:space="preserve">N</t>
        </r>
        <r>
          <rPr>
            <b val="true"/>
            <sz val="9"/>
            <rFont val="宋体"/>
            <family val="3"/>
            <charset val="134"/>
          </rPr>
          <t xml:space="preserve">：内销
</t>
        </r>
        <r>
          <rPr>
            <b val="true"/>
            <sz val="9"/>
            <rFont val="Times New Roman"/>
            <family val="1"/>
            <charset val="1"/>
          </rPr>
          <t xml:space="preserve">W</t>
        </r>
        <r>
          <rPr>
            <b val="true"/>
            <sz val="9"/>
            <rFont val="宋体"/>
            <family val="3"/>
            <charset val="134"/>
          </rPr>
          <t xml:space="preserve">：外销
</t>
        </r>
        <r>
          <rPr>
            <b val="true"/>
            <sz val="9"/>
            <rFont val="Times New Roman"/>
            <family val="1"/>
            <charset val="1"/>
          </rPr>
          <t xml:space="preserve">J</t>
        </r>
        <r>
          <rPr>
            <b val="true"/>
            <sz val="9"/>
            <rFont val="宋体"/>
            <family val="3"/>
            <charset val="134"/>
          </rPr>
          <t xml:space="preserve">：经济适用房</t>
        </r>
      </text>
    </comment>
    <comment ref="BA1" authorId="0">
      <text>
        <r>
          <rPr>
            <b val="true"/>
            <sz val="9"/>
            <rFont val="宋体"/>
            <family val="3"/>
            <charset val="134"/>
          </rPr>
          <t xml:space="preserve">填写数值型数据，保留小数点后一位。</t>
        </r>
      </text>
    </comment>
    <comment ref="BB1" authorId="0">
      <text>
        <r>
          <rPr>
            <b val="true"/>
            <sz val="9"/>
            <rFont val="宋体"/>
            <family val="3"/>
            <charset val="134"/>
          </rPr>
          <t xml:space="preserve">此项填写合同日期，无合同日期填写预售登记日期，均无则在备注中注明</t>
        </r>
      </text>
    </comment>
    <comment ref="BC1" authorId="0">
      <text>
        <r>
          <rPr>
            <b val="true"/>
            <sz val="9"/>
            <rFont val="宋体"/>
            <family val="3"/>
            <charset val="134"/>
          </rPr>
          <t xml:space="preserve">在补充过程中发现合同遗漏的项目，不能正常补充的需注明。</t>
        </r>
      </text>
    </comment>
    <comment ref="BG1" authorId="0">
      <text>
        <r>
          <rPr>
            <b val="true"/>
            <sz val="9"/>
            <rFont val="宋体"/>
            <family val="3"/>
            <charset val="134"/>
          </rPr>
          <t xml:space="preserve">销售方式分为现售和预售两种方式</t>
        </r>
      </text>
    </comment>
  </commentList>
</comments>
</file>

<file path=xl/comments47.xml><?xml version="1.0" encoding="utf-8"?>
<comments xmlns="http://schemas.openxmlformats.org/spreadsheetml/2006/main" xmlns:xdr="http://schemas.openxmlformats.org/drawingml/2006/spreadsheetDrawing">
  <authors>
    <author> </author>
  </authors>
  <commentList>
    <comment ref="A70" authorId="0">
      <text>
        <r>
          <rPr>
            <b val="true"/>
            <sz val="9"/>
            <color rgb="FF000000"/>
            <rFont val="宋体"/>
            <family val="3"/>
            <charset val="134"/>
          </rPr>
          <t xml:space="preserve">裴蓓:
</t>
        </r>
        <r>
          <rPr>
            <sz val="9"/>
            <color rgb="FF000000"/>
            <rFont val="宋体"/>
            <family val="3"/>
            <charset val="134"/>
          </rPr>
          <t xml:space="preserve">请删除库中2006-2-CP-04803（双榆树东里，20060811）的新装修记录。</t>
        </r>
      </text>
    </comment>
    <comment ref="A72" authorId="0">
      <text>
        <r>
          <rPr>
            <b val="true"/>
            <sz val="9"/>
            <color rgb="FF000000"/>
            <rFont val="宋体"/>
            <family val="3"/>
            <charset val="134"/>
          </rPr>
          <t xml:space="preserve">邹晓鸣:
</t>
        </r>
        <r>
          <rPr>
            <sz val="9"/>
            <color rgb="FF000000"/>
            <rFont val="宋体"/>
            <family val="3"/>
            <charset val="134"/>
          </rPr>
          <t xml:space="preserve">请删除库里原记录</t>
        </r>
      </text>
    </comment>
    <comment ref="AW2" authorId="0">
      <text>
        <r>
          <rPr>
            <b val="true"/>
            <sz val="9"/>
            <color rgb="FF000000"/>
            <rFont val="宋体"/>
            <family val="3"/>
            <charset val="134"/>
          </rPr>
          <t xml:space="preserve">填写交易证明的类型，分为商品房合同、预售契约、买卖契约、认购书。</t>
        </r>
      </text>
    </comment>
    <comment ref="AX2" authorId="0">
      <text>
        <r>
          <rPr>
            <b val="true"/>
            <sz val="9"/>
            <color rgb="FF000000"/>
            <rFont val="宋体"/>
            <family val="3"/>
            <charset val="134"/>
          </rPr>
          <t xml:space="preserve">填写新版合同编号前的大写汉语拼音字母</t>
        </r>
        <r>
          <rPr>
            <b val="true"/>
            <sz val="9"/>
            <color rgb="FF000000"/>
            <rFont val="Times New Roman"/>
            <family val="1"/>
            <charset val="1"/>
          </rPr>
          <t xml:space="preserve">N</t>
        </r>
        <r>
          <rPr>
            <b val="true"/>
            <sz val="9"/>
            <color rgb="FF000000"/>
            <rFont val="宋体"/>
            <family val="3"/>
            <charset val="134"/>
          </rPr>
          <t xml:space="preserve">：内销
</t>
        </r>
        <r>
          <rPr>
            <b val="true"/>
            <sz val="9"/>
            <color rgb="FF000000"/>
            <rFont val="Times New Roman"/>
            <family val="1"/>
            <charset val="1"/>
          </rPr>
          <t xml:space="preserve">W</t>
        </r>
        <r>
          <rPr>
            <b val="true"/>
            <sz val="9"/>
            <color rgb="FF000000"/>
            <rFont val="宋体"/>
            <family val="3"/>
            <charset val="134"/>
          </rPr>
          <t xml:space="preserve">：外销
</t>
        </r>
        <r>
          <rPr>
            <b val="true"/>
            <sz val="9"/>
            <color rgb="FF000000"/>
            <rFont val="Times New Roman"/>
            <family val="1"/>
            <charset val="1"/>
          </rPr>
          <t xml:space="preserve">J</t>
        </r>
        <r>
          <rPr>
            <b val="true"/>
            <sz val="9"/>
            <color rgb="FF000000"/>
            <rFont val="宋体"/>
            <family val="3"/>
            <charset val="134"/>
          </rPr>
          <t xml:space="preserve">：经济适用房</t>
        </r>
      </text>
    </comment>
    <comment ref="BF2" authorId="0">
      <text>
        <r>
          <rPr>
            <b val="true"/>
            <sz val="9"/>
            <color rgb="FF000000"/>
            <rFont val="宋体"/>
            <family val="3"/>
            <charset val="134"/>
          </rPr>
          <t xml:space="preserve">填写数值型数据，保留小数点后一位。</t>
        </r>
      </text>
    </comment>
    <comment ref="BG2" authorId="0">
      <text>
        <r>
          <rPr>
            <b val="true"/>
            <sz val="9"/>
            <color rgb="FF000000"/>
            <rFont val="宋体"/>
            <family val="3"/>
            <charset val="134"/>
          </rPr>
          <t xml:space="preserve">此项填写合同日期，无合同日期填写预售登记日期，均无则在备注中注明</t>
        </r>
      </text>
    </comment>
    <comment ref="BH2" authorId="0">
      <text>
        <r>
          <rPr>
            <b val="true"/>
            <sz val="9"/>
            <color rgb="FF000000"/>
            <rFont val="宋体"/>
            <family val="3"/>
            <charset val="134"/>
          </rPr>
          <t xml:space="preserve">在补充过程中发现合同遗漏的项目，不能正常补充的需注明。</t>
        </r>
      </text>
    </comment>
    <comment ref="BL2" authorId="0">
      <text>
        <r>
          <rPr>
            <b val="true"/>
            <sz val="9"/>
            <color rgb="FF000000"/>
            <rFont val="宋体"/>
            <family val="3"/>
            <charset val="134"/>
          </rPr>
          <t xml:space="preserve">销售方式分为现售和预售两种方式</t>
        </r>
      </text>
    </comment>
  </commentList>
</comments>
</file>

<file path=xl/sharedStrings.xml><?xml version="1.0" encoding="utf-8"?>
<sst xmlns="http://schemas.openxmlformats.org/spreadsheetml/2006/main" count="10810" uniqueCount="3250">
  <si>
    <t xml:space="preserve">顺序</t>
  </si>
  <si>
    <r>
      <rPr>
        <b val="true"/>
        <sz val="12"/>
        <color rgb="FF000000"/>
        <rFont val="宋体"/>
        <family val="3"/>
        <charset val="134"/>
      </rPr>
      <t xml:space="preserve">复制粘帖</t>
    </r>
    <r>
      <rPr>
        <b val="true"/>
        <i val="true"/>
        <sz val="12"/>
        <color rgb="FFE46C0A"/>
        <rFont val="宋体"/>
        <family val="0"/>
        <charset val="134"/>
      </rPr>
      <t xml:space="preserve">“</t>
    </r>
    <r>
      <rPr>
        <b val="true"/>
        <i val="true"/>
        <sz val="12"/>
        <color rgb="FFE46C0A"/>
        <rFont val="宋体"/>
        <family val="3"/>
        <charset val="134"/>
      </rPr>
      <t xml:space="preserve">值</t>
    </r>
    <r>
      <rPr>
        <b val="true"/>
        <i val="true"/>
        <sz val="12"/>
        <color rgb="FFE46C0A"/>
        <rFont val="Arial"/>
        <family val="2"/>
        <charset val="1"/>
      </rPr>
      <t xml:space="preserve">(V)”</t>
    </r>
    <r>
      <rPr>
        <b val="true"/>
        <sz val="12"/>
        <color rgb="FF000000"/>
        <rFont val="宋体"/>
        <family val="3"/>
        <charset val="134"/>
      </rPr>
      <t xml:space="preserve">至</t>
    </r>
    <r>
      <rPr>
        <b val="true"/>
        <i val="true"/>
        <sz val="12"/>
        <color rgb="FF558ED5"/>
        <rFont val="宋体"/>
        <family val="0"/>
        <charset val="134"/>
      </rPr>
      <t xml:space="preserve">“</t>
    </r>
    <r>
      <rPr>
        <b val="true"/>
        <i val="true"/>
        <sz val="12"/>
        <color rgb="FF558ED5"/>
        <rFont val="宋体"/>
        <family val="3"/>
        <charset val="134"/>
      </rPr>
      <t xml:space="preserve">致函链接表</t>
    </r>
    <r>
      <rPr>
        <b val="true"/>
        <i val="true"/>
        <sz val="12"/>
        <color rgb="FF558ED5"/>
        <rFont val="宋体"/>
        <family val="0"/>
        <charset val="134"/>
      </rPr>
      <t xml:space="preserve">”</t>
    </r>
  </si>
  <si>
    <t xml:space="preserve">封皮-估价项目名称</t>
  </si>
  <si>
    <t xml:space="preserve">封皮-估价委托人</t>
  </si>
  <si>
    <t xml:space="preserve">封皮-注册房地产估价师</t>
  </si>
  <si>
    <t xml:space="preserve">封皮-估价报告编号</t>
  </si>
  <si>
    <t xml:space="preserve">致函-委托事项</t>
  </si>
  <si>
    <t xml:space="preserve">致函-估价对象-现房-1</t>
  </si>
  <si>
    <t xml:space="preserve">致函-估价对象-现房-2</t>
  </si>
  <si>
    <t xml:space="preserve">致函-估价对象-在建-1</t>
  </si>
  <si>
    <t xml:space="preserve">致函-估价对象-在建-2</t>
  </si>
  <si>
    <t xml:space="preserve">致函-估价目的</t>
  </si>
  <si>
    <t xml:space="preserve">致函-价值时点</t>
  </si>
  <si>
    <t xml:space="preserve">致函-价值类型-房地产</t>
  </si>
  <si>
    <t xml:space="preserve">致函-价值类型-建筑物/土地</t>
  </si>
  <si>
    <t xml:space="preserve">致函-价值类型-抵押</t>
  </si>
  <si>
    <t xml:space="preserve">致函-价值类型-优先受偿</t>
  </si>
  <si>
    <t xml:space="preserve">致函-价值类型-净值</t>
  </si>
  <si>
    <t xml:space="preserve">致函-估价方法</t>
  </si>
  <si>
    <t xml:space="preserve">致函-估价结果</t>
  </si>
  <si>
    <t xml:space="preserve">致函-估价结果-表1-总</t>
  </si>
  <si>
    <t xml:space="preserve">致函-估价结果-表1-单</t>
  </si>
  <si>
    <t xml:space="preserve">致函-估价结果-表1-大</t>
  </si>
  <si>
    <t xml:space="preserve">致函-估价结果-表1-优先（名称）</t>
  </si>
  <si>
    <t xml:space="preserve">致函-估价结果-表1-优先（总）</t>
  </si>
  <si>
    <t xml:space="preserve">致函-估价结果-表1-优先（大）</t>
  </si>
  <si>
    <t xml:space="preserve">致函-估价结果-表1-优先-抵押</t>
  </si>
  <si>
    <t xml:space="preserve">致函-估价结果-表1-优先-工程</t>
  </si>
  <si>
    <t xml:space="preserve">致函-估价结果-表1-优先-其他</t>
  </si>
  <si>
    <t xml:space="preserve">致函-估价结果-表1-抵押（名称）</t>
  </si>
  <si>
    <t xml:space="preserve">致函-估价结果-表1-抵押（总）</t>
  </si>
  <si>
    <t xml:space="preserve">致函-估价结果-表1-抵押（单）</t>
  </si>
  <si>
    <t xml:space="preserve">致函-估价结果-表1-抵押（大）</t>
  </si>
  <si>
    <t xml:space="preserve">致函-估价结果-表1-已注（名称）</t>
  </si>
  <si>
    <t xml:space="preserve">致函-估价结果-表1-已注（总）</t>
  </si>
  <si>
    <t xml:space="preserve">致函-估价结果-表1-已注（单）</t>
  </si>
  <si>
    <t xml:space="preserve">致函-估价结果-表1-已注（大）</t>
  </si>
  <si>
    <t xml:space="preserve">致函-估价结果-表1-净值（名称）</t>
  </si>
  <si>
    <t xml:space="preserve">致函-估价结果-表1-净值（总）</t>
  </si>
  <si>
    <t xml:space="preserve">致函-估价结果-表1-净值（单）</t>
  </si>
  <si>
    <t xml:space="preserve">致函-估价结果-表1-净值（大）</t>
  </si>
  <si>
    <t xml:space="preserve">致函-估价结果-表2-项目名称</t>
  </si>
  <si>
    <t xml:space="preserve">致函-估价结果-表2-建筑面积（名称）</t>
  </si>
  <si>
    <t xml:space="preserve">致函-估价结果-表2-建筑面积</t>
  </si>
  <si>
    <t xml:space="preserve">致函-估价结果-表2-土地面积（名称）</t>
  </si>
  <si>
    <t xml:space="preserve">致函-估价结果-表2-土地面积</t>
  </si>
  <si>
    <t xml:space="preserve">致函-估价结果-表2-地（名称）</t>
  </si>
  <si>
    <t xml:space="preserve">致函-估价结果-表2-地（总）</t>
  </si>
  <si>
    <t xml:space="preserve">致函-估价结果-表2-地（单）</t>
  </si>
  <si>
    <t xml:space="preserve">致函-估价结果-表2-地（大）</t>
  </si>
  <si>
    <t xml:space="preserve">致函-估价结果-表2-建（名称）</t>
  </si>
  <si>
    <t xml:space="preserve">致函-估价结果-表2-建（总）</t>
  </si>
  <si>
    <t xml:space="preserve">致函-估价结果-表2-建（单）</t>
  </si>
  <si>
    <t xml:space="preserve">致函-估价结果-表2-建（大）</t>
  </si>
  <si>
    <t xml:space="preserve">致函-估价结果-表2-抵押（名称）</t>
  </si>
  <si>
    <t xml:space="preserve">致函-估价结果-表2-已注（名称）</t>
  </si>
  <si>
    <t xml:space="preserve">致函-估价结果-表2-净值（名称）</t>
  </si>
  <si>
    <t xml:space="preserve">致函-估价结果-表2-优先（名称）</t>
  </si>
  <si>
    <t xml:space="preserve">致函-特别提示-1</t>
  </si>
  <si>
    <t xml:space="preserve">致函-特别提示-2</t>
  </si>
  <si>
    <t xml:space="preserve">致函-特别提示-优先受偿-1</t>
  </si>
  <si>
    <t xml:space="preserve">致函-特别提示-优先受偿-2</t>
  </si>
  <si>
    <t xml:space="preserve">致函-特别提示-优先受偿-3</t>
  </si>
  <si>
    <t xml:space="preserve">致函-特别提示-优先受偿-4</t>
  </si>
  <si>
    <t xml:space="preserve">致函-特别提示-优先受偿-5</t>
  </si>
  <si>
    <t xml:space="preserve">致函-特别提示-4</t>
  </si>
  <si>
    <t xml:space="preserve">致函-特别提示-5</t>
  </si>
  <si>
    <t xml:space="preserve">致函-特别提示-6</t>
  </si>
  <si>
    <t xml:space="preserve">致函-特别提示-7</t>
  </si>
  <si>
    <t xml:space="preserve">致函-出具日期</t>
  </si>
  <si>
    <t xml:space="preserve">致函-估价师1</t>
  </si>
  <si>
    <t xml:space="preserve">致函-估价师1-证号</t>
  </si>
  <si>
    <t xml:space="preserve">致函-估价师2</t>
  </si>
  <si>
    <t xml:space="preserve">致函-估价师2-证号</t>
  </si>
  <si>
    <t xml:space="preserve">致函-其他专业人员</t>
  </si>
  <si>
    <t xml:space="preserve">— </t>
  </si>
  <si>
    <t xml:space="preserve">估价项目名称：</t>
  </si>
  <si>
    <t xml:space="preserve">估价委托人：</t>
  </si>
  <si>
    <t xml:space="preserve">房地产估价机构：</t>
  </si>
  <si>
    <t xml:space="preserve">北京康正宏基房地产评估有限公司</t>
  </si>
  <si>
    <t xml:space="preserve">注册房地产估价师：</t>
  </si>
  <si>
    <t xml:space="preserve">估价报告编号：</t>
  </si>
  <si>
    <t xml:space="preserve">评估意见函</t>
  </si>
  <si>
    <t xml:space="preserve">估价对象：</t>
  </si>
  <si>
    <t xml:space="preserve">现房：</t>
  </si>
  <si>
    <r>
      <rPr>
        <i val="true"/>
        <sz val="14"/>
        <color rgb="FF558ED5"/>
        <rFont val="宋体"/>
        <family val="3"/>
        <charset val="134"/>
      </rPr>
      <t xml:space="preserve">估价对象简述。项目推广名，项目类型（用途），估价对象分布，各用途面积明细情况：</t>
    </r>
    <r>
      <rPr>
        <i val="true"/>
        <sz val="14"/>
        <color rgb="FF558ED5"/>
        <rFont val="Arial"/>
        <family val="2"/>
        <charset val="1"/>
      </rPr>
      <t xml:space="preserve">XX</t>
    </r>
    <r>
      <rPr>
        <i val="true"/>
        <sz val="14"/>
        <color rgb="FF558ED5"/>
        <rFont val="宋体"/>
        <family val="3"/>
        <charset val="134"/>
      </rPr>
      <t xml:space="preserve">用途建筑面积</t>
    </r>
    <r>
      <rPr>
        <i val="true"/>
        <sz val="14"/>
        <color rgb="FF558ED5"/>
        <rFont val="Arial"/>
        <family val="2"/>
        <charset val="1"/>
      </rPr>
      <t xml:space="preserve">XX</t>
    </r>
    <r>
      <rPr>
        <i val="true"/>
        <sz val="14"/>
        <color rgb="FF558ED5"/>
        <rFont val="宋体"/>
        <family val="3"/>
        <charset val="134"/>
      </rPr>
      <t xml:space="preserve">平方米，</t>
    </r>
    <r>
      <rPr>
        <i val="true"/>
        <sz val="14"/>
        <color rgb="FF558ED5"/>
        <rFont val="Arial"/>
        <family val="2"/>
        <charset val="1"/>
      </rPr>
      <t xml:space="preserve">XX</t>
    </r>
    <r>
      <rPr>
        <i val="true"/>
        <sz val="14"/>
        <color rgb="FF558ED5"/>
        <rFont val="宋体"/>
        <family val="3"/>
        <charset val="134"/>
      </rPr>
      <t xml:space="preserve">用途建筑面积</t>
    </r>
    <r>
      <rPr>
        <i val="true"/>
        <sz val="14"/>
        <color rgb="FF558ED5"/>
        <rFont val="Arial"/>
        <family val="2"/>
        <charset val="1"/>
      </rPr>
      <t xml:space="preserve">XX</t>
    </r>
    <r>
      <rPr>
        <i val="true"/>
        <sz val="14"/>
        <color rgb="FF558ED5"/>
        <rFont val="宋体"/>
        <family val="3"/>
        <charset val="134"/>
      </rPr>
      <t xml:space="preserve">平方米，</t>
    </r>
    <r>
      <rPr>
        <i val="true"/>
        <sz val="14"/>
        <color rgb="FF558ED5"/>
        <rFont val="宋体"/>
        <family val="0"/>
        <charset val="134"/>
      </rPr>
      <t xml:space="preserve">……</t>
    </r>
    <r>
      <rPr>
        <i val="true"/>
        <sz val="14"/>
        <color rgb="FF558ED5"/>
        <rFont val="宋体"/>
        <family val="3"/>
        <charset val="134"/>
      </rPr>
      <t xml:space="preserve">。复杂面积清单需设</t>
    </r>
    <r>
      <rPr>
        <i val="true"/>
        <sz val="14"/>
        <color rgb="FF558ED5"/>
        <rFont val="宋体"/>
        <family val="0"/>
        <charset val="134"/>
      </rPr>
      <t xml:space="preserve">‘</t>
    </r>
    <r>
      <rPr>
        <i val="true"/>
        <sz val="14"/>
        <color rgb="FF558ED5"/>
        <rFont val="宋体"/>
        <family val="3"/>
        <charset val="134"/>
      </rPr>
      <t xml:space="preserve">附表</t>
    </r>
    <r>
      <rPr>
        <i val="true"/>
        <sz val="14"/>
        <color rgb="FF558ED5"/>
        <rFont val="宋体"/>
        <family val="0"/>
        <charset val="134"/>
      </rPr>
      <t xml:space="preserve">’</t>
    </r>
    <r>
      <rPr>
        <i val="true"/>
        <sz val="14"/>
        <color rgb="FF558ED5"/>
        <rFont val="宋体"/>
        <family val="3"/>
        <charset val="134"/>
      </rPr>
      <t xml:space="preserve">列示：抵押物清单详见附表</t>
    </r>
  </si>
  <si>
    <t xml:space="preserve">在建：</t>
  </si>
  <si>
    <r>
      <rPr>
        <i val="true"/>
        <sz val="14"/>
        <color rgb="FF558ED5"/>
        <rFont val="宋体"/>
        <family val="3"/>
        <charset val="134"/>
      </rPr>
      <t xml:space="preserve">估价对象为局部时需描述范围，各用途面积明细情况：经营性用途用途规划建筑面积</t>
    </r>
    <r>
      <rPr>
        <i val="true"/>
        <sz val="14"/>
        <color rgb="FF558ED5"/>
        <rFont val="Arial"/>
        <family val="2"/>
        <charset val="1"/>
      </rPr>
      <t xml:space="preserve">XX</t>
    </r>
    <r>
      <rPr>
        <i val="true"/>
        <sz val="14"/>
        <color rgb="FF558ED5"/>
        <rFont val="宋体"/>
        <family val="3"/>
        <charset val="134"/>
      </rPr>
      <t xml:space="preserve">平方米（其中：），非经营性用途规划建筑面积</t>
    </r>
    <r>
      <rPr>
        <i val="true"/>
        <sz val="14"/>
        <color rgb="FF558ED5"/>
        <rFont val="Arial"/>
        <family val="2"/>
        <charset val="1"/>
      </rPr>
      <t xml:space="preserve">XX</t>
    </r>
    <r>
      <rPr>
        <i val="true"/>
        <sz val="14"/>
        <color rgb="FF558ED5"/>
        <rFont val="宋体"/>
        <family val="3"/>
        <charset val="134"/>
      </rPr>
      <t xml:space="preserve">平方米（其中：）。复杂面积或有分楼栋、分户清单时需设</t>
    </r>
    <r>
      <rPr>
        <i val="true"/>
        <sz val="14"/>
        <color rgb="FF558ED5"/>
        <rFont val="宋体"/>
        <family val="0"/>
        <charset val="134"/>
      </rPr>
      <t xml:space="preserve">‘</t>
    </r>
    <r>
      <rPr>
        <i val="true"/>
        <sz val="14"/>
        <color rgb="FF558ED5"/>
        <rFont val="宋体"/>
        <family val="3"/>
        <charset val="134"/>
      </rPr>
      <t xml:space="preserve">附表</t>
    </r>
    <r>
      <rPr>
        <i val="true"/>
        <sz val="14"/>
        <color rgb="FF558ED5"/>
        <rFont val="宋体"/>
        <family val="0"/>
        <charset val="134"/>
      </rPr>
      <t xml:space="preserve">’</t>
    </r>
    <r>
      <rPr>
        <i val="true"/>
        <sz val="14"/>
        <color rgb="FF558ED5"/>
        <rFont val="宋体"/>
        <family val="3"/>
        <charset val="134"/>
      </rPr>
      <t xml:space="preserve">列示：抵押物清单详见附表。工程进度情况。</t>
    </r>
  </si>
  <si>
    <t xml:space="preserve">估价目的：</t>
  </si>
  <si>
    <t xml:space="preserve">价值时点：</t>
  </si>
  <si>
    <t xml:space="preserve">价值类型：</t>
  </si>
  <si>
    <t xml:space="preserve">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</si>
  <si>
    <t xml:space="preserve">估价方法：</t>
  </si>
  <si>
    <t xml:space="preserve">（本页下方空白无内容）</t>
  </si>
  <si>
    <t xml:space="preserve">估价结果：</t>
  </si>
  <si>
    <r>
      <rPr>
        <b val="true"/>
        <sz val="14"/>
        <color rgb="FF000000"/>
        <rFont val="宋体"/>
        <family val="3"/>
        <charset val="134"/>
      </rPr>
      <t xml:space="preserve">结果表</t>
    </r>
    <r>
      <rPr>
        <b val="true"/>
        <sz val="14"/>
        <color rgb="FF000000"/>
        <rFont val="Arial"/>
        <family val="2"/>
        <charset val="1"/>
      </rPr>
      <t xml:space="preserve">-1</t>
    </r>
  </si>
  <si>
    <r>
      <rPr>
        <b val="true"/>
        <sz val="12"/>
        <color rgb="FF000000"/>
        <rFont val="Arial"/>
        <family val="2"/>
        <charset val="1"/>
      </rPr>
      <t xml:space="preserve">1.</t>
    </r>
    <r>
      <rPr>
        <b val="true"/>
        <sz val="12"/>
        <color rgb="FF000000"/>
        <rFont val="宋体"/>
        <family val="3"/>
        <charset val="134"/>
      </rPr>
      <t xml:space="preserve">房地产价值</t>
    </r>
  </si>
  <si>
    <t xml:space="preserve">总价</t>
  </si>
  <si>
    <t xml:space="preserve">大写金额</t>
  </si>
  <si>
    <t xml:space="preserve">单价</t>
  </si>
  <si>
    <t xml:space="preserve">总额</t>
  </si>
  <si>
    <r>
      <rPr>
        <sz val="12"/>
        <color rgb="FF000000"/>
        <rFont val="宋体"/>
        <family val="3"/>
        <charset val="134"/>
      </rPr>
      <t xml:space="preserve">（</t>
    </r>
    <r>
      <rPr>
        <sz val="12"/>
        <color rgb="FF000000"/>
        <rFont val="Arial"/>
        <family val="2"/>
        <charset val="1"/>
      </rPr>
      <t xml:space="preserve">1</t>
    </r>
    <r>
      <rPr>
        <sz val="12"/>
        <color rgb="FF000000"/>
        <rFont val="宋体"/>
        <family val="3"/>
        <charset val="134"/>
      </rPr>
      <t xml:space="preserve">）已抵押担保的债权数额</t>
    </r>
  </si>
  <si>
    <r>
      <rPr>
        <sz val="12"/>
        <color rgb="FF000000"/>
        <rFont val="宋体"/>
        <family val="3"/>
        <charset val="134"/>
      </rPr>
      <t xml:space="preserve">（</t>
    </r>
    <r>
      <rPr>
        <sz val="12"/>
        <color rgb="FF000000"/>
        <rFont val="Arial"/>
        <family val="2"/>
        <charset val="1"/>
      </rPr>
      <t xml:space="preserve">2</t>
    </r>
    <r>
      <rPr>
        <sz val="12"/>
        <color rgb="FF000000"/>
        <rFont val="宋体"/>
        <family val="3"/>
        <charset val="134"/>
      </rPr>
      <t xml:space="preserve">）拖欠的建设工程价款</t>
    </r>
  </si>
  <si>
    <r>
      <rPr>
        <sz val="12"/>
        <color rgb="FF000000"/>
        <rFont val="宋体"/>
        <family val="3"/>
        <charset val="134"/>
      </rPr>
      <t xml:space="preserve">（</t>
    </r>
    <r>
      <rPr>
        <sz val="12"/>
        <color rgb="FF000000"/>
        <rFont val="Arial"/>
        <family val="2"/>
        <charset val="1"/>
      </rPr>
      <t xml:space="preserve">3</t>
    </r>
    <r>
      <rPr>
        <sz val="12"/>
        <color rgb="FF000000"/>
        <rFont val="宋体"/>
        <family val="3"/>
        <charset val="134"/>
      </rPr>
      <t xml:space="preserve">）其他法定优先受偿款</t>
    </r>
  </si>
  <si>
    <r>
      <rPr>
        <sz val="10"/>
        <color rgb="FF000000"/>
        <rFont val="宋体"/>
        <family val="3"/>
        <charset val="134"/>
      </rPr>
      <t xml:space="preserve">单位：万元、元</t>
    </r>
    <r>
      <rPr>
        <sz val="10"/>
        <color rgb="FF000000"/>
        <rFont val="Arial"/>
        <family val="2"/>
        <charset val="1"/>
      </rPr>
      <t xml:space="preserve">/</t>
    </r>
    <r>
      <rPr>
        <sz val="10"/>
        <color rgb="FF000000"/>
        <rFont val="宋体"/>
        <family val="3"/>
        <charset val="134"/>
      </rPr>
      <t xml:space="preserve">平方米（币种：人民币）</t>
    </r>
  </si>
  <si>
    <t xml:space="preserve">（转下页）</t>
  </si>
  <si>
    <t xml:space="preserve">项目名称</t>
  </si>
  <si>
    <t xml:space="preserve">建筑面积</t>
  </si>
  <si>
    <r>
      <rPr>
        <sz val="12"/>
        <color rgb="FF000000"/>
        <rFont val="Arial"/>
        <family val="2"/>
        <charset val="1"/>
      </rPr>
      <t xml:space="preserve">(</t>
    </r>
    <r>
      <rPr>
        <sz val="12"/>
        <color rgb="FF000000"/>
        <rFont val="宋体"/>
        <family val="3"/>
        <charset val="134"/>
      </rPr>
      <t xml:space="preserve">分摊</t>
    </r>
    <r>
      <rPr>
        <sz val="12"/>
        <color rgb="FF000000"/>
        <rFont val="Arial"/>
        <family val="2"/>
        <charset val="1"/>
      </rPr>
      <t xml:space="preserve">)</t>
    </r>
    <r>
      <rPr>
        <sz val="12"/>
        <color rgb="FF000000"/>
        <rFont val="宋体"/>
        <family val="3"/>
        <charset val="134"/>
      </rPr>
      <t xml:space="preserve">土地面积</t>
    </r>
  </si>
  <si>
    <r>
      <rPr>
        <sz val="12"/>
        <color rgb="FF000000"/>
        <rFont val="宋体"/>
        <family val="3"/>
        <charset val="134"/>
      </rPr>
      <t xml:space="preserve">总</t>
    </r>
    <r>
      <rPr>
        <sz val="12"/>
        <color rgb="FF000000"/>
        <rFont val="宋体"/>
        <family val="0"/>
        <charset val="134"/>
      </rPr>
      <t xml:space="preserve"> </t>
    </r>
    <r>
      <rPr>
        <sz val="12"/>
        <color rgb="FF000000"/>
        <rFont val="宋体"/>
        <family val="3"/>
        <charset val="134"/>
      </rPr>
      <t xml:space="preserve">价</t>
    </r>
  </si>
  <si>
    <t xml:space="preserve">楼面单价</t>
  </si>
  <si>
    <r>
      <rPr>
        <sz val="10"/>
        <color rgb="FF000000"/>
        <rFont val="宋体"/>
        <family val="3"/>
        <charset val="134"/>
      </rPr>
      <t xml:space="preserve">单位：平方米、万元、元</t>
    </r>
    <r>
      <rPr>
        <sz val="10"/>
        <color rgb="FF000000"/>
        <rFont val="Arial"/>
        <family val="2"/>
        <charset val="1"/>
      </rPr>
      <t xml:space="preserve">/</t>
    </r>
    <r>
      <rPr>
        <sz val="10"/>
        <color rgb="FF000000"/>
        <rFont val="宋体"/>
        <family val="3"/>
        <charset val="134"/>
      </rPr>
      <t xml:space="preserve">平方米（币种：人民币）</t>
    </r>
  </si>
  <si>
    <r>
      <rPr>
        <b val="true"/>
        <sz val="14"/>
        <color rgb="FF000000"/>
        <rFont val="宋体"/>
        <family val="3"/>
        <charset val="134"/>
      </rPr>
      <t xml:space="preserve">参与本次估价工作的评估专业人员：</t>
    </r>
    <r>
      <rPr>
        <b val="true"/>
        <i val="true"/>
        <sz val="14"/>
        <color rgb="FF558ED5"/>
        <rFont val="宋体"/>
        <family val="3"/>
        <charset val="134"/>
      </rPr>
      <t xml:space="preserve">（仅华夏）</t>
    </r>
  </si>
  <si>
    <t xml:space="preserve">注册房地产估价师</t>
  </si>
  <si>
    <t xml:space="preserve">姓名</t>
  </si>
  <si>
    <t xml:space="preserve">注册号</t>
  </si>
  <si>
    <t xml:space="preserve">签名</t>
  </si>
  <si>
    <t xml:space="preserve">签名日期</t>
  </si>
  <si>
    <r>
      <rPr>
        <sz val="14"/>
        <color rgb="FF000000"/>
        <rFont val="宋体"/>
        <family val="0"/>
        <charset val="134"/>
      </rPr>
      <t xml:space="preserve">  </t>
    </r>
    <r>
      <rPr>
        <sz val="14"/>
        <color rgb="FF000000"/>
        <rFont val="宋体"/>
        <family val="3"/>
        <charset val="134"/>
      </rPr>
      <t xml:space="preserve">年</t>
    </r>
    <r>
      <rPr>
        <sz val="14"/>
        <color rgb="FF000000"/>
        <rFont val="宋体"/>
        <family val="0"/>
        <charset val="134"/>
      </rPr>
      <t xml:space="preserve">  </t>
    </r>
    <r>
      <rPr>
        <sz val="14"/>
        <color rgb="FF000000"/>
        <rFont val="宋体"/>
        <family val="3"/>
        <charset val="134"/>
      </rPr>
      <t xml:space="preserve">月</t>
    </r>
    <r>
      <rPr>
        <sz val="14"/>
        <color rgb="FF000000"/>
        <rFont val="宋体"/>
        <family val="0"/>
        <charset val="134"/>
      </rPr>
      <t xml:space="preserve">  </t>
    </r>
    <r>
      <rPr>
        <sz val="14"/>
        <color rgb="FF000000"/>
        <rFont val="宋体"/>
        <family val="3"/>
        <charset val="134"/>
      </rPr>
      <t xml:space="preserve">日</t>
    </r>
  </si>
  <si>
    <t xml:space="preserve">其他评估专业人员</t>
  </si>
  <si>
    <t xml:space="preserve">相关资格或职称</t>
  </si>
  <si>
    <t xml:space="preserve">XX</t>
  </si>
  <si>
    <t xml:space="preserve">——</t>
  </si>
  <si>
    <t xml:space="preserve">特别提示：</t>
  </si>
  <si>
    <r>
      <rPr>
        <sz val="12"/>
        <color rgb="FF000000"/>
        <rFont val="Arial"/>
        <family val="2"/>
        <charset val="1"/>
      </rPr>
      <t xml:space="preserve">1.</t>
    </r>
    <r>
      <rPr>
        <sz val="12"/>
        <color rgb="FF000000"/>
        <rFont val="宋体"/>
        <family val="3"/>
        <charset val="134"/>
      </rPr>
      <t xml:space="preserve">本《评估意见函》中所列估价结果为初评结果，准确金额以本公司出具的正式《房地产评估报告》为准。</t>
    </r>
  </si>
  <si>
    <r>
      <rPr>
        <sz val="12"/>
        <color rgb="FFE46C0A"/>
        <rFont val="宋体"/>
        <family val="3"/>
        <charset val="134"/>
      </rPr>
      <t xml:space="preserve">（</t>
    </r>
    <r>
      <rPr>
        <sz val="12"/>
        <color rgb="FFE46C0A"/>
        <rFont val="Arial"/>
        <family val="2"/>
        <charset val="1"/>
      </rPr>
      <t xml:space="preserve">2</t>
    </r>
    <r>
      <rPr>
        <sz val="12"/>
        <color rgb="FFE46C0A"/>
        <rFont val="宋体"/>
        <family val="3"/>
        <charset val="134"/>
      </rPr>
      <t xml:space="preserve">）根据《工程款支付情况说明》，截至价值时点，估价对象不存在应付未付工程款项。（只要没有施工方盖章的，均</t>
    </r>
    <r>
      <rPr>
        <sz val="12"/>
        <color rgb="FFE46C0A"/>
        <rFont val="宋体"/>
        <family val="0"/>
        <charset val="134"/>
      </rPr>
      <t xml:space="preserve">“</t>
    </r>
    <r>
      <rPr>
        <sz val="12"/>
        <color rgb="FFE46C0A"/>
        <rFont val="宋体"/>
        <family val="3"/>
        <charset val="134"/>
      </rPr>
      <t xml:space="preserve">设定</t>
    </r>
    <r>
      <rPr>
        <sz val="12"/>
        <color rgb="FFE46C0A"/>
        <rFont val="宋体"/>
        <family val="0"/>
        <charset val="134"/>
      </rPr>
      <t xml:space="preserve">”</t>
    </r>
    <r>
      <rPr>
        <sz val="12"/>
        <color rgb="FFE46C0A"/>
        <rFont val="宋体"/>
        <family val="3"/>
        <charset val="134"/>
      </rPr>
      <t xml:space="preserve">进行表述）</t>
    </r>
  </si>
  <si>
    <r>
      <rPr>
        <sz val="12"/>
        <color rgb="FFE46C0A"/>
        <rFont val="宋体"/>
        <family val="3"/>
        <charset val="134"/>
      </rPr>
      <t xml:space="preserve">（</t>
    </r>
    <r>
      <rPr>
        <sz val="12"/>
        <color rgb="FFE46C0A"/>
        <rFont val="Arial"/>
        <family val="2"/>
        <charset val="1"/>
      </rPr>
      <t xml:space="preserve">3</t>
    </r>
    <r>
      <rPr>
        <sz val="12"/>
        <color rgb="FFE46C0A"/>
        <rFont val="宋体"/>
        <family val="3"/>
        <charset val="134"/>
      </rPr>
      <t xml:space="preserve">）根据《国有建设用地使用权出让合同》及附件</t>
    </r>
    <r>
      <rPr>
        <sz val="12"/>
        <color rgb="FFE46C0A"/>
        <rFont val="Arial"/>
        <family val="2"/>
        <charset val="1"/>
      </rPr>
      <t xml:space="preserve">[]</t>
    </r>
    <r>
      <rPr>
        <sz val="12"/>
        <color rgb="FFE46C0A"/>
        <rFont val="宋体"/>
        <family val="3"/>
        <charset val="134"/>
      </rPr>
      <t xml:space="preserve">以及相关款项支付凭证，截至价值时点，估价委托人依据合同已缴纳全部土地成交价款及契税。根据《建设工程规划许可证》</t>
    </r>
    <r>
      <rPr>
        <sz val="12"/>
        <color rgb="FFE46C0A"/>
        <rFont val="Arial"/>
        <family val="2"/>
        <charset val="1"/>
      </rPr>
      <t xml:space="preserve">[]/</t>
    </r>
    <r>
      <rPr>
        <sz val="12"/>
        <color rgb="FFE46C0A"/>
        <rFont val="宋体"/>
        <family val="3"/>
        <charset val="134"/>
      </rPr>
      <t xml:space="preserve">《预测报告》，估价对象规划建筑面积未超过《国有建设用地使用权出让合同》及附件的约定，本次评估设定估价对象不存在需补缴政府土地收益。</t>
    </r>
    <r>
      <rPr>
        <sz val="12"/>
        <color rgb="FFE46C0A"/>
        <rFont val="Arial"/>
        <family val="2"/>
        <charset val="1"/>
      </rPr>
      <t xml:space="preserve">OR</t>
    </r>
    <r>
      <rPr>
        <sz val="12"/>
        <color rgb="FFE46C0A"/>
        <rFont val="宋体"/>
        <family val="3"/>
        <charset val="134"/>
      </rPr>
      <t xml:space="preserve">根据《建设工程规划许可证》</t>
    </r>
    <r>
      <rPr>
        <sz val="12"/>
        <color rgb="FFE46C0A"/>
        <rFont val="Arial"/>
        <family val="2"/>
        <charset val="1"/>
      </rPr>
      <t xml:space="preserve">[]</t>
    </r>
    <r>
      <rPr>
        <sz val="12"/>
        <color rgb="FFE46C0A"/>
        <rFont val="宋体"/>
        <family val="3"/>
        <charset val="134"/>
      </rPr>
      <t xml:space="preserve">，估价对象规划建筑面积超出《国有建设用地使用权出让合同》的约定，新增地上经营性商业用房及地下车库规划建筑面积为</t>
    </r>
    <r>
      <rPr>
        <sz val="12"/>
        <color rgb="FFE46C0A"/>
        <rFont val="Arial"/>
        <family val="2"/>
        <charset val="1"/>
      </rPr>
      <t xml:space="preserve">XX</t>
    </r>
    <r>
      <rPr>
        <sz val="12"/>
        <color rgb="FFE46C0A"/>
        <rFont val="宋体"/>
        <family val="3"/>
        <charset val="134"/>
      </rPr>
      <t xml:space="preserve">平方米。根据上述《国有建设用地使用权出让合同》及附件约定的计算标准，该部分需补缴的政府土地收益及契税、印花税为</t>
    </r>
    <r>
      <rPr>
        <sz val="12"/>
        <color rgb="FFE46C0A"/>
        <rFont val="Arial"/>
        <family val="2"/>
        <charset val="1"/>
      </rPr>
      <t xml:space="preserve">XX</t>
    </r>
    <r>
      <rPr>
        <sz val="12"/>
        <color rgb="FFE46C0A"/>
        <rFont val="宋体"/>
        <family val="3"/>
        <charset val="134"/>
      </rPr>
      <t xml:space="preserve">万元。上述应补缴的政府土地收益金额仅为测算值，最终应补缴的金额应以土地管理部门的审定结果为准。如上述情况发生变化，估价结果需做相应调整。</t>
    </r>
  </si>
  <si>
    <r>
      <rPr>
        <sz val="11"/>
        <color rgb="FFFF6600"/>
        <rFont val="Arial"/>
        <family val="2"/>
        <charset val="1"/>
      </rPr>
      <t xml:space="preserve">8.</t>
    </r>
    <r>
      <rPr>
        <sz val="11"/>
        <color rgb="FFFF6600"/>
        <rFont val="宋体"/>
        <family val="3"/>
        <charset val="134"/>
      </rPr>
      <t xml:space="preserve">其他需特殊说明事项：无</t>
    </r>
    <r>
      <rPr>
        <i val="true"/>
        <sz val="11"/>
        <color rgb="FF558ED5"/>
        <rFont val="宋体"/>
        <family val="3"/>
        <charset val="134"/>
      </rPr>
      <t xml:space="preserve">（注意调整序号）</t>
    </r>
  </si>
  <si>
    <r>
      <rPr>
        <sz val="14"/>
        <color rgb="FF000000"/>
        <rFont val="宋体"/>
        <family val="0"/>
        <charset val="134"/>
      </rPr>
      <t xml:space="preserve">    </t>
    </r>
    <r>
      <rPr>
        <sz val="14"/>
        <color rgb="FF000000"/>
        <rFont val="宋体"/>
        <family val="3"/>
        <charset val="134"/>
      </rPr>
      <t xml:space="preserve">顺致</t>
    </r>
  </si>
  <si>
    <t xml:space="preserve">商祺</t>
  </si>
  <si>
    <t xml:space="preserve">附表：</t>
  </si>
  <si>
    <t xml:space="preserve">请用EXCEL2010以上版本打开，否则个别格式设置会与原表不一致，影响使用</t>
  </si>
  <si>
    <t xml:space="preserve">录入项</t>
  </si>
  <si>
    <t xml:space="preserve">无底纹单元格</t>
  </si>
  <si>
    <t xml:space="preserve">下拉菜单</t>
  </si>
  <si>
    <t xml:space="preserve">黄色底纹单元格</t>
  </si>
  <si>
    <t xml:space="preserve">锁定项</t>
  </si>
  <si>
    <t xml:space="preserve">灰色底纹单元格</t>
  </si>
  <si>
    <t xml:space="preserve">错误提示</t>
  </si>
  <si>
    <t xml:space="preserve">红色底纹黄色字体</t>
  </si>
  <si>
    <t xml:space="preserve">特别提示</t>
  </si>
  <si>
    <t xml:space="preserve">红色字体</t>
  </si>
  <si>
    <t xml:space="preserve">关注批注角标</t>
  </si>
  <si>
    <t xml:space="preserve">基础表</t>
  </si>
  <si>
    <t xml:space="preserve">定义</t>
  </si>
  <si>
    <t xml:space="preserve">项目基本情况</t>
  </si>
  <si>
    <t xml:space="preserve">数据表</t>
  </si>
  <si>
    <t xml:space="preserve">汇总表</t>
  </si>
  <si>
    <t xml:space="preserve">取费表</t>
  </si>
  <si>
    <t xml:space="preserve">房地状况</t>
  </si>
  <si>
    <t xml:space="preserve">结果表</t>
  </si>
  <si>
    <t xml:space="preserve">方法</t>
  </si>
  <si>
    <t xml:space="preserve">成本</t>
  </si>
  <si>
    <t xml:space="preserve">假开</t>
  </si>
  <si>
    <t xml:space="preserve">收益</t>
  </si>
  <si>
    <t xml:space="preserve">比较</t>
  </si>
  <si>
    <t xml:space="preserve">住宅</t>
  </si>
  <si>
    <t xml:space="preserve">商业</t>
  </si>
  <si>
    <t xml:space="preserve">办公</t>
  </si>
  <si>
    <t xml:space="preserve">工业</t>
  </si>
  <si>
    <t xml:space="preserve">车位</t>
  </si>
  <si>
    <t xml:space="preserve">仓储</t>
  </si>
  <si>
    <t xml:space="preserve">土地-住宅、综合</t>
  </si>
  <si>
    <t xml:space="preserve">土地-工业</t>
  </si>
  <si>
    <t xml:space="preserve">典型户型修正</t>
  </si>
  <si>
    <t xml:space="preserve">需要新增方法表时，请右键点击所选方法标签，选择‘移动或复制’，勾选建立副本，以保证公示链接无误</t>
  </si>
  <si>
    <t xml:space="preserve">数据-基础表  面积录入特殊说明</t>
  </si>
  <si>
    <t xml:space="preserve">1.该表需录入项目全部面积数据以及未进入估价范围的面积值，抵押物面积为计算得出，位于整表的右侧。建筑面积按经营性用途和非经营性用途进行设置</t>
  </si>
  <si>
    <t xml:space="preserve">2.在抵押物范围的先录,以便核对</t>
  </si>
  <si>
    <t xml:space="preserve">3.面积录入中允许存在不能从来源文件中直接摘录的数据，但应列出计算公式并批注，如地上公共配套含自行车库100、有线电视50、锅炉房50，则单元格中应录入“=100+50+50”。扣减值设置有单元格进行说明，所以无需批注。</t>
  </si>
  <si>
    <t xml:space="preserve">4.未注明用途的计入非经营性用途——"未注明"一项，单独录入，计算时按设备用房处理</t>
  </si>
  <si>
    <t xml:space="preserve">5.面积依据不同时，以每部分取得的最新数据文件为依据。</t>
  </si>
  <si>
    <t xml:space="preserve">今日</t>
  </si>
  <si>
    <t xml:space="preserve">资质过期显示为红色</t>
  </si>
  <si>
    <t xml:space="preserve">注册证号</t>
  </si>
  <si>
    <t xml:space="preserve">资质有效期</t>
  </si>
  <si>
    <t xml:space="preserve">房地产估价师及注册号</t>
  </si>
  <si>
    <t xml:space="preserve">土地估价师</t>
  </si>
  <si>
    <t xml:space="preserve">证号</t>
  </si>
  <si>
    <t xml:space="preserve">土地估价师及注册号</t>
  </si>
  <si>
    <t xml:space="preserve">梁津</t>
  </si>
  <si>
    <t xml:space="preserve">叶凌</t>
  </si>
  <si>
    <t xml:space="preserve">王鹏</t>
  </si>
  <si>
    <t xml:space="preserve">欧红伟</t>
  </si>
  <si>
    <t xml:space="preserve">吴薇</t>
  </si>
  <si>
    <t xml:space="preserve">陈颖</t>
  </si>
  <si>
    <t xml:space="preserve">崔锴</t>
  </si>
  <si>
    <t xml:space="preserve">郑燚</t>
  </si>
  <si>
    <t xml:space="preserve">苏海</t>
  </si>
  <si>
    <t xml:space="preserve">刘敬东</t>
  </si>
  <si>
    <t xml:space="preserve">刘俊财</t>
  </si>
  <si>
    <t xml:space="preserve">宁小鳗</t>
  </si>
  <si>
    <t xml:space="preserve">赵雯</t>
  </si>
  <si>
    <t xml:space="preserve">估价机构</t>
  </si>
  <si>
    <t xml:space="preserve">房地产</t>
  </si>
  <si>
    <t xml:space="preserve">土地</t>
  </si>
  <si>
    <t xml:space="preserve">证书名称</t>
  </si>
  <si>
    <t xml:space="preserve">号码</t>
  </si>
  <si>
    <t xml:space="preserve">备案等级：一级</t>
  </si>
  <si>
    <t xml:space="preserve">建房估备字[2013第]081号</t>
  </si>
  <si>
    <t xml:space="preserve">资信等级：A级</t>
  </si>
  <si>
    <t xml:space="preserve">2022A-022</t>
  </si>
  <si>
    <t xml:space="preserve">用途类型</t>
  </si>
  <si>
    <t xml:space="preserve">估价方法</t>
  </si>
  <si>
    <t xml:space="preserve">土地级别</t>
  </si>
  <si>
    <t xml:space="preserve">估价范围判定</t>
  </si>
  <si>
    <t xml:space="preserve">位置</t>
  </si>
  <si>
    <t xml:space="preserve">主用途</t>
  </si>
  <si>
    <t xml:space="preserve">法定最高年限</t>
  </si>
  <si>
    <t xml:space="preserve">地类判定</t>
  </si>
  <si>
    <t xml:space="preserve">土地年限区间</t>
  </si>
  <si>
    <t xml:space="preserve">类别</t>
  </si>
  <si>
    <t xml:space="preserve">居住社区成熟度</t>
  </si>
  <si>
    <t xml:space="preserve">商业繁华度</t>
  </si>
  <si>
    <t xml:space="preserve">办公集聚程度</t>
  </si>
  <si>
    <t xml:space="preserve">产业集聚程度</t>
  </si>
  <si>
    <t xml:space="preserve">交通便捷度</t>
  </si>
  <si>
    <t xml:space="preserve">区域土地利用方向</t>
  </si>
  <si>
    <t xml:space="preserve">公共配套设施</t>
  </si>
  <si>
    <t xml:space="preserve">基础设施水平</t>
  </si>
  <si>
    <t xml:space="preserve">环境质量</t>
  </si>
  <si>
    <t xml:space="preserve">临街状况</t>
  </si>
  <si>
    <t xml:space="preserve">内部装修维护情况</t>
  </si>
  <si>
    <t xml:space="preserve">单价内涵</t>
  </si>
  <si>
    <t xml:space="preserve">五等判定</t>
  </si>
  <si>
    <t xml:space="preserve">成本法</t>
  </si>
  <si>
    <t xml:space="preserve">一级</t>
  </si>
  <si>
    <t xml:space="preserve">是</t>
  </si>
  <si>
    <t xml:space="preserve">地上</t>
  </si>
  <si>
    <t xml:space="preserve">65-70（含）</t>
  </si>
  <si>
    <t xml:space="preserve">经营性</t>
  </si>
  <si>
    <t xml:space="preserve">好</t>
  </si>
  <si>
    <t xml:space="preserve">七通</t>
  </si>
  <si>
    <t xml:space="preserve">多面临街</t>
  </si>
  <si>
    <t xml:space="preserve">单位面积地价</t>
  </si>
  <si>
    <t xml:space="preserve">平层住宅</t>
  </si>
  <si>
    <t xml:space="preserve">成本法 (元)</t>
  </si>
  <si>
    <t xml:space="preserve">二级</t>
  </si>
  <si>
    <t xml:space="preserve">否</t>
  </si>
  <si>
    <t xml:space="preserve">60-65（含）</t>
  </si>
  <si>
    <t xml:space="preserve">非经营性</t>
  </si>
  <si>
    <t xml:space="preserve">较好</t>
  </si>
  <si>
    <t xml:space="preserve">六通</t>
  </si>
  <si>
    <t xml:space="preserve">双面临街</t>
  </si>
  <si>
    <t xml:space="preserve">楼面地价</t>
  </si>
  <si>
    <t xml:space="preserve">LOFT住宅</t>
  </si>
  <si>
    <t xml:space="preserve">假设开发法</t>
  </si>
  <si>
    <t xml:space="preserve">三级</t>
  </si>
  <si>
    <t xml:space="preserve">地下</t>
  </si>
  <si>
    <t xml:space="preserve">55-60（含）</t>
  </si>
  <si>
    <t xml:space="preserve">一般</t>
  </si>
  <si>
    <t xml:space="preserve">五通</t>
  </si>
  <si>
    <t xml:space="preserve">单面临街</t>
  </si>
  <si>
    <t xml:space="preserve">普通住宅</t>
  </si>
  <si>
    <t xml:space="preserve">收益法</t>
  </si>
  <si>
    <t xml:space="preserve">四级</t>
  </si>
  <si>
    <t xml:space="preserve">车库</t>
  </si>
  <si>
    <t xml:space="preserve">50-55（含）</t>
  </si>
  <si>
    <t xml:space="preserve">较差</t>
  </si>
  <si>
    <t xml:space="preserve">四通</t>
  </si>
  <si>
    <t xml:space="preserve">不临街</t>
  </si>
  <si>
    <t xml:space="preserve">公寓</t>
  </si>
  <si>
    <t xml:space="preserve">收益法 (元)</t>
  </si>
  <si>
    <t xml:space="preserve">五级</t>
  </si>
  <si>
    <t xml:space="preserve">45-50（含）</t>
  </si>
  <si>
    <t xml:space="preserve">差</t>
  </si>
  <si>
    <t xml:space="preserve">三通</t>
  </si>
  <si>
    <t xml:space="preserve">洋房</t>
  </si>
  <si>
    <t xml:space="preserve">收益法（汇总）</t>
  </si>
  <si>
    <t xml:space="preserve">六级</t>
  </si>
  <si>
    <t xml:space="preserve">车库—商业</t>
  </si>
  <si>
    <t xml:space="preserve">40-45（含）</t>
  </si>
  <si>
    <t xml:space="preserve">叠拼</t>
  </si>
  <si>
    <t xml:space="preserve">比较法-住宅</t>
  </si>
  <si>
    <t xml:space="preserve">七级</t>
  </si>
  <si>
    <t xml:space="preserve">车库—办公</t>
  </si>
  <si>
    <t xml:space="preserve">公共服务</t>
  </si>
  <si>
    <t xml:space="preserve">35-40（含）</t>
  </si>
  <si>
    <t xml:space="preserve">联排</t>
  </si>
  <si>
    <t xml:space="preserve">比较法-商业</t>
  </si>
  <si>
    <t xml:space="preserve">八级</t>
  </si>
  <si>
    <t xml:space="preserve">30-35（含）</t>
  </si>
  <si>
    <t xml:space="preserve">双拼</t>
  </si>
  <si>
    <t xml:space="preserve">比较法-办公</t>
  </si>
  <si>
    <t xml:space="preserve">九级</t>
  </si>
  <si>
    <t xml:space="preserve">25-30（含）</t>
  </si>
  <si>
    <t xml:space="preserve">独栋</t>
  </si>
  <si>
    <t xml:space="preserve">比较法-工业</t>
  </si>
  <si>
    <t xml:space="preserve">十级</t>
  </si>
  <si>
    <t xml:space="preserve">20-25（含）</t>
  </si>
  <si>
    <t xml:space="preserve">底商</t>
  </si>
  <si>
    <t xml:space="preserve">比较法-车位</t>
  </si>
  <si>
    <t xml:space="preserve">十一级</t>
  </si>
  <si>
    <t xml:space="preserve">15-20（含）</t>
  </si>
  <si>
    <t xml:space="preserve">独立商业</t>
  </si>
  <si>
    <t xml:space="preserve">比较法-仓储</t>
  </si>
  <si>
    <t xml:space="preserve">十二级</t>
  </si>
  <si>
    <t xml:space="preserve">10-15（含）</t>
  </si>
  <si>
    <t xml:space="preserve">商业街</t>
  </si>
  <si>
    <t xml:space="preserve">土地比较法-住宅、综合</t>
  </si>
  <si>
    <t xml:space="preserve">5-10（含）</t>
  </si>
  <si>
    <t xml:space="preserve">酒店</t>
  </si>
  <si>
    <t xml:space="preserve">土地比较法-工业</t>
  </si>
  <si>
    <t xml:space="preserve">0-5（含）</t>
  </si>
  <si>
    <t xml:space="preserve">标准厂房</t>
  </si>
  <si>
    <t xml:space="preserve">基准地价修正</t>
  </si>
  <si>
    <t xml:space="preserve">特殊厂房</t>
  </si>
  <si>
    <t xml:space="preserve">办公楼</t>
  </si>
  <si>
    <t xml:space="preserve">收益法-酒店模型</t>
  </si>
  <si>
    <t xml:space="preserve">宿舍</t>
  </si>
  <si>
    <t xml:space="preserve">*</t>
  </si>
  <si>
    <t xml:space="preserve">食堂</t>
  </si>
  <si>
    <t xml:space="preserve">戊类库房</t>
  </si>
  <si>
    <t xml:space="preserve">燃品库房</t>
  </si>
  <si>
    <t xml:space="preserve">非燃品库房</t>
  </si>
  <si>
    <t xml:space="preserve">限价商品房</t>
  </si>
  <si>
    <t xml:space="preserve">自住商品房</t>
  </si>
  <si>
    <t xml:space="preserve">估价目的</t>
  </si>
  <si>
    <t xml:space="preserve">为估价委托人了解估价对象房地产市场价值提供参考依据。</t>
  </si>
  <si>
    <t xml:space="preserve">优先受偿</t>
  </si>
  <si>
    <t xml:space="preserve">抵押</t>
  </si>
  <si>
    <t xml:space="preserve">2.估价师所知悉的法定优先受偿款</t>
  </si>
  <si>
    <t xml:space="preserve">2.估价师所知悉的除抵押担保权以外的法定优先受偿款</t>
  </si>
  <si>
    <t xml:space="preserve">价值类型及定义</t>
  </si>
  <si>
    <t xml:space="preserve">房地产价值</t>
  </si>
  <si>
    <t xml:space="preserve">房地产抵押价值</t>
  </si>
  <si>
    <t xml:space="preserve">本次估价的“房地产抵押价值”是指估价对象在价值时点的“房地产价值”扣减估价师于价值时点所知悉的法定优先受偿款后的余额。</t>
  </si>
  <si>
    <t xml:space="preserve">已注销</t>
  </si>
  <si>
    <t xml:space="preserve">本次估价的“抵押担保权已注销时的房地产抵押价值”是指估价对象在价值时点的“房地产价值”扣减估价师于价值时点所知悉的除抵押担保权以外的其他法定优先受偿款后的余额。</t>
  </si>
  <si>
    <t xml:space="preserve">已注销及未注销</t>
  </si>
  <si>
    <t xml:space="preserve">本次估价的“房地产抵押价值”是指估价对象在价值时点的“房地产价值”扣减估价师于价值时点所知悉的法定优先受偿款后的余额。本次估价的“抵押担保权已注销时的房地产抵押价值”是指估价对象在价值时点的“房地产价值”扣减估价师于价值时点所知悉的除抵押担保权以外的其他法定优先受偿款后的余额。</t>
  </si>
  <si>
    <t xml:space="preserve">抵押净值</t>
  </si>
  <si>
    <t xml:space="preserve">本次估价的“抵押净值”是指估价对象“房地产抵押价值”减去估价对象在价值时点以“房地产销售收入”为基数计算的预计抵押权实现进行处置时需缴纳的各项费用、税金等相关费用后的价值。</t>
  </si>
  <si>
    <t xml:space="preserve">土地年期修正</t>
  </si>
  <si>
    <t xml:space="preserve">红线外基础设施建设费（北京）</t>
  </si>
  <si>
    <t xml:space="preserve">基础设施建设费（土地开发费）    土地面积单价</t>
  </si>
  <si>
    <t xml:space="preserve">价值时点</t>
  </si>
  <si>
    <t xml:space="preserve">通路</t>
  </si>
  <si>
    <t xml:space="preserve">通电</t>
  </si>
  <si>
    <t xml:space="preserve">通讯</t>
  </si>
  <si>
    <t xml:space="preserve">通上水</t>
  </si>
  <si>
    <t xml:space="preserve">通下水</t>
  </si>
  <si>
    <t xml:space="preserve">通热</t>
  </si>
  <si>
    <t xml:space="preserve">通燃气</t>
  </si>
  <si>
    <t xml:space="preserve">平整</t>
  </si>
  <si>
    <t xml:space="preserve">合计</t>
  </si>
  <si>
    <t xml:space="preserve">法定最高/出让年限</t>
  </si>
  <si>
    <t xml:space="preserve">终止日期</t>
  </si>
  <si>
    <t xml:space="preserve">剩余土地使用年限</t>
  </si>
  <si>
    <t xml:space="preserve">年期修正系数</t>
  </si>
  <si>
    <t xml:space="preserve">报酬率-土地</t>
  </si>
  <si>
    <t xml:space="preserve">一至二级</t>
  </si>
  <si>
    <t xml:space="preserve">三至七级</t>
  </si>
  <si>
    <t xml:space="preserve">八至九级</t>
  </si>
  <si>
    <t xml:space="preserve">不同年限间价值的换算</t>
  </si>
  <si>
    <t xml:space="preserve">年限</t>
  </si>
  <si>
    <t xml:space="preserve">N</t>
  </si>
  <si>
    <t xml:space="preserve">Y（N）</t>
  </si>
  <si>
    <t xml:space="preserve">K(N)</t>
  </si>
  <si>
    <t xml:space="preserve">n</t>
  </si>
  <si>
    <t xml:space="preserve">Y（n）</t>
  </si>
  <si>
    <t xml:space="preserve">K(n)</t>
  </si>
  <si>
    <t xml:space="preserve">已知V（N），求取V（n）</t>
  </si>
  <si>
    <t xml:space="preserve">V（N）</t>
  </si>
  <si>
    <t xml:space="preserve">V（n）</t>
  </si>
  <si>
    <t xml:space="preserve">已知V（n），求取V（N）</t>
  </si>
  <si>
    <t xml:space="preserve">房地产比较法中年期修正</t>
  </si>
  <si>
    <t xml:space="preserve">试算</t>
  </si>
  <si>
    <t xml:space="preserve">满年期50年，报酬率5%，贡献率60%</t>
  </si>
  <si>
    <t xml:space="preserve">出让年限</t>
  </si>
  <si>
    <t xml:space="preserve">报酬率</t>
  </si>
  <si>
    <t xml:space="preserve">地价贡献率（参考下表）</t>
  </si>
  <si>
    <t xml:space="preserve">房价修正系数</t>
  </si>
  <si>
    <t xml:space="preserve">估价对象</t>
  </si>
  <si>
    <t xml:space="preserve">案例A</t>
  </si>
  <si>
    <t xml:space="preserve">区间</t>
  </si>
  <si>
    <t xml:space="preserve">修正幅度</t>
  </si>
  <si>
    <t xml:space="preserve">案例B</t>
  </si>
  <si>
    <t xml:space="preserve">0~5（含）,5~10（含）</t>
  </si>
  <si>
    <t xml:space="preserve">案例C</t>
  </si>
  <si>
    <t xml:space="preserve">10~15（含），15~20（含）</t>
  </si>
  <si>
    <t xml:space="preserve">20~25（含），25~30（含）</t>
  </si>
  <si>
    <t xml:space="preserve">推导公式</t>
  </si>
  <si>
    <t xml:space="preserve">30~35（含），35~40（含）</t>
  </si>
  <si>
    <t xml:space="preserve">1.建+50年地价×20年年期修正系数＝20年房价</t>
  </si>
  <si>
    <t xml:space="preserve">40~45（含），45~50（含）</t>
  </si>
  <si>
    <t xml:space="preserve">2.建+50年地价＝50年房价</t>
  </si>
  <si>
    <t xml:space="preserve">1、2步得出</t>
  </si>
  <si>
    <t xml:space="preserve">3.50年房价－50年地价+50年地价×20年年期修正系数＝20年房价</t>
  </si>
  <si>
    <t xml:space="preserve">可见随着土地使用年期的减少，影响幅度逐渐增大</t>
  </si>
  <si>
    <t xml:space="preserve">4.20年房价＝50年房价×20年房价修正系数</t>
  </si>
  <si>
    <t xml:space="preserve">4步代入3步</t>
  </si>
  <si>
    <t xml:space="preserve">满年期40年，报酬率5%，贡献率60%</t>
  </si>
  <si>
    <t xml:space="preserve">5.50年房价－50年地价+50年地价×20年年期修正系数＝50年房价×20年房价修正系数</t>
  </si>
  <si>
    <t xml:space="preserve">6.20年房价修正系数＝1-50年地价×（1-20年年期修正系数）÷50年房价</t>
  </si>
  <si>
    <t xml:space="preserve">7.50年地价＝50年房价×地价贡献率</t>
  </si>
  <si>
    <t xml:space="preserve">7步代入6步</t>
  </si>
  <si>
    <t xml:space="preserve">8.20年房价修正系数＝1-50年房价×地价贡献率×（1-20年年期修正系数）÷50年房价＝1-地价贡献率×（1-20年年期修正系数）</t>
  </si>
  <si>
    <t xml:space="preserve">以北京为例验算</t>
  </si>
  <si>
    <t xml:space="preserve">用途</t>
  </si>
  <si>
    <t xml:space="preserve">综合地价贡献率</t>
  </si>
  <si>
    <t xml:space="preserve">收益法地价房价比</t>
  </si>
  <si>
    <t xml:space="preserve">地价售价比</t>
  </si>
  <si>
    <t xml:space="preserve">20%-30%</t>
  </si>
  <si>
    <t xml:space="preserve">15%-40%</t>
  </si>
  <si>
    <t xml:space="preserve">8000地价，20000售价；地价950，售价6500</t>
  </si>
  <si>
    <t xml:space="preserve">60%-70%</t>
  </si>
  <si>
    <t xml:space="preserve">65%-75%</t>
  </si>
  <si>
    <t xml:space="preserve">50%-65%</t>
  </si>
  <si>
    <t xml:space="preserve">当前北京市基本控制在50%-65%</t>
  </si>
  <si>
    <t xml:space="preserve">满年期70年，报酬率4%，贡献率70%</t>
  </si>
  <si>
    <t xml:space="preserve">商业/办公</t>
  </si>
  <si>
    <t xml:space="preserve">50%-60%</t>
  </si>
  <si>
    <t xml:space="preserve">70%-80%</t>
  </si>
  <si>
    <t xml:space="preserve">15000地价，30000售价</t>
  </si>
  <si>
    <t xml:space="preserve">车库/仓储</t>
  </si>
  <si>
    <t xml:space="preserve">35%-45%</t>
  </si>
  <si>
    <t xml:space="preserve">四级或五级地，地价2500-3000熟地价，售价5500-8000</t>
  </si>
  <si>
    <t xml:space="preserve">估价项目名称</t>
  </si>
  <si>
    <t xml:space="preserve">报告编号</t>
  </si>
  <si>
    <t xml:space="preserve">现场勘查日</t>
  </si>
  <si>
    <t xml:space="preserve">签字估价师</t>
  </si>
  <si>
    <r>
      <rPr>
        <sz val="10"/>
        <color rgb="FF000000"/>
        <rFont val="宋体"/>
        <family val="3"/>
        <charset val="134"/>
      </rPr>
      <t xml:space="preserve">估价委托人</t>
    </r>
    <r>
      <rPr>
        <sz val="10"/>
        <color rgb="FF000000"/>
        <rFont val="宋体"/>
        <family val="0"/>
        <charset val="134"/>
      </rPr>
      <t xml:space="preserve">  </t>
    </r>
  </si>
  <si>
    <r>
      <rPr>
        <sz val="10"/>
        <color rgb="FF000000"/>
        <rFont val="宋体"/>
        <family val="3"/>
        <charset val="134"/>
      </rPr>
      <t xml:space="preserve">金融机构</t>
    </r>
    <r>
      <rPr>
        <sz val="10"/>
        <color rgb="FF000000"/>
        <rFont val="Arial"/>
        <family val="2"/>
        <charset val="1"/>
      </rPr>
      <t xml:space="preserve">(</t>
    </r>
    <r>
      <rPr>
        <sz val="10"/>
        <color rgb="FF000000"/>
        <rFont val="宋体"/>
        <family val="3"/>
        <charset val="134"/>
      </rPr>
      <t xml:space="preserve">贷款方</t>
    </r>
    <r>
      <rPr>
        <sz val="10"/>
        <color rgb="FF000000"/>
        <rFont val="Arial"/>
        <family val="2"/>
        <charset val="1"/>
      </rPr>
      <t xml:space="preserve">)</t>
    </r>
  </si>
  <si>
    <t xml:space="preserve">借款方</t>
  </si>
  <si>
    <t xml:space="preserve">核定资产</t>
  </si>
  <si>
    <t xml:space="preserve">抵押结果包含：</t>
  </si>
  <si>
    <t xml:space="preserve">价值类型</t>
  </si>
  <si>
    <t xml:space="preserve">房地产市场价值</t>
  </si>
  <si>
    <t xml:space="preserve">项目所在城市</t>
  </si>
  <si>
    <t xml:space="preserve">北京市</t>
  </si>
  <si>
    <t xml:space="preserve">坐落</t>
  </si>
  <si>
    <t xml:space="preserve">不动产权利人</t>
  </si>
  <si>
    <t xml:space="preserve">自然人</t>
  </si>
  <si>
    <t xml:space="preserve">土地性质</t>
  </si>
  <si>
    <t xml:space="preserve">划拨</t>
  </si>
  <si>
    <t xml:space="preserve">剩余年限</t>
  </si>
  <si>
    <t xml:space="preserve">估价对象用途明细</t>
  </si>
  <si>
    <t xml:space="preserve">剩余土地年限</t>
  </si>
  <si>
    <t xml:space="preserve">面积指标</t>
  </si>
  <si>
    <t xml:space="preserve">面积依据</t>
  </si>
  <si>
    <r>
      <rPr>
        <sz val="10"/>
        <color rgb="FFE46C0A"/>
        <rFont val="宋体"/>
        <family val="3"/>
        <charset val="134"/>
      </rPr>
      <t xml:space="preserve">《房屋所有权证》</t>
    </r>
    <r>
      <rPr>
        <sz val="10"/>
        <color rgb="FFE46C0A"/>
        <rFont val="Arial"/>
        <family val="2"/>
        <charset val="1"/>
      </rPr>
      <t xml:space="preserve">[]</t>
    </r>
    <r>
      <rPr>
        <sz val="10"/>
        <color rgb="FFE46C0A"/>
        <rFont val="宋体"/>
        <family val="3"/>
        <charset val="134"/>
      </rPr>
      <t xml:space="preserve">、《测绘报告》</t>
    </r>
    <r>
      <rPr>
        <sz val="10"/>
        <color rgb="FFE46C0A"/>
        <rFont val="Arial"/>
        <family val="2"/>
        <charset val="1"/>
      </rPr>
      <t xml:space="preserve">[]</t>
    </r>
  </si>
  <si>
    <t xml:space="preserve">建筑与土地面积依据相同</t>
  </si>
  <si>
    <t xml:space="preserve">土地面积</t>
  </si>
  <si>
    <r>
      <rPr>
        <sz val="10"/>
        <color rgb="FFE46C0A"/>
        <rFont val="宋体"/>
        <family val="3"/>
        <charset val="134"/>
      </rPr>
      <t xml:space="preserve">《国有土地使用证》</t>
    </r>
    <r>
      <rPr>
        <sz val="10"/>
        <color rgb="FFE46C0A"/>
        <rFont val="Arial"/>
        <family val="2"/>
        <charset val="1"/>
      </rPr>
      <t xml:space="preserve">[]</t>
    </r>
  </si>
  <si>
    <t xml:space="preserve">权利状况（抵押）</t>
  </si>
  <si>
    <t xml:space="preserve">是否抵押</t>
  </si>
  <si>
    <t xml:space="preserve">权属证件是否登记权利价值</t>
  </si>
  <si>
    <t xml:space="preserve">依据</t>
  </si>
  <si>
    <t xml:space="preserve">权属文件</t>
  </si>
  <si>
    <t xml:space="preserve">他项权证</t>
  </si>
  <si>
    <t xml:space="preserve">其他资料</t>
  </si>
  <si>
    <t xml:space="preserve">抵押情况描述</t>
  </si>
  <si>
    <t xml:space="preserve">《房屋所有权证》</t>
  </si>
  <si>
    <t xml:space="preserve">原件</t>
  </si>
  <si>
    <t xml:space="preserve">《房屋他项权利证书》</t>
  </si>
  <si>
    <t xml:space="preserve">《国有土地使用权》</t>
  </si>
  <si>
    <t xml:space="preserve">复印件</t>
  </si>
  <si>
    <t xml:space="preserve">抵押信息</t>
  </si>
  <si>
    <t xml:space="preserve">设定日期</t>
  </si>
  <si>
    <t xml:space="preserve">权利人</t>
  </si>
  <si>
    <t xml:space="preserve">权利范围</t>
  </si>
  <si>
    <t xml:space="preserve">权利价值</t>
  </si>
  <si>
    <t xml:space="preserve">项目类型</t>
  </si>
  <si>
    <t xml:space="preserve">按主用途</t>
  </si>
  <si>
    <t xml:space="preserve">特殊细项</t>
  </si>
  <si>
    <t xml:space="preserve">是否配建</t>
  </si>
  <si>
    <t xml:space="preserve">配建类型</t>
  </si>
  <si>
    <t xml:space="preserve">项目现状</t>
  </si>
  <si>
    <t xml:space="preserve">红线外市政</t>
  </si>
  <si>
    <t xml:space="preserve">一通</t>
  </si>
  <si>
    <t xml:space="preserve">二通</t>
  </si>
  <si>
    <t xml:space="preserve">区片编号</t>
  </si>
  <si>
    <t xml:space="preserve">虚线以上为必填</t>
  </si>
  <si>
    <t xml:space="preserve">证件取得及他项权利状况</t>
  </si>
  <si>
    <t xml:space="preserve">地块编号</t>
  </si>
  <si>
    <r>
      <rPr>
        <sz val="10"/>
        <color rgb="FF000000"/>
        <rFont val="宋体"/>
        <family val="3"/>
        <charset val="134"/>
      </rPr>
      <t xml:space="preserve">建设内容</t>
    </r>
    <r>
      <rPr>
        <sz val="10"/>
        <color rgb="FF000000"/>
        <rFont val="Arial"/>
        <family val="2"/>
        <charset val="1"/>
      </rPr>
      <t xml:space="preserve">/</t>
    </r>
    <r>
      <rPr>
        <sz val="10"/>
        <color rgb="FF000000"/>
        <rFont val="宋体"/>
        <family val="3"/>
        <charset val="134"/>
      </rPr>
      <t xml:space="preserve">楼号</t>
    </r>
  </si>
  <si>
    <t xml:space="preserve">出让合同</t>
  </si>
  <si>
    <t xml:space="preserve">用地规划</t>
  </si>
  <si>
    <t xml:space="preserve">规划意见复函</t>
  </si>
  <si>
    <t xml:space="preserve">工程规划</t>
  </si>
  <si>
    <t xml:space="preserve">施工证</t>
  </si>
  <si>
    <t xml:space="preserve">预售证</t>
  </si>
  <si>
    <t xml:space="preserve">竣工备案</t>
  </si>
  <si>
    <t xml:space="preserve">测绘报告</t>
  </si>
  <si>
    <t xml:space="preserve">现状</t>
  </si>
  <si>
    <r>
      <rPr>
        <sz val="10"/>
        <color rgb="FF000000"/>
        <rFont val="宋体"/>
        <family val="3"/>
        <charset val="134"/>
      </rPr>
      <t xml:space="preserve">用地性质</t>
    </r>
    <r>
      <rPr>
        <sz val="10"/>
        <color rgb="FF000000"/>
        <rFont val="Arial"/>
        <family val="2"/>
        <charset val="1"/>
      </rPr>
      <t xml:space="preserve">/</t>
    </r>
    <r>
      <rPr>
        <sz val="10"/>
        <color rgb="FF000000"/>
        <rFont val="宋体"/>
        <family val="3"/>
        <charset val="134"/>
      </rPr>
      <t xml:space="preserve">土地用途</t>
    </r>
  </si>
  <si>
    <t xml:space="preserve">不动产权证书</t>
  </si>
  <si>
    <t xml:space="preserve">国土证</t>
  </si>
  <si>
    <t xml:space="preserve">房产证</t>
  </si>
  <si>
    <r>
      <rPr>
        <sz val="10"/>
        <color rgb="FF000000"/>
        <rFont val="宋体"/>
        <family val="3"/>
        <charset val="134"/>
      </rPr>
      <t xml:space="preserve">他项权利</t>
    </r>
    <r>
      <rPr>
        <sz val="10"/>
        <color rgb="FF000000"/>
        <rFont val="宋体"/>
        <family val="0"/>
        <charset val="134"/>
      </rPr>
      <t xml:space="preserve">——</t>
    </r>
    <r>
      <rPr>
        <sz val="10"/>
        <color rgb="FF000000"/>
        <rFont val="宋体"/>
        <family val="3"/>
        <charset val="134"/>
      </rPr>
      <t xml:space="preserve">抵押</t>
    </r>
  </si>
  <si>
    <r>
      <rPr>
        <sz val="10"/>
        <color rgb="FF000000"/>
        <rFont val="宋体"/>
        <family val="3"/>
        <charset val="134"/>
      </rPr>
      <t xml:space="preserve">他项权利</t>
    </r>
    <r>
      <rPr>
        <sz val="10"/>
        <color rgb="FF000000"/>
        <rFont val="宋体"/>
        <family val="0"/>
        <charset val="134"/>
      </rPr>
      <t xml:space="preserve">——</t>
    </r>
    <r>
      <rPr>
        <sz val="10"/>
        <color rgb="FF000000"/>
        <rFont val="宋体"/>
        <family val="3"/>
        <charset val="134"/>
      </rPr>
      <t xml:space="preserve">租赁</t>
    </r>
  </si>
  <si>
    <r>
      <rPr>
        <sz val="10"/>
        <color rgb="FF000000"/>
        <rFont val="宋体"/>
        <family val="3"/>
        <charset val="134"/>
      </rPr>
      <t xml:space="preserve">他项权利</t>
    </r>
    <r>
      <rPr>
        <sz val="10"/>
        <color rgb="FF000000"/>
        <rFont val="宋体"/>
        <family val="0"/>
        <charset val="134"/>
      </rPr>
      <t xml:space="preserve">——</t>
    </r>
    <r>
      <rPr>
        <sz val="10"/>
        <color rgb="FF000000"/>
        <rFont val="宋体"/>
        <family val="3"/>
        <charset val="134"/>
      </rPr>
      <t xml:space="preserve">其他</t>
    </r>
  </si>
  <si>
    <t xml:space="preserve">数据基础表</t>
  </si>
  <si>
    <t xml:space="preserve">抵押物清单</t>
  </si>
  <si>
    <t xml:space="preserve">人防是否参与分摊</t>
  </si>
  <si>
    <t xml:space="preserve">测绘分摊土地面积</t>
  </si>
  <si>
    <t xml:space="preserve">计容建筑面积</t>
  </si>
  <si>
    <t xml:space="preserve">计容部位</t>
  </si>
  <si>
    <t xml:space="preserve">建筑面积合计</t>
  </si>
  <si>
    <t xml:space="preserve">（分摊）土地面积</t>
  </si>
  <si>
    <t xml:space="preserve">土地使用权证号</t>
  </si>
  <si>
    <t xml:space="preserve">建筑面积依据</t>
  </si>
  <si>
    <t xml:space="preserve">是否为抵押范围</t>
  </si>
  <si>
    <t xml:space="preserve">楼基面积</t>
  </si>
  <si>
    <t xml:space="preserve">建筑面积（含人防）</t>
  </si>
  <si>
    <t xml:space="preserve">不在估价范围内的项目</t>
  </si>
  <si>
    <t xml:space="preserve">抵押物</t>
  </si>
  <si>
    <r>
      <rPr>
        <sz val="10"/>
        <color rgb="FF000000"/>
        <rFont val="宋体"/>
        <family val="3"/>
        <charset val="134"/>
      </rPr>
      <t xml:space="preserve">经营性用途（预留</t>
    </r>
    <r>
      <rPr>
        <sz val="10"/>
        <color rgb="FF000000"/>
        <rFont val="Arial"/>
        <family val="2"/>
        <charset val="1"/>
      </rPr>
      <t xml:space="preserve">10</t>
    </r>
    <r>
      <rPr>
        <sz val="10"/>
        <color rgb="FF000000"/>
        <rFont val="宋体"/>
        <family val="3"/>
        <charset val="134"/>
      </rPr>
      <t xml:space="preserve">格</t>
    </r>
    <r>
      <rPr>
        <sz val="10"/>
        <color rgb="FF000000"/>
        <rFont val="Arial"/>
        <family val="2"/>
        <charset val="1"/>
      </rPr>
      <t xml:space="preserve">)</t>
    </r>
  </si>
  <si>
    <r>
      <rPr>
        <sz val="10"/>
        <color rgb="FF000000"/>
        <rFont val="宋体"/>
        <family val="3"/>
        <charset val="134"/>
      </rPr>
      <t xml:space="preserve">非经营性用途（共设</t>
    </r>
    <r>
      <rPr>
        <sz val="10"/>
        <color rgb="FF000000"/>
        <rFont val="Arial"/>
        <family val="2"/>
        <charset val="1"/>
      </rPr>
      <t xml:space="preserve">8</t>
    </r>
    <r>
      <rPr>
        <sz val="10"/>
        <color rgb="FF000000"/>
        <rFont val="宋体"/>
        <family val="3"/>
        <charset val="134"/>
      </rPr>
      <t xml:space="preserve">格，固定）</t>
    </r>
  </si>
  <si>
    <t xml:space="preserve">人防</t>
  </si>
  <si>
    <t xml:space="preserve">文字说明</t>
  </si>
  <si>
    <t xml:space="preserve">小计</t>
  </si>
  <si>
    <r>
      <rPr>
        <sz val="10"/>
        <color rgb="FF000000"/>
        <rFont val="宋体"/>
        <family val="3"/>
        <charset val="134"/>
      </rPr>
      <t xml:space="preserve">没有请明确为</t>
    </r>
    <r>
      <rPr>
        <sz val="10"/>
        <color rgb="FF000000"/>
        <rFont val="宋体"/>
        <family val="0"/>
        <charset val="134"/>
      </rPr>
      <t xml:space="preserve">“</t>
    </r>
    <r>
      <rPr>
        <sz val="10"/>
        <color rgb="FF000000"/>
        <rFont val="宋体"/>
        <family val="3"/>
        <charset val="134"/>
      </rPr>
      <t xml:space="preserve">无</t>
    </r>
    <r>
      <rPr>
        <sz val="10"/>
        <color rgb="FF000000"/>
        <rFont val="宋体"/>
        <family val="0"/>
        <charset val="134"/>
      </rPr>
      <t xml:space="preserve">”</t>
    </r>
  </si>
  <si>
    <t xml:space="preserve">经营性用途</t>
  </si>
  <si>
    <t xml:space="preserve">非经营性用途</t>
  </si>
  <si>
    <t xml:space="preserve">物业管理用房</t>
  </si>
  <si>
    <t xml:space="preserve">设备及其他</t>
  </si>
  <si>
    <t xml:space="preserve">未注明</t>
  </si>
  <si>
    <t xml:space="preserve">（住宅）</t>
  </si>
  <si>
    <t xml:space="preserve">（住宅、计出让金）</t>
  </si>
  <si>
    <t xml:space="preserve">总值</t>
  </si>
  <si>
    <t xml:space="preserve">扣减值</t>
  </si>
  <si>
    <t xml:space="preserve">数据汇总表</t>
  </si>
  <si>
    <t xml:space="preserve">容积率</t>
  </si>
  <si>
    <t xml:space="preserve">面积总计</t>
  </si>
  <si>
    <t xml:space="preserve">总</t>
  </si>
  <si>
    <t xml:space="preserve">项目</t>
  </si>
  <si>
    <r>
      <rPr>
        <sz val="11"/>
        <color rgb="FF000000"/>
        <rFont val="Arial"/>
        <family val="2"/>
        <charset val="1"/>
      </rPr>
      <t xml:space="preserve">1.</t>
    </r>
    <r>
      <rPr>
        <sz val="11"/>
        <color rgb="FF000000"/>
        <rFont val="宋体"/>
        <family val="3"/>
        <charset val="134"/>
      </rPr>
      <t xml:space="preserve">其中：</t>
    </r>
  </si>
  <si>
    <t xml:space="preserve">非住宅</t>
  </si>
  <si>
    <t xml:space="preserve">自定义容积率</t>
  </si>
  <si>
    <r>
      <rPr>
        <sz val="11"/>
        <color rgb="FF000000"/>
        <rFont val="Arial"/>
        <family val="2"/>
        <charset val="1"/>
      </rPr>
      <t xml:space="preserve">2.</t>
    </r>
    <r>
      <rPr>
        <sz val="11"/>
        <color rgb="FF000000"/>
        <rFont val="宋体"/>
        <family val="3"/>
        <charset val="134"/>
      </rPr>
      <t xml:space="preserve">其中：</t>
    </r>
  </si>
  <si>
    <t xml:space="preserve">计出让部分</t>
  </si>
  <si>
    <t xml:space="preserve">地上经营性用途</t>
  </si>
  <si>
    <t xml:space="preserve">地上其他</t>
  </si>
  <si>
    <t xml:space="preserve">地下商业</t>
  </si>
  <si>
    <t xml:space="preserve">地下办公（含物业）</t>
  </si>
  <si>
    <t xml:space="preserve">地下仓储</t>
  </si>
  <si>
    <t xml:space="preserve">地下车库（除商业、办公）</t>
  </si>
  <si>
    <r>
      <rPr>
        <sz val="11"/>
        <color rgb="FF000000"/>
        <rFont val="宋体"/>
        <family val="3"/>
        <charset val="134"/>
      </rPr>
      <t xml:space="preserve">地下车库</t>
    </r>
    <r>
      <rPr>
        <sz val="11"/>
        <color rgb="FF000000"/>
        <rFont val="Arial"/>
        <family val="2"/>
        <charset val="1"/>
      </rPr>
      <t xml:space="preserve">-</t>
    </r>
    <r>
      <rPr>
        <sz val="11"/>
        <color rgb="FF000000"/>
        <rFont val="宋体"/>
        <family val="3"/>
        <charset val="134"/>
      </rPr>
      <t xml:space="preserve">商业</t>
    </r>
  </si>
  <si>
    <r>
      <rPr>
        <sz val="11"/>
        <color rgb="FF000000"/>
        <rFont val="宋体"/>
        <family val="3"/>
        <charset val="134"/>
      </rPr>
      <t xml:space="preserve">地下车库</t>
    </r>
    <r>
      <rPr>
        <sz val="11"/>
        <color rgb="FF000000"/>
        <rFont val="Arial"/>
        <family val="2"/>
        <charset val="1"/>
      </rPr>
      <t xml:space="preserve">-</t>
    </r>
    <r>
      <rPr>
        <sz val="11"/>
        <color rgb="FF000000"/>
        <rFont val="宋体"/>
        <family val="3"/>
        <charset val="134"/>
      </rPr>
      <t xml:space="preserve">办公</t>
    </r>
  </si>
  <si>
    <t xml:space="preserve">分摊非经营性用途用房</t>
  </si>
  <si>
    <r>
      <rPr>
        <sz val="11"/>
        <color rgb="FF000000"/>
        <rFont val="Arial"/>
        <family val="2"/>
        <charset val="1"/>
      </rPr>
      <t xml:space="preserve">3.</t>
    </r>
    <r>
      <rPr>
        <sz val="11"/>
        <color rgb="FF000000"/>
        <rFont val="宋体"/>
        <family val="3"/>
        <charset val="134"/>
      </rPr>
      <t xml:space="preserve">其中：</t>
    </r>
  </si>
  <si>
    <t xml:space="preserve">分摊原则：</t>
  </si>
  <si>
    <t xml:space="preserve">按面积比例</t>
  </si>
  <si>
    <t xml:space="preserve">按面积比例分摊</t>
  </si>
  <si>
    <t xml:space="preserve">自定义分摊</t>
  </si>
  <si>
    <t xml:space="preserve">面积加总（含分摊非经营）</t>
  </si>
  <si>
    <t xml:space="preserve">设备</t>
  </si>
  <si>
    <r>
      <rPr>
        <sz val="11"/>
        <color rgb="FF000000"/>
        <rFont val="宋体"/>
        <family val="3"/>
        <charset val="134"/>
      </rPr>
      <t xml:space="preserve">公共配套</t>
    </r>
    <r>
      <rPr>
        <sz val="11"/>
        <color rgb="FF000000"/>
        <rFont val="Arial"/>
        <family val="2"/>
        <charset val="1"/>
      </rPr>
      <t xml:space="preserve">(</t>
    </r>
    <r>
      <rPr>
        <sz val="11"/>
        <color rgb="FF000000"/>
        <rFont val="宋体"/>
        <family val="3"/>
        <charset val="134"/>
      </rPr>
      <t xml:space="preserve">住宅</t>
    </r>
    <r>
      <rPr>
        <sz val="11"/>
        <color rgb="FF000000"/>
        <rFont val="Arial"/>
        <family val="2"/>
        <charset val="1"/>
      </rPr>
      <t xml:space="preserve">)</t>
    </r>
  </si>
  <si>
    <t xml:space="preserve">合</t>
  </si>
  <si>
    <t xml:space="preserve">公共配套及物业（住宅）</t>
  </si>
  <si>
    <t xml:space="preserve">住宅用房合计</t>
  </si>
  <si>
    <t xml:space="preserve">数据取费表</t>
  </si>
  <si>
    <r>
      <rPr>
        <b val="true"/>
        <sz val="11"/>
        <color rgb="FF000000"/>
        <rFont val="宋体"/>
        <family val="3"/>
        <charset val="134"/>
      </rPr>
      <t xml:space="preserve">价值时点</t>
    </r>
    <r>
      <rPr>
        <b val="true"/>
        <sz val="11"/>
        <color rgb="FF000000"/>
        <rFont val="Arial"/>
        <family val="2"/>
        <charset val="1"/>
      </rPr>
      <t xml:space="preserve">/</t>
    </r>
    <r>
      <rPr>
        <b val="true"/>
        <sz val="11"/>
        <color rgb="FF000000"/>
        <rFont val="宋体"/>
        <family val="3"/>
        <charset val="134"/>
      </rPr>
      <t xml:space="preserve">估价期日</t>
    </r>
  </si>
  <si>
    <t xml:space="preserve">综合取费</t>
  </si>
  <si>
    <t xml:space="preserve">土地使用年期</t>
  </si>
  <si>
    <t xml:space="preserve">建安费用</t>
  </si>
  <si>
    <r>
      <rPr>
        <sz val="11"/>
        <color rgb="FF000000"/>
        <rFont val="宋体"/>
        <family val="3"/>
        <charset val="134"/>
      </rPr>
      <t xml:space="preserve">无租约</t>
    </r>
    <r>
      <rPr>
        <sz val="11"/>
        <color rgb="FF000000"/>
        <rFont val="Arial"/>
        <family val="2"/>
        <charset val="1"/>
      </rPr>
      <t xml:space="preserve">/</t>
    </r>
    <r>
      <rPr>
        <sz val="11"/>
        <color rgb="FF000000"/>
        <rFont val="宋体"/>
        <family val="3"/>
        <charset val="134"/>
      </rPr>
      <t xml:space="preserve">租期内</t>
    </r>
  </si>
  <si>
    <t xml:space="preserve">租期外</t>
  </si>
  <si>
    <t xml:space="preserve">收益期</t>
  </si>
  <si>
    <r>
      <rPr>
        <sz val="11"/>
        <rFont val="宋体"/>
        <family val="3"/>
        <charset val="134"/>
      </rPr>
      <t xml:space="preserve">法定最高</t>
    </r>
    <r>
      <rPr>
        <sz val="11"/>
        <rFont val="Arial"/>
        <family val="2"/>
        <charset val="1"/>
      </rPr>
      <t xml:space="preserve">/</t>
    </r>
    <r>
      <rPr>
        <sz val="11"/>
        <rFont val="宋体"/>
        <family val="3"/>
        <charset val="134"/>
      </rPr>
      <t xml:space="preserve">出让年限</t>
    </r>
  </si>
  <si>
    <r>
      <rPr>
        <sz val="11"/>
        <color rgb="FF000000"/>
        <rFont val="宋体"/>
        <family val="3"/>
        <charset val="134"/>
      </rPr>
      <t xml:space="preserve">报酬率</t>
    </r>
    <r>
      <rPr>
        <sz val="11"/>
        <color rgb="FF000000"/>
        <rFont val="Arial"/>
        <family val="2"/>
        <charset val="1"/>
      </rPr>
      <t xml:space="preserve">-</t>
    </r>
    <r>
      <rPr>
        <sz val="11"/>
        <color rgb="FF000000"/>
        <rFont val="宋体"/>
        <family val="3"/>
        <charset val="134"/>
      </rPr>
      <t xml:space="preserve">土地</t>
    </r>
  </si>
  <si>
    <r>
      <rPr>
        <sz val="11"/>
        <color rgb="FF000000"/>
        <rFont val="宋体"/>
        <family val="3"/>
        <charset val="134"/>
      </rPr>
      <t xml:space="preserve">报酬率</t>
    </r>
    <r>
      <rPr>
        <sz val="11"/>
        <color rgb="FF000000"/>
        <rFont val="Arial"/>
        <family val="2"/>
        <charset val="1"/>
      </rPr>
      <t xml:space="preserve">-</t>
    </r>
    <r>
      <rPr>
        <sz val="11"/>
        <color rgb="FF000000"/>
        <rFont val="宋体"/>
        <family val="3"/>
        <charset val="134"/>
      </rPr>
      <t xml:space="preserve">综合</t>
    </r>
  </si>
  <si>
    <r>
      <rPr>
        <sz val="11"/>
        <color rgb="FF000000"/>
        <rFont val="宋体"/>
        <family val="3"/>
        <charset val="134"/>
      </rPr>
      <t xml:space="preserve">资本化率</t>
    </r>
    <r>
      <rPr>
        <sz val="11"/>
        <color rgb="FF000000"/>
        <rFont val="Arial"/>
        <family val="2"/>
        <charset val="1"/>
      </rPr>
      <t xml:space="preserve">-</t>
    </r>
    <r>
      <rPr>
        <sz val="11"/>
        <color rgb="FF000000"/>
        <rFont val="宋体"/>
        <family val="3"/>
        <charset val="134"/>
      </rPr>
      <t xml:space="preserve">建筑物</t>
    </r>
  </si>
  <si>
    <t xml:space="preserve">单方造价</t>
  </si>
  <si>
    <t xml:space="preserve">建安总额</t>
  </si>
  <si>
    <t xml:space="preserve">成新度</t>
  </si>
  <si>
    <t xml:space="preserve">在建建安</t>
  </si>
  <si>
    <t xml:space="preserve">续建建安</t>
  </si>
  <si>
    <t xml:space="preserve">利润</t>
  </si>
  <si>
    <t xml:space="preserve">分摊土地面积（经营性）</t>
  </si>
  <si>
    <t xml:space="preserve">建筑面积（分摊设备）</t>
  </si>
  <si>
    <t xml:space="preserve">总建安（分摊非经营）</t>
  </si>
  <si>
    <t xml:space="preserve">租金</t>
  </si>
  <si>
    <t xml:space="preserve">年租金增长率</t>
  </si>
  <si>
    <t xml:space="preserve">空置率</t>
  </si>
  <si>
    <r>
      <rPr>
        <sz val="11"/>
        <color rgb="FF000000"/>
        <rFont val="宋体"/>
        <family val="3"/>
        <charset val="134"/>
      </rPr>
      <t xml:space="preserve">收益年期</t>
    </r>
    <r>
      <rPr>
        <sz val="11"/>
        <color rgb="FF000000"/>
        <rFont val="Arial"/>
        <family val="2"/>
        <charset val="1"/>
      </rPr>
      <t xml:space="preserve">(</t>
    </r>
    <r>
      <rPr>
        <sz val="11"/>
        <color rgb="FF000000"/>
        <rFont val="宋体"/>
        <family val="3"/>
        <charset val="134"/>
      </rPr>
      <t xml:space="preserve">总</t>
    </r>
    <r>
      <rPr>
        <sz val="11"/>
        <color rgb="FF000000"/>
        <rFont val="Arial"/>
        <family val="2"/>
        <charset val="1"/>
      </rPr>
      <t xml:space="preserve">)</t>
    </r>
  </si>
  <si>
    <t xml:space="preserve">剩余租赁期</t>
  </si>
  <si>
    <t xml:space="preserve">租赁期外收益期</t>
  </si>
  <si>
    <r>
      <rPr>
        <sz val="11"/>
        <color rgb="FF000000"/>
        <rFont val="宋体"/>
        <family val="3"/>
        <charset val="134"/>
      </rPr>
      <t xml:space="preserve">车位数</t>
    </r>
    <r>
      <rPr>
        <sz val="11"/>
        <color rgb="FF000000"/>
        <rFont val="Arial"/>
        <family val="2"/>
        <charset val="1"/>
      </rPr>
      <t xml:space="preserve">/</t>
    </r>
    <r>
      <rPr>
        <sz val="11"/>
        <color rgb="FF000000"/>
        <rFont val="宋体"/>
        <family val="3"/>
        <charset val="134"/>
      </rPr>
      <t xml:space="preserve">套数</t>
    </r>
    <r>
      <rPr>
        <sz val="11"/>
        <color rgb="FF000000"/>
        <rFont val="Arial"/>
        <family val="2"/>
        <charset val="1"/>
      </rPr>
      <t xml:space="preserve">/</t>
    </r>
    <r>
      <rPr>
        <sz val="11"/>
        <color rgb="FF000000"/>
        <rFont val="宋体"/>
        <family val="3"/>
        <charset val="134"/>
      </rPr>
      <t xml:space="preserve">收益面积</t>
    </r>
  </si>
  <si>
    <r>
      <rPr>
        <sz val="11"/>
        <color rgb="FF000000"/>
        <rFont val="宋体"/>
        <family val="3"/>
        <charset val="134"/>
      </rPr>
      <t xml:space="preserve">天</t>
    </r>
    <r>
      <rPr>
        <sz val="11"/>
        <color rgb="FF000000"/>
        <rFont val="Arial"/>
        <family val="2"/>
        <charset val="1"/>
      </rPr>
      <t xml:space="preserve">/</t>
    </r>
    <r>
      <rPr>
        <sz val="11"/>
        <color rgb="FF000000"/>
        <rFont val="宋体"/>
        <family val="3"/>
        <charset val="134"/>
      </rPr>
      <t xml:space="preserve">月</t>
    </r>
    <r>
      <rPr>
        <sz val="11"/>
        <color rgb="FF000000"/>
        <rFont val="Arial"/>
        <family val="2"/>
        <charset val="1"/>
      </rPr>
      <t xml:space="preserve">/</t>
    </r>
    <r>
      <rPr>
        <sz val="11"/>
        <color rgb="FF000000"/>
        <rFont val="宋体"/>
        <family val="3"/>
        <charset val="134"/>
      </rPr>
      <t xml:space="preserve">年</t>
    </r>
  </si>
  <si>
    <r>
      <rPr>
        <sz val="11"/>
        <color rgb="FF000000"/>
        <rFont val="宋体"/>
        <family val="3"/>
        <charset val="134"/>
      </rPr>
      <t xml:space="preserve">房产税</t>
    </r>
    <r>
      <rPr>
        <sz val="11"/>
        <color rgb="FF000000"/>
        <rFont val="Arial"/>
        <family val="2"/>
        <charset val="1"/>
      </rPr>
      <t xml:space="preserve">-</t>
    </r>
    <r>
      <rPr>
        <sz val="11"/>
        <color rgb="FF000000"/>
        <rFont val="宋体"/>
        <family val="3"/>
        <charset val="134"/>
      </rPr>
      <t xml:space="preserve">按票据</t>
    </r>
  </si>
  <si>
    <t xml:space="preserve">维修费率</t>
  </si>
  <si>
    <t xml:space="preserve">保险费率</t>
  </si>
  <si>
    <t xml:space="preserve">管理费率</t>
  </si>
  <si>
    <t xml:space="preserve">请选择所对应的收益法</t>
  </si>
  <si>
    <t xml:space="preserve">收益法结果</t>
  </si>
  <si>
    <t xml:space="preserve">辅助计算</t>
  </si>
  <si>
    <t xml:space="preserve">在建建安（分摊非经营）</t>
  </si>
  <si>
    <t xml:space="preserve">续建建安（分摊非经营）</t>
  </si>
  <si>
    <t xml:space="preserve">公共配套</t>
  </si>
  <si>
    <t xml:space="preserve">开发期</t>
  </si>
  <si>
    <t xml:space="preserve">土地开发期</t>
  </si>
  <si>
    <t xml:space="preserve">★默认为已完成的土地开发期★</t>
  </si>
  <si>
    <t xml:space="preserve">建设期</t>
  </si>
  <si>
    <t xml:space="preserve">包含未完成的红线外市政工程时间（如现状三通，开发完成后七通）</t>
  </si>
  <si>
    <t xml:space="preserve">已建工期</t>
  </si>
  <si>
    <t xml:space="preserve">项目开发期</t>
  </si>
  <si>
    <t xml:space="preserve">项目已运行</t>
  </si>
  <si>
    <t xml:space="preserve">续建工期</t>
  </si>
  <si>
    <t xml:space="preserve">其他取费</t>
  </si>
  <si>
    <t xml:space="preserve">取值</t>
  </si>
  <si>
    <t xml:space="preserve">备注</t>
  </si>
  <si>
    <r>
      <rPr>
        <sz val="11"/>
        <color rgb="FF000000"/>
        <rFont val="宋体"/>
        <family val="3"/>
        <charset val="134"/>
      </rPr>
      <t xml:space="preserve">城市基础设施建设费</t>
    </r>
    <r>
      <rPr>
        <sz val="11"/>
        <color rgb="FF000000"/>
        <rFont val="Arial"/>
        <family val="2"/>
        <charset val="1"/>
      </rPr>
      <t xml:space="preserve">-</t>
    </r>
    <r>
      <rPr>
        <sz val="11"/>
        <color rgb="FF000000"/>
        <rFont val="宋体"/>
        <family val="3"/>
        <charset val="134"/>
      </rPr>
      <t xml:space="preserve">住宅</t>
    </r>
  </si>
  <si>
    <t xml:space="preserve">★外省请录依据文件名称★：</t>
  </si>
  <si>
    <r>
      <rPr>
        <sz val="11"/>
        <color rgb="FF000000"/>
        <rFont val="宋体"/>
        <family val="3"/>
        <charset val="134"/>
      </rPr>
      <t xml:space="preserve">城市基础设施建设费</t>
    </r>
    <r>
      <rPr>
        <sz val="11"/>
        <color rgb="FF000000"/>
        <rFont val="Arial"/>
        <family val="2"/>
        <charset val="1"/>
      </rPr>
      <t xml:space="preserve">-</t>
    </r>
    <r>
      <rPr>
        <sz val="11"/>
        <color rgb="FF000000"/>
        <rFont val="宋体"/>
        <family val="3"/>
        <charset val="134"/>
      </rPr>
      <t xml:space="preserve">非住宅</t>
    </r>
  </si>
  <si>
    <r>
      <rPr>
        <sz val="11"/>
        <color rgb="FF000000"/>
        <rFont val="宋体"/>
        <family val="3"/>
        <charset val="134"/>
      </rPr>
      <t xml:space="preserve">城市基础设施建设费</t>
    </r>
    <r>
      <rPr>
        <sz val="11"/>
        <color rgb="FF000000"/>
        <rFont val="Arial"/>
        <family val="2"/>
        <charset val="1"/>
      </rPr>
      <t xml:space="preserve">-</t>
    </r>
    <r>
      <rPr>
        <sz val="11"/>
        <color rgb="FF000000"/>
        <rFont val="宋体"/>
        <family val="3"/>
        <charset val="134"/>
      </rPr>
      <t xml:space="preserve">已缴纳</t>
    </r>
    <r>
      <rPr>
        <sz val="11"/>
        <color rgb="FFFF0000"/>
        <rFont val="宋体"/>
        <family val="3"/>
        <charset val="134"/>
      </rPr>
      <t xml:space="preserve">（万元）</t>
    </r>
  </si>
  <si>
    <t xml:space="preserve">凭票据或默认已缴纳</t>
  </si>
  <si>
    <t xml:space="preserve">红线外市政基础设施（总）</t>
  </si>
  <si>
    <t xml:space="preserve">红线外市政基础设施（现状）</t>
  </si>
  <si>
    <t xml:space="preserve">红线外市政基础设施（待完成）</t>
  </si>
  <si>
    <t xml:space="preserve">勘察设计和前期工程费</t>
  </si>
  <si>
    <r>
      <rPr>
        <sz val="10"/>
        <color rgb="FFFF0000"/>
        <rFont val="宋体"/>
        <family val="3"/>
        <charset val="134"/>
      </rPr>
      <t xml:space="preserve">范围：</t>
    </r>
    <r>
      <rPr>
        <sz val="10"/>
        <color rgb="FFFF0000"/>
        <rFont val="Arial"/>
        <family val="2"/>
        <charset val="1"/>
      </rPr>
      <t xml:space="preserve">3%-5%</t>
    </r>
  </si>
  <si>
    <t xml:space="preserve">公共配套设施费用</t>
  </si>
  <si>
    <r>
      <rPr>
        <sz val="10"/>
        <color rgb="FFFF0000"/>
        <rFont val="宋体"/>
        <family val="3"/>
        <charset val="134"/>
      </rPr>
      <t xml:space="preserve">范围：</t>
    </r>
    <r>
      <rPr>
        <sz val="10"/>
        <color rgb="FFFF0000"/>
        <rFont val="Arial"/>
        <family val="2"/>
        <charset val="1"/>
      </rPr>
      <t xml:space="preserve">0-10%</t>
    </r>
  </si>
  <si>
    <r>
      <rPr>
        <sz val="11"/>
        <color rgb="FFFF0000"/>
        <rFont val="宋体"/>
        <family val="3"/>
        <charset val="134"/>
      </rPr>
      <t xml:space="preserve">★非住宅项目及用公共配套计算实为</t>
    </r>
    <r>
      <rPr>
        <sz val="11"/>
        <color rgb="FFFF0000"/>
        <rFont val="Arial"/>
        <family val="2"/>
        <charset val="1"/>
      </rPr>
      <t xml:space="preserve">0</t>
    </r>
    <r>
      <rPr>
        <sz val="11"/>
        <color rgb="FFFF0000"/>
        <rFont val="宋体"/>
        <family val="3"/>
        <charset val="134"/>
      </rPr>
      <t xml:space="preserve">★</t>
    </r>
  </si>
  <si>
    <t xml:space="preserve">红线内市政基础设施</t>
  </si>
  <si>
    <t xml:space="preserve">变化</t>
  </si>
  <si>
    <t xml:space="preserve">建造成本中相关税费</t>
  </si>
  <si>
    <r>
      <rPr>
        <sz val="10"/>
        <color rgb="FFFF0000"/>
        <rFont val="宋体"/>
        <family val="3"/>
        <charset val="134"/>
      </rPr>
      <t xml:space="preserve">定值：</t>
    </r>
    <r>
      <rPr>
        <sz val="10"/>
        <color rgb="FFFF0000"/>
        <rFont val="Arial"/>
        <family val="2"/>
        <charset val="1"/>
      </rPr>
      <t xml:space="preserve">1.5%</t>
    </r>
  </si>
  <si>
    <t xml:space="preserve">管理费用</t>
  </si>
  <si>
    <r>
      <rPr>
        <sz val="10"/>
        <color rgb="FFFF0000"/>
        <rFont val="宋体"/>
        <family val="3"/>
        <charset val="134"/>
      </rPr>
      <t xml:space="preserve">范围：</t>
    </r>
    <r>
      <rPr>
        <sz val="10"/>
        <color rgb="FFFF0000"/>
        <rFont val="Arial"/>
        <family val="2"/>
        <charset val="1"/>
      </rPr>
      <t xml:space="preserve">1%-3%</t>
    </r>
  </si>
  <si>
    <t xml:space="preserve">销售费用</t>
  </si>
  <si>
    <t xml:space="preserve">一年期存款利率</t>
  </si>
  <si>
    <r>
      <rPr>
        <sz val="11"/>
        <color rgb="FF000000"/>
        <rFont val="宋体"/>
        <family val="0"/>
        <charset val="134"/>
      </rPr>
      <t xml:space="preserve">利息：取</t>
    </r>
    <r>
      <rPr>
        <sz val="11"/>
        <color rgb="FF000000"/>
        <rFont val="Arial"/>
        <family val="2"/>
        <charset val="1"/>
      </rPr>
      <t xml:space="preserve">LPR</t>
    </r>
  </si>
  <si>
    <r>
      <rPr>
        <sz val="11"/>
        <color rgb="FF000000"/>
        <rFont val="宋体"/>
        <family val="3"/>
        <charset val="134"/>
      </rPr>
      <t xml:space="preserve">销售税费</t>
    </r>
    <r>
      <rPr>
        <sz val="11"/>
        <color rgb="FF000000"/>
        <rFont val="Arial"/>
        <family val="2"/>
        <charset val="1"/>
      </rPr>
      <t xml:space="preserve">/</t>
    </r>
    <r>
      <rPr>
        <sz val="11"/>
        <color rgb="FF000000"/>
        <rFont val="宋体"/>
        <family val="3"/>
        <charset val="134"/>
      </rPr>
      <t xml:space="preserve">两税两费</t>
    </r>
  </si>
  <si>
    <t xml:space="preserve">增值税</t>
  </si>
  <si>
    <t xml:space="preserve">附加税合计</t>
  </si>
  <si>
    <t xml:space="preserve">城市维护建设税</t>
  </si>
  <si>
    <r>
      <rPr>
        <sz val="10"/>
        <color rgb="FFFF0000"/>
        <rFont val="宋体"/>
        <family val="3"/>
        <charset val="134"/>
      </rPr>
      <t xml:space="preserve">★看各地政策。市区</t>
    </r>
    <r>
      <rPr>
        <sz val="10"/>
        <color rgb="FFFF0000"/>
        <rFont val="Arial"/>
        <family val="2"/>
        <charset val="1"/>
      </rPr>
      <t xml:space="preserve">7%</t>
    </r>
    <r>
      <rPr>
        <sz val="10"/>
        <color rgb="FFFF0000"/>
        <rFont val="宋体"/>
        <family val="3"/>
        <charset val="134"/>
      </rPr>
      <t xml:space="preserve">，县城和镇</t>
    </r>
    <r>
      <rPr>
        <sz val="10"/>
        <color rgb="FFFF0000"/>
        <rFont val="Arial"/>
        <family val="2"/>
        <charset val="1"/>
      </rPr>
      <t xml:space="preserve">5%</t>
    </r>
    <r>
      <rPr>
        <sz val="10"/>
        <color rgb="FFFF0000"/>
        <rFont val="宋体"/>
        <family val="3"/>
        <charset val="134"/>
      </rPr>
      <t xml:space="preserve">，乡村</t>
    </r>
    <r>
      <rPr>
        <sz val="10"/>
        <color rgb="FFFF0000"/>
        <rFont val="Arial"/>
        <family val="2"/>
        <charset val="1"/>
      </rPr>
      <t xml:space="preserve">1%</t>
    </r>
    <r>
      <rPr>
        <sz val="10"/>
        <color rgb="FFFF0000"/>
        <rFont val="宋体"/>
        <family val="3"/>
        <charset val="134"/>
      </rPr>
      <t xml:space="preserve">。大中型工矿企业所在地不在城市市区、县城、建制镇的，税率为</t>
    </r>
    <r>
      <rPr>
        <sz val="10"/>
        <color rgb="FFFF0000"/>
        <rFont val="Arial"/>
        <family val="2"/>
        <charset val="1"/>
      </rPr>
      <t xml:space="preserve">1%</t>
    </r>
    <r>
      <rPr>
        <sz val="10"/>
        <color rgb="FFFF0000"/>
        <rFont val="宋体"/>
        <family val="3"/>
        <charset val="134"/>
      </rPr>
      <t xml:space="preserve">★</t>
    </r>
  </si>
  <si>
    <t xml:space="preserve">教育费附加</t>
  </si>
  <si>
    <r>
      <rPr>
        <sz val="11"/>
        <color rgb="FFFF0000"/>
        <rFont val="宋体"/>
        <family val="3"/>
        <charset val="134"/>
      </rPr>
      <t xml:space="preserve">北京：</t>
    </r>
    <r>
      <rPr>
        <sz val="11"/>
        <color rgb="FFFF0000"/>
        <rFont val="Arial"/>
        <family val="2"/>
        <charset val="1"/>
      </rPr>
      <t xml:space="preserve">3%</t>
    </r>
  </si>
  <si>
    <t xml:space="preserve">地方教育费附加</t>
  </si>
  <si>
    <r>
      <rPr>
        <sz val="11"/>
        <color rgb="FFFF0000"/>
        <rFont val="宋体"/>
        <family val="3"/>
        <charset val="134"/>
      </rPr>
      <t xml:space="preserve">北京：</t>
    </r>
    <r>
      <rPr>
        <sz val="11"/>
        <color rgb="FFFF0000"/>
        <rFont val="Arial"/>
        <family val="2"/>
        <charset val="1"/>
      </rPr>
      <t xml:space="preserve">2%</t>
    </r>
  </si>
  <si>
    <t xml:space="preserve">其他税种</t>
  </si>
  <si>
    <t xml:space="preserve">★请录依据文件名称★：</t>
  </si>
  <si>
    <t xml:space="preserve">契税</t>
  </si>
  <si>
    <t xml:space="preserve">印花税</t>
  </si>
  <si>
    <r>
      <rPr>
        <sz val="11"/>
        <color rgb="FFFF0000"/>
        <rFont val="宋体"/>
        <family val="3"/>
        <charset val="134"/>
      </rPr>
      <t xml:space="preserve">北京：</t>
    </r>
    <r>
      <rPr>
        <sz val="11"/>
        <color rgb="FFFF0000"/>
        <rFont val="Arial"/>
        <family val="2"/>
        <charset val="1"/>
      </rPr>
      <t xml:space="preserve">0.05%</t>
    </r>
  </si>
  <si>
    <r>
      <rPr>
        <sz val="11"/>
        <color rgb="FF000000"/>
        <rFont val="宋体"/>
        <family val="3"/>
        <charset val="134"/>
      </rPr>
      <t xml:space="preserve">房产税</t>
    </r>
    <r>
      <rPr>
        <sz val="11"/>
        <color rgb="FF000000"/>
        <rFont val="Arial"/>
        <family val="2"/>
        <charset val="1"/>
      </rPr>
      <t xml:space="preserve">-</t>
    </r>
    <r>
      <rPr>
        <sz val="11"/>
        <color rgb="FF000000"/>
        <rFont val="宋体"/>
        <family val="3"/>
        <charset val="134"/>
      </rPr>
      <t xml:space="preserve">按原值计税</t>
    </r>
  </si>
  <si>
    <r>
      <rPr>
        <sz val="11"/>
        <color rgb="FF000000"/>
        <rFont val="宋体"/>
        <family val="3"/>
        <charset val="134"/>
      </rPr>
      <t xml:space="preserve">房产税</t>
    </r>
    <r>
      <rPr>
        <sz val="11"/>
        <color rgb="FF000000"/>
        <rFont val="Arial"/>
        <family val="2"/>
        <charset val="1"/>
      </rPr>
      <t xml:space="preserve">-</t>
    </r>
    <r>
      <rPr>
        <sz val="11"/>
        <color rgb="FF000000"/>
        <rFont val="宋体"/>
        <family val="3"/>
        <charset val="134"/>
      </rPr>
      <t xml:space="preserve">按租金计税</t>
    </r>
  </si>
  <si>
    <t xml:space="preserve">土地使用税</t>
  </si>
  <si>
    <t xml:space="preserve">城镇土地纳税等级分级范围</t>
  </si>
  <si>
    <t xml:space="preserve">北京</t>
  </si>
  <si>
    <r>
      <rPr>
        <sz val="11"/>
        <color rgb="FFFF0000"/>
        <rFont val="宋体"/>
        <family val="3"/>
        <charset val="134"/>
      </rPr>
      <t xml:space="preserve">★</t>
    </r>
    <r>
      <rPr>
        <sz val="11"/>
        <color rgb="FFFF0000"/>
        <rFont val="楷体_GB2312"/>
        <family val="0"/>
        <charset val="134"/>
      </rPr>
      <t xml:space="preserve">其他省市请录依据文件名称★：</t>
    </r>
  </si>
  <si>
    <t xml:space="preserve">房地产修正因素</t>
  </si>
  <si>
    <t xml:space="preserve">住宅、办公及商业</t>
  </si>
  <si>
    <t xml:space="preserve">区位状况</t>
  </si>
  <si>
    <t xml:space="preserve">估价对象周边居住用地比例、居住小区规模和社区发展完善程度，综合评价居住社区成熟度一般</t>
  </si>
  <si>
    <r>
      <rPr>
        <sz val="10"/>
        <color rgb="FFE46C0A"/>
        <rFont val="宋体"/>
        <family val="3"/>
        <charset val="134"/>
      </rPr>
      <t xml:space="preserve">估价对象位于</t>
    </r>
    <r>
      <rPr>
        <sz val="10"/>
        <color rgb="FFE46C0A"/>
        <rFont val="Arial"/>
        <family val="2"/>
        <charset val="1"/>
      </rPr>
      <t xml:space="preserve">XX</t>
    </r>
    <r>
      <rPr>
        <sz val="10"/>
        <color rgb="FFE46C0A"/>
        <rFont val="宋体"/>
        <family val="3"/>
        <charset val="134"/>
      </rPr>
      <t xml:space="preserve">开发区，园区建设成熟度</t>
    </r>
    <r>
      <rPr>
        <sz val="10"/>
        <color rgb="FFE46C0A"/>
        <rFont val="Arial"/>
        <family val="2"/>
        <charset val="1"/>
      </rPr>
      <t xml:space="preserve">XX</t>
    </r>
    <r>
      <rPr>
        <sz val="10"/>
        <color rgb="FFE46C0A"/>
        <rFont val="宋体"/>
        <family val="3"/>
        <charset val="134"/>
      </rPr>
      <t xml:space="preserve">，产业集聚程度</t>
    </r>
    <r>
      <rPr>
        <sz val="10"/>
        <color rgb="FFE46C0A"/>
        <rFont val="Arial"/>
        <family val="2"/>
        <charset val="1"/>
      </rPr>
      <t xml:space="preserve">XX</t>
    </r>
  </si>
  <si>
    <r>
      <rPr>
        <sz val="10"/>
        <color rgb="FFE46C0A"/>
        <rFont val="宋体"/>
        <family val="3"/>
        <charset val="134"/>
      </rPr>
      <t xml:space="preserve">估价对象位于</t>
    </r>
    <r>
      <rPr>
        <sz val="10"/>
        <color rgb="FFE46C0A"/>
        <rFont val="Arial"/>
        <family val="2"/>
        <charset val="1"/>
      </rPr>
      <t xml:space="preserve">XX</t>
    </r>
    <r>
      <rPr>
        <sz val="10"/>
        <color rgb="FFE46C0A"/>
        <rFont val="宋体"/>
        <family val="3"/>
        <charset val="134"/>
      </rPr>
      <t xml:space="preserve">商圈，周边商业氛围成熟，人流量大，商业繁华度好</t>
    </r>
  </si>
  <si>
    <t xml:space="preserve">估价对象周边道路状况、公共交通通达情况、停车便捷程度，综合评价交通便捷度较好</t>
  </si>
  <si>
    <r>
      <rPr>
        <sz val="10"/>
        <color rgb="FFE46C0A"/>
        <rFont val="宋体"/>
        <family val="3"/>
        <charset val="134"/>
      </rPr>
      <t xml:space="preserve">估价对象位于</t>
    </r>
    <r>
      <rPr>
        <sz val="10"/>
        <color rgb="FFE46C0A"/>
        <rFont val="Arial"/>
        <family val="2"/>
        <charset val="1"/>
      </rPr>
      <t xml:space="preserve">XX</t>
    </r>
    <r>
      <rPr>
        <sz val="10"/>
        <color rgb="FFE46C0A"/>
        <rFont val="宋体"/>
        <family val="3"/>
        <charset val="134"/>
      </rPr>
      <t xml:space="preserve">商圈，周边办公楼项目较多，入驻率高，办公集聚程度较好</t>
    </r>
  </si>
  <si>
    <t xml:space="preserve">估价对象所在区域公共配套设施齐备情况</t>
  </si>
  <si>
    <t xml:space="preserve">估价对象所在区域基础设施水平</t>
  </si>
  <si>
    <t xml:space="preserve">环境状况</t>
  </si>
  <si>
    <t xml:space="preserve">该园区内是否有污染型企业，绿化情况，卫生条件，整体环境状况判断</t>
  </si>
  <si>
    <t xml:space="preserve">自然及人文环境</t>
  </si>
  <si>
    <t xml:space="preserve">区域自然环境：；人文环境；综合评价环境状况一般</t>
  </si>
  <si>
    <t xml:space="preserve">毗邻道路的类型与等级</t>
  </si>
  <si>
    <t xml:space="preserve">土地修正因素</t>
  </si>
  <si>
    <t xml:space="preserve">自然及人文环境状况</t>
  </si>
  <si>
    <r>
      <rPr>
        <sz val="11"/>
        <color rgb="FF666666"/>
        <rFont val="微软雅黑"/>
        <family val="2"/>
        <charset val="134"/>
      </rPr>
      <t xml:space="preserve">（规划）建筑面积（m</t>
    </r>
    <r>
      <rPr>
        <b val="true"/>
        <vertAlign val="superscript"/>
        <sz val="8"/>
        <color rgb="FF666666"/>
        <rFont val="微软雅黑"/>
        <family val="2"/>
        <charset val="134"/>
      </rPr>
      <t xml:space="preserve">2</t>
    </r>
    <r>
      <rPr>
        <b val="true"/>
        <sz val="11"/>
        <color rgb="FF666666"/>
        <rFont val="微软雅黑"/>
        <family val="2"/>
        <charset val="134"/>
      </rPr>
      <t xml:space="preserve">）</t>
    </r>
  </si>
  <si>
    <r>
      <rPr>
        <sz val="11"/>
        <color rgb="FF666666"/>
        <rFont val="微软雅黑"/>
        <family val="2"/>
        <charset val="134"/>
      </rPr>
      <t xml:space="preserve">（分摊）土地面积（m</t>
    </r>
    <r>
      <rPr>
        <b val="true"/>
        <vertAlign val="superscript"/>
        <sz val="8"/>
        <color rgb="FF666666"/>
        <rFont val="微软雅黑"/>
        <family val="2"/>
        <charset val="134"/>
      </rPr>
      <t xml:space="preserve">2</t>
    </r>
    <r>
      <rPr>
        <b val="true"/>
        <sz val="11"/>
        <color rgb="FF666666"/>
        <rFont val="微软雅黑"/>
        <family val="2"/>
        <charset val="134"/>
      </rPr>
      <t xml:space="preserve">）</t>
    </r>
  </si>
  <si>
    <t xml:space="preserve">价值时点/估价期日</t>
  </si>
  <si>
    <t xml:space="preserve">总价（万元）</t>
  </si>
  <si>
    <t xml:space="preserve">楼面单价（元/平方米）</t>
  </si>
  <si>
    <t xml:space="preserve">地面单价（元/平方米）</t>
  </si>
  <si>
    <t xml:space="preserve">市场价值</t>
  </si>
  <si>
    <t xml:space="preserve">抵押价值</t>
  </si>
  <si>
    <t xml:space="preserve">抵押价值-已注销</t>
  </si>
  <si>
    <t xml:space="preserve">总投</t>
  </si>
  <si>
    <t xml:space="preserve">需转化为价格</t>
  </si>
  <si>
    <t xml:space="preserve">直接资本化率</t>
  </si>
  <si>
    <t xml:space="preserve">重置成新价</t>
  </si>
  <si>
    <t xml:space="preserve">市场价值（万元）</t>
  </si>
  <si>
    <t xml:space="preserve">抵押价值（万元）</t>
  </si>
  <si>
    <t xml:space="preserve">抵押价值-已注销（万元）</t>
  </si>
  <si>
    <t xml:space="preserve">抵押净值（万元）</t>
  </si>
  <si>
    <t xml:space="preserve">估价对象1（本表）</t>
  </si>
  <si>
    <t xml:space="preserve">估价对象2</t>
  </si>
  <si>
    <t xml:space="preserve">估价对象3</t>
  </si>
  <si>
    <t xml:space="preserve">估价对象4</t>
  </si>
  <si>
    <t xml:space="preserve">估价对象5</t>
  </si>
  <si>
    <t xml:space="preserve">估价对象6</t>
  </si>
  <si>
    <t xml:space="preserve">估价对象7</t>
  </si>
  <si>
    <t xml:space="preserve">估价对象8</t>
  </si>
  <si>
    <t xml:space="preserve">估价对象9</t>
  </si>
  <si>
    <t xml:space="preserve">估价对象10</t>
  </si>
  <si>
    <t xml:space="preserve">估价结果（过程）</t>
  </si>
  <si>
    <t xml:space="preserve">估价对象状态</t>
  </si>
  <si>
    <t xml:space="preserve">权重确定打分评价体系</t>
  </si>
  <si>
    <t xml:space="preserve">评价因素</t>
  </si>
  <si>
    <t xml:space="preserve">标准分值</t>
  </si>
  <si>
    <r>
      <rPr>
        <sz val="11"/>
        <color rgb="FF000000"/>
        <rFont val="宋体"/>
        <family val="0"/>
        <charset val="134"/>
      </rPr>
      <t xml:space="preserve">比较法</t>
    </r>
    <r>
      <rPr>
        <sz val="11"/>
        <color rgb="FF000000"/>
        <rFont val="Arial"/>
        <family val="2"/>
        <charset val="1"/>
      </rPr>
      <t xml:space="preserve">-</t>
    </r>
    <r>
      <rPr>
        <sz val="11"/>
        <color rgb="FF000000"/>
        <rFont val="宋体"/>
        <family val="0"/>
        <charset val="134"/>
      </rPr>
      <t xml:space="preserve">住宅</t>
    </r>
  </si>
  <si>
    <r>
      <rPr>
        <sz val="11"/>
        <color rgb="FF000000"/>
        <rFont val="宋体"/>
        <family val="0"/>
        <charset val="134"/>
      </rPr>
      <t xml:space="preserve">成本法 </t>
    </r>
    <r>
      <rPr>
        <sz val="11"/>
        <color rgb="FF000000"/>
        <rFont val="Arial"/>
        <family val="2"/>
        <charset val="1"/>
      </rPr>
      <t xml:space="preserve">(</t>
    </r>
    <r>
      <rPr>
        <sz val="11"/>
        <color rgb="FF000000"/>
        <rFont val="宋体"/>
        <family val="0"/>
        <charset val="134"/>
      </rPr>
      <t xml:space="preserve">元</t>
    </r>
    <r>
      <rPr>
        <sz val="11"/>
        <color rgb="FF000000"/>
        <rFont val="Arial"/>
        <family val="2"/>
        <charset val="1"/>
      </rPr>
      <t xml:space="preserve">)</t>
    </r>
  </si>
  <si>
    <t xml:space="preserve">打分考虑因素</t>
  </si>
  <si>
    <t xml:space="preserve">估价方法的代表性</t>
  </si>
  <si>
    <r>
      <rPr>
        <sz val="10"/>
        <color rgb="FF000000"/>
        <rFont val="Arial"/>
        <family val="2"/>
        <charset val="1"/>
      </rPr>
      <t xml:space="preserve">1.</t>
    </r>
    <r>
      <rPr>
        <sz val="10"/>
        <color rgb="FF000000"/>
        <rFont val="宋体"/>
        <family val="3"/>
        <charset val="134"/>
      </rPr>
      <t xml:space="preserve">估价方法选取分析</t>
    </r>
    <r>
      <rPr>
        <b val="true"/>
        <sz val="10"/>
        <color rgb="FF000000"/>
        <rFont val="宋体"/>
        <family val="3"/>
        <charset val="134"/>
      </rPr>
      <t xml:space="preserve">充分、合理</t>
    </r>
    <r>
      <rPr>
        <sz val="10"/>
        <color rgb="FF000000"/>
        <rFont val="宋体"/>
        <family val="3"/>
        <charset val="134"/>
      </rPr>
      <t xml:space="preserve">，取</t>
    </r>
    <r>
      <rPr>
        <sz val="10"/>
        <color rgb="FF000000"/>
        <rFont val="Arial"/>
        <family val="2"/>
        <charset val="1"/>
      </rPr>
      <t xml:space="preserve">20</t>
    </r>
    <r>
      <rPr>
        <sz val="10"/>
        <color rgb="FF000000"/>
        <rFont val="宋体"/>
        <family val="3"/>
        <charset val="134"/>
      </rPr>
      <t xml:space="preserve">～</t>
    </r>
    <r>
      <rPr>
        <sz val="10"/>
        <color rgb="FF000000"/>
        <rFont val="Arial"/>
        <family val="2"/>
        <charset val="1"/>
      </rPr>
      <t xml:space="preserve">25</t>
    </r>
    <r>
      <rPr>
        <sz val="10"/>
        <color rgb="FF000000"/>
        <rFont val="宋体"/>
        <family val="3"/>
        <charset val="134"/>
      </rPr>
      <t xml:space="preserve">分；</t>
    </r>
  </si>
  <si>
    <r>
      <rPr>
        <sz val="10"/>
        <color rgb="FF000000"/>
        <rFont val="Arial"/>
        <family val="2"/>
        <charset val="1"/>
      </rPr>
      <t xml:space="preserve">2.</t>
    </r>
    <r>
      <rPr>
        <sz val="10"/>
        <color rgb="FF000000"/>
        <rFont val="宋体"/>
        <family val="3"/>
        <charset val="134"/>
      </rPr>
      <t xml:space="preserve">估价方法选取分析</t>
    </r>
    <r>
      <rPr>
        <b val="true"/>
        <sz val="10"/>
        <color rgb="FF000000"/>
        <rFont val="宋体"/>
        <family val="3"/>
        <charset val="134"/>
      </rPr>
      <t xml:space="preserve">较充分、合理</t>
    </r>
    <r>
      <rPr>
        <sz val="10"/>
        <color rgb="FF000000"/>
        <rFont val="宋体"/>
        <family val="3"/>
        <charset val="134"/>
      </rPr>
      <t xml:space="preserve">，取</t>
    </r>
    <r>
      <rPr>
        <sz val="10"/>
        <color rgb="FF000000"/>
        <rFont val="Arial"/>
        <family val="2"/>
        <charset val="1"/>
      </rPr>
      <t xml:space="preserve">10</t>
    </r>
    <r>
      <rPr>
        <sz val="10"/>
        <color rgb="FF000000"/>
        <rFont val="宋体"/>
        <family val="3"/>
        <charset val="134"/>
      </rPr>
      <t xml:space="preserve">～</t>
    </r>
    <r>
      <rPr>
        <sz val="10"/>
        <color rgb="FF000000"/>
        <rFont val="Arial"/>
        <family val="2"/>
        <charset val="1"/>
      </rPr>
      <t xml:space="preserve">19</t>
    </r>
    <r>
      <rPr>
        <sz val="10"/>
        <color rgb="FF000000"/>
        <rFont val="宋体"/>
        <family val="3"/>
        <charset val="134"/>
      </rPr>
      <t xml:space="preserve">分；</t>
    </r>
  </si>
  <si>
    <r>
      <rPr>
        <sz val="10"/>
        <color rgb="FF000000"/>
        <rFont val="Arial"/>
        <family val="2"/>
        <charset val="1"/>
      </rPr>
      <t xml:space="preserve">3.</t>
    </r>
    <r>
      <rPr>
        <sz val="10"/>
        <color rgb="FF000000"/>
        <rFont val="宋体"/>
        <family val="3"/>
        <charset val="134"/>
      </rPr>
      <t xml:space="preserve">估价方法选取分析</t>
    </r>
    <r>
      <rPr>
        <b val="true"/>
        <sz val="10"/>
        <color rgb="FF000000"/>
        <rFont val="宋体"/>
        <family val="3"/>
        <charset val="134"/>
      </rPr>
      <t xml:space="preserve">较不充分</t>
    </r>
    <r>
      <rPr>
        <sz val="10"/>
        <color rgb="FF000000"/>
        <rFont val="宋体"/>
        <family val="3"/>
        <charset val="134"/>
      </rPr>
      <t xml:space="preserve">，取</t>
    </r>
    <r>
      <rPr>
        <sz val="10"/>
        <color rgb="FF000000"/>
        <rFont val="Arial"/>
        <family val="2"/>
        <charset val="1"/>
      </rPr>
      <t xml:space="preserve">0</t>
    </r>
    <r>
      <rPr>
        <sz val="10"/>
        <color rgb="FF000000"/>
        <rFont val="宋体"/>
        <family val="3"/>
        <charset val="134"/>
      </rPr>
      <t xml:space="preserve">～</t>
    </r>
    <r>
      <rPr>
        <sz val="10"/>
        <color rgb="FF000000"/>
        <rFont val="Arial"/>
        <family val="2"/>
        <charset val="1"/>
      </rPr>
      <t xml:space="preserve">9</t>
    </r>
    <r>
      <rPr>
        <sz val="10"/>
        <color rgb="FF000000"/>
        <rFont val="宋体"/>
        <family val="3"/>
        <charset val="134"/>
      </rPr>
      <t xml:space="preserve">分；</t>
    </r>
  </si>
  <si>
    <t xml:space="preserve">估价方法所要求的估价资料的完整性</t>
  </si>
  <si>
    <r>
      <rPr>
        <sz val="10"/>
        <color rgb="FF000000"/>
        <rFont val="Arial"/>
        <family val="2"/>
        <charset val="1"/>
      </rPr>
      <t xml:space="preserve">1.</t>
    </r>
    <r>
      <rPr>
        <sz val="10"/>
        <color rgb="FF000000"/>
        <rFont val="宋体"/>
        <family val="3"/>
        <charset val="134"/>
      </rPr>
      <t xml:space="preserve">估价资料</t>
    </r>
    <r>
      <rPr>
        <b val="true"/>
        <sz val="10"/>
        <color rgb="FF000000"/>
        <rFont val="宋体"/>
        <family val="3"/>
        <charset val="134"/>
      </rPr>
      <t xml:space="preserve">完整</t>
    </r>
    <r>
      <rPr>
        <sz val="10"/>
        <color rgb="FF000000"/>
        <rFont val="宋体"/>
        <family val="3"/>
        <charset val="134"/>
      </rPr>
      <t xml:space="preserve">，来源依据充分，取</t>
    </r>
    <r>
      <rPr>
        <sz val="10"/>
        <color rgb="FF000000"/>
        <rFont val="Arial"/>
        <family val="2"/>
        <charset val="1"/>
      </rPr>
      <t xml:space="preserve">10</t>
    </r>
    <r>
      <rPr>
        <sz val="10"/>
        <color rgb="FF000000"/>
        <rFont val="宋体"/>
        <family val="3"/>
        <charset val="134"/>
      </rPr>
      <t xml:space="preserve">～</t>
    </r>
    <r>
      <rPr>
        <sz val="10"/>
        <color rgb="FF000000"/>
        <rFont val="Arial"/>
        <family val="2"/>
        <charset val="1"/>
      </rPr>
      <t xml:space="preserve">15</t>
    </r>
    <r>
      <rPr>
        <sz val="10"/>
        <color rgb="FF000000"/>
        <rFont val="宋体"/>
        <family val="3"/>
        <charset val="134"/>
      </rPr>
      <t xml:space="preserve">分；</t>
    </r>
  </si>
  <si>
    <r>
      <rPr>
        <sz val="10"/>
        <color rgb="FF000000"/>
        <rFont val="Arial"/>
        <family val="2"/>
        <charset val="1"/>
      </rPr>
      <t xml:space="preserve">2.</t>
    </r>
    <r>
      <rPr>
        <sz val="10"/>
        <color rgb="FF000000"/>
        <rFont val="宋体"/>
        <family val="3"/>
        <charset val="134"/>
      </rPr>
      <t xml:space="preserve">估价资料有</t>
    </r>
    <r>
      <rPr>
        <b val="true"/>
        <sz val="10"/>
        <color rgb="FF000000"/>
        <rFont val="宋体"/>
        <family val="3"/>
        <charset val="134"/>
      </rPr>
      <t xml:space="preserve">欠缺</t>
    </r>
    <r>
      <rPr>
        <sz val="10"/>
        <color rgb="FF000000"/>
        <rFont val="宋体"/>
        <family val="3"/>
        <charset val="134"/>
      </rPr>
      <t xml:space="preserve">，来源依据较不充分，取</t>
    </r>
    <r>
      <rPr>
        <sz val="10"/>
        <color rgb="FF000000"/>
        <rFont val="Arial"/>
        <family val="2"/>
        <charset val="1"/>
      </rPr>
      <t xml:space="preserve">0</t>
    </r>
    <r>
      <rPr>
        <sz val="10"/>
        <color rgb="FF000000"/>
        <rFont val="宋体"/>
        <family val="3"/>
        <charset val="134"/>
      </rPr>
      <t xml:space="preserve">～</t>
    </r>
    <r>
      <rPr>
        <sz val="10"/>
        <color rgb="FF000000"/>
        <rFont val="Arial"/>
        <family val="2"/>
        <charset val="1"/>
      </rPr>
      <t xml:space="preserve">9</t>
    </r>
    <r>
      <rPr>
        <sz val="10"/>
        <color rgb="FF000000"/>
        <rFont val="宋体"/>
        <family val="3"/>
        <charset val="134"/>
      </rPr>
      <t xml:space="preserve">分；</t>
    </r>
  </si>
  <si>
    <t xml:space="preserve">参数选取的客观性</t>
  </si>
  <si>
    <r>
      <rPr>
        <sz val="10"/>
        <color rgb="FF000000"/>
        <rFont val="Arial"/>
        <family val="2"/>
        <charset val="1"/>
      </rPr>
      <t xml:space="preserve">1.</t>
    </r>
    <r>
      <rPr>
        <sz val="10"/>
        <color rgb="FF000000"/>
        <rFont val="宋体"/>
        <family val="3"/>
        <charset val="134"/>
      </rPr>
      <t xml:space="preserve">参数从</t>
    </r>
    <r>
      <rPr>
        <b val="true"/>
        <sz val="10"/>
        <color rgb="FF000000"/>
        <rFont val="宋体"/>
        <family val="3"/>
        <charset val="134"/>
      </rPr>
      <t xml:space="preserve">市场上获取</t>
    </r>
    <r>
      <rPr>
        <sz val="10"/>
        <color rgb="FF000000"/>
        <rFont val="宋体"/>
        <family val="3"/>
        <charset val="134"/>
      </rPr>
      <t xml:space="preserve">，或从权威机构发布的信息上获取，取</t>
    </r>
    <r>
      <rPr>
        <sz val="10"/>
        <color rgb="FF000000"/>
        <rFont val="Arial"/>
        <family val="2"/>
        <charset val="1"/>
      </rPr>
      <t xml:space="preserve">10</t>
    </r>
    <r>
      <rPr>
        <sz val="10"/>
        <color rgb="FF000000"/>
        <rFont val="宋体"/>
        <family val="3"/>
        <charset val="134"/>
      </rPr>
      <t xml:space="preserve">～</t>
    </r>
    <r>
      <rPr>
        <sz val="10"/>
        <color rgb="FF000000"/>
        <rFont val="Arial"/>
        <family val="2"/>
        <charset val="1"/>
      </rPr>
      <t xml:space="preserve">15</t>
    </r>
    <r>
      <rPr>
        <sz val="10"/>
        <color rgb="FF000000"/>
        <rFont val="宋体"/>
        <family val="3"/>
        <charset val="134"/>
      </rPr>
      <t xml:space="preserve">分；</t>
    </r>
  </si>
  <si>
    <r>
      <rPr>
        <sz val="10"/>
        <color rgb="FF000000"/>
        <rFont val="Arial"/>
        <family val="2"/>
        <charset val="1"/>
      </rPr>
      <t xml:space="preserve">2.</t>
    </r>
    <r>
      <rPr>
        <sz val="10"/>
        <color rgb="FF000000"/>
        <rFont val="宋体"/>
        <family val="3"/>
        <charset val="134"/>
      </rPr>
      <t xml:space="preserve">部分参数为</t>
    </r>
    <r>
      <rPr>
        <b val="true"/>
        <sz val="10"/>
        <color rgb="FF000000"/>
        <rFont val="宋体"/>
        <family val="3"/>
        <charset val="134"/>
      </rPr>
      <t xml:space="preserve">自行分析</t>
    </r>
    <r>
      <rPr>
        <sz val="10"/>
        <color rgb="FF000000"/>
        <rFont val="宋体"/>
        <family val="3"/>
        <charset val="134"/>
      </rPr>
      <t xml:space="preserve">取得，理由较充分，取</t>
    </r>
    <r>
      <rPr>
        <sz val="10"/>
        <color rgb="FF000000"/>
        <rFont val="Arial"/>
        <family val="2"/>
        <charset val="1"/>
      </rPr>
      <t xml:space="preserve">0</t>
    </r>
    <r>
      <rPr>
        <sz val="10"/>
        <color rgb="FF000000"/>
        <rFont val="宋体"/>
        <family val="3"/>
        <charset val="134"/>
      </rPr>
      <t xml:space="preserve">～</t>
    </r>
    <r>
      <rPr>
        <sz val="10"/>
        <color rgb="FF000000"/>
        <rFont val="Arial"/>
        <family val="2"/>
        <charset val="1"/>
      </rPr>
      <t xml:space="preserve">9</t>
    </r>
    <r>
      <rPr>
        <sz val="10"/>
        <color rgb="FF000000"/>
        <rFont val="宋体"/>
        <family val="3"/>
        <charset val="134"/>
      </rPr>
      <t xml:space="preserve">分；</t>
    </r>
  </si>
  <si>
    <t xml:space="preserve">参数确定的时效性</t>
  </si>
  <si>
    <r>
      <rPr>
        <sz val="10"/>
        <color rgb="FF000000"/>
        <rFont val="Arial"/>
        <family val="2"/>
        <charset val="1"/>
      </rPr>
      <t xml:space="preserve">1.</t>
    </r>
    <r>
      <rPr>
        <sz val="10"/>
        <color rgb="FF000000"/>
        <rFont val="宋体"/>
        <family val="3"/>
        <charset val="134"/>
      </rPr>
      <t xml:space="preserve">参数在规定的时效范围内，且距估价期日</t>
    </r>
    <r>
      <rPr>
        <b val="true"/>
        <sz val="10"/>
        <color rgb="FF000000"/>
        <rFont val="宋体"/>
        <family val="3"/>
        <charset val="134"/>
      </rPr>
      <t xml:space="preserve">未超过</t>
    </r>
    <r>
      <rPr>
        <b val="true"/>
        <sz val="10"/>
        <color rgb="FF000000"/>
        <rFont val="Arial"/>
        <family val="2"/>
        <charset val="1"/>
      </rPr>
      <t xml:space="preserve">1</t>
    </r>
    <r>
      <rPr>
        <b val="true"/>
        <sz val="10"/>
        <color rgb="FF000000"/>
        <rFont val="宋体"/>
        <family val="3"/>
        <charset val="134"/>
      </rPr>
      <t xml:space="preserve">年</t>
    </r>
    <r>
      <rPr>
        <sz val="10"/>
        <color rgb="FF000000"/>
        <rFont val="宋体"/>
        <family val="3"/>
        <charset val="134"/>
      </rPr>
      <t xml:space="preserve">，取</t>
    </r>
    <r>
      <rPr>
        <sz val="10"/>
        <color rgb="FF000000"/>
        <rFont val="Arial"/>
        <family val="2"/>
        <charset val="1"/>
      </rPr>
      <t xml:space="preserve">10</t>
    </r>
    <r>
      <rPr>
        <sz val="10"/>
        <color rgb="FF000000"/>
        <rFont val="宋体"/>
        <family val="3"/>
        <charset val="134"/>
      </rPr>
      <t xml:space="preserve">～</t>
    </r>
    <r>
      <rPr>
        <sz val="10"/>
        <color rgb="FF000000"/>
        <rFont val="Arial"/>
        <family val="2"/>
        <charset val="1"/>
      </rPr>
      <t xml:space="preserve">15</t>
    </r>
    <r>
      <rPr>
        <sz val="10"/>
        <color rgb="FF000000"/>
        <rFont val="宋体"/>
        <family val="3"/>
        <charset val="134"/>
      </rPr>
      <t xml:space="preserve">分；</t>
    </r>
  </si>
  <si>
    <r>
      <rPr>
        <sz val="10"/>
        <color rgb="FF000000"/>
        <rFont val="Arial"/>
        <family val="2"/>
        <charset val="1"/>
      </rPr>
      <t xml:space="preserve">2.</t>
    </r>
    <r>
      <rPr>
        <sz val="10"/>
        <color rgb="FF000000"/>
        <rFont val="宋体"/>
        <family val="3"/>
        <charset val="134"/>
      </rPr>
      <t xml:space="preserve">参数在规定的时效范围内，但距估价期日</t>
    </r>
    <r>
      <rPr>
        <b val="true"/>
        <sz val="10"/>
        <color rgb="FF000000"/>
        <rFont val="宋体"/>
        <family val="3"/>
        <charset val="134"/>
      </rPr>
      <t xml:space="preserve">超过</t>
    </r>
    <r>
      <rPr>
        <b val="true"/>
        <sz val="10"/>
        <color rgb="FF000000"/>
        <rFont val="Arial"/>
        <family val="2"/>
        <charset val="1"/>
      </rPr>
      <t xml:space="preserve">1</t>
    </r>
    <r>
      <rPr>
        <b val="true"/>
        <sz val="10"/>
        <color rgb="FF000000"/>
        <rFont val="宋体"/>
        <family val="3"/>
        <charset val="134"/>
      </rPr>
      <t xml:space="preserve">年</t>
    </r>
    <r>
      <rPr>
        <sz val="10"/>
        <color rgb="FF000000"/>
        <rFont val="宋体"/>
        <family val="3"/>
        <charset val="134"/>
      </rPr>
      <t xml:space="preserve">，取</t>
    </r>
    <r>
      <rPr>
        <sz val="10"/>
        <color rgb="FF000000"/>
        <rFont val="Arial"/>
        <family val="2"/>
        <charset val="1"/>
      </rPr>
      <t xml:space="preserve">0</t>
    </r>
    <r>
      <rPr>
        <sz val="10"/>
        <color rgb="FF000000"/>
        <rFont val="宋体"/>
        <family val="3"/>
        <charset val="134"/>
      </rPr>
      <t xml:space="preserve">～</t>
    </r>
    <r>
      <rPr>
        <sz val="10"/>
        <color rgb="FF000000"/>
        <rFont val="Arial"/>
        <family val="2"/>
        <charset val="1"/>
      </rPr>
      <t xml:space="preserve">9</t>
    </r>
    <r>
      <rPr>
        <sz val="10"/>
        <color rgb="FF000000"/>
        <rFont val="宋体"/>
        <family val="3"/>
        <charset val="134"/>
      </rPr>
      <t xml:space="preserve">分；</t>
    </r>
  </si>
  <si>
    <t xml:space="preserve">估价结果的现势性</t>
  </si>
  <si>
    <r>
      <rPr>
        <sz val="10"/>
        <color rgb="FF000000"/>
        <rFont val="Arial"/>
        <family val="2"/>
        <charset val="1"/>
      </rPr>
      <t xml:space="preserve">1.</t>
    </r>
    <r>
      <rPr>
        <sz val="10"/>
        <color rgb="FF000000"/>
        <rFont val="宋体"/>
        <family val="3"/>
        <charset val="134"/>
      </rPr>
      <t xml:space="preserve">估价结果与同类用途房地产市场</t>
    </r>
    <r>
      <rPr>
        <b val="true"/>
        <sz val="10"/>
        <color rgb="FF000000"/>
        <rFont val="宋体"/>
        <family val="3"/>
        <charset val="134"/>
      </rPr>
      <t xml:space="preserve">价格水平一致</t>
    </r>
    <r>
      <rPr>
        <sz val="10"/>
        <color rgb="FF000000"/>
        <rFont val="宋体"/>
        <family val="3"/>
        <charset val="134"/>
      </rPr>
      <t xml:space="preserve">，且考虑了房地产市场发展趋势，取</t>
    </r>
    <r>
      <rPr>
        <sz val="10"/>
        <color rgb="FF000000"/>
        <rFont val="Arial"/>
        <family val="2"/>
        <charset val="1"/>
      </rPr>
      <t xml:space="preserve">20</t>
    </r>
    <r>
      <rPr>
        <sz val="10"/>
        <color rgb="FF000000"/>
        <rFont val="宋体"/>
        <family val="3"/>
        <charset val="134"/>
      </rPr>
      <t xml:space="preserve">～</t>
    </r>
    <r>
      <rPr>
        <sz val="10"/>
        <color rgb="FF000000"/>
        <rFont val="Arial"/>
        <family val="2"/>
        <charset val="1"/>
      </rPr>
      <t xml:space="preserve">30</t>
    </r>
    <r>
      <rPr>
        <sz val="10"/>
        <color rgb="FF000000"/>
        <rFont val="宋体"/>
        <family val="3"/>
        <charset val="134"/>
      </rPr>
      <t xml:space="preserve">分；</t>
    </r>
  </si>
  <si>
    <r>
      <rPr>
        <sz val="10"/>
        <color rgb="FF000000"/>
        <rFont val="Arial"/>
        <family val="2"/>
        <charset val="1"/>
      </rPr>
      <t xml:space="preserve">2.</t>
    </r>
    <r>
      <rPr>
        <sz val="10"/>
        <color rgb="FF000000"/>
        <rFont val="宋体"/>
        <family val="3"/>
        <charset val="134"/>
      </rPr>
      <t xml:space="preserve">估价结果与同类用途房地产价格</t>
    </r>
    <r>
      <rPr>
        <b val="true"/>
        <sz val="10"/>
        <color rgb="FF000000"/>
        <rFont val="宋体"/>
        <family val="3"/>
        <charset val="134"/>
      </rPr>
      <t xml:space="preserve">水平基本一致</t>
    </r>
    <r>
      <rPr>
        <sz val="10"/>
        <color rgb="FF000000"/>
        <rFont val="宋体"/>
        <family val="3"/>
        <charset val="134"/>
      </rPr>
      <t xml:space="preserve">，且适当考虑了房地产市场发展趋势，取</t>
    </r>
    <r>
      <rPr>
        <sz val="10"/>
        <color rgb="FF000000"/>
        <rFont val="Arial"/>
        <family val="2"/>
        <charset val="1"/>
      </rPr>
      <t xml:space="preserve">10</t>
    </r>
    <r>
      <rPr>
        <sz val="10"/>
        <color rgb="FF000000"/>
        <rFont val="宋体"/>
        <family val="3"/>
        <charset val="134"/>
      </rPr>
      <t xml:space="preserve">～</t>
    </r>
    <r>
      <rPr>
        <sz val="10"/>
        <color rgb="FF000000"/>
        <rFont val="Arial"/>
        <family val="2"/>
        <charset val="1"/>
      </rPr>
      <t xml:space="preserve">19</t>
    </r>
    <r>
      <rPr>
        <sz val="10"/>
        <color rgb="FF000000"/>
        <rFont val="宋体"/>
        <family val="3"/>
        <charset val="134"/>
      </rPr>
      <t xml:space="preserve">分；</t>
    </r>
  </si>
  <si>
    <r>
      <rPr>
        <sz val="10"/>
        <color rgb="FF000000"/>
        <rFont val="Arial"/>
        <family val="2"/>
        <charset val="1"/>
      </rPr>
      <t xml:space="preserve">3.</t>
    </r>
    <r>
      <rPr>
        <sz val="10"/>
        <color rgb="FF000000"/>
        <rFont val="宋体"/>
        <family val="3"/>
        <charset val="134"/>
      </rPr>
      <t xml:space="preserve">估价结果与同类用途房地产</t>
    </r>
    <r>
      <rPr>
        <b val="true"/>
        <sz val="10"/>
        <color rgb="FF000000"/>
        <rFont val="宋体"/>
        <family val="3"/>
        <charset val="134"/>
      </rPr>
      <t xml:space="preserve">价格水平有一定差距</t>
    </r>
    <r>
      <rPr>
        <sz val="10"/>
        <color rgb="FF000000"/>
        <rFont val="宋体"/>
        <family val="3"/>
        <charset val="134"/>
      </rPr>
      <t xml:space="preserve">，且适当考虑房地产市场发展趋势，取</t>
    </r>
    <r>
      <rPr>
        <sz val="10"/>
        <color rgb="FF000000"/>
        <rFont val="Arial"/>
        <family val="2"/>
        <charset val="1"/>
      </rPr>
      <t xml:space="preserve">0</t>
    </r>
    <r>
      <rPr>
        <sz val="10"/>
        <color rgb="FF000000"/>
        <rFont val="宋体"/>
        <family val="3"/>
        <charset val="134"/>
      </rPr>
      <t xml:space="preserve">～</t>
    </r>
    <r>
      <rPr>
        <sz val="10"/>
        <color rgb="FF000000"/>
        <rFont val="Arial"/>
        <family val="2"/>
        <charset val="1"/>
      </rPr>
      <t xml:space="preserve">9</t>
    </r>
    <r>
      <rPr>
        <sz val="10"/>
        <color rgb="FF000000"/>
        <rFont val="宋体"/>
        <family val="3"/>
        <charset val="134"/>
      </rPr>
      <t xml:space="preserve">分；</t>
    </r>
  </si>
  <si>
    <t xml:space="preserve">分值</t>
  </si>
  <si>
    <t xml:space="preserve">含分摊设备建面</t>
  </si>
  <si>
    <t xml:space="preserve">用途建面</t>
  </si>
  <si>
    <t xml:space="preserve">权重</t>
  </si>
  <si>
    <t xml:space="preserve">★此处仍为计算过程，权重结果非最终结果，总价和单价分别为各自权重值，无直接关联★</t>
  </si>
  <si>
    <t xml:space="preserve">各方法结果</t>
  </si>
  <si>
    <t xml:space="preserve">权重结果</t>
  </si>
  <si>
    <t xml:space="preserve">万元</t>
  </si>
  <si>
    <r>
      <rPr>
        <sz val="10"/>
        <color rgb="FF000000"/>
        <rFont val="宋体"/>
        <family val="3"/>
        <charset val="134"/>
      </rPr>
      <t xml:space="preserve">元</t>
    </r>
    <r>
      <rPr>
        <sz val="10"/>
        <color rgb="FF000000"/>
        <rFont val="Arial"/>
        <family val="2"/>
        <charset val="1"/>
      </rPr>
      <t xml:space="preserve">/</t>
    </r>
    <r>
      <rPr>
        <sz val="10"/>
        <color rgb="FF000000"/>
        <rFont val="宋体"/>
        <family val="3"/>
        <charset val="134"/>
      </rPr>
      <t xml:space="preserve">平方米</t>
    </r>
  </si>
  <si>
    <t xml:space="preserve">地面单价</t>
  </si>
  <si>
    <t xml:space="preserve">各方法结果差值</t>
  </si>
  <si>
    <r>
      <rPr>
        <b val="true"/>
        <sz val="11"/>
        <color rgb="FF000000"/>
        <rFont val="宋体"/>
        <family val="3"/>
        <charset val="134"/>
      </rPr>
      <t xml:space="preserve">扣减项</t>
    </r>
    <r>
      <rPr>
        <b val="true"/>
        <sz val="11"/>
        <color rgb="FF000000"/>
        <rFont val="Arial"/>
        <family val="2"/>
        <charset val="1"/>
      </rPr>
      <t xml:space="preserve">(</t>
    </r>
    <r>
      <rPr>
        <b val="true"/>
        <sz val="11"/>
        <color rgb="FF000000"/>
        <rFont val="宋体"/>
        <family val="3"/>
        <charset val="134"/>
      </rPr>
      <t xml:space="preserve">出让金、平整费用等</t>
    </r>
    <r>
      <rPr>
        <b val="true"/>
        <sz val="11"/>
        <color rgb="FF000000"/>
        <rFont val="Arial"/>
        <family val="2"/>
        <charset val="1"/>
      </rPr>
      <t xml:space="preserve">)</t>
    </r>
  </si>
  <si>
    <t xml:space="preserve">扣减项</t>
  </si>
  <si>
    <t xml:space="preserve">面积</t>
  </si>
  <si>
    <t xml:space="preserve">★合计部分请自行录入公式，很重要，与C32结果相关★</t>
  </si>
  <si>
    <t xml:space="preserve">★此线以下显示的为最终结果★</t>
  </si>
  <si>
    <t xml:space="preserve">土地与建筑物价值分配原则</t>
  </si>
  <si>
    <t xml:space="preserve">自定义比例设置</t>
  </si>
  <si>
    <t xml:space="preserve">土地价值</t>
  </si>
  <si>
    <t xml:space="preserve">建筑物价值</t>
  </si>
  <si>
    <t xml:space="preserve">优先受偿情况</t>
  </si>
  <si>
    <t xml:space="preserve">已抵押担保数额</t>
  </si>
  <si>
    <t xml:space="preserve">拖欠工程款</t>
  </si>
  <si>
    <t xml:space="preserve">其他</t>
  </si>
  <si>
    <t xml:space="preserve">补交地价款</t>
  </si>
  <si>
    <t xml:space="preserve">税费</t>
  </si>
  <si>
    <r>
      <rPr>
        <sz val="10"/>
        <color rgb="FF000000"/>
        <rFont val="Arial"/>
        <family val="2"/>
        <charset val="1"/>
      </rPr>
      <t xml:space="preserve">(</t>
    </r>
    <r>
      <rPr>
        <sz val="10"/>
        <color rgb="FF000000"/>
        <rFont val="宋体"/>
        <family val="3"/>
        <charset val="134"/>
      </rPr>
      <t xml:space="preserve">列示计算过程</t>
    </r>
    <r>
      <rPr>
        <sz val="10"/>
        <color rgb="FF000000"/>
        <rFont val="Arial"/>
        <family val="2"/>
        <charset val="1"/>
      </rPr>
      <t xml:space="preserve">,</t>
    </r>
  </si>
  <si>
    <r>
      <rPr>
        <sz val="10"/>
        <color rgb="FF000000"/>
        <rFont val="宋体"/>
        <family val="3"/>
        <charset val="134"/>
      </rPr>
      <t xml:space="preserve">不固定格式</t>
    </r>
    <r>
      <rPr>
        <sz val="10"/>
        <color rgb="FF000000"/>
        <rFont val="Arial"/>
        <family val="2"/>
        <charset val="1"/>
      </rPr>
      <t xml:space="preserve">)</t>
    </r>
  </si>
  <si>
    <t xml:space="preserve">抵押净值计算</t>
  </si>
  <si>
    <t xml:space="preserve">预计处置时需缴纳的各项地价、税费清单计算明细表</t>
  </si>
  <si>
    <r>
      <rPr>
        <b val="true"/>
        <sz val="10"/>
        <color rgb="FF000000"/>
        <rFont val="宋体"/>
        <family val="3"/>
        <charset val="134"/>
      </rPr>
      <t xml:space="preserve">净值计算基数</t>
    </r>
    <r>
      <rPr>
        <b val="true"/>
        <sz val="10"/>
        <color rgb="FF000000"/>
        <rFont val="宋体"/>
        <family val="0"/>
        <charset val="134"/>
      </rPr>
      <t xml:space="preserve">“</t>
    </r>
    <r>
      <rPr>
        <b val="true"/>
        <sz val="10"/>
        <color rgb="FF000000"/>
        <rFont val="宋体"/>
        <family val="3"/>
        <charset val="134"/>
      </rPr>
      <t xml:space="preserve">房地产销售收入</t>
    </r>
    <r>
      <rPr>
        <b val="true"/>
        <sz val="10"/>
        <color rgb="FF000000"/>
        <rFont val="宋体"/>
        <family val="0"/>
        <charset val="134"/>
      </rPr>
      <t xml:space="preserve">”</t>
    </r>
  </si>
  <si>
    <t xml:space="preserve">按评估值的</t>
  </si>
  <si>
    <t xml:space="preserve">计算</t>
  </si>
  <si>
    <t xml:space="preserve">估价对象基本情况</t>
  </si>
  <si>
    <t xml:space="preserve">处置时需缴纳的相关税费</t>
  </si>
  <si>
    <t xml:space="preserve">税（费）种</t>
  </si>
  <si>
    <t xml:space="preserve">金额</t>
  </si>
  <si>
    <t xml:space="preserve">计算方法</t>
  </si>
  <si>
    <t xml:space="preserve">税（费）率</t>
  </si>
  <si>
    <r>
      <rPr>
        <sz val="10"/>
        <color rgb="FF000000"/>
        <rFont val="Arial"/>
        <family val="2"/>
        <charset val="1"/>
      </rPr>
      <t xml:space="preserve">1.</t>
    </r>
    <r>
      <rPr>
        <sz val="10"/>
        <color rgb="FF000000"/>
        <rFont val="宋体"/>
        <family val="3"/>
        <charset val="134"/>
      </rPr>
      <t xml:space="preserve">增值税及附加</t>
    </r>
  </si>
  <si>
    <t xml:space="preserve">属于免缴时请录入面缴类别</t>
  </si>
  <si>
    <t xml:space="preserve">评估总值</t>
  </si>
  <si>
    <r>
      <rPr>
        <sz val="10"/>
        <color rgb="FF000000"/>
        <rFont val="宋体"/>
        <family val="3"/>
        <charset val="134"/>
      </rPr>
      <t xml:space="preserve">情况</t>
    </r>
    <r>
      <rPr>
        <sz val="10"/>
        <color rgb="FF000000"/>
        <rFont val="Arial"/>
        <family val="2"/>
        <charset val="1"/>
      </rPr>
      <t xml:space="preserve">1</t>
    </r>
    <r>
      <rPr>
        <sz val="10"/>
        <color rgb="FF000000"/>
        <rFont val="宋体"/>
        <family val="3"/>
        <charset val="134"/>
      </rPr>
      <t xml:space="preserve">：</t>
    </r>
  </si>
  <si>
    <r>
      <rPr>
        <sz val="10"/>
        <color rgb="FF000000"/>
        <rFont val="宋体"/>
        <family val="3"/>
        <charset val="134"/>
      </rPr>
      <t xml:space="preserve">个人购买的</t>
    </r>
    <r>
      <rPr>
        <sz val="10"/>
        <color rgb="FF000000"/>
        <rFont val="Arial"/>
        <family val="2"/>
        <charset val="1"/>
      </rPr>
      <t xml:space="preserve">2</t>
    </r>
    <r>
      <rPr>
        <sz val="10"/>
        <color rgb="FF000000"/>
        <rFont val="宋体"/>
        <family val="3"/>
        <charset val="134"/>
      </rPr>
      <t xml:space="preserve">年以上的普通住宅（北上广深）</t>
    </r>
  </si>
  <si>
    <t xml:space="preserve">免征</t>
  </si>
  <si>
    <t xml:space="preserve">北京普宅标准：</t>
  </si>
  <si>
    <r>
      <rPr>
        <sz val="10"/>
        <color rgb="FF000000"/>
        <rFont val="宋体"/>
        <family val="3"/>
        <charset val="134"/>
      </rPr>
      <t xml:space="preserve">个人购买的</t>
    </r>
    <r>
      <rPr>
        <sz val="10"/>
        <color rgb="FF000000"/>
        <rFont val="Arial"/>
        <family val="2"/>
        <charset val="1"/>
      </rPr>
      <t xml:space="preserve">2</t>
    </r>
    <r>
      <rPr>
        <sz val="10"/>
        <color rgb="FF000000"/>
        <rFont val="宋体"/>
        <family val="3"/>
        <charset val="134"/>
      </rPr>
      <t xml:space="preserve">年以上的住宅（非北上广深）</t>
    </r>
  </si>
  <si>
    <r>
      <rPr>
        <sz val="10"/>
        <color rgb="FF000000"/>
        <rFont val="Arial"/>
        <family val="2"/>
        <charset val="1"/>
      </rPr>
      <t xml:space="preserve">1.</t>
    </r>
    <r>
      <rPr>
        <sz val="10"/>
        <color rgb="FF000000"/>
        <rFont val="宋体"/>
        <family val="3"/>
        <charset val="134"/>
      </rPr>
      <t xml:space="preserve">小区容积率</t>
    </r>
    <r>
      <rPr>
        <sz val="10"/>
        <color rgb="FF000000"/>
        <rFont val="Arial"/>
        <family val="2"/>
        <charset val="1"/>
      </rPr>
      <t xml:space="preserve">1.0</t>
    </r>
    <r>
      <rPr>
        <sz val="10"/>
        <color rgb="FF000000"/>
        <rFont val="宋体"/>
        <family val="3"/>
        <charset val="134"/>
      </rPr>
      <t xml:space="preserve">（含）以上</t>
    </r>
  </si>
  <si>
    <t xml:space="preserve">个体工商户购买的住宅</t>
  </si>
  <si>
    <r>
      <rPr>
        <sz val="10"/>
        <color rgb="FF000000"/>
        <rFont val="Arial"/>
        <family val="2"/>
        <charset val="1"/>
      </rPr>
      <t xml:space="preserve">2.</t>
    </r>
    <r>
      <rPr>
        <sz val="10"/>
        <color rgb="FF000000"/>
        <rFont val="宋体"/>
        <family val="3"/>
        <charset val="134"/>
      </rPr>
      <t xml:space="preserve">单套建筑面积</t>
    </r>
    <r>
      <rPr>
        <sz val="10"/>
        <color rgb="FF000000"/>
        <rFont val="Arial"/>
        <family val="2"/>
        <charset val="1"/>
      </rPr>
      <t xml:space="preserve">140M</t>
    </r>
    <r>
      <rPr>
        <vertAlign val="superscript"/>
        <sz val="10"/>
        <color rgb="FF000000"/>
        <rFont val="Arial"/>
        <family val="2"/>
        <charset val="1"/>
      </rPr>
      <t xml:space="preserve">2</t>
    </r>
    <r>
      <rPr>
        <sz val="10"/>
        <color rgb="FF000000"/>
        <rFont val="Arial"/>
        <family val="2"/>
        <charset val="1"/>
      </rPr>
      <t xml:space="preserve">(</t>
    </r>
    <r>
      <rPr>
        <sz val="10"/>
        <color rgb="FF000000"/>
        <rFont val="宋体"/>
        <family val="3"/>
        <charset val="134"/>
      </rPr>
      <t xml:space="preserve">含</t>
    </r>
    <r>
      <rPr>
        <sz val="10"/>
        <color rgb="FF000000"/>
        <rFont val="Arial"/>
        <family val="2"/>
        <charset val="1"/>
      </rPr>
      <t xml:space="preserve">)</t>
    </r>
    <r>
      <rPr>
        <sz val="10"/>
        <color rgb="FF000000"/>
        <rFont val="宋体"/>
        <family val="3"/>
        <charset val="134"/>
      </rPr>
      <t xml:space="preserve">以下</t>
    </r>
  </si>
  <si>
    <t xml:space="preserve">序号</t>
  </si>
  <si>
    <t xml:space="preserve">金额（万元）</t>
  </si>
  <si>
    <r>
      <rPr>
        <sz val="10"/>
        <color rgb="FF000000"/>
        <rFont val="宋体"/>
        <family val="3"/>
        <charset val="134"/>
      </rPr>
      <t xml:space="preserve">情况</t>
    </r>
    <r>
      <rPr>
        <sz val="10"/>
        <color rgb="FF000000"/>
        <rFont val="Arial"/>
        <family val="2"/>
        <charset val="1"/>
      </rPr>
      <t xml:space="preserve">2</t>
    </r>
    <r>
      <rPr>
        <sz val="10"/>
        <color rgb="FF000000"/>
        <rFont val="宋体"/>
        <family val="3"/>
        <charset val="134"/>
      </rPr>
      <t xml:space="preserve">：</t>
    </r>
  </si>
  <si>
    <r>
      <rPr>
        <sz val="10"/>
        <color rgb="FF000000"/>
        <rFont val="宋体"/>
        <family val="3"/>
        <charset val="134"/>
      </rPr>
      <t xml:space="preserve">个人购买的不足</t>
    </r>
    <r>
      <rPr>
        <sz val="10"/>
        <color rgb="FF000000"/>
        <rFont val="Arial"/>
        <family val="2"/>
        <charset val="1"/>
      </rPr>
      <t xml:space="preserve">2</t>
    </r>
    <r>
      <rPr>
        <sz val="10"/>
        <color rgb="FF000000"/>
        <rFont val="宋体"/>
        <family val="3"/>
        <charset val="134"/>
      </rPr>
      <t xml:space="preserve">年的住宅</t>
    </r>
  </si>
  <si>
    <t xml:space="preserve">全额计税</t>
  </si>
  <si>
    <t xml:space="preserve">增值税及附加</t>
  </si>
  <si>
    <r>
      <rPr>
        <sz val="10"/>
        <color rgb="FF000000"/>
        <rFont val="宋体"/>
        <family val="3"/>
        <charset val="134"/>
      </rPr>
      <t xml:space="preserve">情况</t>
    </r>
    <r>
      <rPr>
        <sz val="10"/>
        <color rgb="FF000000"/>
        <rFont val="Arial"/>
        <family val="2"/>
        <charset val="1"/>
      </rPr>
      <t xml:space="preserve">3</t>
    </r>
    <r>
      <rPr>
        <sz val="10"/>
        <color rgb="FF000000"/>
        <rFont val="宋体"/>
        <family val="3"/>
        <charset val="134"/>
      </rPr>
      <t xml:space="preserve">：</t>
    </r>
  </si>
  <si>
    <r>
      <rPr>
        <sz val="10"/>
        <color rgb="FF000000"/>
        <rFont val="宋体"/>
        <family val="3"/>
        <charset val="134"/>
      </rPr>
      <t xml:space="preserve">除情况</t>
    </r>
    <r>
      <rPr>
        <sz val="10"/>
        <color rgb="FF000000"/>
        <rFont val="Arial"/>
        <family val="2"/>
        <charset val="1"/>
      </rPr>
      <t xml:space="preserve">1</t>
    </r>
    <r>
      <rPr>
        <sz val="10"/>
        <color rgb="FF000000"/>
        <rFont val="宋体"/>
        <family val="3"/>
        <charset val="134"/>
      </rPr>
      <t xml:space="preserve">、</t>
    </r>
    <r>
      <rPr>
        <sz val="10"/>
        <color rgb="FF000000"/>
        <rFont val="Arial"/>
        <family val="2"/>
        <charset val="1"/>
      </rPr>
      <t xml:space="preserve">2</t>
    </r>
    <r>
      <rPr>
        <sz val="10"/>
        <color rgb="FF000000"/>
        <rFont val="宋体"/>
        <family val="3"/>
        <charset val="134"/>
      </rPr>
      <t xml:space="preserve">以外的自建房</t>
    </r>
  </si>
  <si>
    <r>
      <rPr>
        <sz val="10"/>
        <color rgb="FF000000"/>
        <rFont val="宋体"/>
        <family val="3"/>
        <charset val="134"/>
      </rPr>
      <t xml:space="preserve">情况</t>
    </r>
    <r>
      <rPr>
        <sz val="10"/>
        <color rgb="FF000000"/>
        <rFont val="Arial"/>
        <family val="2"/>
        <charset val="1"/>
      </rPr>
      <t xml:space="preserve">4</t>
    </r>
    <r>
      <rPr>
        <sz val="10"/>
        <color rgb="FF000000"/>
        <rFont val="宋体"/>
        <family val="3"/>
        <charset val="134"/>
      </rPr>
      <t xml:space="preserve">：</t>
    </r>
  </si>
  <si>
    <r>
      <rPr>
        <sz val="10"/>
        <color rgb="FF000000"/>
        <rFont val="宋体"/>
        <family val="3"/>
        <charset val="134"/>
      </rPr>
      <t xml:space="preserve">除情况</t>
    </r>
    <r>
      <rPr>
        <sz val="10"/>
        <color rgb="FF000000"/>
        <rFont val="Arial"/>
        <family val="2"/>
        <charset val="1"/>
      </rPr>
      <t xml:space="preserve">1</t>
    </r>
    <r>
      <rPr>
        <sz val="10"/>
        <color rgb="FF000000"/>
        <rFont val="宋体"/>
        <family val="3"/>
        <charset val="134"/>
      </rPr>
      <t xml:space="preserve">、</t>
    </r>
    <r>
      <rPr>
        <sz val="10"/>
        <color rgb="FF000000"/>
        <rFont val="Arial"/>
        <family val="2"/>
        <charset val="1"/>
      </rPr>
      <t xml:space="preserve">3</t>
    </r>
    <r>
      <rPr>
        <sz val="10"/>
        <color rgb="FF000000"/>
        <rFont val="宋体"/>
        <family val="3"/>
        <charset val="134"/>
      </rPr>
      <t xml:space="preserve">以外的非自建房</t>
    </r>
  </si>
  <si>
    <t xml:space="preserve">差额计税</t>
  </si>
  <si>
    <t xml:space="preserve">土地增值税</t>
  </si>
  <si>
    <r>
      <rPr>
        <sz val="10"/>
        <color rgb="FF000000"/>
        <rFont val="Arial"/>
        <family val="2"/>
        <charset val="1"/>
      </rPr>
      <t xml:space="preserve">2.</t>
    </r>
    <r>
      <rPr>
        <sz val="10"/>
        <color rgb="FF000000"/>
        <rFont val="宋体"/>
        <family val="3"/>
        <charset val="134"/>
      </rPr>
      <t xml:space="preserve">印花税</t>
    </r>
  </si>
  <si>
    <r>
      <rPr>
        <sz val="10"/>
        <color rgb="FF000000"/>
        <rFont val="宋体"/>
        <family val="3"/>
        <charset val="134"/>
      </rPr>
      <t xml:space="preserve">销售额</t>
    </r>
    <r>
      <rPr>
        <sz val="10"/>
        <color rgb="FF000000"/>
        <rFont val="Arial"/>
        <family val="2"/>
        <charset val="1"/>
      </rPr>
      <t xml:space="preserve">×</t>
    </r>
    <r>
      <rPr>
        <sz val="10"/>
        <color rgb="FF000000"/>
        <rFont val="宋体"/>
        <family val="3"/>
        <charset val="134"/>
      </rPr>
      <t xml:space="preserve">税（费）率</t>
    </r>
  </si>
  <si>
    <r>
      <rPr>
        <sz val="10"/>
        <color rgb="FF000000"/>
        <rFont val="Arial"/>
        <family val="2"/>
        <charset val="1"/>
      </rPr>
      <t xml:space="preserve">3.</t>
    </r>
    <r>
      <rPr>
        <sz val="10"/>
        <color rgb="FF000000"/>
        <rFont val="宋体"/>
        <family val="3"/>
        <charset val="134"/>
      </rPr>
      <t xml:space="preserve">土地增值税</t>
    </r>
  </si>
  <si>
    <r>
      <rPr>
        <sz val="10"/>
        <color rgb="FF000000"/>
        <rFont val="宋体"/>
        <family val="3"/>
        <charset val="134"/>
      </rPr>
      <t xml:space="preserve">增值额</t>
    </r>
    <r>
      <rPr>
        <sz val="10"/>
        <color rgb="FF000000"/>
        <rFont val="Arial"/>
        <family val="2"/>
        <charset val="1"/>
      </rPr>
      <t xml:space="preserve">×</t>
    </r>
    <r>
      <rPr>
        <sz val="10"/>
        <color rgb="FF000000"/>
        <rFont val="宋体"/>
        <family val="3"/>
        <charset val="134"/>
      </rPr>
      <t xml:space="preserve">税（费）率</t>
    </r>
  </si>
  <si>
    <t xml:space="preserve">个人住宅</t>
  </si>
  <si>
    <t xml:space="preserve">小写</t>
  </si>
  <si>
    <r>
      <rPr>
        <sz val="10"/>
        <color rgb="FF000000"/>
        <rFont val="宋体"/>
        <family val="3"/>
        <charset val="134"/>
      </rPr>
      <t xml:space="preserve">除情况</t>
    </r>
    <r>
      <rPr>
        <sz val="10"/>
        <color rgb="FF000000"/>
        <rFont val="Arial"/>
        <family val="2"/>
        <charset val="1"/>
      </rPr>
      <t xml:space="preserve">1</t>
    </r>
    <r>
      <rPr>
        <sz val="10"/>
        <color rgb="FF000000"/>
        <rFont val="宋体"/>
        <family val="3"/>
        <charset val="134"/>
      </rPr>
      <t xml:space="preserve">以外的其他情形</t>
    </r>
  </si>
  <si>
    <t xml:space="preserve">大写</t>
  </si>
  <si>
    <r>
      <rPr>
        <sz val="10"/>
        <color rgb="FF000000"/>
        <rFont val="Arial"/>
        <family val="2"/>
        <charset val="1"/>
      </rPr>
      <t xml:space="preserve">4.</t>
    </r>
    <r>
      <rPr>
        <sz val="10"/>
        <color rgb="FF000000"/>
        <rFont val="宋体"/>
        <family val="3"/>
        <charset val="134"/>
      </rPr>
      <t xml:space="preserve">个人所得税</t>
    </r>
  </si>
  <si>
    <t xml:space="preserve">北京标准</t>
  </si>
  <si>
    <t xml:space="preserve">销售不动产增值税及附加计算</t>
  </si>
  <si>
    <t xml:space="preserve">抵押净值单价</t>
  </si>
  <si>
    <t xml:space="preserve">系数</t>
  </si>
  <si>
    <t xml:space="preserve">1.</t>
  </si>
  <si>
    <t xml:space="preserve">销售额</t>
  </si>
  <si>
    <t xml:space="preserve">其他处置费用</t>
  </si>
  <si>
    <t xml:space="preserve">律师费</t>
  </si>
  <si>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t>
    </r>
  </si>
  <si>
    <t xml:space="preserve">全部价款</t>
  </si>
  <si>
    <t xml:space="preserve">诉讼费</t>
  </si>
  <si>
    <r>
      <rPr>
        <sz val="10"/>
        <color rgb="FF000000"/>
        <rFont val="宋体"/>
        <family val="3"/>
        <charset val="134"/>
      </rPr>
      <t xml:space="preserve">最低</t>
    </r>
    <r>
      <rPr>
        <sz val="10"/>
        <color rgb="FF000000"/>
        <rFont val="Arial"/>
        <family val="2"/>
        <charset val="1"/>
      </rPr>
      <t xml:space="preserve">50</t>
    </r>
    <r>
      <rPr>
        <sz val="10"/>
        <color rgb="FF000000"/>
        <rFont val="宋体"/>
        <family val="3"/>
        <charset val="134"/>
      </rPr>
      <t xml:space="preserve">元</t>
    </r>
  </si>
  <si>
    <r>
      <rPr>
        <sz val="10"/>
        <color rgb="FF000000"/>
        <rFont val="宋体"/>
        <family val="3"/>
        <charset val="134"/>
      </rPr>
      <t xml:space="preserve">（</t>
    </r>
    <r>
      <rPr>
        <sz val="10"/>
        <color rgb="FF000000"/>
        <rFont val="Arial"/>
        <family val="2"/>
        <charset val="1"/>
      </rPr>
      <t xml:space="preserve">2</t>
    </r>
    <r>
      <rPr>
        <sz val="10"/>
        <color rgb="FF000000"/>
        <rFont val="宋体"/>
        <family val="3"/>
        <charset val="134"/>
      </rPr>
      <t xml:space="preserve">）</t>
    </r>
  </si>
  <si>
    <t xml:space="preserve">价外费用</t>
  </si>
  <si>
    <t xml:space="preserve">执行费</t>
  </si>
  <si>
    <t xml:space="preserve">2.</t>
  </si>
  <si>
    <r>
      <rPr>
        <b val="true"/>
        <sz val="10"/>
        <rFont val="宋体"/>
        <family val="3"/>
        <charset val="134"/>
      </rPr>
      <t xml:space="preserve">原购房价</t>
    </r>
    <r>
      <rPr>
        <b val="true"/>
        <sz val="10"/>
        <rFont val="Arial"/>
        <family val="2"/>
        <charset val="1"/>
      </rPr>
      <t xml:space="preserve">/</t>
    </r>
    <r>
      <rPr>
        <b val="true"/>
        <sz val="10"/>
        <rFont val="宋体"/>
        <family val="3"/>
        <charset val="134"/>
      </rPr>
      <t xml:space="preserve">作价</t>
    </r>
  </si>
  <si>
    <r>
      <rPr>
        <sz val="10"/>
        <color rgb="FFFF0000"/>
        <rFont val="Arial"/>
        <family val="2"/>
        <charset val="1"/>
      </rPr>
      <t xml:space="preserve">2016</t>
    </r>
    <r>
      <rPr>
        <sz val="10"/>
        <color rgb="FFFF0000"/>
        <rFont val="宋体"/>
        <family val="3"/>
        <charset val="134"/>
      </rPr>
      <t xml:space="preserve">年</t>
    </r>
    <r>
      <rPr>
        <sz val="10"/>
        <color rgb="FFFF0000"/>
        <rFont val="Arial"/>
        <family val="2"/>
        <charset val="1"/>
      </rPr>
      <t xml:space="preserve">5</t>
    </r>
    <r>
      <rPr>
        <sz val="10"/>
        <color rgb="FFFF0000"/>
        <rFont val="宋体"/>
        <family val="3"/>
        <charset val="134"/>
      </rPr>
      <t xml:space="preserve">月</t>
    </r>
    <r>
      <rPr>
        <sz val="10"/>
        <color rgb="FFFF0000"/>
        <rFont val="Arial"/>
        <family val="2"/>
        <charset val="1"/>
      </rPr>
      <t xml:space="preserve">1</t>
    </r>
    <r>
      <rPr>
        <sz val="10"/>
        <color rgb="FFFF0000"/>
        <rFont val="宋体"/>
        <family val="3"/>
        <charset val="134"/>
      </rPr>
      <t xml:space="preserve">日后购买的房地产请按原购房价</t>
    </r>
    <r>
      <rPr>
        <sz val="10"/>
        <color rgb="FFFF0000"/>
        <rFont val="Arial"/>
        <family val="2"/>
        <charset val="1"/>
      </rPr>
      <t xml:space="preserve">/1.05</t>
    </r>
    <r>
      <rPr>
        <sz val="10"/>
        <color rgb="FFFF0000"/>
        <rFont val="宋体"/>
        <family val="3"/>
        <charset val="134"/>
      </rPr>
      <t xml:space="preserve">录入</t>
    </r>
  </si>
  <si>
    <t xml:space="preserve">诉讼保全费</t>
  </si>
  <si>
    <r>
      <rPr>
        <sz val="10"/>
        <color rgb="FF000000"/>
        <rFont val="宋体"/>
        <family val="3"/>
        <charset val="134"/>
      </rPr>
      <t xml:space="preserve">最高</t>
    </r>
    <r>
      <rPr>
        <sz val="10"/>
        <color rgb="FF000000"/>
        <rFont val="Arial"/>
        <family val="2"/>
        <charset val="1"/>
      </rPr>
      <t xml:space="preserve">5000</t>
    </r>
    <r>
      <rPr>
        <sz val="10"/>
        <color rgb="FF000000"/>
        <rFont val="宋体"/>
        <family val="3"/>
        <charset val="134"/>
      </rPr>
      <t xml:space="preserve">元</t>
    </r>
  </si>
  <si>
    <t xml:space="preserve">3.</t>
  </si>
  <si>
    <t xml:space="preserve">纳税基数</t>
  </si>
  <si>
    <t xml:space="preserve">评估费</t>
  </si>
  <si>
    <t xml:space="preserve">4.</t>
  </si>
  <si>
    <t xml:space="preserve">纳税额</t>
  </si>
  <si>
    <t xml:space="preserve">拍卖费</t>
  </si>
  <si>
    <t xml:space="preserve">土地增值税（转让取得）</t>
  </si>
  <si>
    <t xml:space="preserve">转让收入</t>
  </si>
  <si>
    <t xml:space="preserve">扣除项合计</t>
  </si>
  <si>
    <t xml:space="preserve">原购房价及相关税费</t>
  </si>
  <si>
    <r>
      <rPr>
        <sz val="10"/>
        <color rgb="FF000000"/>
        <rFont val="Arial"/>
        <family val="2"/>
        <charset val="1"/>
      </rPr>
      <t xml:space="preserve">1</t>
    </r>
    <r>
      <rPr>
        <sz val="10"/>
        <color rgb="FF000000"/>
        <rFont val="宋体"/>
        <family val="3"/>
        <charset val="134"/>
      </rPr>
      <t xml:space="preserve">）</t>
    </r>
  </si>
  <si>
    <t xml:space="preserve">原购房价</t>
  </si>
  <si>
    <t xml:space="preserve">原购房价依据</t>
  </si>
  <si>
    <t xml:space="preserve">已购年限</t>
  </si>
  <si>
    <r>
      <rPr>
        <sz val="10"/>
        <color rgb="FF000000"/>
        <rFont val="Arial"/>
        <family val="2"/>
        <charset val="1"/>
      </rPr>
      <t xml:space="preserve">2</t>
    </r>
    <r>
      <rPr>
        <sz val="10"/>
        <color rgb="FF000000"/>
        <rFont val="宋体"/>
        <family val="3"/>
        <charset val="134"/>
      </rPr>
      <t xml:space="preserve">）</t>
    </r>
  </si>
  <si>
    <t xml:space="preserve">加计扣减项</t>
  </si>
  <si>
    <r>
      <rPr>
        <sz val="10"/>
        <color rgb="FF000000"/>
        <rFont val="宋体"/>
        <family val="3"/>
        <charset val="134"/>
      </rPr>
      <t xml:space="preserve">有购房发票的可按发票所载金额并</t>
    </r>
    <r>
      <rPr>
        <b val="true"/>
        <sz val="10"/>
        <color rgb="FF000000"/>
        <rFont val="宋体"/>
        <family val="3"/>
        <charset val="134"/>
      </rPr>
      <t xml:space="preserve">从购买年度起至转让年度止</t>
    </r>
    <r>
      <rPr>
        <sz val="10"/>
        <color rgb="FF000000"/>
        <rFont val="宋体"/>
        <family val="3"/>
        <charset val="134"/>
      </rPr>
      <t xml:space="preserve">每年加计</t>
    </r>
    <r>
      <rPr>
        <sz val="10"/>
        <color rgb="FF000000"/>
        <rFont val="Arial"/>
        <family val="2"/>
        <charset val="1"/>
      </rPr>
      <t xml:space="preserve">5%</t>
    </r>
    <r>
      <rPr>
        <sz val="10"/>
        <color rgb="FF000000"/>
        <rFont val="宋体"/>
        <family val="3"/>
        <charset val="134"/>
      </rPr>
      <t xml:space="preserve">计算</t>
    </r>
  </si>
  <si>
    <r>
      <rPr>
        <sz val="10"/>
        <color rgb="FF000000"/>
        <rFont val="Arial"/>
        <family val="2"/>
        <charset val="1"/>
      </rPr>
      <t xml:space="preserve">3</t>
    </r>
    <r>
      <rPr>
        <sz val="10"/>
        <color rgb="FF000000"/>
        <rFont val="宋体"/>
        <family val="3"/>
        <charset val="134"/>
      </rPr>
      <t xml:space="preserve">）</t>
    </r>
  </si>
  <si>
    <t xml:space="preserve">相关税费</t>
  </si>
  <si>
    <t xml:space="preserve">含契税及印花税</t>
  </si>
  <si>
    <t xml:space="preserve">转让税金支出</t>
  </si>
  <si>
    <t xml:space="preserve">不含增值税，仅附加税</t>
  </si>
  <si>
    <t xml:space="preserve">增值额</t>
  </si>
  <si>
    <t xml:space="preserve">增值额与扣除项比率</t>
  </si>
  <si>
    <t xml:space="preserve">5.</t>
  </si>
  <si>
    <t xml:space="preserve">应纳增值税税额</t>
  </si>
  <si>
    <t xml:space="preserve">土地增值税（自行开发建设）</t>
  </si>
  <si>
    <t xml:space="preserve">土地取得成本</t>
  </si>
  <si>
    <t xml:space="preserve">土地取得费用</t>
  </si>
  <si>
    <t xml:space="preserve">依据出让合同</t>
  </si>
  <si>
    <t xml:space="preserve">出让价款内涵：</t>
  </si>
  <si>
    <t xml:space="preserve">★取得土地使用权所支付的金额，是指纳税人为取得土地使用权所支付的地价款和按国家统一规定交纳的有关费用★</t>
  </si>
  <si>
    <t xml:space="preserve">契税及印花税</t>
  </si>
  <si>
    <t xml:space="preserve">土地开发费</t>
  </si>
  <si>
    <t xml:space="preserve">土地征用及拆迁补偿费</t>
  </si>
  <si>
    <t xml:space="preserve">★土地征用及拆迁补偿费，包括土地征用费、耕地占用税、劳动力安置费及有关地上、地下附着物拆迁补偿的净支出、安置动迁用房支出等★</t>
  </si>
  <si>
    <r>
      <rPr>
        <sz val="10"/>
        <color rgb="FF000000"/>
        <rFont val="宋体"/>
        <family val="3"/>
        <charset val="134"/>
      </rPr>
      <t xml:space="preserve">（</t>
    </r>
    <r>
      <rPr>
        <sz val="10"/>
        <color rgb="FF000000"/>
        <rFont val="Arial"/>
        <family val="2"/>
        <charset val="1"/>
      </rPr>
      <t xml:space="preserve">3</t>
    </r>
    <r>
      <rPr>
        <sz val="10"/>
        <color rgb="FF000000"/>
        <rFont val="宋体"/>
        <family val="3"/>
        <charset val="134"/>
      </rPr>
      <t xml:space="preserve">）</t>
    </r>
  </si>
  <si>
    <t xml:space="preserve">建造成本</t>
  </si>
  <si>
    <t xml:space="preserve">包括前期工程费、建筑安装工程费、基础设施费和公共配套费等</t>
  </si>
  <si>
    <r>
      <rPr>
        <sz val="10"/>
        <color rgb="FF000000"/>
        <rFont val="宋体"/>
        <family val="3"/>
        <charset val="134"/>
      </rPr>
      <t xml:space="preserve">（</t>
    </r>
    <r>
      <rPr>
        <sz val="10"/>
        <color rgb="FF000000"/>
        <rFont val="Arial"/>
        <family val="2"/>
        <charset val="1"/>
      </rPr>
      <t xml:space="preserve">4</t>
    </r>
    <r>
      <rPr>
        <sz val="10"/>
        <color rgb="FF000000"/>
        <rFont val="宋体"/>
        <family val="3"/>
        <charset val="134"/>
      </rPr>
      <t xml:space="preserve">）</t>
    </r>
  </si>
  <si>
    <t xml:space="preserve">开发费用扣除</t>
  </si>
  <si>
    <r>
      <rPr>
        <sz val="10"/>
        <color rgb="FF000000"/>
        <rFont val="宋体"/>
        <family val="3"/>
        <charset val="134"/>
      </rPr>
      <t xml:space="preserve">凡不能按转让房地产项目计算分摊利息支出或不能提供金融机构证明的，按土地及建筑总投的</t>
    </r>
    <r>
      <rPr>
        <sz val="10"/>
        <color rgb="FF000000"/>
        <rFont val="Arial"/>
        <family val="2"/>
        <charset val="1"/>
      </rPr>
      <t xml:space="preserve">10%</t>
    </r>
    <r>
      <rPr>
        <sz val="10"/>
        <color rgb="FF000000"/>
        <rFont val="宋体"/>
        <family val="3"/>
        <charset val="134"/>
      </rPr>
      <t xml:space="preserve">以内；含销售、管理、财务费用</t>
    </r>
  </si>
  <si>
    <r>
      <rPr>
        <sz val="11"/>
        <color rgb="FFFF0000"/>
        <rFont val="宋体"/>
        <family val="3"/>
        <charset val="134"/>
      </rPr>
      <t xml:space="preserve">★根据项目情况选择计算系数，待开发土地建议取值</t>
    </r>
    <r>
      <rPr>
        <sz val="11"/>
        <color rgb="FFFF0000"/>
        <rFont val="Arial"/>
        <family val="2"/>
        <charset val="1"/>
      </rPr>
      <t xml:space="preserve">0</t>
    </r>
    <r>
      <rPr>
        <sz val="11"/>
        <color rgb="FFFF0000"/>
        <rFont val="宋体"/>
        <family val="3"/>
        <charset val="134"/>
      </rPr>
      <t xml:space="preserve">，在建及已建项目取</t>
    </r>
    <r>
      <rPr>
        <sz val="11"/>
        <color rgb="FFFF0000"/>
        <rFont val="Arial"/>
        <family val="2"/>
        <charset val="1"/>
      </rPr>
      <t xml:space="preserve">10%</t>
    </r>
    <r>
      <rPr>
        <sz val="11"/>
        <color rgb="FFFF0000"/>
        <rFont val="宋体"/>
        <family val="3"/>
        <charset val="134"/>
      </rPr>
      <t xml:space="preserve">★</t>
    </r>
  </si>
  <si>
    <r>
      <rPr>
        <sz val="10"/>
        <color rgb="FF000000"/>
        <rFont val="宋体"/>
        <family val="3"/>
        <charset val="134"/>
      </rPr>
      <t xml:space="preserve">（</t>
    </r>
    <r>
      <rPr>
        <sz val="10"/>
        <color rgb="FF000000"/>
        <rFont val="Arial"/>
        <family val="2"/>
        <charset val="1"/>
      </rPr>
      <t xml:space="preserve">5</t>
    </r>
    <r>
      <rPr>
        <sz val="10"/>
        <color rgb="FF000000"/>
        <rFont val="宋体"/>
        <family val="3"/>
        <charset val="134"/>
      </rPr>
      <t xml:space="preserve">）</t>
    </r>
  </si>
  <si>
    <r>
      <rPr>
        <sz val="10"/>
        <color rgb="FF000000"/>
        <rFont val="宋体"/>
        <family val="3"/>
        <charset val="134"/>
      </rPr>
      <t xml:space="preserve">（</t>
    </r>
    <r>
      <rPr>
        <sz val="10"/>
        <color rgb="FF000000"/>
        <rFont val="Arial"/>
        <family val="2"/>
        <charset val="1"/>
      </rPr>
      <t xml:space="preserve">6</t>
    </r>
    <r>
      <rPr>
        <sz val="10"/>
        <color rgb="FF000000"/>
        <rFont val="宋体"/>
        <family val="3"/>
        <charset val="134"/>
      </rPr>
      <t xml:space="preserve">）</t>
    </r>
  </si>
  <si>
    <t xml:space="preserve">加计扣除金额</t>
  </si>
  <si>
    <r>
      <rPr>
        <sz val="10"/>
        <color rgb="FFFF0000"/>
        <rFont val="宋体"/>
        <family val="3"/>
        <charset val="134"/>
      </rPr>
      <t xml:space="preserve">对专门从事房地产开发的企业可以按（</t>
    </r>
    <r>
      <rPr>
        <sz val="10"/>
        <color rgb="FFFF0000"/>
        <rFont val="Arial"/>
        <family val="2"/>
        <charset val="1"/>
      </rPr>
      <t xml:space="preserve">1</t>
    </r>
    <r>
      <rPr>
        <sz val="10"/>
        <color rgb="FFFF0000"/>
        <rFont val="宋体"/>
        <family val="3"/>
        <charset val="134"/>
      </rPr>
      <t xml:space="preserve">）</t>
    </r>
    <r>
      <rPr>
        <sz val="10"/>
        <color rgb="FFFF0000"/>
        <rFont val="宋体"/>
        <family val="0"/>
        <charset val="134"/>
      </rPr>
      <t xml:space="preserve">—</t>
    </r>
    <r>
      <rPr>
        <sz val="10"/>
        <color rgb="FFFF0000"/>
        <rFont val="宋体"/>
        <family val="3"/>
        <charset val="134"/>
      </rPr>
      <t xml:space="preserve">（</t>
    </r>
    <r>
      <rPr>
        <sz val="10"/>
        <color rgb="FFFF0000"/>
        <rFont val="Arial"/>
        <family val="2"/>
        <charset val="1"/>
      </rPr>
      <t xml:space="preserve">3</t>
    </r>
    <r>
      <rPr>
        <sz val="10"/>
        <color rgb="FFFF0000"/>
        <rFont val="宋体"/>
        <family val="3"/>
        <charset val="134"/>
      </rPr>
      <t xml:space="preserve">）合计值的</t>
    </r>
    <r>
      <rPr>
        <sz val="10"/>
        <color rgb="FFFF0000"/>
        <rFont val="Arial"/>
        <family val="2"/>
        <charset val="1"/>
      </rPr>
      <t xml:space="preserve">20</t>
    </r>
    <r>
      <rPr>
        <sz val="10"/>
        <color rgb="FFFF0000"/>
        <rFont val="宋体"/>
        <family val="3"/>
        <charset val="134"/>
      </rPr>
      <t xml:space="preserve">％计算扣除；如为土地，则仅将土地开发费（</t>
    </r>
    <r>
      <rPr>
        <sz val="10"/>
        <color rgb="FFFF0000"/>
        <rFont val="Arial"/>
        <family val="2"/>
        <charset val="1"/>
      </rPr>
      <t xml:space="preserve">2</t>
    </r>
    <r>
      <rPr>
        <sz val="10"/>
        <color rgb="FFFF0000"/>
        <rFont val="宋体"/>
        <family val="3"/>
        <charset val="134"/>
      </rPr>
      <t xml:space="preserve">）加计</t>
    </r>
    <r>
      <rPr>
        <sz val="10"/>
        <color rgb="FFFF0000"/>
        <rFont val="Arial"/>
        <family val="2"/>
        <charset val="1"/>
      </rPr>
      <t xml:space="preserve">20%</t>
    </r>
    <r>
      <rPr>
        <sz val="10"/>
        <color rgb="FFFF0000"/>
        <rFont val="宋体"/>
        <family val="3"/>
        <charset val="134"/>
      </rPr>
      <t xml:space="preserve">扣减，请自行调整公式</t>
    </r>
  </si>
  <si>
    <t xml:space="preserve">估价结果</t>
  </si>
  <si>
    <r>
      <rPr>
        <b val="true"/>
        <sz val="11"/>
        <color rgb="FF000000"/>
        <rFont val="宋体"/>
        <family val="3"/>
        <charset val="134"/>
      </rPr>
      <t xml:space="preserve">结果表</t>
    </r>
    <r>
      <rPr>
        <b val="true"/>
        <sz val="11"/>
        <color rgb="FF000000"/>
        <rFont val="Arial"/>
        <family val="2"/>
        <charset val="1"/>
      </rPr>
      <t xml:space="preserve">-1</t>
    </r>
  </si>
  <si>
    <r>
      <rPr>
        <b val="true"/>
        <sz val="11"/>
        <color rgb="FF000000"/>
        <rFont val="宋体"/>
        <family val="3"/>
        <charset val="134"/>
      </rPr>
      <t xml:space="preserve">结果表</t>
    </r>
    <r>
      <rPr>
        <b val="true"/>
        <sz val="11"/>
        <color rgb="FF000000"/>
        <rFont val="Arial"/>
        <family val="2"/>
        <charset val="1"/>
      </rPr>
      <t xml:space="preserve">-2</t>
    </r>
    <r>
      <rPr>
        <b val="true"/>
        <i val="true"/>
        <sz val="11"/>
        <color rgb="FF558ED5"/>
        <rFont val="宋体"/>
        <family val="3"/>
        <charset val="134"/>
      </rPr>
      <t xml:space="preserve">抵押专用</t>
    </r>
  </si>
  <si>
    <r>
      <rPr>
        <sz val="12"/>
        <color rgb="FF000000"/>
        <rFont val="宋体"/>
        <family val="0"/>
        <charset val="134"/>
      </rPr>
      <t xml:space="preserve">                </t>
    </r>
    <r>
      <rPr>
        <sz val="12"/>
        <color rgb="FF000000"/>
        <rFont val="宋体"/>
        <family val="3"/>
        <charset val="134"/>
      </rPr>
      <t xml:space="preserve">估价方法相关结果</t>
    </r>
  </si>
  <si>
    <r>
      <rPr>
        <b val="true"/>
        <sz val="11"/>
        <color rgb="FF000000"/>
        <rFont val="Arial"/>
        <family val="2"/>
        <charset val="1"/>
      </rPr>
      <t xml:space="preserve">1.</t>
    </r>
    <r>
      <rPr>
        <b val="true"/>
        <sz val="11"/>
        <color rgb="FF000000"/>
        <rFont val="宋体"/>
        <family val="3"/>
        <charset val="134"/>
      </rPr>
      <t xml:space="preserve">房地产价值</t>
    </r>
  </si>
  <si>
    <t xml:space="preserve">测算结果</t>
  </si>
  <si>
    <r>
      <rPr>
        <b val="true"/>
        <sz val="11"/>
        <color rgb="FF000000"/>
        <rFont val="Arial"/>
        <family val="2"/>
        <charset val="1"/>
      </rPr>
      <t xml:space="preserve">2.</t>
    </r>
    <r>
      <rPr>
        <b val="true"/>
        <sz val="11"/>
        <color rgb="FF000000"/>
        <rFont val="宋体"/>
        <family val="3"/>
        <charset val="134"/>
      </rPr>
      <t xml:space="preserve">估价师知悉的法定优先受偿款</t>
    </r>
  </si>
  <si>
    <t xml:space="preserve">评估价值</t>
  </si>
  <si>
    <r>
      <rPr>
        <sz val="11"/>
        <color rgb="FF000000"/>
        <rFont val="宋体"/>
        <family val="3"/>
        <charset val="134"/>
      </rPr>
      <t xml:space="preserve">（</t>
    </r>
    <r>
      <rPr>
        <sz val="11"/>
        <color rgb="FF000000"/>
        <rFont val="Arial"/>
        <family val="2"/>
        <charset val="1"/>
      </rPr>
      <t xml:space="preserve">1</t>
    </r>
    <r>
      <rPr>
        <sz val="11"/>
        <color rgb="FF000000"/>
        <rFont val="宋体"/>
        <family val="3"/>
        <charset val="134"/>
      </rPr>
      <t xml:space="preserve">）已抵押担保的债权数额</t>
    </r>
  </si>
  <si>
    <r>
      <rPr>
        <sz val="11"/>
        <color rgb="FF000000"/>
        <rFont val="宋体"/>
        <family val="3"/>
        <charset val="134"/>
      </rPr>
      <t xml:space="preserve">（</t>
    </r>
    <r>
      <rPr>
        <sz val="11"/>
        <color rgb="FF000000"/>
        <rFont val="Arial"/>
        <family val="2"/>
        <charset val="1"/>
      </rPr>
      <t xml:space="preserve">2</t>
    </r>
    <r>
      <rPr>
        <sz val="11"/>
        <color rgb="FF000000"/>
        <rFont val="宋体"/>
        <family val="3"/>
        <charset val="134"/>
      </rPr>
      <t xml:space="preserve">）拖欠的建设工程价款</t>
    </r>
  </si>
  <si>
    <r>
      <rPr>
        <sz val="11"/>
        <color rgb="FF000000"/>
        <rFont val="宋体"/>
        <family val="3"/>
        <charset val="134"/>
      </rPr>
      <t xml:space="preserve">（</t>
    </r>
    <r>
      <rPr>
        <sz val="11"/>
        <color rgb="FF000000"/>
        <rFont val="Arial"/>
        <family val="2"/>
        <charset val="1"/>
      </rPr>
      <t xml:space="preserve">3</t>
    </r>
    <r>
      <rPr>
        <sz val="11"/>
        <color rgb="FF000000"/>
        <rFont val="宋体"/>
        <family val="3"/>
        <charset val="134"/>
      </rPr>
      <t xml:space="preserve">）其他法定优先受偿款</t>
    </r>
  </si>
  <si>
    <r>
      <rPr>
        <b val="true"/>
        <sz val="11"/>
        <color rgb="FF000000"/>
        <rFont val="宋体"/>
        <family val="3"/>
        <charset val="134"/>
      </rPr>
      <t xml:space="preserve">结果表</t>
    </r>
    <r>
      <rPr>
        <b val="true"/>
        <sz val="11"/>
        <color rgb="FF000000"/>
        <rFont val="Arial"/>
        <family val="2"/>
        <charset val="1"/>
      </rPr>
      <t xml:space="preserve">-3</t>
    </r>
  </si>
  <si>
    <t xml:space="preserve">抵押物名称</t>
  </si>
  <si>
    <r>
      <rPr>
        <sz val="11"/>
        <color rgb="FF000000"/>
        <rFont val="Arial"/>
        <family val="2"/>
        <charset val="1"/>
      </rPr>
      <t xml:space="preserve">(</t>
    </r>
    <r>
      <rPr>
        <sz val="11"/>
        <color rgb="FF000000"/>
        <rFont val="宋体"/>
        <family val="3"/>
        <charset val="134"/>
      </rPr>
      <t xml:space="preserve">规划</t>
    </r>
    <r>
      <rPr>
        <sz val="11"/>
        <color rgb="FF000000"/>
        <rFont val="Arial"/>
        <family val="2"/>
        <charset val="1"/>
      </rPr>
      <t xml:space="preserve">)</t>
    </r>
    <r>
      <rPr>
        <sz val="11"/>
        <color rgb="FF000000"/>
        <rFont val="宋体"/>
        <family val="3"/>
        <charset val="134"/>
      </rPr>
      <t xml:space="preserve">建筑面积</t>
    </r>
  </si>
  <si>
    <r>
      <rPr>
        <sz val="11"/>
        <color rgb="FF000000"/>
        <rFont val="Arial"/>
        <family val="2"/>
        <charset val="1"/>
      </rPr>
      <t xml:space="preserve">(</t>
    </r>
    <r>
      <rPr>
        <sz val="11"/>
        <color rgb="FF000000"/>
        <rFont val="宋体"/>
        <family val="3"/>
        <charset val="134"/>
      </rPr>
      <t xml:space="preserve">分摊</t>
    </r>
    <r>
      <rPr>
        <sz val="11"/>
        <color rgb="FF000000"/>
        <rFont val="Arial"/>
        <family val="2"/>
        <charset val="1"/>
      </rPr>
      <t xml:space="preserve">)</t>
    </r>
    <r>
      <rPr>
        <sz val="11"/>
        <color rgb="FF000000"/>
        <rFont val="宋体"/>
        <family val="3"/>
        <charset val="134"/>
      </rPr>
      <t xml:space="preserve">土地面积</t>
    </r>
  </si>
  <si>
    <t xml:space="preserve">出让国有建设用地使用权价值</t>
  </si>
  <si>
    <t xml:space="preserve">在建建筑物价值</t>
  </si>
  <si>
    <r>
      <rPr>
        <sz val="11"/>
        <color rgb="FF000000"/>
        <rFont val="宋体"/>
        <family val="3"/>
        <charset val="134"/>
      </rPr>
      <t xml:space="preserve">总</t>
    </r>
    <r>
      <rPr>
        <sz val="11"/>
        <color rgb="FF000000"/>
        <rFont val="宋体"/>
        <family val="0"/>
        <charset val="134"/>
      </rPr>
      <t xml:space="preserve"> </t>
    </r>
    <r>
      <rPr>
        <sz val="11"/>
        <color rgb="FF000000"/>
        <rFont val="宋体"/>
        <family val="3"/>
        <charset val="134"/>
      </rPr>
      <t xml:space="preserve">价</t>
    </r>
  </si>
  <si>
    <t xml:space="preserve">测算中的特殊事项处理</t>
  </si>
  <si>
    <t xml:space="preserve">无</t>
  </si>
  <si>
    <r>
      <rPr>
        <b val="true"/>
        <sz val="10"/>
        <color rgb="FF000000"/>
        <rFont val="宋体"/>
        <family val="3"/>
        <charset val="134"/>
      </rPr>
      <t xml:space="preserve">测算人员：</t>
    </r>
    <r>
      <rPr>
        <b val="true"/>
        <sz val="10"/>
        <color rgb="FF000000"/>
        <rFont val="宋体"/>
        <family val="0"/>
        <charset val="134"/>
      </rPr>
      <t xml:space="preserve">      </t>
    </r>
  </si>
  <si>
    <r>
      <rPr>
        <sz val="10"/>
        <color rgb="FF000000"/>
        <rFont val="宋体"/>
        <family val="0"/>
        <charset val="134"/>
      </rPr>
      <t xml:space="preserve"> </t>
    </r>
    <r>
      <rPr>
        <sz val="10"/>
        <color rgb="FF000000"/>
        <rFont val="宋体"/>
        <family val="3"/>
        <charset val="134"/>
      </rPr>
      <t xml:space="preserve">日期：</t>
    </r>
    <r>
      <rPr>
        <sz val="10"/>
        <color rgb="FF000000"/>
        <rFont val="宋体"/>
        <family val="0"/>
        <charset val="134"/>
      </rPr>
      <t xml:space="preserve">  </t>
    </r>
    <r>
      <rPr>
        <sz val="10"/>
        <color rgb="FF000000"/>
        <rFont val="宋体"/>
        <family val="3"/>
        <charset val="134"/>
      </rPr>
      <t xml:space="preserve">年</t>
    </r>
    <r>
      <rPr>
        <sz val="10"/>
        <color rgb="FF000000"/>
        <rFont val="宋体"/>
        <family val="0"/>
        <charset val="134"/>
      </rPr>
      <t xml:space="preserve">  </t>
    </r>
    <r>
      <rPr>
        <sz val="10"/>
        <color rgb="FF000000"/>
        <rFont val="宋体"/>
        <family val="3"/>
        <charset val="134"/>
      </rPr>
      <t xml:space="preserve">月</t>
    </r>
    <r>
      <rPr>
        <sz val="10"/>
        <color rgb="FF000000"/>
        <rFont val="宋体"/>
        <family val="0"/>
        <charset val="134"/>
      </rPr>
      <t xml:space="preserve">  </t>
    </r>
    <r>
      <rPr>
        <sz val="10"/>
        <color rgb="FF000000"/>
        <rFont val="宋体"/>
        <family val="3"/>
        <charset val="134"/>
      </rPr>
      <t xml:space="preserve">日</t>
    </r>
  </si>
  <si>
    <r>
      <rPr>
        <b val="true"/>
        <sz val="10"/>
        <color rgb="FF000000"/>
        <rFont val="宋体"/>
        <family val="3"/>
        <charset val="134"/>
      </rPr>
      <t xml:space="preserve">初审意见：</t>
    </r>
    <r>
      <rPr>
        <b val="true"/>
        <sz val="10"/>
        <color rgb="FF000000"/>
        <rFont val="宋体"/>
        <family val="0"/>
        <charset val="134"/>
      </rPr>
      <t xml:space="preserve">      </t>
    </r>
  </si>
  <si>
    <r>
      <rPr>
        <sz val="10"/>
        <color rgb="FF000000"/>
        <rFont val="宋体"/>
        <family val="3"/>
        <charset val="134"/>
      </rPr>
      <t xml:space="preserve">签字：</t>
    </r>
    <r>
      <rPr>
        <sz val="10"/>
        <color rgb="FF000000"/>
        <rFont val="宋体"/>
        <family val="0"/>
        <charset val="134"/>
      </rPr>
      <t xml:space="preserve">                    </t>
    </r>
    <r>
      <rPr>
        <sz val="10"/>
        <color rgb="FF000000"/>
        <rFont val="宋体"/>
        <family val="3"/>
        <charset val="134"/>
      </rPr>
      <t xml:space="preserve">日期：</t>
    </r>
    <r>
      <rPr>
        <sz val="10"/>
        <color rgb="FF000000"/>
        <rFont val="宋体"/>
        <family val="0"/>
        <charset val="134"/>
      </rPr>
      <t xml:space="preserve">  </t>
    </r>
    <r>
      <rPr>
        <sz val="10"/>
        <color rgb="FF000000"/>
        <rFont val="宋体"/>
        <family val="3"/>
        <charset val="134"/>
      </rPr>
      <t xml:space="preserve">年</t>
    </r>
    <r>
      <rPr>
        <sz val="10"/>
        <color rgb="FF000000"/>
        <rFont val="宋体"/>
        <family val="0"/>
        <charset val="134"/>
      </rPr>
      <t xml:space="preserve">  </t>
    </r>
    <r>
      <rPr>
        <sz val="10"/>
        <color rgb="FF000000"/>
        <rFont val="宋体"/>
        <family val="3"/>
        <charset val="134"/>
      </rPr>
      <t xml:space="preserve">月</t>
    </r>
    <r>
      <rPr>
        <sz val="10"/>
        <color rgb="FF000000"/>
        <rFont val="宋体"/>
        <family val="0"/>
        <charset val="134"/>
      </rPr>
      <t xml:space="preserve">  </t>
    </r>
    <r>
      <rPr>
        <sz val="10"/>
        <color rgb="FF000000"/>
        <rFont val="宋体"/>
        <family val="3"/>
        <charset val="134"/>
      </rPr>
      <t xml:space="preserve">日</t>
    </r>
  </si>
  <si>
    <r>
      <rPr>
        <b val="true"/>
        <sz val="10"/>
        <color rgb="FF000000"/>
        <rFont val="宋体"/>
        <family val="3"/>
        <charset val="134"/>
      </rPr>
      <t xml:space="preserve">终审意见：</t>
    </r>
    <r>
      <rPr>
        <b val="true"/>
        <sz val="10"/>
        <color rgb="FF000000"/>
        <rFont val="宋体"/>
        <family val="0"/>
        <charset val="134"/>
      </rPr>
      <t xml:space="preserve">      </t>
    </r>
  </si>
  <si>
    <r>
      <rPr>
        <b val="true"/>
        <sz val="12"/>
        <rFont val="宋体"/>
        <family val="3"/>
        <charset val="134"/>
      </rPr>
      <t xml:space="preserve">元</t>
    </r>
    <r>
      <rPr>
        <b val="true"/>
        <sz val="12"/>
        <rFont val="Arial"/>
        <family val="2"/>
        <charset val="1"/>
      </rPr>
      <t xml:space="preserve">/</t>
    </r>
    <r>
      <rPr>
        <b val="true"/>
        <sz val="12"/>
        <rFont val="宋体"/>
        <family val="3"/>
        <charset val="134"/>
      </rPr>
      <t xml:space="preserve">平方米</t>
    </r>
  </si>
  <si>
    <r>
      <rPr>
        <b val="true"/>
        <sz val="12"/>
        <rFont val="Arial"/>
        <family val="2"/>
        <charset val="1"/>
      </rPr>
      <t xml:space="preserve">1.</t>
    </r>
    <r>
      <rPr>
        <b val="true"/>
        <sz val="12"/>
        <rFont val="宋体"/>
        <family val="3"/>
        <charset val="134"/>
      </rPr>
      <t xml:space="preserve">土地价值</t>
    </r>
  </si>
  <si>
    <r>
      <rPr>
        <b val="true"/>
        <sz val="10"/>
        <rFont val="宋体"/>
        <family val="3"/>
        <charset val="134"/>
      </rPr>
      <t xml:space="preserve">（</t>
    </r>
    <r>
      <rPr>
        <b val="true"/>
        <sz val="10"/>
        <rFont val="Arial"/>
        <family val="2"/>
        <charset val="1"/>
      </rPr>
      <t xml:space="preserve">1</t>
    </r>
    <r>
      <rPr>
        <b val="true"/>
        <sz val="10"/>
        <rFont val="宋体"/>
        <family val="3"/>
        <charset val="134"/>
      </rPr>
      <t xml:space="preserve">）</t>
    </r>
  </si>
  <si>
    <r>
      <rPr>
        <sz val="10"/>
        <rFont val="Arial"/>
        <family val="2"/>
        <charset val="1"/>
      </rPr>
      <t xml:space="preserve">1</t>
    </r>
    <r>
      <rPr>
        <sz val="10"/>
        <rFont val="宋体"/>
        <family val="3"/>
        <charset val="134"/>
      </rPr>
      <t xml:space="preserve">）</t>
    </r>
  </si>
  <si>
    <t xml:space="preserve">土地购买价格</t>
  </si>
  <si>
    <r>
      <rPr>
        <sz val="10"/>
        <rFont val="Arial"/>
        <family val="2"/>
        <charset val="1"/>
      </rPr>
      <t xml:space="preserve">2</t>
    </r>
    <r>
      <rPr>
        <sz val="10"/>
        <rFont val="宋体"/>
        <family val="3"/>
        <charset val="134"/>
      </rPr>
      <t xml:space="preserve">）</t>
    </r>
  </si>
  <si>
    <t xml:space="preserve">土地取得税费</t>
  </si>
  <si>
    <r>
      <rPr>
        <sz val="10"/>
        <rFont val="Arial"/>
        <family val="2"/>
        <charset val="1"/>
      </rPr>
      <t xml:space="preserve">3</t>
    </r>
    <r>
      <rPr>
        <sz val="10"/>
        <rFont val="宋体"/>
        <family val="3"/>
        <charset val="134"/>
      </rPr>
      <t xml:space="preserve">）</t>
    </r>
  </si>
  <si>
    <t xml:space="preserve">城市基础设施建设费（行政收费）</t>
  </si>
  <si>
    <t xml:space="preserve">A</t>
  </si>
  <si>
    <t xml:space="preserve">B</t>
  </si>
  <si>
    <t xml:space="preserve">1-2.1</t>
  </si>
  <si>
    <t xml:space="preserve">土地使用权出让金</t>
  </si>
  <si>
    <t xml:space="preserve">1-2.2</t>
  </si>
  <si>
    <t xml:space="preserve">1-2.3</t>
  </si>
  <si>
    <t xml:space="preserve">征地补偿安置费及其相关税费</t>
  </si>
  <si>
    <t xml:space="preserve">1-2.4</t>
  </si>
  <si>
    <t xml:space="preserve">以建筑面积为计算基数，按各区发文标准</t>
  </si>
  <si>
    <t xml:space="preserve">1-3.1</t>
  </si>
  <si>
    <t xml:space="preserve">出让金</t>
  </si>
  <si>
    <t xml:space="preserve">采用比较法求取</t>
  </si>
  <si>
    <t xml:space="preserve">1-3.2</t>
  </si>
  <si>
    <t xml:space="preserve">1-3.3</t>
  </si>
  <si>
    <t xml:space="preserve">开发补偿费用</t>
  </si>
  <si>
    <t xml:space="preserve">1-3.4</t>
  </si>
  <si>
    <t xml:space="preserve">以上述三项为基数计算</t>
  </si>
  <si>
    <r>
      <rPr>
        <b val="true"/>
        <sz val="10"/>
        <rFont val="宋体"/>
        <family val="3"/>
        <charset val="134"/>
      </rPr>
      <t xml:space="preserve">（</t>
    </r>
    <r>
      <rPr>
        <b val="true"/>
        <sz val="10"/>
        <rFont val="Arial"/>
        <family val="2"/>
        <charset val="1"/>
      </rPr>
      <t xml:space="preserve">2</t>
    </r>
    <r>
      <rPr>
        <b val="true"/>
        <sz val="10"/>
        <rFont val="宋体"/>
        <family val="3"/>
        <charset val="134"/>
      </rPr>
      <t xml:space="preserve">）</t>
    </r>
  </si>
  <si>
    <r>
      <rPr>
        <b val="true"/>
        <sz val="10"/>
        <rFont val="宋体"/>
        <family val="3"/>
        <charset val="134"/>
      </rPr>
      <t xml:space="preserve">土地开发费用</t>
    </r>
    <r>
      <rPr>
        <b val="true"/>
        <sz val="10"/>
        <rFont val="Arial"/>
        <family val="2"/>
        <charset val="1"/>
      </rPr>
      <t xml:space="preserve">-</t>
    </r>
    <r>
      <rPr>
        <b val="true"/>
        <sz val="10"/>
        <rFont val="宋体"/>
        <family val="3"/>
        <charset val="134"/>
      </rPr>
      <t xml:space="preserve">红线外（现状）</t>
    </r>
  </si>
  <si>
    <r>
      <rPr>
        <b val="true"/>
        <sz val="10"/>
        <rFont val="宋体"/>
        <family val="3"/>
        <charset val="134"/>
      </rPr>
      <t xml:space="preserve">（</t>
    </r>
    <r>
      <rPr>
        <b val="true"/>
        <sz val="10"/>
        <rFont val="Arial"/>
        <family val="2"/>
        <charset val="1"/>
      </rPr>
      <t xml:space="preserve">3</t>
    </r>
    <r>
      <rPr>
        <b val="true"/>
        <sz val="10"/>
        <rFont val="宋体"/>
        <family val="3"/>
        <charset val="134"/>
      </rPr>
      <t xml:space="preserve">）</t>
    </r>
  </si>
  <si>
    <r>
      <rPr>
        <b val="true"/>
        <sz val="10"/>
        <rFont val="宋体"/>
        <family val="3"/>
        <charset val="134"/>
      </rPr>
      <t xml:space="preserve">以前述</t>
    </r>
    <r>
      <rPr>
        <b val="true"/>
        <sz val="10"/>
        <rFont val="Arial"/>
        <family val="2"/>
        <charset val="1"/>
      </rPr>
      <t xml:space="preserve">2</t>
    </r>
    <r>
      <rPr>
        <b val="true"/>
        <sz val="10"/>
        <rFont val="宋体"/>
        <family val="3"/>
        <charset val="134"/>
      </rPr>
      <t xml:space="preserve">项为基数</t>
    </r>
  </si>
  <si>
    <r>
      <rPr>
        <b val="true"/>
        <sz val="10"/>
        <rFont val="宋体"/>
        <family val="3"/>
        <charset val="134"/>
      </rPr>
      <t xml:space="preserve">（</t>
    </r>
    <r>
      <rPr>
        <b val="true"/>
        <sz val="10"/>
        <rFont val="Arial"/>
        <family val="2"/>
        <charset val="1"/>
      </rPr>
      <t xml:space="preserve">4</t>
    </r>
    <r>
      <rPr>
        <b val="true"/>
        <sz val="10"/>
        <rFont val="宋体"/>
        <family val="3"/>
        <charset val="134"/>
      </rPr>
      <t xml:space="preserve">）</t>
    </r>
  </si>
  <si>
    <r>
      <rPr>
        <b val="true"/>
        <sz val="10"/>
        <rFont val="Arial"/>
        <family val="2"/>
        <charset val="1"/>
      </rPr>
      <t xml:space="preserve">V</t>
    </r>
    <r>
      <rPr>
        <b val="true"/>
        <vertAlign val="subscript"/>
        <sz val="10"/>
        <rFont val="宋体"/>
        <family val="3"/>
        <charset val="134"/>
      </rPr>
      <t xml:space="preserve">土</t>
    </r>
  </si>
  <si>
    <t xml:space="preserve">以土地价值为基数</t>
  </si>
  <si>
    <r>
      <rPr>
        <b val="true"/>
        <sz val="10"/>
        <rFont val="宋体"/>
        <family val="3"/>
        <charset val="134"/>
      </rPr>
      <t xml:space="preserve">（</t>
    </r>
    <r>
      <rPr>
        <b val="true"/>
        <sz val="10"/>
        <rFont val="Arial"/>
        <family val="2"/>
        <charset val="1"/>
      </rPr>
      <t xml:space="preserve">5</t>
    </r>
    <r>
      <rPr>
        <b val="true"/>
        <sz val="10"/>
        <rFont val="宋体"/>
        <family val="3"/>
        <charset val="134"/>
      </rPr>
      <t xml:space="preserve">）</t>
    </r>
  </si>
  <si>
    <t xml:space="preserve">贷款利息</t>
  </si>
  <si>
    <r>
      <rPr>
        <sz val="10"/>
        <rFont val="宋体"/>
        <family val="3"/>
        <charset val="134"/>
      </rPr>
      <t xml:space="preserve">（</t>
    </r>
    <r>
      <rPr>
        <sz val="10"/>
        <rFont val="Arial"/>
        <family val="2"/>
        <charset val="1"/>
      </rPr>
      <t xml:space="preserve">1</t>
    </r>
    <r>
      <rPr>
        <sz val="10"/>
        <rFont val="宋体"/>
        <family val="3"/>
        <charset val="134"/>
      </rPr>
      <t xml:space="preserve">）项产生的利息</t>
    </r>
  </si>
  <si>
    <t xml:space="preserve">计项目已运行全期</t>
  </si>
  <si>
    <r>
      <rPr>
        <sz val="10"/>
        <rFont val="宋体"/>
        <family val="3"/>
        <charset val="134"/>
      </rPr>
      <t xml:space="preserve">（</t>
    </r>
    <r>
      <rPr>
        <sz val="10"/>
        <rFont val="Arial"/>
        <family val="2"/>
        <charset val="1"/>
      </rPr>
      <t xml:space="preserve">2</t>
    </r>
    <r>
      <rPr>
        <sz val="10"/>
        <rFont val="宋体"/>
        <family val="3"/>
        <charset val="134"/>
      </rPr>
      <t xml:space="preserve">）项产生的利息</t>
    </r>
  </si>
  <si>
    <t xml:space="preserve">土地开发期均匀投入、已建工期计全期</t>
  </si>
  <si>
    <r>
      <rPr>
        <sz val="10"/>
        <rFont val="宋体"/>
        <family val="3"/>
        <charset val="134"/>
      </rPr>
      <t xml:space="preserve">（</t>
    </r>
    <r>
      <rPr>
        <sz val="10"/>
        <rFont val="Arial"/>
        <family val="2"/>
        <charset val="1"/>
      </rPr>
      <t xml:space="preserve">3</t>
    </r>
    <r>
      <rPr>
        <sz val="10"/>
        <rFont val="宋体"/>
        <family val="3"/>
        <charset val="134"/>
      </rPr>
      <t xml:space="preserve">）项产生的利息</t>
    </r>
  </si>
  <si>
    <t xml:space="preserve">管理费用及销售费用于项目已运行期内均匀投入</t>
  </si>
  <si>
    <r>
      <rPr>
        <sz val="10"/>
        <rFont val="Arial"/>
        <family val="2"/>
        <charset val="1"/>
      </rPr>
      <t xml:space="preserve">4</t>
    </r>
    <r>
      <rPr>
        <sz val="10"/>
        <rFont val="宋体"/>
        <family val="3"/>
        <charset val="134"/>
      </rPr>
      <t xml:space="preserve">）</t>
    </r>
  </si>
  <si>
    <r>
      <rPr>
        <sz val="10"/>
        <rFont val="宋体"/>
        <family val="3"/>
        <charset val="134"/>
      </rPr>
      <t xml:space="preserve">（</t>
    </r>
    <r>
      <rPr>
        <sz val="10"/>
        <rFont val="Arial"/>
        <family val="2"/>
        <charset val="1"/>
      </rPr>
      <t xml:space="preserve">4</t>
    </r>
    <r>
      <rPr>
        <sz val="10"/>
        <rFont val="宋体"/>
        <family val="3"/>
        <charset val="134"/>
      </rPr>
      <t xml:space="preserve">）项产生的利息</t>
    </r>
  </si>
  <si>
    <r>
      <rPr>
        <b val="true"/>
        <sz val="10"/>
        <rFont val="宋体"/>
        <family val="3"/>
        <charset val="134"/>
      </rPr>
      <t xml:space="preserve">（</t>
    </r>
    <r>
      <rPr>
        <b val="true"/>
        <sz val="10"/>
        <rFont val="Arial"/>
        <family val="2"/>
        <charset val="1"/>
      </rPr>
      <t xml:space="preserve">6</t>
    </r>
    <r>
      <rPr>
        <b val="true"/>
        <sz val="10"/>
        <rFont val="宋体"/>
        <family val="3"/>
        <charset val="134"/>
      </rPr>
      <t xml:space="preserve">）</t>
    </r>
  </si>
  <si>
    <r>
      <rPr>
        <b val="true"/>
        <sz val="10"/>
        <rFont val="宋体"/>
        <family val="3"/>
        <charset val="134"/>
      </rPr>
      <t xml:space="preserve">（</t>
    </r>
    <r>
      <rPr>
        <b val="true"/>
        <sz val="10"/>
        <rFont val="Arial"/>
        <family val="2"/>
        <charset val="1"/>
      </rPr>
      <t xml:space="preserve">1</t>
    </r>
    <r>
      <rPr>
        <b val="true"/>
        <sz val="10"/>
        <rFont val="宋体"/>
        <family val="3"/>
        <charset val="134"/>
      </rPr>
      <t xml:space="preserve">）</t>
    </r>
    <r>
      <rPr>
        <b val="true"/>
        <sz val="10"/>
        <rFont val="Arial"/>
        <family val="2"/>
        <charset val="1"/>
      </rPr>
      <t xml:space="preserve">-</t>
    </r>
    <r>
      <rPr>
        <b val="true"/>
        <sz val="10"/>
        <rFont val="宋体"/>
        <family val="3"/>
        <charset val="134"/>
      </rPr>
      <t xml:space="preserve">（</t>
    </r>
    <r>
      <rPr>
        <b val="true"/>
        <sz val="10"/>
        <rFont val="Arial"/>
        <family val="2"/>
        <charset val="1"/>
      </rPr>
      <t xml:space="preserve">4</t>
    </r>
    <r>
      <rPr>
        <b val="true"/>
        <sz val="10"/>
        <rFont val="宋体"/>
        <family val="3"/>
        <charset val="134"/>
      </rPr>
      <t xml:space="preserve">）项之和</t>
    </r>
    <r>
      <rPr>
        <b val="true"/>
        <sz val="10"/>
        <rFont val="Arial"/>
        <family val="2"/>
        <charset val="1"/>
      </rPr>
      <t xml:space="preserve">*</t>
    </r>
    <r>
      <rPr>
        <b val="true"/>
        <sz val="10"/>
        <rFont val="宋体"/>
        <family val="3"/>
        <charset val="134"/>
      </rPr>
      <t xml:space="preserve">利润率</t>
    </r>
    <r>
      <rPr>
        <b val="true"/>
        <sz val="10"/>
        <rFont val="Arial"/>
        <family val="2"/>
        <charset val="1"/>
      </rPr>
      <t xml:space="preserve">*</t>
    </r>
    <r>
      <rPr>
        <b val="true"/>
        <sz val="10"/>
        <rFont val="宋体"/>
        <family val="3"/>
        <charset val="134"/>
      </rPr>
      <t xml:space="preserve">已建工期</t>
    </r>
    <r>
      <rPr>
        <b val="true"/>
        <sz val="10"/>
        <rFont val="Arial"/>
        <family val="2"/>
        <charset val="1"/>
      </rPr>
      <t xml:space="preserve">/</t>
    </r>
    <r>
      <rPr>
        <b val="true"/>
        <sz val="10"/>
        <rFont val="宋体"/>
        <family val="3"/>
        <charset val="134"/>
      </rPr>
      <t xml:space="preserve">建设期</t>
    </r>
  </si>
  <si>
    <r>
      <rPr>
        <sz val="10"/>
        <rFont val="宋体"/>
        <family val="3"/>
        <charset val="134"/>
      </rPr>
      <t xml:space="preserve">（</t>
    </r>
    <r>
      <rPr>
        <sz val="10"/>
        <rFont val="Arial"/>
        <family val="2"/>
        <charset val="1"/>
      </rPr>
      <t xml:space="preserve">1</t>
    </r>
    <r>
      <rPr>
        <sz val="10"/>
        <rFont val="宋体"/>
        <family val="3"/>
        <charset val="134"/>
      </rPr>
      <t xml:space="preserve">）</t>
    </r>
    <r>
      <rPr>
        <sz val="10"/>
        <rFont val="Arial"/>
        <family val="2"/>
        <charset val="1"/>
      </rPr>
      <t xml:space="preserve">-</t>
    </r>
    <r>
      <rPr>
        <sz val="10"/>
        <rFont val="宋体"/>
        <family val="3"/>
        <charset val="134"/>
      </rPr>
      <t xml:space="preserve">（</t>
    </r>
    <r>
      <rPr>
        <sz val="10"/>
        <rFont val="Arial"/>
        <family val="2"/>
        <charset val="1"/>
      </rPr>
      <t xml:space="preserve">3</t>
    </r>
    <r>
      <rPr>
        <sz val="10"/>
        <rFont val="宋体"/>
        <family val="3"/>
        <charset val="134"/>
      </rPr>
      <t xml:space="preserve">）项产生的利润</t>
    </r>
  </si>
  <si>
    <r>
      <rPr>
        <sz val="10"/>
        <rFont val="宋体"/>
        <family val="3"/>
        <charset val="134"/>
      </rPr>
      <t xml:space="preserve">（</t>
    </r>
    <r>
      <rPr>
        <sz val="10"/>
        <rFont val="Arial"/>
        <family val="2"/>
        <charset val="1"/>
      </rPr>
      <t xml:space="preserve">4</t>
    </r>
    <r>
      <rPr>
        <sz val="10"/>
        <rFont val="宋体"/>
        <family val="3"/>
        <charset val="134"/>
      </rPr>
      <t xml:space="preserve">）项产生的利润</t>
    </r>
  </si>
  <si>
    <r>
      <rPr>
        <b val="true"/>
        <sz val="10"/>
        <rFont val="宋体"/>
        <family val="3"/>
        <charset val="134"/>
      </rPr>
      <t xml:space="preserve">（</t>
    </r>
    <r>
      <rPr>
        <b val="true"/>
        <sz val="10"/>
        <rFont val="Arial"/>
        <family val="2"/>
        <charset val="1"/>
      </rPr>
      <t xml:space="preserve">7</t>
    </r>
    <r>
      <rPr>
        <b val="true"/>
        <sz val="10"/>
        <rFont val="宋体"/>
        <family val="3"/>
        <charset val="134"/>
      </rPr>
      <t xml:space="preserve">）</t>
    </r>
  </si>
  <si>
    <t xml:space="preserve">销售税费</t>
  </si>
  <si>
    <r>
      <rPr>
        <b val="true"/>
        <sz val="10"/>
        <rFont val="宋体"/>
        <family val="3"/>
        <charset val="134"/>
      </rPr>
      <t xml:space="preserve">以房地产价值</t>
    </r>
    <r>
      <rPr>
        <b val="true"/>
        <sz val="10"/>
        <rFont val="Arial"/>
        <family val="2"/>
        <charset val="1"/>
      </rPr>
      <t xml:space="preserve">/(1+5%)</t>
    </r>
    <r>
      <rPr>
        <b val="true"/>
        <sz val="10"/>
        <rFont val="宋体"/>
        <family val="3"/>
        <charset val="134"/>
      </rPr>
      <t xml:space="preserve">为基数</t>
    </r>
  </si>
  <si>
    <r>
      <rPr>
        <b val="true"/>
        <sz val="10"/>
        <rFont val="宋体"/>
        <family val="3"/>
        <charset val="134"/>
      </rPr>
      <t xml:space="preserve">土地价值</t>
    </r>
    <r>
      <rPr>
        <b val="true"/>
        <sz val="10"/>
        <rFont val="Arial"/>
        <family val="2"/>
        <charset val="1"/>
      </rPr>
      <t xml:space="preserve">(V</t>
    </r>
    <r>
      <rPr>
        <b val="true"/>
        <vertAlign val="subscript"/>
        <sz val="10"/>
        <rFont val="宋体"/>
        <family val="3"/>
        <charset val="134"/>
      </rPr>
      <t xml:space="preserve">土</t>
    </r>
    <r>
      <rPr>
        <b val="true"/>
        <sz val="10"/>
        <rFont val="Arial"/>
        <family val="2"/>
        <charset val="1"/>
      </rPr>
      <t xml:space="preserve">)</t>
    </r>
  </si>
  <si>
    <r>
      <rPr>
        <b val="true"/>
        <sz val="10"/>
        <rFont val="宋体"/>
        <family val="3"/>
        <charset val="134"/>
      </rPr>
      <t xml:space="preserve">前述</t>
    </r>
    <r>
      <rPr>
        <b val="true"/>
        <sz val="10"/>
        <rFont val="Arial"/>
        <family val="2"/>
        <charset val="1"/>
      </rPr>
      <t xml:space="preserve">7</t>
    </r>
    <r>
      <rPr>
        <b val="true"/>
        <sz val="10"/>
        <rFont val="宋体"/>
        <family val="3"/>
        <charset val="134"/>
      </rPr>
      <t xml:space="preserve">项相加</t>
    </r>
  </si>
  <si>
    <r>
      <rPr>
        <b val="true"/>
        <sz val="12"/>
        <rFont val="Arial"/>
        <family val="2"/>
        <charset val="1"/>
      </rPr>
      <t xml:space="preserve">2.</t>
    </r>
    <r>
      <rPr>
        <b val="true"/>
        <sz val="12"/>
        <rFont val="宋体"/>
        <family val="3"/>
        <charset val="134"/>
      </rPr>
      <t xml:space="preserve">建筑物</t>
    </r>
    <r>
      <rPr>
        <b val="true"/>
        <sz val="12"/>
        <rFont val="Arial"/>
        <family val="2"/>
        <charset val="1"/>
      </rPr>
      <t xml:space="preserve">/</t>
    </r>
    <r>
      <rPr>
        <b val="true"/>
        <sz val="12"/>
        <rFont val="宋体"/>
        <family val="3"/>
        <charset val="134"/>
      </rPr>
      <t xml:space="preserve">在建工程价值</t>
    </r>
  </si>
  <si>
    <r>
      <rPr>
        <b val="true"/>
        <sz val="10"/>
        <rFont val="宋体"/>
        <family val="3"/>
        <charset val="134"/>
      </rPr>
      <t xml:space="preserve">建筑物建造</t>
    </r>
    <r>
      <rPr>
        <b val="true"/>
        <sz val="10"/>
        <rFont val="Arial"/>
        <family val="2"/>
        <charset val="1"/>
      </rPr>
      <t xml:space="preserve">/</t>
    </r>
    <r>
      <rPr>
        <b val="true"/>
        <sz val="10"/>
        <rFont val="宋体"/>
        <family val="3"/>
        <charset val="134"/>
      </rPr>
      <t xml:space="preserve">已建成本</t>
    </r>
  </si>
  <si>
    <r>
      <rPr>
        <sz val="10"/>
        <rFont val="宋体"/>
        <family val="3"/>
        <charset val="134"/>
      </rPr>
      <t xml:space="preserve">现房</t>
    </r>
    <r>
      <rPr>
        <sz val="10"/>
        <rFont val="Arial"/>
        <family val="2"/>
        <charset val="1"/>
      </rPr>
      <t xml:space="preserve">100%</t>
    </r>
    <r>
      <rPr>
        <sz val="10"/>
        <rFont val="宋体"/>
        <family val="3"/>
        <charset val="134"/>
      </rPr>
      <t xml:space="preserve">；在建为综合进度</t>
    </r>
  </si>
  <si>
    <t xml:space="preserve">以建安费用为基数计取</t>
  </si>
  <si>
    <t xml:space="preserve">以住宅用房建安费用为基数计取或直接等于公共配套建安费</t>
  </si>
  <si>
    <t xml:space="preserve">红线内市政费用</t>
  </si>
  <si>
    <t xml:space="preserve">按工程进度计取或按实际情况计取</t>
  </si>
  <si>
    <r>
      <rPr>
        <sz val="10"/>
        <rFont val="Arial"/>
        <family val="2"/>
        <charset val="1"/>
      </rPr>
      <t xml:space="preserve">5</t>
    </r>
    <r>
      <rPr>
        <sz val="10"/>
        <rFont val="宋体"/>
        <family val="3"/>
        <charset val="134"/>
      </rPr>
      <t xml:space="preserve">）</t>
    </r>
  </si>
  <si>
    <r>
      <rPr>
        <b val="true"/>
        <sz val="10"/>
        <rFont val="宋体"/>
        <family val="3"/>
        <charset val="134"/>
      </rPr>
      <t xml:space="preserve">以（</t>
    </r>
    <r>
      <rPr>
        <b val="true"/>
        <sz val="10"/>
        <rFont val="Arial"/>
        <family val="2"/>
        <charset val="1"/>
      </rPr>
      <t xml:space="preserve">1</t>
    </r>
    <r>
      <rPr>
        <b val="true"/>
        <sz val="10"/>
        <rFont val="宋体"/>
        <family val="3"/>
        <charset val="134"/>
      </rPr>
      <t xml:space="preserve">）为基数</t>
    </r>
  </si>
  <si>
    <r>
      <rPr>
        <b val="true"/>
        <sz val="10"/>
        <rFont val="Arial"/>
        <family val="2"/>
        <charset val="1"/>
      </rPr>
      <t xml:space="preserve">V</t>
    </r>
    <r>
      <rPr>
        <b val="true"/>
        <vertAlign val="subscript"/>
        <sz val="10"/>
        <rFont val="宋体"/>
        <family val="3"/>
        <charset val="134"/>
      </rPr>
      <t xml:space="preserve">建</t>
    </r>
  </si>
  <si>
    <r>
      <rPr>
        <b val="true"/>
        <sz val="10"/>
        <rFont val="宋体"/>
        <family val="3"/>
        <charset val="134"/>
      </rPr>
      <t xml:space="preserve">以</t>
    </r>
    <r>
      <rPr>
        <b val="true"/>
        <sz val="10"/>
        <rFont val="Arial"/>
        <family val="2"/>
        <charset val="1"/>
      </rPr>
      <t xml:space="preserve">V</t>
    </r>
    <r>
      <rPr>
        <b val="true"/>
        <sz val="10"/>
        <rFont val="宋体"/>
        <family val="3"/>
        <charset val="134"/>
      </rPr>
      <t xml:space="preserve">建为基数</t>
    </r>
  </si>
  <si>
    <t xml:space="preserve">已建工期均匀投入</t>
  </si>
  <si>
    <r>
      <rPr>
        <b val="true"/>
        <sz val="10"/>
        <rFont val="宋体"/>
        <family val="3"/>
        <charset val="134"/>
      </rPr>
      <t xml:space="preserve">（</t>
    </r>
    <r>
      <rPr>
        <b val="true"/>
        <sz val="10"/>
        <rFont val="Arial"/>
        <family val="2"/>
        <charset val="1"/>
      </rPr>
      <t xml:space="preserve">1</t>
    </r>
    <r>
      <rPr>
        <b val="true"/>
        <sz val="10"/>
        <rFont val="宋体"/>
        <family val="3"/>
        <charset val="134"/>
      </rPr>
      <t xml:space="preserve">）</t>
    </r>
    <r>
      <rPr>
        <b val="true"/>
        <sz val="10"/>
        <rFont val="Arial"/>
        <family val="2"/>
        <charset val="1"/>
      </rPr>
      <t xml:space="preserve">-</t>
    </r>
    <r>
      <rPr>
        <b val="true"/>
        <sz val="10"/>
        <rFont val="宋体"/>
        <family val="3"/>
        <charset val="134"/>
      </rPr>
      <t xml:space="preserve">（</t>
    </r>
    <r>
      <rPr>
        <b val="true"/>
        <sz val="10"/>
        <rFont val="Arial"/>
        <family val="2"/>
        <charset val="1"/>
      </rPr>
      <t xml:space="preserve">3</t>
    </r>
    <r>
      <rPr>
        <b val="true"/>
        <sz val="10"/>
        <rFont val="宋体"/>
        <family val="3"/>
        <charset val="134"/>
      </rPr>
      <t xml:space="preserve">）项乘利润率</t>
    </r>
  </si>
  <si>
    <r>
      <rPr>
        <sz val="10"/>
        <rFont val="宋体"/>
        <family val="3"/>
        <charset val="134"/>
      </rPr>
      <t xml:space="preserve">（</t>
    </r>
    <r>
      <rPr>
        <sz val="10"/>
        <rFont val="Arial"/>
        <family val="2"/>
        <charset val="1"/>
      </rPr>
      <t xml:space="preserve">1</t>
    </r>
    <r>
      <rPr>
        <sz val="10"/>
        <rFont val="宋体"/>
        <family val="3"/>
        <charset val="134"/>
      </rPr>
      <t xml:space="preserve">）、（</t>
    </r>
    <r>
      <rPr>
        <sz val="10"/>
        <rFont val="Arial"/>
        <family val="2"/>
        <charset val="1"/>
      </rPr>
      <t xml:space="preserve">2</t>
    </r>
    <r>
      <rPr>
        <sz val="10"/>
        <rFont val="宋体"/>
        <family val="3"/>
        <charset val="134"/>
      </rPr>
      <t xml:space="preserve">）项产生的利润</t>
    </r>
  </si>
  <si>
    <r>
      <rPr>
        <sz val="10"/>
        <rFont val="宋体"/>
        <family val="3"/>
        <charset val="134"/>
      </rPr>
      <t xml:space="preserve">（</t>
    </r>
    <r>
      <rPr>
        <sz val="10"/>
        <rFont val="Arial"/>
        <family val="2"/>
        <charset val="1"/>
      </rPr>
      <t xml:space="preserve">3</t>
    </r>
    <r>
      <rPr>
        <sz val="10"/>
        <rFont val="宋体"/>
        <family val="3"/>
        <charset val="134"/>
      </rPr>
      <t xml:space="preserve">）项产生的利润</t>
    </r>
  </si>
  <si>
    <r>
      <rPr>
        <b val="true"/>
        <sz val="10"/>
        <rFont val="宋体"/>
        <family val="3"/>
        <charset val="134"/>
      </rPr>
      <t xml:space="preserve">以成本价值</t>
    </r>
    <r>
      <rPr>
        <b val="true"/>
        <sz val="10"/>
        <rFont val="Arial"/>
        <family val="2"/>
        <charset val="1"/>
      </rPr>
      <t xml:space="preserve">/(1+5%)</t>
    </r>
    <r>
      <rPr>
        <b val="true"/>
        <sz val="10"/>
        <rFont val="宋体"/>
        <family val="3"/>
        <charset val="134"/>
      </rPr>
      <t xml:space="preserve">为基数</t>
    </r>
  </si>
  <si>
    <r>
      <rPr>
        <b val="true"/>
        <sz val="10"/>
        <rFont val="宋体"/>
        <family val="3"/>
        <charset val="134"/>
      </rPr>
      <t xml:space="preserve">建筑物</t>
    </r>
    <r>
      <rPr>
        <b val="true"/>
        <sz val="10"/>
        <rFont val="Arial"/>
        <family val="2"/>
        <charset val="1"/>
      </rPr>
      <t xml:space="preserve">/</t>
    </r>
    <r>
      <rPr>
        <b val="true"/>
        <sz val="10"/>
        <rFont val="宋体"/>
        <family val="3"/>
        <charset val="134"/>
      </rPr>
      <t xml:space="preserve">在建工程重置价值（</t>
    </r>
    <r>
      <rPr>
        <b val="true"/>
        <sz val="10"/>
        <rFont val="Arial"/>
        <family val="2"/>
        <charset val="1"/>
      </rPr>
      <t xml:space="preserve">V</t>
    </r>
    <r>
      <rPr>
        <b val="true"/>
        <vertAlign val="subscript"/>
        <sz val="10"/>
        <rFont val="宋体"/>
        <family val="3"/>
        <charset val="134"/>
      </rPr>
      <t xml:space="preserve">建</t>
    </r>
    <r>
      <rPr>
        <b val="true"/>
        <vertAlign val="subscript"/>
        <sz val="10"/>
        <rFont val="Arial"/>
        <family val="2"/>
        <charset val="1"/>
      </rPr>
      <t xml:space="preserve">1</t>
    </r>
    <r>
      <rPr>
        <b val="true"/>
        <sz val="10"/>
        <rFont val="宋体"/>
        <family val="3"/>
        <charset val="134"/>
      </rPr>
      <t xml:space="preserve">）</t>
    </r>
  </si>
  <si>
    <r>
      <rPr>
        <b val="true"/>
        <sz val="10"/>
        <rFont val="宋体"/>
        <family val="3"/>
        <charset val="134"/>
      </rPr>
      <t xml:space="preserve">前述</t>
    </r>
    <r>
      <rPr>
        <b val="true"/>
        <sz val="10"/>
        <rFont val="Arial"/>
        <family val="2"/>
        <charset val="1"/>
      </rPr>
      <t xml:space="preserve">6</t>
    </r>
    <r>
      <rPr>
        <b val="true"/>
        <sz val="10"/>
        <rFont val="宋体"/>
        <family val="3"/>
        <charset val="134"/>
      </rPr>
      <t xml:space="preserve">项相加</t>
    </r>
  </si>
  <si>
    <r>
      <rPr>
        <b val="true"/>
        <sz val="10"/>
        <rFont val="宋体"/>
        <family val="3"/>
        <charset val="134"/>
      </rPr>
      <t xml:space="preserve">（</t>
    </r>
    <r>
      <rPr>
        <b val="true"/>
        <sz val="10"/>
        <rFont val="Arial"/>
        <family val="2"/>
        <charset val="1"/>
      </rPr>
      <t xml:space="preserve">8</t>
    </r>
    <r>
      <rPr>
        <b val="true"/>
        <sz val="10"/>
        <rFont val="宋体"/>
        <family val="3"/>
        <charset val="134"/>
      </rPr>
      <t xml:space="preserve">）</t>
    </r>
  </si>
  <si>
    <t xml:space="preserve">成新率</t>
  </si>
  <si>
    <t xml:space="preserve">现房为成新率，在建依实际情况（停工）记取</t>
  </si>
  <si>
    <r>
      <rPr>
        <b val="true"/>
        <sz val="10"/>
        <rFont val="宋体"/>
        <family val="3"/>
        <charset val="134"/>
      </rPr>
      <t xml:space="preserve">（</t>
    </r>
    <r>
      <rPr>
        <b val="true"/>
        <sz val="10"/>
        <rFont val="Arial"/>
        <family val="2"/>
        <charset val="1"/>
      </rPr>
      <t xml:space="preserve">9</t>
    </r>
    <r>
      <rPr>
        <b val="true"/>
        <sz val="10"/>
        <rFont val="宋体"/>
        <family val="3"/>
        <charset val="134"/>
      </rPr>
      <t xml:space="preserve">）</t>
    </r>
  </si>
  <si>
    <r>
      <rPr>
        <b val="true"/>
        <sz val="10"/>
        <rFont val="宋体"/>
        <family val="3"/>
        <charset val="134"/>
      </rPr>
      <t xml:space="preserve">建筑物</t>
    </r>
    <r>
      <rPr>
        <b val="true"/>
        <sz val="10"/>
        <rFont val="Arial"/>
        <family val="2"/>
        <charset val="1"/>
      </rPr>
      <t xml:space="preserve">/</t>
    </r>
    <r>
      <rPr>
        <b val="true"/>
        <sz val="10"/>
        <rFont val="宋体"/>
        <family val="3"/>
        <charset val="134"/>
      </rPr>
      <t xml:space="preserve">在建工程价值（</t>
    </r>
    <r>
      <rPr>
        <b val="true"/>
        <sz val="10"/>
        <rFont val="Arial"/>
        <family val="2"/>
        <charset val="1"/>
      </rPr>
      <t xml:space="preserve">V</t>
    </r>
    <r>
      <rPr>
        <b val="true"/>
        <vertAlign val="subscript"/>
        <sz val="10"/>
        <rFont val="宋体"/>
        <family val="3"/>
        <charset val="134"/>
      </rPr>
      <t xml:space="preserve">建</t>
    </r>
    <r>
      <rPr>
        <b val="true"/>
        <vertAlign val="subscript"/>
        <sz val="10"/>
        <rFont val="Arial"/>
        <family val="2"/>
        <charset val="1"/>
      </rPr>
      <t xml:space="preserve">2</t>
    </r>
    <r>
      <rPr>
        <b val="true"/>
        <sz val="10"/>
        <rFont val="宋体"/>
        <family val="3"/>
        <charset val="134"/>
      </rPr>
      <t xml:space="preserve">）</t>
    </r>
  </si>
  <si>
    <r>
      <rPr>
        <b val="true"/>
        <sz val="10"/>
        <rFont val="宋体"/>
        <family val="3"/>
        <charset val="134"/>
      </rPr>
      <t xml:space="preserve">重置价值</t>
    </r>
    <r>
      <rPr>
        <b val="true"/>
        <sz val="10"/>
        <rFont val="Arial"/>
        <family val="2"/>
        <charset val="1"/>
      </rPr>
      <t xml:space="preserve">×</t>
    </r>
    <r>
      <rPr>
        <b val="true"/>
        <sz val="10"/>
        <rFont val="宋体"/>
        <family val="3"/>
        <charset val="134"/>
      </rPr>
      <t xml:space="preserve">成新率</t>
    </r>
  </si>
  <si>
    <r>
      <rPr>
        <b val="true"/>
        <sz val="12"/>
        <rFont val="Arial"/>
        <family val="2"/>
        <charset val="1"/>
      </rPr>
      <t xml:space="preserve">3.</t>
    </r>
    <r>
      <rPr>
        <b val="true"/>
        <sz val="12"/>
        <rFont val="宋体"/>
        <family val="3"/>
        <charset val="134"/>
      </rPr>
      <t xml:space="preserve">成本价值</t>
    </r>
  </si>
  <si>
    <t xml:space="preserve">成本比率</t>
  </si>
  <si>
    <t xml:space="preserve">土地成本比率</t>
  </si>
  <si>
    <t xml:space="preserve">建筑物成本比率</t>
  </si>
  <si>
    <t xml:space="preserve">仅限现房使用</t>
  </si>
  <si>
    <t xml:space="preserve">已包含在土地购买价格中</t>
  </si>
  <si>
    <t xml:space="preserve">未包含在土地取得成本中</t>
  </si>
  <si>
    <r>
      <rPr>
        <b val="true"/>
        <sz val="12"/>
        <rFont val="Arial"/>
        <family val="2"/>
        <charset val="1"/>
      </rPr>
      <t xml:space="preserve">2.</t>
    </r>
    <r>
      <rPr>
        <b val="true"/>
        <sz val="12"/>
        <rFont val="宋体"/>
        <family val="3"/>
        <charset val="134"/>
      </rPr>
      <t xml:space="preserve">建筑物价值</t>
    </r>
  </si>
  <si>
    <t xml:space="preserve">建筑物建造成本</t>
  </si>
  <si>
    <t xml:space="preserve">建设期期均匀投入</t>
  </si>
  <si>
    <r>
      <rPr>
        <b val="true"/>
        <sz val="10"/>
        <rFont val="宋体"/>
        <family val="3"/>
        <charset val="134"/>
      </rPr>
      <t xml:space="preserve">建筑物重置价值（</t>
    </r>
    <r>
      <rPr>
        <b val="true"/>
        <sz val="10"/>
        <rFont val="Arial"/>
        <family val="2"/>
        <charset val="1"/>
      </rPr>
      <t xml:space="preserve">V</t>
    </r>
    <r>
      <rPr>
        <b val="true"/>
        <vertAlign val="subscript"/>
        <sz val="10"/>
        <rFont val="宋体"/>
        <family val="3"/>
        <charset val="134"/>
      </rPr>
      <t xml:space="preserve">建</t>
    </r>
    <r>
      <rPr>
        <b val="true"/>
        <vertAlign val="subscript"/>
        <sz val="10"/>
        <rFont val="Arial"/>
        <family val="2"/>
        <charset val="1"/>
      </rPr>
      <t xml:space="preserve">1</t>
    </r>
    <r>
      <rPr>
        <b val="true"/>
        <sz val="10"/>
        <rFont val="宋体"/>
        <family val="3"/>
        <charset val="134"/>
      </rPr>
      <t xml:space="preserve">）</t>
    </r>
  </si>
  <si>
    <r>
      <rPr>
        <b val="true"/>
        <sz val="10"/>
        <rFont val="宋体"/>
        <family val="3"/>
        <charset val="134"/>
      </rPr>
      <t xml:space="preserve">建筑物价值（</t>
    </r>
    <r>
      <rPr>
        <b val="true"/>
        <sz val="10"/>
        <rFont val="Arial"/>
        <family val="2"/>
        <charset val="1"/>
      </rPr>
      <t xml:space="preserve">V</t>
    </r>
    <r>
      <rPr>
        <b val="true"/>
        <vertAlign val="subscript"/>
        <sz val="10"/>
        <rFont val="宋体"/>
        <family val="3"/>
        <charset val="134"/>
      </rPr>
      <t xml:space="preserve">建</t>
    </r>
    <r>
      <rPr>
        <b val="true"/>
        <vertAlign val="subscript"/>
        <sz val="10"/>
        <rFont val="Arial"/>
        <family val="2"/>
        <charset val="1"/>
      </rPr>
      <t xml:space="preserve">2</t>
    </r>
    <r>
      <rPr>
        <b val="true"/>
        <sz val="10"/>
        <rFont val="宋体"/>
        <family val="3"/>
        <charset val="134"/>
      </rPr>
      <t xml:space="preserve">）</t>
    </r>
  </si>
  <si>
    <r>
      <rPr>
        <b val="true"/>
        <sz val="12"/>
        <color rgb="FF000000"/>
        <rFont val="宋体"/>
        <family val="3"/>
        <charset val="134"/>
      </rPr>
      <t xml:space="preserve">元</t>
    </r>
    <r>
      <rPr>
        <b val="true"/>
        <sz val="12"/>
        <color rgb="FF000000"/>
        <rFont val="Arial"/>
        <family val="2"/>
        <charset val="1"/>
      </rPr>
      <t xml:space="preserve">/</t>
    </r>
    <r>
      <rPr>
        <b val="true"/>
        <sz val="12"/>
        <color rgb="FF000000"/>
        <rFont val="宋体"/>
        <family val="3"/>
        <charset val="134"/>
      </rPr>
      <t xml:space="preserve">平方米</t>
    </r>
  </si>
  <si>
    <r>
      <rPr>
        <b val="true"/>
        <sz val="12"/>
        <color rgb="FF000000"/>
        <rFont val="Arial"/>
        <family val="2"/>
        <charset val="1"/>
      </rPr>
      <t xml:space="preserve">1.</t>
    </r>
    <r>
      <rPr>
        <b val="true"/>
        <sz val="12"/>
        <color rgb="FF000000"/>
        <rFont val="宋体"/>
        <family val="3"/>
        <charset val="134"/>
      </rPr>
      <t xml:space="preserve">开发完成后房地产价值</t>
    </r>
  </si>
  <si>
    <r>
      <rPr>
        <b val="true"/>
        <sz val="12"/>
        <color rgb="FF000000"/>
        <rFont val="Arial"/>
        <family val="2"/>
        <charset val="1"/>
      </rPr>
      <t xml:space="preserve">2.</t>
    </r>
    <r>
      <rPr>
        <b val="true"/>
        <sz val="12"/>
        <color rgb="FF000000"/>
        <rFont val="宋体"/>
        <family val="3"/>
        <charset val="134"/>
      </rPr>
      <t xml:space="preserve">扣减项</t>
    </r>
  </si>
  <si>
    <t xml:space="preserve">相关系数</t>
  </si>
  <si>
    <t xml:space="preserve">C</t>
  </si>
  <si>
    <t xml:space="preserve">以住宅用房建安费用为基数计取</t>
  </si>
  <si>
    <t xml:space="preserve">D</t>
  </si>
  <si>
    <t xml:space="preserve">E</t>
  </si>
  <si>
    <t xml:space="preserve">续建成本</t>
  </si>
  <si>
    <t xml:space="preserve">红线外市政费用（待完成）</t>
  </si>
  <si>
    <t xml:space="preserve">按实际情况计取</t>
  </si>
  <si>
    <r>
      <rPr>
        <sz val="10"/>
        <color rgb="FF000000"/>
        <rFont val="Arial"/>
        <family val="2"/>
        <charset val="1"/>
      </rPr>
      <t xml:space="preserve">3</t>
    </r>
    <r>
      <rPr>
        <sz val="11"/>
        <color rgb="FF000000"/>
        <rFont val="宋体"/>
        <family val="3"/>
        <charset val="134"/>
      </rPr>
      <t xml:space="preserve">）</t>
    </r>
  </si>
  <si>
    <t xml:space="preserve">后续开发成本</t>
  </si>
  <si>
    <r>
      <rPr>
        <sz val="10"/>
        <color rgb="FF000000"/>
        <rFont val="宋体"/>
        <family val="3"/>
        <charset val="134"/>
      </rPr>
      <t xml:space="preserve">前述</t>
    </r>
    <r>
      <rPr>
        <sz val="10"/>
        <color rgb="FF000000"/>
        <rFont val="Arial"/>
        <family val="2"/>
        <charset val="1"/>
      </rPr>
      <t xml:space="preserve">7</t>
    </r>
    <r>
      <rPr>
        <sz val="10"/>
        <color rgb="FF000000"/>
        <rFont val="宋体"/>
        <family val="3"/>
        <charset val="134"/>
      </rPr>
      <t xml:space="preserve">项之和</t>
    </r>
  </si>
  <si>
    <t xml:space="preserve">以续建成本为基数计算</t>
  </si>
  <si>
    <r>
      <rPr>
        <b val="true"/>
        <sz val="11"/>
        <color rgb="FF000000"/>
        <rFont val="宋体"/>
        <family val="3"/>
        <charset val="134"/>
      </rPr>
      <t xml:space="preserve">以</t>
    </r>
    <r>
      <rPr>
        <b val="true"/>
        <sz val="11"/>
        <color rgb="FF000000"/>
        <rFont val="宋体"/>
        <family val="0"/>
        <charset val="134"/>
      </rPr>
      <t xml:space="preserve">“</t>
    </r>
    <r>
      <rPr>
        <b val="true"/>
        <sz val="11"/>
        <color rgb="FF000000"/>
        <rFont val="Arial"/>
        <family val="2"/>
        <charset val="1"/>
      </rPr>
      <t xml:space="preserve">1”</t>
    </r>
    <r>
      <rPr>
        <b val="true"/>
        <sz val="11"/>
        <color rgb="FF000000"/>
        <rFont val="宋体"/>
        <family val="3"/>
        <charset val="134"/>
      </rPr>
      <t xml:space="preserve">为基数按一定比例及续建进度计取</t>
    </r>
  </si>
  <si>
    <t xml:space="preserve">取得税费</t>
  </si>
  <si>
    <t xml:space="preserve">v</t>
  </si>
  <si>
    <r>
      <rPr>
        <sz val="11"/>
        <color rgb="FF000000"/>
        <rFont val="宋体"/>
        <family val="3"/>
        <charset val="134"/>
      </rPr>
      <t xml:space="preserve">以开发价值</t>
    </r>
    <r>
      <rPr>
        <sz val="11"/>
        <color rgb="FF000000"/>
        <rFont val="Arial"/>
        <family val="2"/>
        <charset val="1"/>
      </rPr>
      <t xml:space="preserve">/(1+5%)</t>
    </r>
    <r>
      <rPr>
        <sz val="11"/>
        <color rgb="FF000000"/>
        <rFont val="宋体"/>
        <family val="3"/>
        <charset val="134"/>
      </rPr>
      <t xml:space="preserve">为基数</t>
    </r>
  </si>
  <si>
    <t xml:space="preserve">利息</t>
  </si>
  <si>
    <t xml:space="preserve">估价对象及取得税费产生的利息</t>
  </si>
  <si>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3</t>
    </r>
    <r>
      <rPr>
        <sz val="10"/>
        <color rgb="FF000000"/>
        <rFont val="宋体"/>
        <family val="3"/>
        <charset val="134"/>
      </rPr>
      <t xml:space="preserve">）产生的利息</t>
    </r>
  </si>
  <si>
    <t xml:space="preserve">投资利润</t>
  </si>
  <si>
    <t xml:space="preserve">估价对象及取得税费应计的利润</t>
  </si>
  <si>
    <r>
      <rPr>
        <sz val="10"/>
        <color rgb="FF000000"/>
        <rFont val="宋体"/>
        <family val="3"/>
        <charset val="134"/>
      </rPr>
      <t xml:space="preserve">（</t>
    </r>
    <r>
      <rPr>
        <sz val="10"/>
        <color rgb="FF000000"/>
        <rFont val="Arial"/>
        <family val="2"/>
        <charset val="1"/>
      </rPr>
      <t xml:space="preserve">V+V*</t>
    </r>
    <r>
      <rPr>
        <sz val="10"/>
        <color rgb="FF000000"/>
        <rFont val="宋体"/>
        <family val="3"/>
        <charset val="134"/>
      </rPr>
      <t xml:space="preserve">取得税费）</t>
    </r>
    <r>
      <rPr>
        <sz val="10"/>
        <color rgb="FF000000"/>
        <rFont val="Arial"/>
        <family val="2"/>
        <charset val="1"/>
      </rPr>
      <t xml:space="preserve">*</t>
    </r>
    <r>
      <rPr>
        <sz val="10"/>
        <color rgb="FF000000"/>
        <rFont val="宋体"/>
        <family val="3"/>
        <charset val="134"/>
      </rPr>
      <t xml:space="preserve">利润率</t>
    </r>
    <r>
      <rPr>
        <sz val="10"/>
        <color rgb="FF000000"/>
        <rFont val="Arial"/>
        <family val="2"/>
        <charset val="1"/>
      </rPr>
      <t xml:space="preserve">*</t>
    </r>
    <r>
      <rPr>
        <sz val="10"/>
        <color rgb="FF000000"/>
        <rFont val="宋体"/>
        <family val="3"/>
        <charset val="134"/>
      </rPr>
      <t xml:space="preserve">续建工期</t>
    </r>
    <r>
      <rPr>
        <sz val="10"/>
        <color rgb="FF000000"/>
        <rFont val="Arial"/>
        <family val="2"/>
        <charset val="1"/>
      </rPr>
      <t xml:space="preserve">/</t>
    </r>
    <r>
      <rPr>
        <sz val="10"/>
        <color rgb="FF000000"/>
        <rFont val="宋体"/>
        <family val="3"/>
        <charset val="134"/>
      </rPr>
      <t xml:space="preserve">建设期</t>
    </r>
  </si>
  <si>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3</t>
    </r>
    <r>
      <rPr>
        <sz val="10"/>
        <color rgb="FF000000"/>
        <rFont val="宋体"/>
        <family val="3"/>
        <charset val="134"/>
      </rPr>
      <t xml:space="preserve">）应计的利润</t>
    </r>
  </si>
  <si>
    <r>
      <rPr>
        <sz val="10"/>
        <color rgb="FF000000"/>
        <rFont val="宋体"/>
        <family val="3"/>
        <charset val="134"/>
      </rPr>
      <t xml:space="preserve">（</t>
    </r>
    <r>
      <rPr>
        <sz val="10"/>
        <color rgb="FF000000"/>
        <rFont val="Arial"/>
        <family val="2"/>
        <charset val="1"/>
      </rPr>
      <t xml:space="preserve">7</t>
    </r>
    <r>
      <rPr>
        <sz val="10"/>
        <color rgb="FF000000"/>
        <rFont val="宋体"/>
        <family val="3"/>
        <charset val="134"/>
      </rPr>
      <t xml:space="preserve">）</t>
    </r>
  </si>
  <si>
    <r>
      <rPr>
        <b val="true"/>
        <sz val="11"/>
        <color rgb="FF000000"/>
        <rFont val="宋体"/>
        <family val="3"/>
        <charset val="134"/>
      </rPr>
      <t xml:space="preserve">以</t>
    </r>
    <r>
      <rPr>
        <b val="true"/>
        <sz val="11"/>
        <color rgb="FF000000"/>
        <rFont val="宋体"/>
        <family val="0"/>
        <charset val="134"/>
      </rPr>
      <t xml:space="preserve">“</t>
    </r>
    <r>
      <rPr>
        <b val="true"/>
        <sz val="11"/>
        <color rgb="FF000000"/>
        <rFont val="宋体"/>
        <family val="3"/>
        <charset val="134"/>
      </rPr>
      <t xml:space="preserve">开发完成后价值</t>
    </r>
    <r>
      <rPr>
        <b val="true"/>
        <sz val="11"/>
        <color rgb="FF000000"/>
        <rFont val="Arial"/>
        <family val="2"/>
        <charset val="1"/>
      </rPr>
      <t xml:space="preserve">/</t>
    </r>
    <r>
      <rPr>
        <b val="true"/>
        <sz val="11"/>
        <color rgb="FF000000"/>
        <rFont val="宋体"/>
        <family val="3"/>
        <charset val="134"/>
      </rPr>
      <t xml:space="preserve">（</t>
    </r>
    <r>
      <rPr>
        <b val="true"/>
        <sz val="11"/>
        <color rgb="FF000000"/>
        <rFont val="Arial"/>
        <family val="2"/>
        <charset val="1"/>
      </rPr>
      <t xml:space="preserve">1+5%</t>
    </r>
    <r>
      <rPr>
        <b val="true"/>
        <sz val="11"/>
        <color rgb="FF000000"/>
        <rFont val="宋体"/>
        <family val="3"/>
        <charset val="134"/>
      </rPr>
      <t xml:space="preserve">）</t>
    </r>
    <r>
      <rPr>
        <b val="true"/>
        <sz val="11"/>
        <color rgb="FF000000"/>
        <rFont val="宋体"/>
        <family val="0"/>
        <charset val="134"/>
      </rPr>
      <t xml:space="preserve">”</t>
    </r>
    <r>
      <rPr>
        <b val="true"/>
        <sz val="11"/>
        <color rgb="FF000000"/>
        <rFont val="宋体"/>
        <family val="3"/>
        <charset val="134"/>
      </rPr>
      <t xml:space="preserve">为基数计取</t>
    </r>
  </si>
  <si>
    <r>
      <rPr>
        <b val="true"/>
        <sz val="11"/>
        <color rgb="FF000000"/>
        <rFont val="Arial"/>
        <family val="2"/>
        <charset val="1"/>
      </rPr>
      <t xml:space="preserve">3.</t>
    </r>
    <r>
      <rPr>
        <b val="true"/>
        <sz val="11"/>
        <color rgb="FF000000"/>
        <rFont val="宋体"/>
        <family val="3"/>
        <charset val="134"/>
      </rPr>
      <t xml:space="preserve">开发价值（</t>
    </r>
    <r>
      <rPr>
        <b val="true"/>
        <sz val="11"/>
        <color rgb="FF000000"/>
        <rFont val="Arial"/>
        <family val="2"/>
        <charset val="1"/>
      </rPr>
      <t xml:space="preserve">V</t>
    </r>
    <r>
      <rPr>
        <b val="true"/>
        <sz val="11"/>
        <color rgb="FF000000"/>
        <rFont val="宋体"/>
        <family val="3"/>
        <charset val="134"/>
      </rPr>
      <t xml:space="preserve">）</t>
    </r>
  </si>
  <si>
    <r>
      <rPr>
        <b val="true"/>
        <sz val="12"/>
        <color rgb="FF000000"/>
        <rFont val="宋体"/>
        <family val="3"/>
        <charset val="134"/>
      </rPr>
      <t xml:space="preserve">估价对象价值</t>
    </r>
    <r>
      <rPr>
        <b val="true"/>
        <sz val="12"/>
        <color rgb="FF000000"/>
        <rFont val="Arial"/>
        <family val="2"/>
        <charset val="1"/>
      </rPr>
      <t xml:space="preserve">=1-2</t>
    </r>
  </si>
  <si>
    <r>
      <rPr>
        <b val="true"/>
        <sz val="16"/>
        <color rgb="FFFF0000"/>
        <rFont val="宋体"/>
        <family val="3"/>
        <charset val="134"/>
      </rPr>
      <t xml:space="preserve">收益法</t>
    </r>
    <r>
      <rPr>
        <b val="true"/>
        <sz val="12"/>
        <rFont val="宋体"/>
        <family val="3"/>
        <charset val="134"/>
      </rPr>
      <t xml:space="preserve">（无租约及租期内）</t>
    </r>
  </si>
  <si>
    <r>
      <rPr>
        <sz val="12"/>
        <rFont val="宋体"/>
        <family val="3"/>
        <charset val="134"/>
      </rPr>
      <t xml:space="preserve">收益年期</t>
    </r>
    <r>
      <rPr>
        <sz val="12"/>
        <rFont val="Arial"/>
        <family val="2"/>
        <charset val="1"/>
      </rPr>
      <t xml:space="preserve">(</t>
    </r>
    <r>
      <rPr>
        <sz val="12"/>
        <rFont val="宋体"/>
        <family val="3"/>
        <charset val="134"/>
      </rPr>
      <t xml:space="preserve">总</t>
    </r>
    <r>
      <rPr>
        <sz val="12"/>
        <rFont val="Arial"/>
        <family val="2"/>
        <charset val="1"/>
      </rPr>
      <t xml:space="preserve">)</t>
    </r>
  </si>
  <si>
    <r>
      <rPr>
        <sz val="10"/>
        <rFont val="宋体"/>
        <family val="3"/>
        <charset val="134"/>
      </rPr>
      <t xml:space="preserve">元</t>
    </r>
    <r>
      <rPr>
        <sz val="10"/>
        <rFont val="Arial"/>
        <family val="2"/>
        <charset val="1"/>
      </rPr>
      <t xml:space="preserve">/</t>
    </r>
    <r>
      <rPr>
        <sz val="10"/>
        <rFont val="宋体"/>
        <family val="3"/>
        <charset val="134"/>
      </rPr>
      <t xml:space="preserve">平方米</t>
    </r>
  </si>
  <si>
    <t xml:space="preserve">租约外</t>
  </si>
  <si>
    <t xml:space="preserve">数额</t>
  </si>
  <si>
    <t xml:space="preserve">计算公式</t>
  </si>
  <si>
    <t xml:space="preserve">取费标准</t>
  </si>
  <si>
    <t xml:space="preserve">未来第一年年总收益</t>
  </si>
  <si>
    <r>
      <rPr>
        <sz val="10"/>
        <rFont val="宋体"/>
        <family val="3"/>
        <charset val="134"/>
      </rPr>
      <t xml:space="preserve">年租金收入</t>
    </r>
    <r>
      <rPr>
        <sz val="10"/>
        <rFont val="Arial"/>
        <family val="2"/>
        <charset val="1"/>
      </rPr>
      <t xml:space="preserve">+</t>
    </r>
    <r>
      <rPr>
        <sz val="10"/>
        <rFont val="宋体"/>
        <family val="3"/>
        <charset val="134"/>
      </rPr>
      <t xml:space="preserve">押金利息收入</t>
    </r>
    <r>
      <rPr>
        <sz val="10"/>
        <rFont val="Arial"/>
        <family val="2"/>
        <charset val="1"/>
      </rPr>
      <t xml:space="preserve">+</t>
    </r>
    <r>
      <rPr>
        <sz val="10"/>
        <rFont val="宋体"/>
        <family val="3"/>
        <charset val="134"/>
      </rPr>
      <t xml:space="preserve">其他收入</t>
    </r>
  </si>
  <si>
    <t xml:space="preserve">年租金收入（年经营收入）</t>
  </si>
  <si>
    <r>
      <rPr>
        <sz val="10"/>
        <color rgb="FF000000"/>
        <rFont val="宋体"/>
        <family val="3"/>
        <charset val="134"/>
      </rPr>
      <t xml:space="preserve">租金</t>
    </r>
    <r>
      <rPr>
        <sz val="10"/>
        <color rgb="FF000000"/>
        <rFont val="Arial"/>
        <family val="2"/>
        <charset val="1"/>
      </rPr>
      <t xml:space="preserve">×</t>
    </r>
    <r>
      <rPr>
        <sz val="10"/>
        <color rgb="FF000000"/>
        <rFont val="宋体"/>
        <family val="3"/>
        <charset val="134"/>
      </rPr>
      <t xml:space="preserve">天数</t>
    </r>
    <r>
      <rPr>
        <sz val="10"/>
        <color rgb="FF000000"/>
        <rFont val="Arial"/>
        <family val="2"/>
        <charset val="1"/>
      </rPr>
      <t xml:space="preserve">×</t>
    </r>
    <r>
      <rPr>
        <sz val="10"/>
        <color rgb="FF000000"/>
        <rFont val="宋体"/>
        <family val="3"/>
        <charset val="134"/>
      </rPr>
      <t xml:space="preserve">建筑面积</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空置率）</t>
    </r>
  </si>
  <si>
    <r>
      <rPr>
        <sz val="10"/>
        <color rgb="FF000000"/>
        <rFont val="宋体"/>
        <family val="3"/>
        <charset val="134"/>
      </rPr>
      <t xml:space="preserve">租金×天数×建筑面积</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空置率）</t>
    </r>
  </si>
  <si>
    <r>
      <rPr>
        <sz val="10"/>
        <color rgb="FF000000"/>
        <rFont val="宋体"/>
        <family val="3"/>
        <charset val="134"/>
      </rPr>
      <t xml:space="preserve">面积</t>
    </r>
    <r>
      <rPr>
        <sz val="10"/>
        <color rgb="FF000000"/>
        <rFont val="Arial"/>
        <family val="2"/>
        <charset val="1"/>
      </rPr>
      <t xml:space="preserve">/</t>
    </r>
    <r>
      <rPr>
        <sz val="10"/>
        <color rgb="FF000000"/>
        <rFont val="宋体"/>
        <family val="3"/>
        <charset val="134"/>
      </rPr>
      <t xml:space="preserve">个数</t>
    </r>
  </si>
  <si>
    <r>
      <rPr>
        <sz val="10"/>
        <color rgb="FF000000"/>
        <rFont val="宋体"/>
        <family val="3"/>
        <charset val="134"/>
      </rPr>
      <t xml:space="preserve">天</t>
    </r>
    <r>
      <rPr>
        <sz val="10"/>
        <color rgb="FF000000"/>
        <rFont val="Arial"/>
        <family val="2"/>
        <charset val="1"/>
      </rPr>
      <t xml:space="preserve">/</t>
    </r>
    <r>
      <rPr>
        <sz val="10"/>
        <color rgb="FF000000"/>
        <rFont val="宋体"/>
        <family val="3"/>
        <charset val="134"/>
      </rPr>
      <t xml:space="preserve">月</t>
    </r>
  </si>
  <si>
    <r>
      <rPr>
        <sz val="10"/>
        <color rgb="FF000000"/>
        <rFont val="宋体"/>
        <family val="3"/>
        <charset val="134"/>
      </rPr>
      <t xml:space="preserve">空置率（</t>
    </r>
    <r>
      <rPr>
        <sz val="10"/>
        <color rgb="FF000000"/>
        <rFont val="Arial"/>
        <family val="2"/>
        <charset val="1"/>
      </rPr>
      <t xml:space="preserve">%</t>
    </r>
    <r>
      <rPr>
        <sz val="10"/>
        <color rgb="FF000000"/>
        <rFont val="宋体"/>
        <family val="3"/>
        <charset val="134"/>
      </rPr>
      <t xml:space="preserve">）</t>
    </r>
  </si>
  <si>
    <t xml:space="preserve">押金利息收入</t>
  </si>
  <si>
    <r>
      <rPr>
        <sz val="10"/>
        <color rgb="FF000000"/>
        <rFont val="宋体"/>
        <family val="3"/>
        <charset val="134"/>
      </rPr>
      <t xml:space="preserve">押金</t>
    </r>
    <r>
      <rPr>
        <sz val="10"/>
        <color rgb="FF000000"/>
        <rFont val="Arial"/>
        <family val="2"/>
        <charset val="1"/>
      </rPr>
      <t xml:space="preserve">×</t>
    </r>
    <r>
      <rPr>
        <sz val="10"/>
        <color rgb="FF000000"/>
        <rFont val="宋体"/>
        <family val="3"/>
        <charset val="134"/>
      </rPr>
      <t xml:space="preserve">一年期存款利率</t>
    </r>
  </si>
  <si>
    <t xml:space="preserve">押金方式</t>
  </si>
  <si>
    <r>
      <rPr>
        <i val="true"/>
        <sz val="10"/>
        <color rgb="FF000000"/>
        <rFont val="宋体"/>
        <family val="3"/>
        <charset val="134"/>
      </rPr>
      <t xml:space="preserve">（自定义押金）</t>
    </r>
    <r>
      <rPr>
        <b val="true"/>
        <i val="true"/>
        <sz val="10"/>
        <color rgb="FFFF0000"/>
        <rFont val="宋体"/>
        <family val="3"/>
        <charset val="134"/>
      </rPr>
      <t xml:space="preserve">单位：元</t>
    </r>
  </si>
  <si>
    <t xml:space="preserve">其他收入</t>
  </si>
  <si>
    <t xml:space="preserve">建筑物现值</t>
  </si>
  <si>
    <r>
      <rPr>
        <sz val="10"/>
        <color rgb="FF000000"/>
        <rFont val="宋体"/>
        <family val="3"/>
        <charset val="134"/>
      </rPr>
      <t xml:space="preserve">建筑物重置价值</t>
    </r>
    <r>
      <rPr>
        <sz val="10"/>
        <color rgb="FF000000"/>
        <rFont val="Arial"/>
        <family val="2"/>
        <charset val="1"/>
      </rPr>
      <t xml:space="preserve">×</t>
    </r>
    <r>
      <rPr>
        <sz val="10"/>
        <color rgb="FF000000"/>
        <rFont val="宋体"/>
        <family val="3"/>
        <charset val="134"/>
      </rPr>
      <t xml:space="preserve">成新度</t>
    </r>
  </si>
  <si>
    <r>
      <rPr>
        <sz val="10"/>
        <color rgb="FF000000"/>
        <rFont val="宋体"/>
        <family val="3"/>
        <charset val="134"/>
      </rPr>
      <t xml:space="preserve">成新度（</t>
    </r>
    <r>
      <rPr>
        <sz val="10"/>
        <color rgb="FF000000"/>
        <rFont val="Arial"/>
        <family val="2"/>
        <charset val="1"/>
      </rPr>
      <t xml:space="preserve">%</t>
    </r>
    <r>
      <rPr>
        <sz val="10"/>
        <color rgb="FF000000"/>
        <rFont val="宋体"/>
        <family val="3"/>
        <charset val="134"/>
      </rPr>
      <t xml:space="preserve">）</t>
    </r>
  </si>
  <si>
    <r>
      <rPr>
        <sz val="10"/>
        <color rgb="FF000000"/>
        <rFont val="宋体"/>
        <family val="3"/>
        <charset val="134"/>
      </rPr>
      <t xml:space="preserve">建安单价</t>
    </r>
    <r>
      <rPr>
        <sz val="10"/>
        <color rgb="FF000000"/>
        <rFont val="Arial"/>
        <family val="2"/>
        <charset val="1"/>
      </rPr>
      <t xml:space="preserve">×</t>
    </r>
    <r>
      <rPr>
        <sz val="10"/>
        <color rgb="FF000000"/>
        <rFont val="宋体"/>
        <family val="3"/>
        <charset val="134"/>
      </rPr>
      <t xml:space="preserve">建筑面积</t>
    </r>
  </si>
  <si>
    <t xml:space="preserve">建筑物重置价值</t>
  </si>
  <si>
    <r>
      <rPr>
        <sz val="10"/>
        <color rgb="FF000000"/>
        <rFont val="宋体"/>
        <family val="3"/>
        <charset val="134"/>
      </rPr>
      <t xml:space="preserve">建安费用</t>
    </r>
    <r>
      <rPr>
        <sz val="10"/>
        <color rgb="FF000000"/>
        <rFont val="Arial"/>
        <family val="2"/>
        <charset val="1"/>
      </rPr>
      <t xml:space="preserve">×</t>
    </r>
    <r>
      <rPr>
        <sz val="10"/>
        <color rgb="FF000000"/>
        <rFont val="宋体"/>
        <family val="3"/>
        <charset val="134"/>
      </rPr>
      <t xml:space="preserve">费率</t>
    </r>
  </si>
  <si>
    <r>
      <rPr>
        <sz val="10"/>
        <color rgb="FF000000"/>
        <rFont val="宋体"/>
        <family val="3"/>
        <charset val="134"/>
      </rPr>
      <t xml:space="preserve">费率（</t>
    </r>
    <r>
      <rPr>
        <sz val="10"/>
        <color rgb="FF000000"/>
        <rFont val="Arial"/>
        <family val="2"/>
        <charset val="1"/>
      </rPr>
      <t xml:space="preserve">%</t>
    </r>
    <r>
      <rPr>
        <sz val="10"/>
        <color rgb="FF000000"/>
        <rFont val="宋体"/>
        <family val="3"/>
        <charset val="134"/>
      </rPr>
      <t xml:space="preserve">）</t>
    </r>
  </si>
  <si>
    <t xml:space="preserve">3</t>
  </si>
  <si>
    <t xml:space="preserve">年经营费用</t>
  </si>
  <si>
    <r>
      <rPr>
        <sz val="10"/>
        <color rgb="FF000000"/>
        <rFont val="宋体"/>
        <family val="3"/>
        <charset val="134"/>
      </rPr>
      <t xml:space="preserve">税费</t>
    </r>
    <r>
      <rPr>
        <sz val="10"/>
        <color rgb="FF000000"/>
        <rFont val="Arial"/>
        <family val="2"/>
        <charset val="1"/>
      </rPr>
      <t xml:space="preserve">+</t>
    </r>
    <r>
      <rPr>
        <sz val="10"/>
        <color rgb="FF000000"/>
        <rFont val="宋体"/>
        <family val="3"/>
        <charset val="134"/>
      </rPr>
      <t xml:space="preserve">维修费</t>
    </r>
    <r>
      <rPr>
        <sz val="10"/>
        <color rgb="FF000000"/>
        <rFont val="Arial"/>
        <family val="2"/>
        <charset val="1"/>
      </rPr>
      <t xml:space="preserve">+</t>
    </r>
    <r>
      <rPr>
        <sz val="10"/>
        <color rgb="FF000000"/>
        <rFont val="宋体"/>
        <family val="3"/>
        <charset val="134"/>
      </rPr>
      <t xml:space="preserve">保险费</t>
    </r>
    <r>
      <rPr>
        <sz val="10"/>
        <color rgb="FF000000"/>
        <rFont val="Arial"/>
        <family val="2"/>
        <charset val="1"/>
      </rPr>
      <t xml:space="preserve">+</t>
    </r>
    <r>
      <rPr>
        <sz val="10"/>
        <color rgb="FF000000"/>
        <rFont val="宋体"/>
        <family val="3"/>
        <charset val="134"/>
      </rPr>
      <t xml:space="preserve">管理费</t>
    </r>
  </si>
  <si>
    <r>
      <rPr>
        <sz val="10"/>
        <color rgb="FF000000"/>
        <rFont val="Arial"/>
        <family val="2"/>
        <charset val="1"/>
      </rPr>
      <t xml:space="preserve">4</t>
    </r>
    <r>
      <rPr>
        <sz val="10"/>
        <color rgb="FF000000"/>
        <rFont val="宋体"/>
        <family val="3"/>
        <charset val="134"/>
      </rPr>
      <t xml:space="preserve">）</t>
    </r>
  </si>
  <si>
    <t xml:space="preserve">基础设施建设费</t>
  </si>
  <si>
    <r>
      <rPr>
        <sz val="10"/>
        <color rgb="FF000000"/>
        <rFont val="宋体"/>
        <family val="3"/>
        <charset val="134"/>
      </rPr>
      <t xml:space="preserve">建筑面积</t>
    </r>
    <r>
      <rPr>
        <sz val="10"/>
        <color rgb="FF000000"/>
        <rFont val="Arial"/>
        <family val="2"/>
        <charset val="1"/>
      </rPr>
      <t xml:space="preserve">×</t>
    </r>
    <r>
      <rPr>
        <sz val="10"/>
        <color rgb="FF000000"/>
        <rFont val="宋体"/>
        <family val="3"/>
        <charset val="134"/>
      </rPr>
      <t xml:space="preserve">取费标准</t>
    </r>
  </si>
  <si>
    <r>
      <rPr>
        <sz val="10"/>
        <color rgb="FF000000"/>
        <rFont val="宋体"/>
        <family val="3"/>
        <charset val="134"/>
      </rPr>
      <t xml:space="preserve">市政费用（元</t>
    </r>
    <r>
      <rPr>
        <sz val="10"/>
        <color rgb="FF000000"/>
        <rFont val="Arial"/>
        <family val="2"/>
        <charset val="1"/>
      </rPr>
      <t xml:space="preserve">/</t>
    </r>
    <r>
      <rPr>
        <sz val="10"/>
        <color rgb="FF000000"/>
        <rFont val="宋体"/>
        <family val="3"/>
        <charset val="134"/>
      </rPr>
      <t xml:space="preserve">㎡）</t>
    </r>
  </si>
  <si>
    <r>
      <rPr>
        <sz val="10"/>
        <color rgb="FF000000"/>
        <rFont val="宋体"/>
        <family val="3"/>
        <charset val="134"/>
      </rPr>
      <t xml:space="preserve">税</t>
    </r>
    <r>
      <rPr>
        <sz val="10"/>
        <color rgb="FF000000"/>
        <rFont val="宋体"/>
        <family val="0"/>
        <charset val="134"/>
      </rPr>
      <t xml:space="preserve">  </t>
    </r>
    <r>
      <rPr>
        <sz val="10"/>
        <color rgb="FF000000"/>
        <rFont val="宋体"/>
        <family val="3"/>
        <charset val="134"/>
      </rPr>
      <t xml:space="preserve">费</t>
    </r>
  </si>
  <si>
    <r>
      <rPr>
        <sz val="10"/>
        <color rgb="FF000000"/>
        <rFont val="宋体"/>
        <family val="3"/>
        <charset val="134"/>
      </rPr>
      <t xml:space="preserve">两税一费</t>
    </r>
    <r>
      <rPr>
        <sz val="10"/>
        <color rgb="FF000000"/>
        <rFont val="Arial"/>
        <family val="2"/>
        <charset val="1"/>
      </rPr>
      <t xml:space="preserve">+</t>
    </r>
    <r>
      <rPr>
        <sz val="10"/>
        <color rgb="FF000000"/>
        <rFont val="宋体"/>
        <family val="3"/>
        <charset val="134"/>
      </rPr>
      <t xml:space="preserve">房产税</t>
    </r>
    <r>
      <rPr>
        <sz val="10"/>
        <color rgb="FF000000"/>
        <rFont val="Arial"/>
        <family val="2"/>
        <charset val="1"/>
      </rPr>
      <t xml:space="preserve">+</t>
    </r>
    <r>
      <rPr>
        <sz val="10"/>
        <color rgb="FF000000"/>
        <rFont val="宋体"/>
        <family val="3"/>
        <charset val="134"/>
      </rPr>
      <t xml:space="preserve">城镇土地使用税</t>
    </r>
  </si>
  <si>
    <t xml:space="preserve">综合税率</t>
  </si>
  <si>
    <r>
      <rPr>
        <sz val="10"/>
        <color rgb="FF000000"/>
        <rFont val="Arial"/>
        <family val="2"/>
        <charset val="1"/>
      </rPr>
      <t xml:space="preserve">5</t>
    </r>
    <r>
      <rPr>
        <sz val="10"/>
        <color rgb="FF000000"/>
        <rFont val="宋体"/>
        <family val="3"/>
        <charset val="134"/>
      </rPr>
      <t xml:space="preserve">）</t>
    </r>
  </si>
  <si>
    <t xml:space="preserve">两税两费</t>
  </si>
  <si>
    <r>
      <rPr>
        <sz val="10"/>
        <color rgb="FF000000"/>
        <rFont val="宋体"/>
        <family val="3"/>
        <charset val="134"/>
      </rPr>
      <t xml:space="preserve">年总收益</t>
    </r>
    <r>
      <rPr>
        <sz val="10"/>
        <color rgb="FF000000"/>
        <rFont val="Arial"/>
        <family val="2"/>
        <charset val="1"/>
      </rPr>
      <t xml:space="preserve">×</t>
    </r>
    <r>
      <rPr>
        <sz val="10"/>
        <color rgb="FF000000"/>
        <rFont val="宋体"/>
        <family val="3"/>
        <charset val="134"/>
      </rPr>
      <t xml:space="preserve">费率</t>
    </r>
    <r>
      <rPr>
        <sz val="10"/>
        <color rgb="FF000000"/>
        <rFont val="Arial"/>
        <family val="2"/>
        <charset val="1"/>
      </rPr>
      <t xml:space="preserve">/(1+5%)</t>
    </r>
  </si>
  <si>
    <r>
      <rPr>
        <sz val="10"/>
        <color rgb="FF000000"/>
        <rFont val="宋体"/>
        <family val="3"/>
        <charset val="134"/>
      </rPr>
      <t xml:space="preserve">建安费用</t>
    </r>
    <r>
      <rPr>
        <sz val="10"/>
        <color rgb="FF000000"/>
        <rFont val="Arial"/>
        <family val="2"/>
        <charset val="1"/>
      </rPr>
      <t xml:space="preserve">+</t>
    </r>
    <r>
      <rPr>
        <sz val="10"/>
        <color rgb="FF000000"/>
        <rFont val="宋体"/>
        <family val="3"/>
        <charset val="134"/>
      </rPr>
      <t xml:space="preserve">公共配套设施费用</t>
    </r>
    <r>
      <rPr>
        <sz val="10"/>
        <color rgb="FF000000"/>
        <rFont val="Arial"/>
        <family val="2"/>
        <charset val="1"/>
      </rPr>
      <t xml:space="preserve">+</t>
    </r>
    <r>
      <rPr>
        <sz val="10"/>
        <color rgb="FF000000"/>
        <rFont val="宋体"/>
        <family val="3"/>
        <charset val="134"/>
      </rPr>
      <t xml:space="preserve">基础设施建设费</t>
    </r>
    <r>
      <rPr>
        <sz val="10"/>
        <color rgb="FF000000"/>
        <rFont val="Arial"/>
        <family val="2"/>
        <charset val="1"/>
      </rPr>
      <t xml:space="preserve">+</t>
    </r>
    <r>
      <rPr>
        <sz val="10"/>
        <color rgb="FF000000"/>
        <rFont val="宋体"/>
        <family val="3"/>
        <charset val="134"/>
      </rPr>
      <t xml:space="preserve">相关税费</t>
    </r>
  </si>
  <si>
    <t xml:space="preserve">房产税</t>
  </si>
  <si>
    <t xml:space="preserve">按租金收入计税</t>
  </si>
  <si>
    <r>
      <rPr>
        <sz val="10"/>
        <color rgb="FF000000"/>
        <rFont val="宋体"/>
        <family val="3"/>
        <charset val="134"/>
      </rPr>
      <t xml:space="preserve">建造成本</t>
    </r>
    <r>
      <rPr>
        <sz val="10"/>
        <color rgb="FF000000"/>
        <rFont val="Arial"/>
        <family val="2"/>
        <charset val="1"/>
      </rPr>
      <t xml:space="preserve">×</t>
    </r>
    <r>
      <rPr>
        <sz val="10"/>
        <color rgb="FF000000"/>
        <rFont val="宋体"/>
        <family val="3"/>
        <charset val="134"/>
      </rPr>
      <t xml:space="preserve">费率</t>
    </r>
  </si>
  <si>
    <t xml:space="preserve">城镇土地使用税</t>
  </si>
  <si>
    <r>
      <rPr>
        <sz val="10"/>
        <color rgb="FF000000"/>
        <rFont val="宋体"/>
        <family val="3"/>
        <charset val="134"/>
      </rPr>
      <t xml:space="preserve">土地面积</t>
    </r>
    <r>
      <rPr>
        <sz val="10"/>
        <color rgb="FF000000"/>
        <rFont val="Arial"/>
        <family val="2"/>
        <charset val="1"/>
      </rPr>
      <t xml:space="preserve">×</t>
    </r>
    <r>
      <rPr>
        <sz val="10"/>
        <color rgb="FF000000"/>
        <rFont val="宋体"/>
        <family val="3"/>
        <charset val="134"/>
      </rPr>
      <t xml:space="preserve">取费标准</t>
    </r>
  </si>
  <si>
    <r>
      <rPr>
        <sz val="10"/>
        <color rgb="FF000000"/>
        <rFont val="宋体"/>
        <family val="3"/>
        <charset val="134"/>
      </rPr>
      <t xml:space="preserve">纳税标准（元</t>
    </r>
    <r>
      <rPr>
        <sz val="10"/>
        <color rgb="FF000000"/>
        <rFont val="Arial"/>
        <family val="2"/>
        <charset val="1"/>
      </rPr>
      <t xml:space="preserve">/</t>
    </r>
    <r>
      <rPr>
        <sz val="10"/>
        <color rgb="FF000000"/>
        <rFont val="宋体"/>
        <family val="3"/>
        <charset val="134"/>
      </rPr>
      <t xml:space="preserve">㎡）</t>
    </r>
  </si>
  <si>
    <r>
      <rPr>
        <sz val="10"/>
        <color rgb="FF000000"/>
        <rFont val="宋体"/>
        <family val="3"/>
        <charset val="134"/>
      </rPr>
      <t xml:space="preserve">建筑物重置价值</t>
    </r>
    <r>
      <rPr>
        <sz val="10"/>
        <color rgb="FF000000"/>
        <rFont val="Arial"/>
        <family val="2"/>
        <charset val="1"/>
      </rPr>
      <t xml:space="preserve">×</t>
    </r>
    <r>
      <rPr>
        <sz val="10"/>
        <color rgb="FF000000"/>
        <rFont val="宋体"/>
        <family val="3"/>
        <charset val="134"/>
      </rPr>
      <t xml:space="preserve">费率</t>
    </r>
  </si>
  <si>
    <r>
      <rPr>
        <sz val="10"/>
        <color rgb="FF000000"/>
        <rFont val="宋体"/>
        <family val="3"/>
        <charset val="134"/>
      </rPr>
      <t xml:space="preserve">销售费率（</t>
    </r>
    <r>
      <rPr>
        <sz val="10"/>
        <color rgb="FF000000"/>
        <rFont val="Arial"/>
        <family val="2"/>
        <charset val="1"/>
      </rPr>
      <t xml:space="preserve">%</t>
    </r>
    <r>
      <rPr>
        <sz val="10"/>
        <color rgb="FF000000"/>
        <rFont val="宋体"/>
        <family val="3"/>
        <charset val="134"/>
      </rPr>
      <t xml:space="preserve">）</t>
    </r>
  </si>
  <si>
    <t xml:space="preserve">土地面积（㎡）</t>
  </si>
  <si>
    <t xml:space="preserve">维修费</t>
  </si>
  <si>
    <r>
      <rPr>
        <sz val="10"/>
        <color rgb="FF000000"/>
        <rFont val="宋体"/>
        <family val="3"/>
        <charset val="134"/>
      </rPr>
      <t xml:space="preserve">建筑物重置价值</t>
    </r>
    <r>
      <rPr>
        <sz val="10"/>
        <color rgb="FF000000"/>
        <rFont val="Arial"/>
        <family val="2"/>
        <charset val="1"/>
      </rPr>
      <t xml:space="preserve">×</t>
    </r>
    <r>
      <rPr>
        <sz val="10"/>
        <color rgb="FF000000"/>
        <rFont val="宋体"/>
        <family val="3"/>
        <charset val="134"/>
      </rPr>
      <t xml:space="preserve">维修费率</t>
    </r>
  </si>
  <si>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）及（</t>
    </r>
    <r>
      <rPr>
        <sz val="10"/>
        <color rgb="FF000000"/>
        <rFont val="Arial"/>
        <family val="2"/>
        <charset val="1"/>
      </rPr>
      <t xml:space="preserve">2</t>
    </r>
    <r>
      <rPr>
        <sz val="10"/>
        <color rgb="FF000000"/>
        <rFont val="宋体"/>
        <family val="3"/>
        <charset val="134"/>
      </rPr>
      <t xml:space="preserve">）项产生的利息</t>
    </r>
  </si>
  <si>
    <t xml:space="preserve">建设周期（年）</t>
  </si>
  <si>
    <t xml:space="preserve">保险费</t>
  </si>
  <si>
    <r>
      <rPr>
        <sz val="10"/>
        <color rgb="FF000000"/>
        <rFont val="宋体"/>
        <family val="3"/>
        <charset val="134"/>
      </rPr>
      <t xml:space="preserve">现值</t>
    </r>
    <r>
      <rPr>
        <sz val="10"/>
        <color rgb="FF000000"/>
        <rFont val="Arial"/>
        <family val="2"/>
        <charset val="1"/>
      </rPr>
      <t xml:space="preserve">×</t>
    </r>
    <r>
      <rPr>
        <sz val="10"/>
        <color rgb="FF000000"/>
        <rFont val="宋体"/>
        <family val="3"/>
        <charset val="134"/>
      </rPr>
      <t xml:space="preserve">保险费率</t>
    </r>
  </si>
  <si>
    <t xml:space="preserve">销售费用产生的利息</t>
  </si>
  <si>
    <r>
      <rPr>
        <sz val="10"/>
        <color rgb="FF000000"/>
        <rFont val="宋体"/>
        <family val="3"/>
        <charset val="134"/>
      </rPr>
      <t xml:space="preserve">利息（</t>
    </r>
    <r>
      <rPr>
        <sz val="10"/>
        <color rgb="FF000000"/>
        <rFont val="Arial"/>
        <family val="2"/>
        <charset val="1"/>
      </rPr>
      <t xml:space="preserve">%</t>
    </r>
    <r>
      <rPr>
        <sz val="10"/>
        <color rgb="FF000000"/>
        <rFont val="宋体"/>
        <family val="3"/>
        <charset val="134"/>
      </rPr>
      <t xml:space="preserve">）</t>
    </r>
  </si>
  <si>
    <r>
      <rPr>
        <sz val="10"/>
        <color rgb="FF000000"/>
        <rFont val="宋体"/>
        <family val="3"/>
        <charset val="134"/>
      </rPr>
      <t xml:space="preserve">年总收益</t>
    </r>
    <r>
      <rPr>
        <sz val="10"/>
        <color rgb="FF000000"/>
        <rFont val="Arial"/>
        <family val="2"/>
        <charset val="1"/>
      </rPr>
      <t xml:space="preserve">×</t>
    </r>
    <r>
      <rPr>
        <sz val="10"/>
        <color rgb="FF000000"/>
        <rFont val="宋体"/>
        <family val="3"/>
        <charset val="134"/>
      </rPr>
      <t xml:space="preserve">费率</t>
    </r>
  </si>
  <si>
    <r>
      <rPr>
        <sz val="10"/>
        <color rgb="FF000000"/>
        <rFont val="宋体"/>
        <family val="3"/>
        <charset val="134"/>
      </rPr>
      <t xml:space="preserve">（建造成本</t>
    </r>
    <r>
      <rPr>
        <sz val="10"/>
        <color rgb="FF000000"/>
        <rFont val="Arial"/>
        <family val="2"/>
        <charset val="1"/>
      </rPr>
      <t xml:space="preserve">+</t>
    </r>
    <r>
      <rPr>
        <sz val="10"/>
        <color rgb="FF000000"/>
        <rFont val="宋体"/>
        <family val="3"/>
        <charset val="134"/>
      </rPr>
      <t xml:space="preserve">管理费用</t>
    </r>
    <r>
      <rPr>
        <sz val="10"/>
        <color rgb="FF000000"/>
        <rFont val="Arial"/>
        <family val="2"/>
        <charset val="1"/>
      </rPr>
      <t xml:space="preserve">+</t>
    </r>
    <r>
      <rPr>
        <sz val="10"/>
        <color rgb="FF000000"/>
        <rFont val="宋体"/>
        <family val="3"/>
        <charset val="134"/>
      </rPr>
      <t xml:space="preserve">销售费用）</t>
    </r>
    <r>
      <rPr>
        <sz val="10"/>
        <color rgb="FF000000"/>
        <rFont val="Arial"/>
        <family val="2"/>
        <charset val="1"/>
      </rPr>
      <t xml:space="preserve">×</t>
    </r>
    <r>
      <rPr>
        <sz val="10"/>
        <color rgb="FF000000"/>
        <rFont val="宋体"/>
        <family val="3"/>
        <charset val="134"/>
      </rPr>
      <t xml:space="preserve">利润率</t>
    </r>
  </si>
  <si>
    <t xml:space="preserve">4</t>
  </si>
  <si>
    <t xml:space="preserve">房地产未来第一年净收益</t>
  </si>
  <si>
    <r>
      <rPr>
        <sz val="10"/>
        <color rgb="FF000000"/>
        <rFont val="宋体"/>
        <family val="3"/>
        <charset val="134"/>
      </rPr>
      <t xml:space="preserve">年总收益</t>
    </r>
    <r>
      <rPr>
        <sz val="10"/>
        <color rgb="FF000000"/>
        <rFont val="Arial"/>
        <family val="2"/>
        <charset val="1"/>
      </rPr>
      <t xml:space="preserve">-</t>
    </r>
    <r>
      <rPr>
        <sz val="10"/>
        <color rgb="FF000000"/>
        <rFont val="宋体"/>
        <family val="3"/>
        <charset val="134"/>
      </rPr>
      <t xml:space="preserve">年经营费用</t>
    </r>
  </si>
  <si>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）及（</t>
    </r>
    <r>
      <rPr>
        <sz val="10"/>
        <color rgb="FF000000"/>
        <rFont val="Arial"/>
        <family val="2"/>
        <charset val="1"/>
      </rPr>
      <t xml:space="preserve">2</t>
    </r>
    <r>
      <rPr>
        <sz val="10"/>
        <color rgb="FF000000"/>
        <rFont val="宋体"/>
        <family val="3"/>
        <charset val="134"/>
      </rPr>
      <t xml:space="preserve">）项产生的利润</t>
    </r>
  </si>
  <si>
    <r>
      <rPr>
        <sz val="10"/>
        <color rgb="FF000000"/>
        <rFont val="宋体"/>
        <family val="3"/>
        <charset val="134"/>
      </rPr>
      <t xml:space="preserve">（建造成本</t>
    </r>
    <r>
      <rPr>
        <sz val="10"/>
        <color rgb="FF000000"/>
        <rFont val="Arial"/>
        <family val="2"/>
        <charset val="1"/>
      </rPr>
      <t xml:space="preserve">+</t>
    </r>
    <r>
      <rPr>
        <sz val="10"/>
        <color rgb="FF000000"/>
        <rFont val="宋体"/>
        <family val="3"/>
        <charset val="134"/>
      </rPr>
      <t xml:space="preserve">管理费用）</t>
    </r>
    <r>
      <rPr>
        <sz val="10"/>
        <color rgb="FF000000"/>
        <rFont val="Arial"/>
        <family val="2"/>
        <charset val="1"/>
      </rPr>
      <t xml:space="preserve">×</t>
    </r>
    <r>
      <rPr>
        <sz val="10"/>
        <color rgb="FF000000"/>
        <rFont val="宋体"/>
        <family val="3"/>
        <charset val="134"/>
      </rPr>
      <t xml:space="preserve">利润率</t>
    </r>
  </si>
  <si>
    <r>
      <rPr>
        <sz val="10"/>
        <color rgb="FF000000"/>
        <rFont val="宋体"/>
        <family val="3"/>
        <charset val="134"/>
      </rPr>
      <t xml:space="preserve">利润率（</t>
    </r>
    <r>
      <rPr>
        <sz val="10"/>
        <color rgb="FF000000"/>
        <rFont val="Arial"/>
        <family val="2"/>
        <charset val="1"/>
      </rPr>
      <t xml:space="preserve">%</t>
    </r>
    <r>
      <rPr>
        <sz val="10"/>
        <color rgb="FF000000"/>
        <rFont val="宋体"/>
        <family val="3"/>
        <charset val="134"/>
      </rPr>
      <t xml:space="preserve">）</t>
    </r>
  </si>
  <si>
    <t xml:space="preserve">5</t>
  </si>
  <si>
    <t xml:space="preserve">租约外房地产收益价值</t>
  </si>
  <si>
    <r>
      <rPr>
        <sz val="10"/>
        <color rgb="FF000000"/>
        <rFont val="宋体"/>
        <family val="3"/>
        <charset val="134"/>
      </rPr>
      <t xml:space="preserve">房地产未来第一年净收益</t>
    </r>
    <r>
      <rPr>
        <sz val="10"/>
        <color rgb="FF000000"/>
        <rFont val="Arial"/>
        <family val="2"/>
        <charset val="1"/>
      </rPr>
      <t xml:space="preserve">×</t>
    </r>
  </si>
  <si>
    <r>
      <rPr>
        <sz val="10"/>
        <color rgb="FF000000"/>
        <rFont val="宋体"/>
        <family val="3"/>
        <charset val="134"/>
      </rPr>
      <t xml:space="preserve">报酬率（</t>
    </r>
    <r>
      <rPr>
        <sz val="10"/>
        <color rgb="FF000000"/>
        <rFont val="Arial"/>
        <family val="2"/>
        <charset val="1"/>
      </rPr>
      <t xml:space="preserve">Y</t>
    </r>
    <r>
      <rPr>
        <sz val="10"/>
        <color rgb="FF000000"/>
        <rFont val="宋体"/>
        <family val="3"/>
        <charset val="134"/>
      </rPr>
      <t xml:space="preserve">）</t>
    </r>
  </si>
  <si>
    <t xml:space="preserve">销售费用产生的利润</t>
  </si>
  <si>
    <r>
      <rPr>
        <sz val="10"/>
        <color rgb="FF000000"/>
        <rFont val="宋体"/>
        <family val="3"/>
        <charset val="134"/>
      </rPr>
      <t xml:space="preserve">销售费用</t>
    </r>
    <r>
      <rPr>
        <sz val="10"/>
        <color rgb="FF000000"/>
        <rFont val="Arial"/>
        <family val="2"/>
        <charset val="1"/>
      </rPr>
      <t xml:space="preserve">×</t>
    </r>
    <r>
      <rPr>
        <sz val="10"/>
        <color rgb="FF000000"/>
        <rFont val="宋体"/>
        <family val="3"/>
        <charset val="134"/>
      </rPr>
      <t xml:space="preserve">利润率</t>
    </r>
  </si>
  <si>
    <r>
      <rPr>
        <sz val="10"/>
        <color rgb="FF000000"/>
        <rFont val="Arial"/>
        <family val="2"/>
        <charset val="1"/>
      </rPr>
      <t xml:space="preserve">[1-</t>
    </r>
    <r>
      <rPr>
        <sz val="10"/>
        <color rgb="FF000000"/>
        <rFont val="宋体"/>
        <family val="3"/>
        <charset val="134"/>
      </rPr>
      <t xml:space="preserve">（</t>
    </r>
    <r>
      <rPr>
        <sz val="10"/>
        <color rgb="FF000000"/>
        <rFont val="Arial"/>
        <family val="2"/>
        <charset val="1"/>
      </rPr>
      <t xml:space="preserve">(1+g)/(1+Y)</t>
    </r>
    <r>
      <rPr>
        <sz val="10"/>
        <color rgb="FF000000"/>
        <rFont val="宋体"/>
        <family val="3"/>
        <charset val="134"/>
      </rPr>
      <t xml:space="preserve">）</t>
    </r>
    <r>
      <rPr>
        <sz val="10"/>
        <color rgb="FF000000"/>
        <rFont val="宋体"/>
        <family val="0"/>
        <charset val="134"/>
      </rPr>
      <t xml:space="preserve"> </t>
    </r>
    <r>
      <rPr>
        <sz val="10"/>
        <color rgb="FF000000"/>
        <rFont val="Arial"/>
        <family val="2"/>
        <charset val="1"/>
      </rPr>
      <t xml:space="preserve">^n ]/(Y-g)</t>
    </r>
  </si>
  <si>
    <r>
      <rPr>
        <sz val="10"/>
        <color rgb="FF000000"/>
        <rFont val="宋体"/>
        <family val="3"/>
        <charset val="134"/>
      </rPr>
      <t xml:space="preserve">收益年期</t>
    </r>
    <r>
      <rPr>
        <sz val="10"/>
        <color rgb="FF000000"/>
        <rFont val="Arial"/>
        <family val="2"/>
        <charset val="1"/>
      </rPr>
      <t xml:space="preserve">(n)</t>
    </r>
  </si>
  <si>
    <r>
      <rPr>
        <sz val="10"/>
        <color rgb="FF000000"/>
        <rFont val="宋体"/>
        <family val="3"/>
        <charset val="134"/>
      </rPr>
      <t xml:space="preserve">建筑物重置价值</t>
    </r>
    <r>
      <rPr>
        <sz val="10"/>
        <color rgb="FF000000"/>
        <rFont val="Arial"/>
        <family val="2"/>
        <charset val="1"/>
      </rPr>
      <t xml:space="preserve">×</t>
    </r>
    <r>
      <rPr>
        <sz val="10"/>
        <color rgb="FF000000"/>
        <rFont val="宋体"/>
        <family val="3"/>
        <charset val="134"/>
      </rPr>
      <t xml:space="preserve">费率</t>
    </r>
    <r>
      <rPr>
        <sz val="10"/>
        <color rgb="FF000000"/>
        <rFont val="Arial"/>
        <family val="2"/>
        <charset val="1"/>
      </rPr>
      <t xml:space="preserve">/(1+5%)</t>
    </r>
  </si>
  <si>
    <r>
      <rPr>
        <sz val="10"/>
        <color rgb="FF000000"/>
        <rFont val="宋体"/>
        <family val="3"/>
        <charset val="134"/>
      </rPr>
      <t xml:space="preserve">年增长比率</t>
    </r>
    <r>
      <rPr>
        <sz val="10"/>
        <color rgb="FF000000"/>
        <rFont val="Arial"/>
        <family val="2"/>
        <charset val="1"/>
      </rPr>
      <t xml:space="preserve">(g)</t>
    </r>
  </si>
  <si>
    <r>
      <rPr>
        <sz val="10"/>
        <color rgb="FF000000"/>
        <rFont val="宋体"/>
        <family val="3"/>
        <charset val="134"/>
      </rPr>
      <t xml:space="preserve">建筑物重置价值（</t>
    </r>
    <r>
      <rPr>
        <sz val="10"/>
        <color rgb="FF000000"/>
        <rFont val="Arial"/>
        <family val="2"/>
        <charset val="1"/>
      </rPr>
      <t xml:space="preserve">V</t>
    </r>
    <r>
      <rPr>
        <vertAlign val="subscript"/>
        <sz val="10"/>
        <color rgb="FF000000"/>
        <rFont val="宋体"/>
        <family val="3"/>
        <charset val="134"/>
      </rPr>
      <t xml:space="preserve">建</t>
    </r>
    <r>
      <rPr>
        <sz val="10"/>
        <color rgb="FF000000"/>
        <rFont val="宋体"/>
        <family val="3"/>
        <charset val="134"/>
      </rPr>
      <t xml:space="preserve">）</t>
    </r>
  </si>
  <si>
    <t xml:space="preserve">6</t>
  </si>
  <si>
    <t xml:space="preserve">折现价值</t>
  </si>
  <si>
    <r>
      <rPr>
        <sz val="10"/>
        <color rgb="FF000000"/>
        <rFont val="宋体"/>
        <family val="3"/>
        <charset val="134"/>
      </rPr>
      <t xml:space="preserve">房地产价值</t>
    </r>
    <r>
      <rPr>
        <sz val="10"/>
        <color rgb="FF000000"/>
        <rFont val="Arial"/>
        <family val="2"/>
        <charset val="1"/>
      </rPr>
      <t xml:space="preserve">÷</t>
    </r>
    <r>
      <rPr>
        <sz val="10"/>
        <color rgb="FF000000"/>
        <rFont val="宋体"/>
        <family val="3"/>
        <charset val="134"/>
      </rPr>
      <t xml:space="preserve">建筑面积</t>
    </r>
  </si>
  <si>
    <r>
      <rPr>
        <b val="true"/>
        <sz val="10"/>
        <color rgb="FFFF0000"/>
        <rFont val="宋体"/>
        <family val="3"/>
        <charset val="134"/>
      </rPr>
      <t xml:space="preserve">★北京：个人房产计综合税率：个人住宅月租</t>
    </r>
    <r>
      <rPr>
        <b val="true"/>
        <sz val="10"/>
        <color rgb="FFFF0000"/>
        <rFont val="Arial"/>
        <family val="2"/>
        <charset val="1"/>
      </rPr>
      <t xml:space="preserve">10</t>
    </r>
    <r>
      <rPr>
        <b val="true"/>
        <sz val="10"/>
        <color rgb="FFFF0000"/>
        <rFont val="宋体"/>
        <family val="3"/>
        <charset val="134"/>
      </rPr>
      <t xml:space="preserve">万以上为</t>
    </r>
    <r>
      <rPr>
        <b val="true"/>
        <sz val="10"/>
        <color rgb="FFFF0000"/>
        <rFont val="Arial"/>
        <family val="2"/>
        <charset val="1"/>
      </rPr>
      <t xml:space="preserve">4%</t>
    </r>
    <r>
      <rPr>
        <b val="true"/>
        <sz val="10"/>
        <color rgb="FFFF0000"/>
        <rFont val="宋体"/>
        <family val="3"/>
        <charset val="134"/>
      </rPr>
      <t xml:space="preserve">，以内为</t>
    </r>
    <r>
      <rPr>
        <b val="true"/>
        <sz val="10"/>
        <color rgb="FFFF0000"/>
        <rFont val="Arial"/>
        <family val="2"/>
        <charset val="1"/>
      </rPr>
      <t xml:space="preserve">2.5%</t>
    </r>
    <r>
      <rPr>
        <b val="true"/>
        <sz val="10"/>
        <color rgb="FFFF0000"/>
        <rFont val="宋体"/>
        <family val="3"/>
        <charset val="134"/>
      </rPr>
      <t xml:space="preserve">；个人其他月租</t>
    </r>
    <r>
      <rPr>
        <b val="true"/>
        <sz val="10"/>
        <color rgb="FFFF0000"/>
        <rFont val="Arial"/>
        <family val="2"/>
        <charset val="1"/>
      </rPr>
      <t xml:space="preserve">10</t>
    </r>
    <r>
      <rPr>
        <b val="true"/>
        <sz val="10"/>
        <color rgb="FFFF0000"/>
        <rFont val="宋体"/>
        <family val="3"/>
        <charset val="134"/>
      </rPr>
      <t xml:space="preserve">万以上为</t>
    </r>
    <r>
      <rPr>
        <b val="true"/>
        <sz val="10"/>
        <color rgb="FFFF0000"/>
        <rFont val="Arial"/>
        <family val="2"/>
        <charset val="1"/>
      </rPr>
      <t xml:space="preserve">12%</t>
    </r>
    <r>
      <rPr>
        <b val="true"/>
        <sz val="10"/>
        <color rgb="FFFF0000"/>
        <rFont val="宋体"/>
        <family val="3"/>
        <charset val="134"/>
      </rPr>
      <t xml:space="preserve">，以下为</t>
    </r>
    <r>
      <rPr>
        <b val="true"/>
        <sz val="10"/>
        <color rgb="FFFF0000"/>
        <rFont val="Arial"/>
        <family val="2"/>
        <charset val="1"/>
      </rPr>
      <t xml:space="preserve">7%</t>
    </r>
    <r>
      <rPr>
        <b val="true"/>
        <sz val="10"/>
        <color rgb="FFFF0000"/>
        <rFont val="宋体"/>
        <family val="3"/>
        <charset val="134"/>
      </rPr>
      <t xml:space="preserve">★</t>
    </r>
  </si>
  <si>
    <r>
      <rPr>
        <sz val="10"/>
        <color rgb="FF000000"/>
        <rFont val="宋体"/>
        <family val="3"/>
        <charset val="134"/>
      </rPr>
      <t xml:space="preserve">建筑物重置价格</t>
    </r>
    <r>
      <rPr>
        <sz val="10"/>
        <color rgb="FF000000"/>
        <rFont val="Arial"/>
        <family val="2"/>
        <charset val="1"/>
      </rPr>
      <t xml:space="preserve">×</t>
    </r>
    <r>
      <rPr>
        <sz val="10"/>
        <color rgb="FF000000"/>
        <rFont val="宋体"/>
        <family val="3"/>
        <charset val="134"/>
      </rPr>
      <t xml:space="preserve">维修费率</t>
    </r>
  </si>
  <si>
    <t xml:space="preserve">收益价值</t>
  </si>
  <si>
    <r>
      <rPr>
        <b val="true"/>
        <sz val="10"/>
        <color rgb="FF000000"/>
        <rFont val="宋体"/>
        <family val="3"/>
        <charset val="134"/>
      </rPr>
      <t xml:space="preserve">单价</t>
    </r>
    <r>
      <rPr>
        <b val="true"/>
        <sz val="10"/>
        <color rgb="FF000000"/>
        <rFont val="Arial"/>
        <family val="2"/>
        <charset val="1"/>
      </rPr>
      <t xml:space="preserve">(</t>
    </r>
    <r>
      <rPr>
        <b val="true"/>
        <sz val="10"/>
        <color rgb="FF000000"/>
        <rFont val="宋体"/>
        <family val="3"/>
        <charset val="134"/>
      </rPr>
      <t xml:space="preserve">元</t>
    </r>
    <r>
      <rPr>
        <b val="true"/>
        <sz val="10"/>
        <color rgb="FF000000"/>
        <rFont val="Arial"/>
        <family val="2"/>
        <charset val="1"/>
      </rPr>
      <t xml:space="preserve">/</t>
    </r>
    <r>
      <rPr>
        <b val="true"/>
        <sz val="10"/>
        <color rgb="FF000000"/>
        <rFont val="宋体"/>
        <family val="3"/>
        <charset val="134"/>
      </rPr>
      <t xml:space="preserve">平方米</t>
    </r>
    <r>
      <rPr>
        <b val="true"/>
        <sz val="10"/>
        <color rgb="FF000000"/>
        <rFont val="Arial"/>
        <family val="2"/>
        <charset val="1"/>
      </rPr>
      <t xml:space="preserve">)</t>
    </r>
  </si>
  <si>
    <r>
      <rPr>
        <sz val="10"/>
        <color rgb="FF000000"/>
        <rFont val="宋体"/>
        <family val="3"/>
        <charset val="134"/>
      </rPr>
      <t xml:space="preserve">收益价值</t>
    </r>
    <r>
      <rPr>
        <sz val="10"/>
        <color rgb="FF000000"/>
        <rFont val="Arial"/>
        <family val="2"/>
        <charset val="1"/>
      </rPr>
      <t xml:space="preserve">÷</t>
    </r>
    <r>
      <rPr>
        <sz val="10"/>
        <color rgb="FF000000"/>
        <rFont val="宋体"/>
        <family val="3"/>
        <charset val="134"/>
      </rPr>
      <t xml:space="preserve">建筑面积</t>
    </r>
  </si>
  <si>
    <t xml:space="preserve">建筑面积（㎡）</t>
  </si>
  <si>
    <t xml:space="preserve">计算建筑物剩余价值折现</t>
  </si>
  <si>
    <t xml:space="preserve">承租人权益价值</t>
  </si>
  <si>
    <t xml:space="preserve">超出收益期的土地使用年限或建筑物价值折现计算</t>
  </si>
  <si>
    <t xml:space="preserve">建筑物结构</t>
  </si>
  <si>
    <t xml:space="preserve">土地使用年限</t>
  </si>
  <si>
    <t xml:space="preserve">收益期内收益价值（万元）</t>
  </si>
  <si>
    <t xml:space="preserve">依前述测算</t>
  </si>
  <si>
    <t xml:space="preserve">1</t>
  </si>
  <si>
    <t xml:space="preserve">建筑使用方向</t>
  </si>
  <si>
    <t xml:space="preserve">建筑物在收益期结束时的价值折现到价值时点的价值（万元）</t>
  </si>
  <si>
    <r>
      <rPr>
        <sz val="10"/>
        <color rgb="FF000000"/>
        <rFont val="宋体"/>
        <family val="3"/>
        <charset val="134"/>
      </rPr>
      <t xml:space="preserve">建筑物重置价值</t>
    </r>
    <r>
      <rPr>
        <sz val="10"/>
        <color rgb="FF000000"/>
        <rFont val="Arial"/>
        <family val="2"/>
        <charset val="1"/>
      </rPr>
      <t xml:space="preserve">×</t>
    </r>
    <r>
      <rPr>
        <sz val="10"/>
        <color rgb="FF000000"/>
        <rFont val="宋体"/>
        <family val="3"/>
        <charset val="134"/>
      </rPr>
      <t xml:space="preserve">成新率</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建筑物报酬率）</t>
    </r>
    <r>
      <rPr>
        <vertAlign val="superscript"/>
        <sz val="10"/>
        <color rgb="FF000000"/>
        <rFont val="宋体"/>
        <family val="3"/>
        <charset val="134"/>
      </rPr>
      <t xml:space="preserve">折现年期</t>
    </r>
  </si>
  <si>
    <r>
      <rPr>
        <b val="true"/>
        <sz val="10"/>
        <color rgb="FF000000"/>
        <rFont val="宋体"/>
        <family val="3"/>
        <charset val="134"/>
      </rPr>
      <t xml:space="preserve">（</t>
    </r>
    <r>
      <rPr>
        <b val="true"/>
        <sz val="10"/>
        <color rgb="FF000000"/>
        <rFont val="Arial"/>
        <family val="2"/>
        <charset val="1"/>
      </rPr>
      <t xml:space="preserve">1</t>
    </r>
    <r>
      <rPr>
        <b val="true"/>
        <sz val="10"/>
        <color rgb="FF000000"/>
        <rFont val="宋体"/>
        <family val="3"/>
        <charset val="134"/>
      </rPr>
      <t xml:space="preserve">）</t>
    </r>
  </si>
  <si>
    <t xml:space="preserve">租金收入</t>
  </si>
  <si>
    <t xml:space="preserve">市场租金</t>
  </si>
  <si>
    <t xml:space="preserve">建成年代</t>
  </si>
  <si>
    <t xml:space="preserve">比较法土地结果</t>
  </si>
  <si>
    <t xml:space="preserve">(A)</t>
  </si>
  <si>
    <t xml:space="preserve">建筑物重置价值（万元）</t>
  </si>
  <si>
    <t xml:space="preserve">建筑物耐用年限</t>
  </si>
  <si>
    <t xml:space="preserve">基准地价土地结果</t>
  </si>
  <si>
    <t xml:space="preserve">(B)</t>
  </si>
  <si>
    <r>
      <rPr>
        <sz val="10"/>
        <color rgb="FF000000"/>
        <rFont val="宋体"/>
        <family val="3"/>
        <charset val="134"/>
      </rPr>
      <t xml:space="preserve">成新率（</t>
    </r>
    <r>
      <rPr>
        <sz val="10"/>
        <color rgb="FF000000"/>
        <rFont val="Arial"/>
        <family val="2"/>
        <charset val="1"/>
      </rPr>
      <t xml:space="preserve">%</t>
    </r>
    <r>
      <rPr>
        <sz val="10"/>
        <color rgb="FF000000"/>
        <rFont val="宋体"/>
        <family val="3"/>
        <charset val="134"/>
      </rPr>
      <t xml:space="preserve">）</t>
    </r>
  </si>
  <si>
    <t xml:space="preserve">建筑物剩余耐用年限</t>
  </si>
  <si>
    <t xml:space="preserve">收益还原法土地结果</t>
  </si>
  <si>
    <t xml:space="preserve">(C)</t>
  </si>
  <si>
    <r>
      <rPr>
        <sz val="10"/>
        <color rgb="FF000000"/>
        <rFont val="宋体"/>
        <family val="3"/>
        <charset val="134"/>
      </rPr>
      <t xml:space="preserve">建筑物报酬率（</t>
    </r>
    <r>
      <rPr>
        <sz val="10"/>
        <color rgb="FF000000"/>
        <rFont val="Arial"/>
        <family val="2"/>
        <charset val="1"/>
      </rPr>
      <t xml:space="preserve">%</t>
    </r>
    <r>
      <rPr>
        <sz val="10"/>
        <color rgb="FF000000"/>
        <rFont val="宋体"/>
        <family val="3"/>
        <charset val="134"/>
      </rPr>
      <t xml:space="preserve">）</t>
    </r>
  </si>
  <si>
    <t xml:space="preserve">建筑物报酬率</t>
  </si>
  <si>
    <t xml:space="preserve">土地报酬率</t>
  </si>
  <si>
    <t xml:space="preserve">(D)</t>
  </si>
  <si>
    <t xml:space="preserve">折现年期（年）</t>
  </si>
  <si>
    <t xml:space="preserve">即收益年期</t>
  </si>
  <si>
    <r>
      <rPr>
        <b val="true"/>
        <sz val="10"/>
        <color rgb="FF000000"/>
        <rFont val="宋体"/>
        <family val="3"/>
        <charset val="134"/>
      </rPr>
      <t xml:space="preserve">（</t>
    </r>
    <r>
      <rPr>
        <b val="true"/>
        <sz val="10"/>
        <color rgb="FF000000"/>
        <rFont val="Arial"/>
        <family val="2"/>
        <charset val="1"/>
      </rPr>
      <t xml:space="preserve">2</t>
    </r>
    <r>
      <rPr>
        <b val="true"/>
        <sz val="10"/>
        <color rgb="FF000000"/>
        <rFont val="宋体"/>
        <family val="3"/>
        <charset val="134"/>
      </rPr>
      <t xml:space="preserve">）</t>
    </r>
  </si>
  <si>
    <t xml:space="preserve">收益期（按照规范取最低值，住宅只取建筑物）</t>
  </si>
  <si>
    <r>
      <rPr>
        <sz val="10"/>
        <color rgb="FFFF0000"/>
        <rFont val="宋体"/>
        <family val="3"/>
        <charset val="134"/>
      </rPr>
      <t xml:space="preserve">★当剩余土地短于建筑物耐用年限时，在建</t>
    </r>
    <r>
      <rPr>
        <sz val="10"/>
        <color rgb="FFFF0000"/>
        <rFont val="Arial"/>
        <family val="2"/>
        <charset val="1"/>
      </rPr>
      <t xml:space="preserve">or</t>
    </r>
    <r>
      <rPr>
        <sz val="10"/>
        <color rgb="FFFF0000"/>
        <rFont val="宋体"/>
        <family val="3"/>
        <charset val="134"/>
      </rPr>
      <t xml:space="preserve">未建项目的收益期计算公式为：剩余土地年限</t>
    </r>
    <r>
      <rPr>
        <sz val="10"/>
        <color rgb="FFFF0000"/>
        <rFont val="Arial"/>
        <family val="2"/>
        <charset val="1"/>
      </rPr>
      <t xml:space="preserve">-</t>
    </r>
    <r>
      <rPr>
        <sz val="10"/>
        <color rgb="FFFF0000"/>
        <rFont val="宋体"/>
        <family val="3"/>
        <charset val="134"/>
      </rPr>
      <t xml:space="preserve">续建工期</t>
    </r>
    <r>
      <rPr>
        <sz val="10"/>
        <color rgb="FFFF0000"/>
        <rFont val="Arial"/>
        <family val="2"/>
        <charset val="1"/>
      </rPr>
      <t xml:space="preserve">or</t>
    </r>
    <r>
      <rPr>
        <sz val="10"/>
        <color rgb="FFFF0000"/>
        <rFont val="宋体"/>
        <family val="3"/>
        <charset val="134"/>
      </rPr>
      <t xml:space="preserve">建设期</t>
    </r>
  </si>
  <si>
    <t xml:space="preserve">收益价值（万元）</t>
  </si>
  <si>
    <t xml:space="preserve">A+B</t>
  </si>
  <si>
    <r>
      <rPr>
        <b val="true"/>
        <sz val="10"/>
        <color rgb="FFFF0000"/>
        <rFont val="宋体"/>
        <family val="3"/>
        <charset val="134"/>
      </rPr>
      <t xml:space="preserve">计算土地剩余价值折现</t>
    </r>
    <r>
      <rPr>
        <b val="true"/>
        <sz val="10"/>
        <color rgb="FFFF0000"/>
        <rFont val="Arial"/>
        <family val="2"/>
        <charset val="1"/>
      </rPr>
      <t xml:space="preserve">-</t>
    </r>
    <r>
      <rPr>
        <b val="true"/>
        <sz val="10"/>
        <color rgb="FFFF0000"/>
        <rFont val="宋体"/>
        <family val="3"/>
        <charset val="134"/>
      </rPr>
      <t xml:space="preserve">比较法</t>
    </r>
    <r>
      <rPr>
        <b val="true"/>
        <sz val="10"/>
        <color rgb="FFFF0000"/>
        <rFont val="Arial"/>
        <family val="2"/>
        <charset val="1"/>
      </rPr>
      <t xml:space="preserve">/</t>
    </r>
    <r>
      <rPr>
        <b val="true"/>
        <sz val="10"/>
        <color rgb="FFFF0000"/>
        <rFont val="宋体"/>
        <family val="3"/>
        <charset val="134"/>
      </rPr>
      <t xml:space="preserve">基准地价系数修正法</t>
    </r>
  </si>
  <si>
    <t xml:space="preserve">建筑物计算</t>
  </si>
  <si>
    <t xml:space="preserve">土地使用权计算</t>
  </si>
  <si>
    <t xml:space="preserve">是否约定土地使用期结束后无偿收回房地产（非住宅）</t>
  </si>
  <si>
    <t xml:space="preserve">建筑物耐用年限结束后剩余土地使用年限</t>
  </si>
  <si>
    <t xml:space="preserve">土地使用年限结束后建筑物耐用年期</t>
  </si>
  <si>
    <r>
      <rPr>
        <sz val="10"/>
        <rFont val="宋体"/>
        <family val="3"/>
        <charset val="134"/>
      </rPr>
      <t xml:space="preserve">价值时点下的土地价值（土地购买价格）</t>
    </r>
    <r>
      <rPr>
        <sz val="10"/>
        <rFont val="Arial"/>
        <family val="2"/>
        <charset val="1"/>
      </rPr>
      <t xml:space="preserve">Vn</t>
    </r>
  </si>
  <si>
    <t xml:space="preserve">剩余土地价值折现到价值时点的价值（万元）</t>
  </si>
  <si>
    <r>
      <rPr>
        <sz val="10"/>
        <color rgb="FF000000"/>
        <rFont val="Arial"/>
        <family val="2"/>
        <charset val="1"/>
      </rPr>
      <t xml:space="preserve">V</t>
    </r>
    <r>
      <rPr>
        <vertAlign val="subscript"/>
        <sz val="10"/>
        <color rgb="FF000000"/>
        <rFont val="Arial"/>
        <family val="2"/>
        <charset val="1"/>
      </rPr>
      <t xml:space="preserve">n</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K</t>
    </r>
    <r>
      <rPr>
        <vertAlign val="subscript"/>
        <sz val="10"/>
        <color rgb="FF000000"/>
        <rFont val="Arial"/>
        <family val="2"/>
        <charset val="1"/>
      </rPr>
      <t xml:space="preserve">N</t>
    </r>
    <r>
      <rPr>
        <sz val="10"/>
        <color rgb="FF000000"/>
        <rFont val="Arial"/>
        <family val="2"/>
        <charset val="1"/>
      </rPr>
      <t xml:space="preserve">÷K</t>
    </r>
    <r>
      <rPr>
        <vertAlign val="subscript"/>
        <sz val="10"/>
        <color rgb="FF000000"/>
        <rFont val="Arial"/>
        <family val="2"/>
        <charset val="1"/>
      </rPr>
      <t xml:space="preserve">n</t>
    </r>
    <r>
      <rPr>
        <sz val="10"/>
        <color rgb="FF000000"/>
        <rFont val="Arial"/>
        <family val="2"/>
        <charset val="1"/>
      </rPr>
      <t xml:space="preserve">-1</t>
    </r>
    <r>
      <rPr>
        <sz val="10"/>
        <color rgb="FF000000"/>
        <rFont val="宋体"/>
        <family val="3"/>
        <charset val="134"/>
      </rPr>
      <t xml:space="preserve">）</t>
    </r>
  </si>
  <si>
    <t xml:space="preserve">土地使用年限结束后建筑物成新度</t>
  </si>
  <si>
    <r>
      <rPr>
        <sz val="10"/>
        <rFont val="宋体"/>
        <family val="3"/>
        <charset val="134"/>
      </rPr>
      <t xml:space="preserve">剩余土地使用年期下的土地年期修正系数</t>
    </r>
    <r>
      <rPr>
        <sz val="10"/>
        <rFont val="Arial"/>
        <family val="2"/>
        <charset val="1"/>
      </rPr>
      <t xml:space="preserve">KN</t>
    </r>
  </si>
  <si>
    <r>
      <rPr>
        <sz val="10"/>
        <color rgb="FF000000"/>
        <rFont val="宋体"/>
        <family val="3"/>
        <charset val="134"/>
      </rPr>
      <t xml:space="preserve">剩余土地使用年限下的土地价值</t>
    </r>
    <r>
      <rPr>
        <sz val="10"/>
        <color rgb="FF000000"/>
        <rFont val="Arial"/>
        <family val="2"/>
        <charset val="1"/>
      </rPr>
      <t xml:space="preserve">V</t>
    </r>
    <r>
      <rPr>
        <vertAlign val="subscript"/>
        <sz val="10"/>
        <color rgb="FF000000"/>
        <rFont val="Arial"/>
        <family val="2"/>
        <charset val="1"/>
      </rPr>
      <t xml:space="preserve">n</t>
    </r>
    <r>
      <rPr>
        <sz val="10"/>
        <color rgb="FF000000"/>
        <rFont val="宋体"/>
        <family val="3"/>
        <charset val="134"/>
      </rPr>
      <t xml:space="preserve">（万元）</t>
    </r>
  </si>
  <si>
    <t xml:space="preserve">土地使用年限结束后建筑物现值</t>
  </si>
  <si>
    <r>
      <rPr>
        <sz val="10"/>
        <color rgb="FF000000"/>
        <rFont val="宋体"/>
        <family val="3"/>
        <charset val="134"/>
      </rPr>
      <t xml:space="preserve">土地报酬率</t>
    </r>
    <r>
      <rPr>
        <sz val="10"/>
        <color rgb="FF000000"/>
        <rFont val="Arial"/>
        <family val="2"/>
        <charset val="1"/>
      </rPr>
      <t xml:space="preserve">r</t>
    </r>
    <r>
      <rPr>
        <sz val="10"/>
        <color rgb="FF000000"/>
        <rFont val="宋体"/>
        <family val="3"/>
        <charset val="134"/>
      </rPr>
      <t xml:space="preserve">（</t>
    </r>
    <r>
      <rPr>
        <sz val="10"/>
        <color rgb="FF000000"/>
        <rFont val="Arial"/>
        <family val="2"/>
        <charset val="1"/>
      </rPr>
      <t xml:space="preserve">%</t>
    </r>
    <r>
      <rPr>
        <sz val="10"/>
        <color rgb="FF000000"/>
        <rFont val="宋体"/>
        <family val="3"/>
        <charset val="134"/>
      </rPr>
      <t xml:space="preserve">）</t>
    </r>
  </si>
  <si>
    <t xml:space="preserve">建筑物剩余价值折现值</t>
  </si>
  <si>
    <t xml:space="preserve">剩余土地价值折现值</t>
  </si>
  <si>
    <r>
      <rPr>
        <sz val="10"/>
        <color rgb="FF000000"/>
        <rFont val="宋体"/>
        <family val="3"/>
        <charset val="134"/>
      </rPr>
      <t xml:space="preserve">剩余土地使用年期下的土地年期修正系数</t>
    </r>
    <r>
      <rPr>
        <sz val="10"/>
        <color rgb="FF000000"/>
        <rFont val="Arial"/>
        <family val="2"/>
        <charset val="1"/>
      </rPr>
      <t xml:space="preserve">K</t>
    </r>
    <r>
      <rPr>
        <vertAlign val="subscript"/>
        <sz val="10"/>
        <color rgb="FF000000"/>
        <rFont val="Arial"/>
        <family val="2"/>
        <charset val="1"/>
      </rPr>
      <t xml:space="preserve">N</t>
    </r>
  </si>
  <si>
    <r>
      <rPr>
        <sz val="10"/>
        <color rgb="FF000000"/>
        <rFont val="Arial"/>
        <family val="2"/>
        <charset val="1"/>
      </rPr>
      <t xml:space="preserve">[1</t>
    </r>
    <r>
      <rPr>
        <sz val="10"/>
        <color rgb="FF000000"/>
        <rFont val="宋体"/>
        <family val="3"/>
        <charset val="134"/>
      </rPr>
      <t xml:space="preserve">－</t>
    </r>
    <r>
      <rPr>
        <sz val="10"/>
        <color rgb="FF000000"/>
        <rFont val="Arial"/>
        <family val="2"/>
        <charset val="1"/>
      </rPr>
      <t xml:space="preserve">1÷(1+r) N]</t>
    </r>
  </si>
  <si>
    <r>
      <rPr>
        <sz val="10"/>
        <color rgb="FF000000"/>
        <rFont val="Arial"/>
        <family val="2"/>
        <charset val="1"/>
      </rPr>
      <t xml:space="preserve">[1</t>
    </r>
    <r>
      <rPr>
        <sz val="10"/>
        <color rgb="FF000000"/>
        <rFont val="宋体"/>
        <family val="3"/>
        <charset val="134"/>
      </rPr>
      <t xml:space="preserve">－</t>
    </r>
    <r>
      <rPr>
        <sz val="10"/>
        <color rgb="FF000000"/>
        <rFont val="Arial"/>
        <family val="2"/>
        <charset val="1"/>
      </rPr>
      <t xml:space="preserve">1÷(1+r) n]</t>
    </r>
  </si>
  <si>
    <t xml:space="preserve">结构类型</t>
  </si>
  <si>
    <t xml:space="preserve">生产用房</t>
  </si>
  <si>
    <t xml:space="preserve">受腐蚀的生产用房</t>
  </si>
  <si>
    <t xml:space="preserve">非生产用房</t>
  </si>
  <si>
    <t xml:space="preserve">残值率</t>
  </si>
  <si>
    <t xml:space="preserve">钢</t>
  </si>
  <si>
    <r>
      <rPr>
        <b val="true"/>
        <sz val="10"/>
        <color rgb="FFFF0000"/>
        <rFont val="宋体"/>
        <family val="3"/>
        <charset val="134"/>
      </rPr>
      <t xml:space="preserve">计算土地剩余价值折现</t>
    </r>
    <r>
      <rPr>
        <b val="true"/>
        <sz val="10"/>
        <color rgb="FFFF0000"/>
        <rFont val="Arial"/>
        <family val="2"/>
        <charset val="1"/>
      </rPr>
      <t xml:space="preserve">-</t>
    </r>
    <r>
      <rPr>
        <b val="true"/>
        <sz val="10"/>
        <color rgb="FFFF0000"/>
        <rFont val="宋体"/>
        <family val="3"/>
        <charset val="134"/>
      </rPr>
      <t xml:space="preserve">收益法</t>
    </r>
  </si>
  <si>
    <t xml:space="preserve">钢混</t>
  </si>
  <si>
    <t xml:space="preserve">砖混</t>
  </si>
  <si>
    <r>
      <rPr>
        <sz val="10"/>
        <color rgb="FF000000"/>
        <rFont val="Arial"/>
        <family val="2"/>
        <charset val="1"/>
      </rPr>
      <t xml:space="preserve">(a</t>
    </r>
    <r>
      <rPr>
        <vertAlign val="subscript"/>
        <sz val="10"/>
        <color rgb="FF000000"/>
        <rFont val="Arial"/>
        <family val="2"/>
        <charset val="1"/>
      </rPr>
      <t xml:space="preserve">t</t>
    </r>
    <r>
      <rPr>
        <sz val="10"/>
        <color rgb="FF000000"/>
        <rFont val="Arial"/>
        <family val="2"/>
        <charset val="1"/>
      </rPr>
      <t xml:space="preserve">÷r)[1-1÷(1+r)</t>
    </r>
    <r>
      <rPr>
        <vertAlign val="superscript"/>
        <sz val="10"/>
        <color rgb="FF000000"/>
        <rFont val="Arial"/>
        <family val="2"/>
        <charset val="1"/>
      </rPr>
      <t xml:space="preserve">N</t>
    </r>
    <r>
      <rPr>
        <sz val="10"/>
        <color rgb="FF000000"/>
        <rFont val="Arial"/>
        <family val="2"/>
        <charset val="1"/>
      </rPr>
      <t xml:space="preserve">]</t>
    </r>
  </si>
  <si>
    <r>
      <rPr>
        <sz val="10"/>
        <color rgb="FF000000"/>
        <rFont val="宋体"/>
        <family val="3"/>
        <charset val="134"/>
      </rPr>
      <t xml:space="preserve">土地纯收益</t>
    </r>
    <r>
      <rPr>
        <sz val="10"/>
        <color rgb="FF000000"/>
        <rFont val="Arial"/>
        <family val="2"/>
        <charset val="1"/>
      </rPr>
      <t xml:space="preserve">a</t>
    </r>
    <r>
      <rPr>
        <vertAlign val="subscript"/>
        <sz val="10"/>
        <color rgb="FF000000"/>
        <rFont val="Arial"/>
        <family val="2"/>
        <charset val="1"/>
      </rPr>
      <t xml:space="preserve">t</t>
    </r>
    <r>
      <rPr>
        <sz val="10"/>
        <color rgb="FF000000"/>
        <rFont val="宋体"/>
        <family val="3"/>
        <charset val="134"/>
      </rPr>
      <t xml:space="preserve">（万元）</t>
    </r>
  </si>
  <si>
    <t xml:space="preserve">a-b×c</t>
  </si>
  <si>
    <t xml:space="preserve">a</t>
  </si>
  <si>
    <t xml:space="preserve">房地纯收益（万元）</t>
  </si>
  <si>
    <t xml:space="preserve">b</t>
  </si>
  <si>
    <t xml:space="preserve">建筑物现值（万元）</t>
  </si>
  <si>
    <t xml:space="preserve">c</t>
  </si>
  <si>
    <r>
      <rPr>
        <sz val="10"/>
        <color rgb="FF000000"/>
        <rFont val="宋体"/>
        <family val="3"/>
        <charset val="134"/>
      </rPr>
      <t xml:space="preserve">建筑物资本化率</t>
    </r>
    <r>
      <rPr>
        <sz val="10"/>
        <color rgb="FF000000"/>
        <rFont val="Arial"/>
        <family val="2"/>
        <charset val="1"/>
      </rPr>
      <t xml:space="preserve">g</t>
    </r>
    <r>
      <rPr>
        <sz val="10"/>
        <color rgb="FF000000"/>
        <rFont val="宋体"/>
        <family val="3"/>
        <charset val="134"/>
      </rPr>
      <t xml:space="preserve">（</t>
    </r>
    <r>
      <rPr>
        <sz val="10"/>
        <color rgb="FF000000"/>
        <rFont val="Arial"/>
        <family val="2"/>
        <charset val="1"/>
      </rPr>
      <t xml:space="preserve">%</t>
    </r>
    <r>
      <rPr>
        <sz val="10"/>
        <color rgb="FF000000"/>
        <rFont val="宋体"/>
        <family val="3"/>
        <charset val="134"/>
      </rPr>
      <t xml:space="preserve">）</t>
    </r>
  </si>
  <si>
    <r>
      <rPr>
        <sz val="10"/>
        <color rgb="FF000000"/>
        <rFont val="宋体"/>
        <family val="3"/>
        <charset val="134"/>
      </rPr>
      <t xml:space="preserve">分摊土地</t>
    </r>
    <r>
      <rPr>
        <sz val="10"/>
        <color rgb="FF000000"/>
        <rFont val="Arial"/>
        <family val="2"/>
        <charset val="1"/>
      </rPr>
      <t xml:space="preserve">/</t>
    </r>
    <r>
      <rPr>
        <sz val="10"/>
        <color rgb="FF000000"/>
        <rFont val="宋体"/>
        <family val="3"/>
        <charset val="134"/>
      </rPr>
      <t xml:space="preserve">建筑物价值</t>
    </r>
  </si>
  <si>
    <t xml:space="preserve">(E)</t>
  </si>
  <si>
    <t xml:space="preserve">房屋年纯收益</t>
  </si>
  <si>
    <t xml:space="preserve">建筑物资本化率</t>
  </si>
  <si>
    <t xml:space="preserve">确定合理的建筑物与土地价值比例</t>
  </si>
  <si>
    <r>
      <rPr>
        <b val="true"/>
        <sz val="10"/>
        <color rgb="FFFF0000"/>
        <rFont val="Arial"/>
        <family val="2"/>
        <charset val="1"/>
      </rPr>
      <t xml:space="preserve">1.</t>
    </r>
    <r>
      <rPr>
        <b val="true"/>
        <sz val="10"/>
        <color rgb="FFFF0000"/>
        <rFont val="宋体"/>
        <family val="3"/>
        <charset val="134"/>
      </rPr>
      <t xml:space="preserve">收益比率</t>
    </r>
  </si>
  <si>
    <t xml:space="preserve">土地收益比率</t>
  </si>
  <si>
    <t xml:space="preserve">建筑物收益比率</t>
  </si>
  <si>
    <r>
      <rPr>
        <b val="true"/>
        <sz val="10"/>
        <color rgb="FFFF0000"/>
        <rFont val="Arial"/>
        <family val="2"/>
        <charset val="1"/>
      </rPr>
      <t xml:space="preserve">2.</t>
    </r>
    <r>
      <rPr>
        <b val="true"/>
        <sz val="10"/>
        <color rgb="FFFF0000"/>
        <rFont val="宋体"/>
        <family val="3"/>
        <charset val="134"/>
      </rPr>
      <t xml:space="preserve">成本比率</t>
    </r>
  </si>
  <si>
    <t xml:space="preserve">元</t>
  </si>
  <si>
    <r>
      <rPr>
        <sz val="10"/>
        <color rgb="FF000000"/>
        <rFont val="宋体"/>
        <family val="3"/>
        <charset val="134"/>
      </rPr>
      <t xml:space="preserve">租金</t>
    </r>
    <r>
      <rPr>
        <sz val="10"/>
        <color rgb="FF000000"/>
        <rFont val="Arial"/>
        <family val="2"/>
        <charset val="1"/>
      </rPr>
      <t xml:space="preserve">×</t>
    </r>
    <r>
      <rPr>
        <sz val="10"/>
        <color rgb="FF000000"/>
        <rFont val="宋体"/>
        <family val="3"/>
        <charset val="134"/>
      </rPr>
      <t xml:space="preserve">天数×建筑面积</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空置率）</t>
    </r>
  </si>
  <si>
    <t xml:space="preserve">租金×天数×建筑面积×（1-空置率）</t>
  </si>
  <si>
    <t xml:space="preserve">押金×一年期存款利率</t>
  </si>
  <si>
    <t xml:space="preserve">（合同押金）</t>
  </si>
  <si>
    <t xml:space="preserve">自定义押金</t>
  </si>
  <si>
    <t xml:space="preserve">承租人权益价值（单套）</t>
  </si>
  <si>
    <r>
      <rPr>
        <sz val="10"/>
        <color rgb="FF000000"/>
        <rFont val="宋体"/>
        <family val="3"/>
        <charset val="134"/>
      </rPr>
      <t xml:space="preserve">租金</t>
    </r>
    <r>
      <rPr>
        <sz val="10"/>
        <color rgb="FF000000"/>
        <rFont val="Arial"/>
        <family val="2"/>
        <charset val="1"/>
      </rPr>
      <t xml:space="preserve">×</t>
    </r>
    <r>
      <rPr>
        <sz val="10"/>
        <color rgb="FF000000"/>
        <rFont val="宋体"/>
        <family val="3"/>
        <charset val="134"/>
      </rPr>
      <t xml:space="preserve">月数</t>
    </r>
    <r>
      <rPr>
        <sz val="10"/>
        <color rgb="FF000000"/>
        <rFont val="Arial"/>
        <family val="2"/>
        <charset val="1"/>
      </rPr>
      <t xml:space="preserve">×</t>
    </r>
    <r>
      <rPr>
        <sz val="10"/>
        <color rgb="FF000000"/>
        <rFont val="宋体"/>
        <family val="3"/>
        <charset val="134"/>
      </rPr>
      <t xml:space="preserve">（</t>
    </r>
    <r>
      <rPr>
        <sz val="10"/>
        <color rgb="FF000000"/>
        <rFont val="Arial"/>
        <family val="2"/>
        <charset val="1"/>
      </rPr>
      <t xml:space="preserve">1-</t>
    </r>
    <r>
      <rPr>
        <sz val="10"/>
        <color rgb="FF000000"/>
        <rFont val="宋体"/>
        <family val="3"/>
        <charset val="134"/>
      </rPr>
      <t xml:space="preserve">空置率）</t>
    </r>
  </si>
  <si>
    <r>
      <rPr>
        <sz val="10"/>
        <color rgb="FF000000"/>
        <rFont val="宋体"/>
        <family val="3"/>
        <charset val="134"/>
      </rPr>
      <t xml:space="preserve">押金</t>
    </r>
    <r>
      <rPr>
        <sz val="10"/>
        <color rgb="FF000000"/>
        <rFont val="Arial"/>
        <family val="2"/>
        <charset val="1"/>
      </rPr>
      <t xml:space="preserve">*</t>
    </r>
    <r>
      <rPr>
        <sz val="10"/>
        <color rgb="FF000000"/>
        <rFont val="宋体"/>
        <family val="3"/>
        <charset val="134"/>
      </rPr>
      <t xml:space="preserve">一年期存款利率</t>
    </r>
  </si>
  <si>
    <t xml:space="preserve">价值时点下的土地价值（土地购买价格）</t>
  </si>
  <si>
    <t xml:space="preserve">剩余土地使用年期下的土地年期修正系数</t>
  </si>
  <si>
    <r>
      <rPr>
        <b val="true"/>
        <sz val="16"/>
        <color rgb="FFFF0000"/>
        <rFont val="宋体"/>
        <family val="3"/>
        <charset val="134"/>
      </rPr>
      <t xml:space="preserve">收益法</t>
    </r>
    <r>
      <rPr>
        <b val="true"/>
        <sz val="12"/>
        <rFont val="宋体"/>
        <family val="3"/>
        <charset val="134"/>
      </rPr>
      <t xml:space="preserve">（酒店模型）</t>
    </r>
  </si>
  <si>
    <r>
      <rPr>
        <b val="true"/>
        <sz val="10"/>
        <rFont val="宋体"/>
        <family val="3"/>
        <charset val="134"/>
      </rPr>
      <t xml:space="preserve">收益法（自营</t>
    </r>
    <r>
      <rPr>
        <b val="true"/>
        <sz val="10"/>
        <rFont val="Arial"/>
        <family val="2"/>
        <charset val="1"/>
      </rPr>
      <t xml:space="preserve">-</t>
    </r>
    <r>
      <rPr>
        <b val="true"/>
        <sz val="10"/>
        <rFont val="宋体"/>
        <family val="3"/>
        <charset val="134"/>
      </rPr>
      <t xml:space="preserve">酒店）需企业提供近</t>
    </r>
    <r>
      <rPr>
        <b val="true"/>
        <sz val="10"/>
        <rFont val="Arial"/>
        <family val="2"/>
        <charset val="1"/>
      </rPr>
      <t xml:space="preserve">3</t>
    </r>
    <r>
      <rPr>
        <b val="true"/>
        <sz val="10"/>
        <rFont val="宋体"/>
        <family val="3"/>
        <charset val="134"/>
      </rPr>
      <t xml:space="preserve">年报表（不足</t>
    </r>
    <r>
      <rPr>
        <b val="true"/>
        <sz val="10"/>
        <rFont val="Arial"/>
        <family val="2"/>
        <charset val="1"/>
      </rPr>
      <t xml:space="preserve">3</t>
    </r>
    <r>
      <rPr>
        <b val="true"/>
        <sz val="10"/>
        <rFont val="宋体"/>
        <family val="3"/>
        <charset val="134"/>
      </rPr>
      <t xml:space="preserve">年提供开业以来报表）</t>
    </r>
  </si>
  <si>
    <t xml:space="preserve">需考虑建筑物残值</t>
  </si>
  <si>
    <r>
      <rPr>
        <b val="true"/>
        <sz val="10"/>
        <rFont val="宋体"/>
        <family val="3"/>
        <charset val="134"/>
      </rPr>
      <t xml:space="preserve">分类</t>
    </r>
    <r>
      <rPr>
        <b val="true"/>
        <sz val="10"/>
        <rFont val="Arial"/>
        <family val="2"/>
        <charset val="1"/>
      </rPr>
      <t xml:space="preserve">1</t>
    </r>
  </si>
  <si>
    <r>
      <rPr>
        <b val="true"/>
        <sz val="10"/>
        <rFont val="宋体"/>
        <family val="3"/>
        <charset val="134"/>
      </rPr>
      <t xml:space="preserve">分类</t>
    </r>
    <r>
      <rPr>
        <b val="true"/>
        <sz val="10"/>
        <rFont val="Arial"/>
        <family val="2"/>
        <charset val="1"/>
      </rPr>
      <t xml:space="preserve">2</t>
    </r>
  </si>
  <si>
    <r>
      <rPr>
        <b val="true"/>
        <sz val="10"/>
        <rFont val="宋体"/>
        <family val="3"/>
        <charset val="134"/>
      </rPr>
      <t xml:space="preserve">分类</t>
    </r>
    <r>
      <rPr>
        <b val="true"/>
        <sz val="10"/>
        <rFont val="Arial"/>
        <family val="2"/>
        <charset val="1"/>
      </rPr>
      <t xml:space="preserve">3</t>
    </r>
  </si>
  <si>
    <r>
      <rPr>
        <b val="true"/>
        <sz val="10"/>
        <rFont val="宋体"/>
        <family val="3"/>
        <charset val="134"/>
      </rPr>
      <t xml:space="preserve">分类</t>
    </r>
    <r>
      <rPr>
        <b val="true"/>
        <sz val="10"/>
        <rFont val="Arial"/>
        <family val="2"/>
        <charset val="1"/>
      </rPr>
      <t xml:space="preserve">4</t>
    </r>
  </si>
  <si>
    <r>
      <rPr>
        <b val="true"/>
        <sz val="10"/>
        <rFont val="宋体"/>
        <family val="3"/>
        <charset val="134"/>
      </rPr>
      <t xml:space="preserve">分类</t>
    </r>
    <r>
      <rPr>
        <b val="true"/>
        <sz val="10"/>
        <rFont val="Arial"/>
        <family val="2"/>
        <charset val="1"/>
      </rPr>
      <t xml:space="preserve">5</t>
    </r>
  </si>
  <si>
    <t xml:space="preserve">出租部分</t>
  </si>
  <si>
    <t xml:space="preserve">（一）年总收入</t>
  </si>
  <si>
    <t xml:space="preserve">折算至建筑平米收益</t>
  </si>
  <si>
    <t xml:space="preserve">（一）第一年年经营收入</t>
  </si>
  <si>
    <t xml:space="preserve">客房</t>
  </si>
  <si>
    <t xml:space="preserve">房型</t>
  </si>
  <si>
    <t xml:space="preserve">间数</t>
  </si>
  <si>
    <t xml:space="preserve">收费标准</t>
  </si>
  <si>
    <t xml:space="preserve">折扣率</t>
  </si>
  <si>
    <t xml:space="preserve">出租率</t>
  </si>
  <si>
    <t xml:space="preserve">天数</t>
  </si>
  <si>
    <t xml:space="preserve">年收入</t>
  </si>
  <si>
    <t xml:space="preserve">对比</t>
  </si>
  <si>
    <t xml:space="preserve">（二）年经营费用</t>
  </si>
  <si>
    <t xml:space="preserve">总统套房</t>
  </si>
  <si>
    <t xml:space="preserve">周边办公租金</t>
  </si>
  <si>
    <t xml:space="preserve">行政套房</t>
  </si>
  <si>
    <t xml:space="preserve">周边商业租金</t>
  </si>
  <si>
    <t xml:space="preserve">经营成本</t>
  </si>
  <si>
    <t xml:space="preserve">耗用物品以及原材料等，以年总收入为基数计算</t>
  </si>
  <si>
    <t xml:space="preserve">沙龙套房</t>
  </si>
  <si>
    <t xml:space="preserve">经营费用</t>
  </si>
  <si>
    <t xml:space="preserve">工资、水电费、保险费、宣传费、差旅费、装修折旧等，以年总收入为基数计算</t>
  </si>
  <si>
    <t xml:space="preserve">标准房</t>
  </si>
  <si>
    <t xml:space="preserve">单间公寓</t>
  </si>
  <si>
    <r>
      <rPr>
        <sz val="10"/>
        <rFont val="宋体"/>
        <family val="3"/>
        <charset val="134"/>
      </rPr>
      <t xml:space="preserve">（</t>
    </r>
    <r>
      <rPr>
        <sz val="10"/>
        <rFont val="Arial"/>
        <family val="2"/>
        <charset val="1"/>
      </rPr>
      <t xml:space="preserve">1</t>
    </r>
    <r>
      <rPr>
        <sz val="10"/>
        <rFont val="宋体"/>
        <family val="3"/>
        <charset val="134"/>
      </rPr>
      <t xml:space="preserve">）</t>
    </r>
  </si>
  <si>
    <r>
      <rPr>
        <b val="true"/>
        <sz val="10"/>
        <rFont val="宋体"/>
        <family val="3"/>
        <charset val="134"/>
      </rPr>
      <t xml:space="preserve">房屋原值</t>
    </r>
    <r>
      <rPr>
        <b val="true"/>
        <sz val="10"/>
        <rFont val="Arial"/>
        <family val="2"/>
        <charset val="1"/>
      </rPr>
      <t xml:space="preserve">×70</t>
    </r>
    <r>
      <rPr>
        <b val="true"/>
        <sz val="10"/>
        <rFont val="宋体"/>
        <family val="3"/>
        <charset val="134"/>
      </rPr>
      <t xml:space="preserve">％</t>
    </r>
    <r>
      <rPr>
        <b val="true"/>
        <sz val="10"/>
        <rFont val="Arial"/>
        <family val="2"/>
        <charset val="1"/>
      </rPr>
      <t xml:space="preserve">×1.2</t>
    </r>
    <r>
      <rPr>
        <b val="true"/>
        <sz val="10"/>
        <rFont val="宋体"/>
        <family val="3"/>
        <charset val="134"/>
      </rPr>
      <t xml:space="preserve">％</t>
    </r>
  </si>
  <si>
    <t xml:space="preserve">单房公寓</t>
  </si>
  <si>
    <t xml:space="preserve">房屋原值（万元）</t>
  </si>
  <si>
    <t xml:space="preserve">双房公寓</t>
  </si>
  <si>
    <r>
      <rPr>
        <sz val="10"/>
        <rFont val="宋体"/>
        <family val="3"/>
        <charset val="134"/>
      </rPr>
      <t xml:space="preserve">（</t>
    </r>
    <r>
      <rPr>
        <sz val="10"/>
        <rFont val="Arial"/>
        <family val="2"/>
        <charset val="1"/>
      </rPr>
      <t xml:space="preserve">2</t>
    </r>
    <r>
      <rPr>
        <sz val="10"/>
        <rFont val="宋体"/>
        <family val="3"/>
        <charset val="134"/>
      </rPr>
      <t xml:space="preserve">）</t>
    </r>
  </si>
  <si>
    <r>
      <rPr>
        <b val="true"/>
        <sz val="10"/>
        <rFont val="宋体"/>
        <family val="3"/>
        <charset val="134"/>
      </rPr>
      <t xml:space="preserve">土地面积</t>
    </r>
    <r>
      <rPr>
        <b val="true"/>
        <sz val="10"/>
        <rFont val="Arial"/>
        <family val="2"/>
        <charset val="1"/>
      </rPr>
      <t xml:space="preserve">×</t>
    </r>
    <r>
      <rPr>
        <b val="true"/>
        <sz val="10"/>
        <rFont val="宋体"/>
        <family val="3"/>
        <charset val="134"/>
      </rPr>
      <t xml:space="preserve">标准</t>
    </r>
  </si>
  <si>
    <r>
      <rPr>
        <sz val="10"/>
        <rFont val="宋体"/>
        <family val="3"/>
        <charset val="134"/>
      </rPr>
      <t xml:space="preserve">（</t>
    </r>
    <r>
      <rPr>
        <sz val="10"/>
        <rFont val="Arial"/>
        <family val="2"/>
        <charset val="1"/>
      </rPr>
      <t xml:space="preserve">3</t>
    </r>
    <r>
      <rPr>
        <sz val="10"/>
        <rFont val="宋体"/>
        <family val="3"/>
        <charset val="134"/>
      </rPr>
      <t xml:space="preserve">）</t>
    </r>
  </si>
  <si>
    <t xml:space="preserve">营业及附加</t>
  </si>
  <si>
    <r>
      <rPr>
        <b val="true"/>
        <sz val="10"/>
        <rFont val="宋体"/>
        <family val="3"/>
        <charset val="134"/>
      </rPr>
      <t xml:space="preserve">年总收入</t>
    </r>
    <r>
      <rPr>
        <b val="true"/>
        <sz val="10"/>
        <rFont val="Arial"/>
        <family val="2"/>
        <charset val="1"/>
      </rPr>
      <t xml:space="preserve">×</t>
    </r>
    <r>
      <rPr>
        <b val="true"/>
        <sz val="10"/>
        <rFont val="宋体"/>
        <family val="3"/>
        <charset val="134"/>
      </rPr>
      <t xml:space="preserve">费率</t>
    </r>
  </si>
  <si>
    <t xml:space="preserve">餐厅</t>
  </si>
  <si>
    <t xml:space="preserve">人均消费</t>
  </si>
  <si>
    <t xml:space="preserve">座位数</t>
  </si>
  <si>
    <t xml:space="preserve">上座率</t>
  </si>
  <si>
    <r>
      <rPr>
        <sz val="10"/>
        <rFont val="宋体"/>
        <family val="3"/>
        <charset val="134"/>
      </rPr>
      <t xml:space="preserve">（</t>
    </r>
    <r>
      <rPr>
        <sz val="10"/>
        <rFont val="Arial"/>
        <family val="2"/>
        <charset val="1"/>
      </rPr>
      <t xml:space="preserve">4</t>
    </r>
    <r>
      <rPr>
        <sz val="10"/>
        <rFont val="宋体"/>
        <family val="3"/>
        <charset val="134"/>
      </rPr>
      <t xml:space="preserve">）</t>
    </r>
  </si>
  <si>
    <t xml:space="preserve">其他税费</t>
  </si>
  <si>
    <t xml:space="preserve">按当地政策需要缴纳的税费、特殊行业需要缴纳的税费</t>
  </si>
  <si>
    <t xml:space="preserve">中餐厅</t>
  </si>
  <si>
    <t xml:space="preserve">管理以及财务费用</t>
  </si>
  <si>
    <t xml:space="preserve">公司经费、审计费、咨询费、修理费、银行手续费等，以年总收入为基数计算</t>
  </si>
  <si>
    <t xml:space="preserve">西餐厅</t>
  </si>
  <si>
    <t xml:space="preserve">（三）行业利润</t>
  </si>
  <si>
    <t xml:space="preserve">应归属于商服经营者的利润，以年总收入为基数计算</t>
  </si>
  <si>
    <t xml:space="preserve">（四）房地产价值</t>
  </si>
  <si>
    <t xml:space="preserve">按明细</t>
  </si>
  <si>
    <t xml:space="preserve">会议中心</t>
  </si>
  <si>
    <t xml:space="preserve">会议室</t>
  </si>
  <si>
    <r>
      <rPr>
        <sz val="10"/>
        <color rgb="FF000000"/>
        <rFont val="宋体"/>
        <family val="3"/>
        <charset val="134"/>
      </rPr>
      <t xml:space="preserve">收费（元</t>
    </r>
    <r>
      <rPr>
        <sz val="10"/>
        <color rgb="FF000000"/>
        <rFont val="Arial"/>
        <family val="2"/>
        <charset val="1"/>
      </rPr>
      <t xml:space="preserve">/</t>
    </r>
    <r>
      <rPr>
        <sz val="10"/>
        <color rgb="FF000000"/>
        <rFont val="宋体"/>
        <family val="3"/>
        <charset val="134"/>
      </rPr>
      <t xml:space="preserve">间</t>
    </r>
    <r>
      <rPr>
        <sz val="10"/>
        <color rgb="FF000000"/>
        <rFont val="Arial"/>
        <family val="2"/>
        <charset val="1"/>
      </rPr>
      <t xml:space="preserve">.</t>
    </r>
    <r>
      <rPr>
        <sz val="10"/>
        <color rgb="FF000000"/>
        <rFont val="宋体"/>
        <family val="3"/>
        <charset val="134"/>
      </rPr>
      <t xml:space="preserve">天）</t>
    </r>
  </si>
  <si>
    <t xml:space="preserve">平均使用率</t>
  </si>
  <si>
    <r>
      <rPr>
        <b val="true"/>
        <sz val="10"/>
        <rFont val="宋体"/>
        <family val="3"/>
        <charset val="134"/>
      </rPr>
      <t xml:space="preserve">收益期</t>
    </r>
    <r>
      <rPr>
        <b val="true"/>
        <sz val="10"/>
        <rFont val="Arial"/>
        <family val="2"/>
        <charset val="1"/>
      </rPr>
      <t xml:space="preserve">1</t>
    </r>
  </si>
  <si>
    <r>
      <rPr>
        <b val="true"/>
        <sz val="10"/>
        <rFont val="宋体"/>
        <family val="3"/>
        <charset val="134"/>
      </rPr>
      <t xml:space="preserve">收益期</t>
    </r>
    <r>
      <rPr>
        <b val="true"/>
        <sz val="10"/>
        <rFont val="Arial"/>
        <family val="2"/>
        <charset val="1"/>
      </rPr>
      <t xml:space="preserve">2</t>
    </r>
  </si>
  <si>
    <r>
      <rPr>
        <b val="true"/>
        <sz val="10"/>
        <rFont val="宋体"/>
        <family val="3"/>
        <charset val="134"/>
      </rPr>
      <t xml:space="preserve">收益期</t>
    </r>
    <r>
      <rPr>
        <b val="true"/>
        <sz val="10"/>
        <rFont val="Arial"/>
        <family val="2"/>
        <charset val="1"/>
      </rPr>
      <t xml:space="preserve">3</t>
    </r>
  </si>
  <si>
    <t xml:space="preserve">大</t>
  </si>
  <si>
    <t xml:space="preserve">起步期</t>
  </si>
  <si>
    <t xml:space="preserve">发展期</t>
  </si>
  <si>
    <t xml:space="preserve">稳定期</t>
  </si>
  <si>
    <t xml:space="preserve">中</t>
  </si>
  <si>
    <t xml:space="preserve">年总收入</t>
  </si>
  <si>
    <t xml:space="preserve">小</t>
  </si>
  <si>
    <t xml:space="preserve">涨幅</t>
  </si>
  <si>
    <t xml:space="preserve">日租金</t>
  </si>
  <si>
    <t xml:space="preserve">占比</t>
  </si>
  <si>
    <t xml:space="preserve"> </t>
  </si>
  <si>
    <t xml:space="preserve">押金</t>
  </si>
  <si>
    <t xml:space="preserve">行业利润</t>
  </si>
  <si>
    <r>
      <rPr>
        <b val="true"/>
        <sz val="10"/>
        <rFont val="宋体"/>
        <family val="3"/>
        <charset val="134"/>
      </rPr>
      <t xml:space="preserve">收益法（自营</t>
    </r>
    <r>
      <rPr>
        <b val="true"/>
        <sz val="10"/>
        <rFont val="Arial"/>
        <family val="2"/>
        <charset val="1"/>
      </rPr>
      <t xml:space="preserve">-</t>
    </r>
    <r>
      <rPr>
        <b val="true"/>
        <sz val="10"/>
        <rFont val="宋体"/>
        <family val="3"/>
        <charset val="134"/>
      </rPr>
      <t xml:space="preserve">其他类）需企业提供近</t>
    </r>
    <r>
      <rPr>
        <b val="true"/>
        <sz val="10"/>
        <rFont val="Arial"/>
        <family val="2"/>
        <charset val="1"/>
      </rPr>
      <t xml:space="preserve">3</t>
    </r>
    <r>
      <rPr>
        <b val="true"/>
        <sz val="10"/>
        <rFont val="宋体"/>
        <family val="3"/>
        <charset val="134"/>
      </rPr>
      <t xml:space="preserve">年报表（不足</t>
    </r>
    <r>
      <rPr>
        <b val="true"/>
        <sz val="10"/>
        <rFont val="Arial"/>
        <family val="2"/>
        <charset val="1"/>
      </rPr>
      <t xml:space="preserve">3</t>
    </r>
    <r>
      <rPr>
        <b val="true"/>
        <sz val="10"/>
        <rFont val="宋体"/>
        <family val="3"/>
        <charset val="134"/>
      </rPr>
      <t xml:space="preserve">年提供开业以来报表）</t>
    </r>
  </si>
  <si>
    <t xml:space="preserve">年净收益</t>
  </si>
  <si>
    <t xml:space="preserve">年增长率</t>
  </si>
  <si>
    <t xml:space="preserve">收益年期</t>
  </si>
  <si>
    <t xml:space="preserve">主营业务收入</t>
  </si>
  <si>
    <t xml:space="preserve">折现值</t>
  </si>
  <si>
    <t xml:space="preserve">房地产总价</t>
  </si>
  <si>
    <t xml:space="preserve">汇总建筑面积</t>
  </si>
  <si>
    <r>
      <rPr>
        <sz val="11"/>
        <color rgb="FF000000"/>
        <rFont val="宋体"/>
        <family val="3"/>
        <charset val="134"/>
      </rPr>
      <t xml:space="preserve">元</t>
    </r>
    <r>
      <rPr>
        <sz val="11"/>
        <color rgb="FF000000"/>
        <rFont val="Arial"/>
        <family val="2"/>
        <charset val="1"/>
      </rPr>
      <t xml:space="preserve">/</t>
    </r>
    <r>
      <rPr>
        <sz val="11"/>
        <color rgb="FF000000"/>
        <rFont val="宋体"/>
        <family val="3"/>
        <charset val="134"/>
      </rPr>
      <t xml:space="preserve">平方米</t>
    </r>
  </si>
  <si>
    <t xml:space="preserve">本次评估所采用的收益法</t>
  </si>
  <si>
    <t xml:space="preserve">是否参与计算</t>
  </si>
  <si>
    <t xml:space="preserve">比较法</t>
  </si>
  <si>
    <t xml:space="preserve">─</t>
  </si>
  <si>
    <t xml:space="preserve">单套模式</t>
  </si>
  <si>
    <t xml:space="preserve">售价</t>
  </si>
  <si>
    <r>
      <rPr>
        <b val="true"/>
        <sz val="16"/>
        <color rgb="FFFF0000"/>
        <rFont val="宋体"/>
        <family val="3"/>
        <charset val="134"/>
      </rPr>
      <t xml:space="preserve">录入顺序：主表的空白区域</t>
    </r>
    <r>
      <rPr>
        <b val="true"/>
        <sz val="16"/>
        <color rgb="FFFF0000"/>
        <rFont val="Arial"/>
        <family val="2"/>
        <charset val="1"/>
      </rPr>
      <t xml:space="preserve">-</t>
    </r>
    <r>
      <rPr>
        <b val="true"/>
        <sz val="16"/>
        <color rgb="FFFF0000"/>
        <rFont val="宋体"/>
        <family val="3"/>
        <charset val="134"/>
      </rPr>
      <t xml:space="preserve">因素表空白区域</t>
    </r>
    <r>
      <rPr>
        <b val="true"/>
        <sz val="16"/>
        <color rgb="FFFF0000"/>
        <rFont val="Arial"/>
        <family val="2"/>
        <charset val="1"/>
      </rPr>
      <t xml:space="preserve">-</t>
    </r>
    <r>
      <rPr>
        <b val="true"/>
        <sz val="16"/>
        <color rgb="FFFF0000"/>
        <rFont val="宋体"/>
        <family val="3"/>
        <charset val="134"/>
      </rPr>
      <t xml:space="preserve">主表黄色选项区域</t>
    </r>
    <r>
      <rPr>
        <b val="true"/>
        <sz val="16"/>
        <color rgb="FFFF0000"/>
        <rFont val="Arial"/>
        <family val="2"/>
        <charset val="1"/>
      </rPr>
      <t xml:space="preserve">-</t>
    </r>
    <r>
      <rPr>
        <b val="true"/>
        <sz val="16"/>
        <color rgb="FFFF0000"/>
        <rFont val="宋体"/>
        <family val="3"/>
        <charset val="134"/>
      </rPr>
      <t xml:space="preserve">调节修正幅度</t>
    </r>
    <r>
      <rPr>
        <b val="true"/>
        <sz val="16"/>
        <color rgb="FFFF0000"/>
        <rFont val="Arial"/>
        <family val="2"/>
        <charset val="1"/>
      </rPr>
      <t xml:space="preserve">-</t>
    </r>
    <r>
      <rPr>
        <b val="true"/>
        <sz val="16"/>
        <color rgb="FFFF0000"/>
        <rFont val="宋体"/>
        <family val="3"/>
        <charset val="134"/>
      </rPr>
      <t xml:space="preserve">完成</t>
    </r>
  </si>
  <si>
    <t xml:space="preserve">比较因素</t>
  </si>
  <si>
    <r>
      <rPr>
        <sz val="11"/>
        <rFont val="宋体"/>
        <family val="3"/>
        <charset val="134"/>
      </rPr>
      <t xml:space="preserve">案例</t>
    </r>
    <r>
      <rPr>
        <sz val="11"/>
        <rFont val="Arial"/>
        <family val="2"/>
        <charset val="1"/>
      </rPr>
      <t xml:space="preserve">A</t>
    </r>
  </si>
  <si>
    <r>
      <rPr>
        <sz val="11"/>
        <rFont val="宋体"/>
        <family val="3"/>
        <charset val="134"/>
      </rPr>
      <t xml:space="preserve">案例</t>
    </r>
    <r>
      <rPr>
        <sz val="11"/>
        <rFont val="Arial"/>
        <family val="2"/>
        <charset val="1"/>
      </rPr>
      <t xml:space="preserve">B</t>
    </r>
  </si>
  <si>
    <r>
      <rPr>
        <sz val="11"/>
        <rFont val="宋体"/>
        <family val="3"/>
        <charset val="134"/>
      </rPr>
      <t xml:space="preserve">案例</t>
    </r>
    <r>
      <rPr>
        <sz val="11"/>
        <rFont val="Arial"/>
        <family val="2"/>
        <charset val="1"/>
      </rPr>
      <t xml:space="preserve">C</t>
    </r>
  </si>
  <si>
    <t xml:space="preserve">估价对象名称</t>
  </si>
  <si>
    <t xml:space="preserve">项目位置</t>
  </si>
  <si>
    <r>
      <rPr>
        <sz val="11"/>
        <color rgb="FF000000"/>
        <rFont val="宋体"/>
        <family val="3"/>
        <charset val="134"/>
      </rPr>
      <t xml:space="preserve">系数</t>
    </r>
    <r>
      <rPr>
        <sz val="11"/>
        <color rgb="FF000000"/>
        <rFont val="Arial"/>
        <family val="2"/>
        <charset val="1"/>
      </rPr>
      <t xml:space="preserve">%</t>
    </r>
  </si>
  <si>
    <t xml:space="preserve">交易时间</t>
  </si>
  <si>
    <t xml:space="preserve">100/</t>
  </si>
  <si>
    <t xml:space="preserve">交易情况</t>
  </si>
  <si>
    <t xml:space="preserve">正常</t>
  </si>
  <si>
    <t xml:space="preserve">权益状况</t>
  </si>
  <si>
    <t xml:space="preserve">土地使用年限（年）</t>
  </si>
  <si>
    <r>
      <rPr>
        <sz val="11"/>
        <color rgb="FF000000"/>
        <rFont val="宋体"/>
        <family val="3"/>
        <charset val="134"/>
      </rPr>
      <t xml:space="preserve">楼层</t>
    </r>
    <r>
      <rPr>
        <sz val="11"/>
        <color rgb="FF000000"/>
        <rFont val="Arial"/>
        <family val="2"/>
        <charset val="1"/>
      </rPr>
      <t xml:space="preserve">-1</t>
    </r>
  </si>
  <si>
    <t xml:space="preserve">朝向</t>
  </si>
  <si>
    <t xml:space="preserve">南北</t>
  </si>
  <si>
    <t xml:space="preserve">南</t>
  </si>
  <si>
    <t xml:space="preserve">西北</t>
  </si>
  <si>
    <t xml:space="preserve">楼层</t>
  </si>
  <si>
    <t xml:space="preserve">5/6</t>
  </si>
  <si>
    <t xml:space="preserve">4/6</t>
  </si>
  <si>
    <t xml:space="preserve">2/6</t>
  </si>
  <si>
    <t xml:space="preserve">3/16</t>
  </si>
  <si>
    <t xml:space="preserve">实物状况</t>
  </si>
  <si>
    <t xml:space="preserve">建筑类型</t>
  </si>
  <si>
    <t xml:space="preserve">板楼</t>
  </si>
  <si>
    <t xml:space="preserve">塔楼</t>
  </si>
  <si>
    <t xml:space="preserve">项目建筑规模</t>
  </si>
  <si>
    <t xml:space="preserve">建筑结构</t>
  </si>
  <si>
    <t xml:space="preserve">混合</t>
  </si>
  <si>
    <t xml:space="preserve">建筑品质</t>
  </si>
  <si>
    <t xml:space="preserve">公共部分装修</t>
  </si>
  <si>
    <t xml:space="preserve">简单装修</t>
  </si>
  <si>
    <t xml:space="preserve">物业管理</t>
  </si>
  <si>
    <t xml:space="preserve">普通物业管理</t>
  </si>
  <si>
    <t xml:space="preserve">市政基础设施</t>
  </si>
  <si>
    <r>
      <rPr>
        <sz val="11"/>
        <color rgb="FF000000"/>
        <rFont val="宋体"/>
        <family val="3"/>
        <charset val="134"/>
      </rPr>
      <t xml:space="preserve">单套</t>
    </r>
    <r>
      <rPr>
        <sz val="11"/>
        <color rgb="FF000000"/>
        <rFont val="Arial"/>
        <family val="2"/>
        <charset val="1"/>
      </rPr>
      <t xml:space="preserve">/</t>
    </r>
    <r>
      <rPr>
        <sz val="11"/>
        <color rgb="FF000000"/>
        <rFont val="宋体"/>
        <family val="3"/>
        <charset val="134"/>
      </rPr>
      <t xml:space="preserve">主力户型建筑面积</t>
    </r>
  </si>
  <si>
    <t xml:space="preserve">内部装修</t>
  </si>
  <si>
    <t xml:space="preserve">电梯</t>
  </si>
  <si>
    <r>
      <rPr>
        <b val="true"/>
        <sz val="11"/>
        <rFont val="宋体"/>
        <family val="3"/>
        <charset val="134"/>
      </rPr>
      <t xml:space="preserve">成交单价（元</t>
    </r>
    <r>
      <rPr>
        <b val="true"/>
        <sz val="11"/>
        <rFont val="Arial"/>
        <family val="2"/>
        <charset val="1"/>
      </rPr>
      <t xml:space="preserve">/</t>
    </r>
    <r>
      <rPr>
        <b val="true"/>
        <sz val="11"/>
        <rFont val="宋体"/>
        <family val="3"/>
        <charset val="134"/>
      </rPr>
      <t xml:space="preserve">平方米）</t>
    </r>
  </si>
  <si>
    <r>
      <rPr>
        <b val="true"/>
        <sz val="11"/>
        <rFont val="宋体"/>
        <family val="3"/>
        <charset val="134"/>
      </rPr>
      <t xml:space="preserve">比较价值（元</t>
    </r>
    <r>
      <rPr>
        <b val="true"/>
        <sz val="11"/>
        <rFont val="Arial"/>
        <family val="2"/>
        <charset val="1"/>
      </rPr>
      <t xml:space="preserve">/</t>
    </r>
    <r>
      <rPr>
        <b val="true"/>
        <sz val="11"/>
        <rFont val="宋体"/>
        <family val="3"/>
        <charset val="134"/>
      </rPr>
      <t xml:space="preserve">平方米）</t>
    </r>
  </si>
  <si>
    <t xml:space="preserve">简单平均</t>
  </si>
  <si>
    <r>
      <rPr>
        <b val="true"/>
        <sz val="11"/>
        <rFont val="宋体"/>
        <family val="3"/>
        <charset val="134"/>
      </rPr>
      <t xml:space="preserve">估价对象</t>
    </r>
    <r>
      <rPr>
        <b val="true"/>
        <sz val="11"/>
        <color rgb="FFE46C0A"/>
        <rFont val="Arial"/>
        <family val="2"/>
        <charset val="1"/>
      </rPr>
      <t xml:space="preserve">XX</t>
    </r>
    <r>
      <rPr>
        <b val="true"/>
        <sz val="11"/>
        <color rgb="FFE46C0A"/>
        <rFont val="宋体"/>
        <family val="3"/>
        <charset val="134"/>
      </rPr>
      <t xml:space="preserve">用房的</t>
    </r>
    <r>
      <rPr>
        <b val="true"/>
        <sz val="11"/>
        <rFont val="宋体"/>
        <family val="3"/>
        <charset val="134"/>
      </rPr>
      <t xml:space="preserve">比较价值（楼面单价，元</t>
    </r>
    <r>
      <rPr>
        <b val="true"/>
        <sz val="11"/>
        <rFont val="Arial"/>
        <family val="2"/>
        <charset val="1"/>
      </rPr>
      <t xml:space="preserve">/</t>
    </r>
    <r>
      <rPr>
        <b val="true"/>
        <sz val="11"/>
        <rFont val="宋体"/>
        <family val="3"/>
        <charset val="134"/>
      </rPr>
      <t xml:space="preserve">平方米）</t>
    </r>
  </si>
  <si>
    <r>
      <rPr>
        <b val="true"/>
        <sz val="11"/>
        <rFont val="宋体"/>
        <family val="3"/>
        <charset val="134"/>
      </rPr>
      <t xml:space="preserve">总修正幅度不超过</t>
    </r>
    <r>
      <rPr>
        <b val="true"/>
        <sz val="11"/>
        <color rgb="FFFF0000"/>
        <rFont val="Arial"/>
        <family val="2"/>
        <charset val="1"/>
      </rPr>
      <t xml:space="preserve">30%</t>
    </r>
  </si>
  <si>
    <r>
      <rPr>
        <b val="true"/>
        <sz val="11"/>
        <rFont val="宋体"/>
        <family val="3"/>
        <charset val="134"/>
      </rPr>
      <t xml:space="preserve">各修正结果之间不超过</t>
    </r>
    <r>
      <rPr>
        <b val="true"/>
        <sz val="11"/>
        <color rgb="FFFF0000"/>
        <rFont val="Arial"/>
        <family val="2"/>
        <charset val="1"/>
      </rPr>
      <t xml:space="preserve">20%</t>
    </r>
  </si>
  <si>
    <r>
      <rPr>
        <b val="true"/>
        <sz val="11"/>
        <rFont val="宋体"/>
        <family val="3"/>
        <charset val="134"/>
      </rPr>
      <t xml:space="preserve">各案例间不超过</t>
    </r>
    <r>
      <rPr>
        <b val="true"/>
        <sz val="11"/>
        <color rgb="FFFF0000"/>
        <rFont val="Arial"/>
        <family val="2"/>
        <charset val="1"/>
      </rPr>
      <t xml:space="preserve">30%</t>
    </r>
  </si>
  <si>
    <r>
      <rPr>
        <b val="true"/>
        <sz val="16"/>
        <color rgb="FF000000"/>
        <rFont val="宋体"/>
        <family val="3"/>
        <charset val="134"/>
      </rPr>
      <t xml:space="preserve">各因素等级说明（</t>
    </r>
    <r>
      <rPr>
        <b val="true"/>
        <sz val="16"/>
        <color rgb="FFFF0000"/>
        <rFont val="宋体"/>
        <family val="3"/>
        <charset val="134"/>
      </rPr>
      <t xml:space="preserve">手工录入的系数取值除建筑面积外，均应自高至低排序</t>
    </r>
    <r>
      <rPr>
        <b val="true"/>
        <sz val="16"/>
        <color rgb="FF000000"/>
        <rFont val="宋体"/>
        <family val="3"/>
        <charset val="134"/>
      </rPr>
      <t xml:space="preserve">）</t>
    </r>
  </si>
  <si>
    <r>
      <rPr>
        <b val="true"/>
        <sz val="11"/>
        <color rgb="FF000000"/>
        <rFont val="宋体"/>
        <family val="3"/>
        <charset val="134"/>
      </rPr>
      <t xml:space="preserve">官方公布的价格指数</t>
    </r>
    <r>
      <rPr>
        <b val="true"/>
        <sz val="11"/>
        <color rgb="FF000000"/>
        <rFont val="Arial"/>
        <family val="2"/>
        <charset val="1"/>
      </rPr>
      <t xml:space="preserve">/</t>
    </r>
    <r>
      <rPr>
        <b val="true"/>
        <sz val="11"/>
        <color rgb="FF000000"/>
        <rFont val="宋体"/>
        <family val="3"/>
        <charset val="134"/>
      </rPr>
      <t xml:space="preserve">增幅</t>
    </r>
  </si>
  <si>
    <t xml:space="preserve">东南</t>
  </si>
  <si>
    <t xml:space="preserve">西南</t>
  </si>
  <si>
    <t xml:space="preserve">东西</t>
  </si>
  <si>
    <t xml:space="preserve">东</t>
  </si>
  <si>
    <t xml:space="preserve">西</t>
  </si>
  <si>
    <t xml:space="preserve">东北</t>
  </si>
  <si>
    <t xml:space="preserve">北</t>
  </si>
  <si>
    <t xml:space="preserve">精装修</t>
  </si>
  <si>
    <t xml:space="preserve">普通装修</t>
  </si>
  <si>
    <t xml:space="preserve">单位管理</t>
  </si>
  <si>
    <t xml:space="preserve">毛坯</t>
  </si>
  <si>
    <r>
      <rPr>
        <sz val="11"/>
        <color rgb="FFFF0000"/>
        <rFont val="宋体"/>
        <family val="3"/>
        <charset val="134"/>
      </rPr>
      <t xml:space="preserve">楼层修正</t>
    </r>
    <r>
      <rPr>
        <sz val="11"/>
        <color rgb="FFFF0000"/>
        <rFont val="Arial"/>
        <family val="2"/>
        <charset val="1"/>
      </rPr>
      <t xml:space="preserve">-2</t>
    </r>
    <r>
      <rPr>
        <sz val="11"/>
        <color rgb="FFFF0000"/>
        <rFont val="宋体"/>
        <family val="3"/>
        <charset val="134"/>
      </rPr>
      <t xml:space="preserve">：多层及高层同时修正时的处理，以普通无电梯多层为基准</t>
    </r>
  </si>
  <si>
    <t xml:space="preserve">多层</t>
  </si>
  <si>
    <t xml:space="preserve">高层</t>
  </si>
  <si>
    <t xml:space="preserve">无电梯</t>
  </si>
  <si>
    <t xml:space="preserve">增值项</t>
  </si>
  <si>
    <t xml:space="preserve">有电梯</t>
  </si>
  <si>
    <r>
      <rPr>
        <sz val="11"/>
        <color rgb="FF000000"/>
        <rFont val="宋体"/>
        <family val="3"/>
        <charset val="134"/>
      </rPr>
      <t xml:space="preserve">楼层数</t>
    </r>
    <r>
      <rPr>
        <sz val="11"/>
        <color rgb="FF000000"/>
        <rFont val="Arial"/>
        <family val="2"/>
        <charset val="1"/>
      </rPr>
      <t xml:space="preserve">/</t>
    </r>
    <r>
      <rPr>
        <sz val="11"/>
        <color rgb="FF000000"/>
        <rFont val="宋体"/>
        <family val="3"/>
        <charset val="134"/>
      </rPr>
      <t xml:space="preserve">位置</t>
    </r>
  </si>
  <si>
    <r>
      <rPr>
        <sz val="11"/>
        <color rgb="FF000000"/>
        <rFont val="宋体"/>
        <family val="3"/>
        <charset val="134"/>
      </rPr>
      <t xml:space="preserve">层差</t>
    </r>
    <r>
      <rPr>
        <sz val="11"/>
        <color rgb="FF000000"/>
        <rFont val="Arial"/>
        <family val="2"/>
        <charset val="1"/>
      </rPr>
      <t xml:space="preserve">/</t>
    </r>
    <r>
      <rPr>
        <sz val="11"/>
        <color rgb="FF000000"/>
        <rFont val="宋体"/>
        <family val="3"/>
        <charset val="134"/>
      </rPr>
      <t xml:space="preserve">系数</t>
    </r>
  </si>
  <si>
    <t xml:space="preserve">露台</t>
  </si>
  <si>
    <t xml:space="preserve">总层数</t>
  </si>
  <si>
    <t xml:space="preserve">中间层</t>
  </si>
  <si>
    <t xml:space="preserve">首层</t>
  </si>
  <si>
    <t xml:space="preserve">顶层</t>
  </si>
  <si>
    <t xml:space="preserve">所在楼层</t>
  </si>
  <si>
    <t xml:space="preserve">花园</t>
  </si>
  <si>
    <t xml:space="preserve">最高最低差</t>
  </si>
  <si>
    <t xml:space="preserve">注意于无电梯多层的价值匹配</t>
  </si>
  <si>
    <t xml:space="preserve">修正体系描述方式：</t>
  </si>
  <si>
    <t xml:space="preserve">估价对象及比较案例的建筑类型不同，分别为多层及高层。本次评估楼层修正中，多层建筑的各层修正系数如下表，高层建筑的各楼层修正系数以多层建筑的最高最低层差系数为基准进行平均分配。</t>
  </si>
  <si>
    <t xml:space="preserve">所在区县</t>
  </si>
  <si>
    <t xml:space="preserve">居住区名</t>
  </si>
  <si>
    <t xml:space="preserve">组团名</t>
  </si>
  <si>
    <t xml:space="preserve">楼号</t>
  </si>
  <si>
    <t xml:space="preserve">单元</t>
  </si>
  <si>
    <t xml:space="preserve">门牌号</t>
  </si>
  <si>
    <t xml:space="preserve">开发商(产权人)</t>
  </si>
  <si>
    <t xml:space="preserve">面积M2</t>
  </si>
  <si>
    <t xml:space="preserve">第几层</t>
  </si>
  <si>
    <t xml:space="preserve">楼户型</t>
  </si>
  <si>
    <t xml:space="preserve">套内建</t>
  </si>
  <si>
    <t xml:space="preserve">单元住宅类型</t>
  </si>
  <si>
    <t xml:space="preserve">成交总价</t>
  </si>
  <si>
    <t xml:space="preserve">成交单价</t>
  </si>
  <si>
    <t xml:space="preserve">评估总额</t>
  </si>
  <si>
    <t xml:space="preserve">评估总额(万元)</t>
  </si>
  <si>
    <t xml:space="preserve">单价(元/M2)</t>
  </si>
  <si>
    <t xml:space="preserve">风险率</t>
  </si>
  <si>
    <t xml:space="preserve">最高抵押额</t>
  </si>
  <si>
    <t xml:space="preserve">年</t>
  </si>
  <si>
    <t xml:space="preserve">月</t>
  </si>
  <si>
    <t xml:space="preserve">日</t>
  </si>
  <si>
    <t xml:space="preserve">收费</t>
  </si>
  <si>
    <t xml:space="preserve">资金管理中心</t>
  </si>
  <si>
    <t xml:space="preserve">工行</t>
  </si>
  <si>
    <t xml:space="preserve">评估人</t>
  </si>
  <si>
    <t xml:space="preserve">工程进度</t>
  </si>
  <si>
    <t xml:space="preserve">结论</t>
  </si>
  <si>
    <t xml:space="preserve">复核人</t>
  </si>
  <si>
    <t xml:space="preserve">交付时间</t>
  </si>
  <si>
    <t xml:space="preserve">评估月份</t>
  </si>
  <si>
    <t xml:space="preserve">办公电话</t>
  </si>
  <si>
    <t xml:space="preserve">移动电话</t>
  </si>
  <si>
    <t xml:space="preserve">周次</t>
  </si>
  <si>
    <t xml:space="preserve">编号</t>
  </si>
  <si>
    <t xml:space="preserve">制作人</t>
  </si>
  <si>
    <t xml:space="preserve">变更内容</t>
  </si>
  <si>
    <t xml:space="preserve">更改内容</t>
  </si>
  <si>
    <t xml:space="preserve">抵押注记</t>
  </si>
  <si>
    <t xml:space="preserve">合同类型</t>
  </si>
  <si>
    <t xml:space="preserve">合同特定编号</t>
  </si>
  <si>
    <t xml:space="preserve">合同编号</t>
  </si>
  <si>
    <t xml:space="preserve">出卖人</t>
  </si>
  <si>
    <t xml:space="preserve">注册地址</t>
  </si>
  <si>
    <t xml:space="preserve">营业执照注册号</t>
  </si>
  <si>
    <t xml:space="preserve">法定代表人</t>
  </si>
  <si>
    <t xml:space="preserve">邮政编码</t>
  </si>
  <si>
    <t xml:space="preserve">联系电话</t>
  </si>
  <si>
    <t xml:space="preserve">层高（米）</t>
  </si>
  <si>
    <t xml:space="preserve">交易日期</t>
  </si>
  <si>
    <t xml:space="preserve">缺失备注</t>
  </si>
  <si>
    <t xml:space="preserve">补充人</t>
  </si>
  <si>
    <t xml:space="preserve">出具日期</t>
  </si>
  <si>
    <t xml:space="preserve">朝阳</t>
  </si>
  <si>
    <t xml:space="preserve">安慧北里逸园</t>
  </si>
  <si>
    <t xml:space="preserve">18号楼</t>
  </si>
  <si>
    <t xml:space="preserve">8层03号</t>
  </si>
  <si>
    <t xml:space="preserve">北京建工集团总公司</t>
  </si>
  <si>
    <t xml:space="preserve">伍拾万元</t>
  </si>
  <si>
    <t xml:space="preserve">肆拾万元</t>
  </si>
  <si>
    <t xml:space="preserve">市</t>
  </si>
  <si>
    <t xml:space="preserve">封顶</t>
  </si>
  <si>
    <t xml:space="preserve">认购单</t>
  </si>
  <si>
    <t xml:space="preserve">无层高、编号</t>
  </si>
  <si>
    <t xml:space="preserve">宋宇</t>
  </si>
  <si>
    <t xml:space="preserve">慧忠里</t>
  </si>
  <si>
    <t xml:space="preserve">213号楼</t>
  </si>
  <si>
    <t xml:space="preserve">504号</t>
  </si>
  <si>
    <t xml:space="preserve">北京市住总房地产开发部</t>
  </si>
  <si>
    <t xml:space="preserve">陆拾玖万肆仟元</t>
  </si>
  <si>
    <t xml:space="preserve">伍拾伍万伍仟贰佰</t>
  </si>
  <si>
    <t xml:space="preserve">陈南洋</t>
  </si>
  <si>
    <t xml:space="preserve">无合同</t>
  </si>
  <si>
    <t xml:space="preserve">北京市朝阳区慧忠里</t>
  </si>
  <si>
    <t xml:space="preserve">306号楼</t>
  </si>
  <si>
    <t xml:space="preserve">1702号</t>
  </si>
  <si>
    <t xml:space="preserve">北京华汇房地产开发中心</t>
  </si>
  <si>
    <t xml:space="preserve">肆拾贰万元</t>
  </si>
  <si>
    <t xml:space="preserve">叁拾叁万陆仟</t>
  </si>
  <si>
    <t xml:space="preserve">认购书</t>
  </si>
  <si>
    <t xml:space="preserve">20027</t>
  </si>
  <si>
    <t xml:space="preserve">无层高、特定编号</t>
  </si>
  <si>
    <t xml:space="preserve">北京市朝阳区罗马花园</t>
  </si>
  <si>
    <t xml:space="preserve">901室</t>
  </si>
  <si>
    <t xml:space="preserve">北京金马房地产发展有限公司</t>
  </si>
  <si>
    <t xml:space="preserve">贰佰肆拾玖万柒仟元</t>
  </si>
  <si>
    <t xml:space="preserve">壹佰柒拾肆万柒仟玖佰</t>
  </si>
  <si>
    <t xml:space="preserve">东城工行</t>
  </si>
  <si>
    <t xml:space="preserve">预售契约</t>
  </si>
  <si>
    <t xml:space="preserve">W</t>
  </si>
  <si>
    <t xml:space="preserve">北京金马房产发展有限公司</t>
  </si>
  <si>
    <t xml:space="preserve">无层高、编号；未附评估通知单</t>
  </si>
  <si>
    <t xml:space="preserve">1502室</t>
  </si>
  <si>
    <t xml:space="preserve">贰佰壹拾肆万贰仟元</t>
  </si>
  <si>
    <t xml:space="preserve">壹佰肆拾玖万玖仟肆佰</t>
  </si>
  <si>
    <t xml:space="preserve">未附评估通知单；无合同</t>
  </si>
  <si>
    <t xml:space="preserve">2303室</t>
  </si>
  <si>
    <t xml:space="preserve">贰佰贰拾捌万元</t>
  </si>
  <si>
    <t xml:space="preserve">壹佰伍拾玖万陆仟</t>
  </si>
  <si>
    <t xml:space="preserve">朝阳工行</t>
  </si>
  <si>
    <t xml:space="preserve">022705</t>
  </si>
  <si>
    <t xml:space="preserve">无层高、日期、评估通知单</t>
  </si>
  <si>
    <t xml:space="preserve">2103A室</t>
  </si>
  <si>
    <t xml:space="preserve">贰佰贰拾肆万肆仟元</t>
  </si>
  <si>
    <t xml:space="preserve">壹佰伍拾柒万零捌佰</t>
  </si>
  <si>
    <t xml:space="preserve">029758</t>
  </si>
  <si>
    <t xml:space="preserve">无层高、日期</t>
  </si>
  <si>
    <t xml:space="preserve">北京市朝阳区欧陆经典万兴南苑</t>
  </si>
  <si>
    <t xml:space="preserve">7号楼</t>
  </si>
  <si>
    <t xml:space="preserve">A2号</t>
  </si>
  <si>
    <t xml:space="preserve">北京龙脉房地产开发有限责任公司</t>
  </si>
  <si>
    <t xml:space="preserve">7层</t>
  </si>
  <si>
    <t xml:space="preserve">柒拾贰万元</t>
  </si>
  <si>
    <t xml:space="preserve">伍拾柒万陆仟</t>
  </si>
  <si>
    <t xml:space="preserve">北京市朝阳区欧陆经典</t>
  </si>
  <si>
    <t xml:space="preserve">万兴苑</t>
  </si>
  <si>
    <t xml:space="preserve">8号楼</t>
  </si>
  <si>
    <t xml:space="preserve">2号</t>
  </si>
  <si>
    <t xml:space="preserve">北京市龙脉房地产开发有限责任公司</t>
  </si>
  <si>
    <t xml:space="preserve">9层</t>
  </si>
  <si>
    <t xml:space="preserve">陆拾捌万捌仟元</t>
  </si>
  <si>
    <t xml:space="preserve">伍拾伍万零肆佰</t>
  </si>
  <si>
    <t xml:space="preserve">外企</t>
  </si>
  <si>
    <t xml:space="preserve">周文茜</t>
  </si>
  <si>
    <t xml:space="preserve">090889</t>
  </si>
  <si>
    <t xml:space="preserve">北京市朝阳区欧陆经典万兴苑</t>
  </si>
  <si>
    <t xml:space="preserve">B2号</t>
  </si>
  <si>
    <t xml:space="preserve">龙脉房地产</t>
  </si>
  <si>
    <t xml:space="preserve">3层</t>
  </si>
  <si>
    <t xml:space="preserve">朝阳区</t>
  </si>
  <si>
    <t xml:space="preserve">安慧北里</t>
  </si>
  <si>
    <t xml:space="preserve">逸园</t>
  </si>
  <si>
    <t xml:space="preserve">24#楼</t>
  </si>
  <si>
    <t xml:space="preserve">2301室</t>
  </si>
  <si>
    <t xml:space="preserve">伍拾叁万柒仟贰佰元</t>
  </si>
  <si>
    <t xml:space="preserve">肆拾捌万叁仟伍佰</t>
  </si>
  <si>
    <t xml:space="preserve">北京市住房资金管理中心</t>
  </si>
  <si>
    <t xml:space="preserve">现房</t>
  </si>
  <si>
    <t xml:space="preserve">可抵押商品住宅</t>
  </si>
  <si>
    <t xml:space="preserve">李烨</t>
  </si>
  <si>
    <t xml:space="preserve">1998年</t>
  </si>
  <si>
    <t xml:space="preserve">074035</t>
  </si>
  <si>
    <t xml:space="preserve">无层高</t>
  </si>
  <si>
    <t xml:space="preserve">慧忠北里</t>
  </si>
  <si>
    <t xml:space="preserve">新荣家园</t>
  </si>
  <si>
    <t xml:space="preserve">2号楼（B座）</t>
  </si>
  <si>
    <t xml:space="preserve">16F</t>
  </si>
  <si>
    <t xml:space="preserve">北京新容房地产开发有限公司</t>
  </si>
  <si>
    <t xml:space="preserve">捌拾柒万零壹佰元</t>
  </si>
  <si>
    <t xml:space="preserve">柒拾捌万叁仟壹佰</t>
  </si>
  <si>
    <t xml:space="preserve">未封顶</t>
  </si>
  <si>
    <t xml:space="preserve">091969</t>
  </si>
  <si>
    <t xml:space="preserve">北京新荣房地产开发有限公司</t>
  </si>
  <si>
    <t xml:space="preserve">安慧北里逸园14楼10层</t>
  </si>
  <si>
    <t xml:space="preserve">01号</t>
  </si>
  <si>
    <t xml:space="preserve">伍拾贰万玖仟伍佰元</t>
  </si>
  <si>
    <t xml:space="preserve">肆拾柒万陆仟伍佰</t>
  </si>
  <si>
    <t xml:space="preserve">魏伯欣</t>
  </si>
  <si>
    <t xml:space="preserve">308＃楼</t>
  </si>
  <si>
    <t xml:space="preserve">2301房间</t>
  </si>
  <si>
    <t xml:space="preserve">伍拾伍万柒仟元</t>
  </si>
  <si>
    <t xml:space="preserve">伍拾万壹仟叁佰</t>
  </si>
  <si>
    <t xml:space="preserve">北京市住房资金管理中心朝阳分中心</t>
  </si>
  <si>
    <t xml:space="preserve">306＃楼</t>
  </si>
  <si>
    <t xml:space="preserve">2401#</t>
  </si>
  <si>
    <t xml:space="preserve">093325</t>
  </si>
  <si>
    <t xml:space="preserve">1301房间</t>
  </si>
  <si>
    <t xml:space="preserve">094894</t>
  </si>
  <si>
    <t xml:space="preserve">2410房间</t>
  </si>
  <si>
    <t xml:space="preserve">094879</t>
  </si>
  <si>
    <t xml:space="preserve">901#</t>
  </si>
  <si>
    <t xml:space="preserve">北京市住房资金管理中心东城区分中心</t>
  </si>
  <si>
    <t xml:space="preserve">094888</t>
  </si>
  <si>
    <t xml:space="preserve">114号楼</t>
  </si>
  <si>
    <t xml:space="preserve">1层3门</t>
  </si>
  <si>
    <t xml:space="preserve">102号</t>
  </si>
  <si>
    <t xml:space="preserve">北京华汇房地产开发公司</t>
  </si>
  <si>
    <t xml:space="preserve">壹拾柒万玖仟叁佰元</t>
  </si>
  <si>
    <t xml:space="preserve">壹拾陆万壹仟肆佰</t>
  </si>
  <si>
    <t xml:space="preserve">北京市住房资金管理中心归集二部</t>
  </si>
  <si>
    <t xml:space="preserve">可抵押房改房</t>
  </si>
  <si>
    <t xml:space="preserve">买卖契约</t>
  </si>
  <si>
    <t xml:space="preserve">惠新苑小区</t>
  </si>
  <si>
    <t xml:space="preserve">1#楼</t>
  </si>
  <si>
    <t xml:space="preserve">1307号</t>
  </si>
  <si>
    <t xml:space="preserve">北京市朝阳城市建设综合开发公司</t>
  </si>
  <si>
    <t xml:space="preserve">陆拾伍万柒仟玖佰元</t>
  </si>
  <si>
    <t xml:space="preserve">伍拾玖万贰仟壹佰</t>
  </si>
  <si>
    <t xml:space="preserve">099656</t>
  </si>
  <si>
    <t xml:space="preserve">3号楼</t>
  </si>
  <si>
    <t xml:space="preserve">0913室</t>
  </si>
  <si>
    <t xml:space="preserve">北京市朝阳区城市建设综合开发公司</t>
  </si>
  <si>
    <t xml:space="preserve">捌拾肆万捌仟伍佰元</t>
  </si>
  <si>
    <t xml:space="preserve">柒拾陆万叁仟柒佰</t>
  </si>
  <si>
    <r>
      <rPr>
        <sz val="10"/>
        <rFont val="宋体"/>
        <family val="3"/>
        <charset val="134"/>
      </rPr>
      <t xml:space="preserve">惠</t>
    </r>
    <r>
      <rPr>
        <sz val="10"/>
        <rFont val="Times New Roman"/>
        <family val="1"/>
        <charset val="1"/>
      </rPr>
      <t xml:space="preserve">-069</t>
    </r>
  </si>
  <si>
    <t xml:space="preserve">1910号</t>
  </si>
  <si>
    <t xml:space="preserve">二室一厅一卫一厨</t>
  </si>
  <si>
    <t xml:space="preserve">复式、平层√、跃层、错层</t>
  </si>
  <si>
    <t xml:space="preserve">085039</t>
  </si>
  <si>
    <r>
      <rPr>
        <sz val="11"/>
        <color rgb="FFE46C0A"/>
        <rFont val="宋体"/>
        <family val="3"/>
        <charset val="134"/>
      </rPr>
      <t xml:space="preserve">案例</t>
    </r>
    <r>
      <rPr>
        <sz val="11"/>
        <color rgb="FFE46C0A"/>
        <rFont val="Arial"/>
        <family val="2"/>
        <charset val="1"/>
      </rPr>
      <t xml:space="preserve">A</t>
    </r>
    <r>
      <rPr>
        <sz val="11"/>
        <color rgb="FFE46C0A"/>
        <rFont val="宋体"/>
        <family val="3"/>
        <charset val="134"/>
      </rPr>
      <t xml:space="preserve">名称</t>
    </r>
  </si>
  <si>
    <r>
      <rPr>
        <sz val="11"/>
        <color rgb="FFE46C0A"/>
        <rFont val="宋体"/>
        <family val="3"/>
        <charset val="134"/>
      </rPr>
      <t xml:space="preserve">案例</t>
    </r>
    <r>
      <rPr>
        <sz val="11"/>
        <color rgb="FFE46C0A"/>
        <rFont val="Arial"/>
        <family val="2"/>
        <charset val="1"/>
      </rPr>
      <t xml:space="preserve">B</t>
    </r>
    <r>
      <rPr>
        <sz val="11"/>
        <color rgb="FFE46C0A"/>
        <rFont val="宋体"/>
        <family val="3"/>
        <charset val="134"/>
      </rPr>
      <t xml:space="preserve">名称</t>
    </r>
  </si>
  <si>
    <r>
      <rPr>
        <sz val="11"/>
        <color rgb="FFE46C0A"/>
        <rFont val="宋体"/>
        <family val="3"/>
        <charset val="134"/>
      </rPr>
      <t xml:space="preserve">案例</t>
    </r>
    <r>
      <rPr>
        <sz val="11"/>
        <color rgb="FFE46C0A"/>
        <rFont val="Arial"/>
        <family val="2"/>
        <charset val="1"/>
      </rPr>
      <t xml:space="preserve">C</t>
    </r>
    <r>
      <rPr>
        <sz val="11"/>
        <color rgb="FFE46C0A"/>
        <rFont val="宋体"/>
        <family val="3"/>
        <charset val="134"/>
      </rPr>
      <t xml:space="preserve">名称</t>
    </r>
  </si>
  <si>
    <r>
      <rPr>
        <sz val="11"/>
        <color rgb="FF000000"/>
        <rFont val="宋体"/>
        <family val="3"/>
        <charset val="134"/>
      </rPr>
      <t xml:space="preserve">平面位置</t>
    </r>
    <r>
      <rPr>
        <sz val="11"/>
        <color rgb="FF000000"/>
        <rFont val="Arial"/>
        <family val="2"/>
        <charset val="1"/>
      </rPr>
      <t xml:space="preserve">/</t>
    </r>
    <r>
      <rPr>
        <sz val="11"/>
        <color rgb="FF000000"/>
        <rFont val="宋体"/>
        <family val="3"/>
        <charset val="134"/>
      </rPr>
      <t xml:space="preserve">可视性</t>
    </r>
  </si>
  <si>
    <t xml:space="preserve">人流量</t>
  </si>
  <si>
    <t xml:space="preserve">商业类型</t>
  </si>
  <si>
    <t xml:space="preserve">业态</t>
  </si>
  <si>
    <t xml:space="preserve">层高</t>
  </si>
  <si>
    <t xml:space="preserve">单套建筑面积</t>
  </si>
  <si>
    <t xml:space="preserve">进深比</t>
  </si>
  <si>
    <t xml:space="preserve">写字楼等级</t>
  </si>
  <si>
    <t xml:space="preserve">内部装修状况</t>
  </si>
  <si>
    <t xml:space="preserve">内部装修维护状况</t>
  </si>
  <si>
    <t xml:space="preserve">车位数</t>
  </si>
  <si>
    <t xml:space="preserve">配套类型</t>
  </si>
  <si>
    <t xml:space="preserve">项目停车位配比</t>
  </si>
  <si>
    <t xml:space="preserve">物业等级</t>
  </si>
  <si>
    <t xml:space="preserve">停车位面积</t>
  </si>
  <si>
    <t xml:space="preserve">车位类型</t>
  </si>
  <si>
    <t xml:space="preserve">是否直接入户</t>
  </si>
  <si>
    <r>
      <rPr>
        <b val="true"/>
        <sz val="11"/>
        <rFont val="宋体"/>
        <family val="0"/>
        <charset val="134"/>
      </rPr>
      <t xml:space="preserve">元</t>
    </r>
    <r>
      <rPr>
        <b val="true"/>
        <sz val="11"/>
        <rFont val="Arial"/>
        <family val="2"/>
        <charset val="1"/>
      </rPr>
      <t xml:space="preserve">/</t>
    </r>
    <r>
      <rPr>
        <b val="true"/>
        <sz val="11"/>
        <rFont val="宋体"/>
        <family val="0"/>
        <charset val="134"/>
      </rPr>
      <t xml:space="preserve">平方米</t>
    </r>
  </si>
  <si>
    <r>
      <rPr>
        <b val="true"/>
        <sz val="11"/>
        <rFont val="宋体"/>
        <family val="3"/>
        <charset val="134"/>
      </rPr>
      <t xml:space="preserve">估价对象</t>
    </r>
    <r>
      <rPr>
        <b val="true"/>
        <sz val="11"/>
        <color rgb="FFE46C0A"/>
        <rFont val="Arial"/>
        <family val="2"/>
        <charset val="1"/>
      </rPr>
      <t xml:space="preserve">XX</t>
    </r>
    <r>
      <rPr>
        <b val="true"/>
        <sz val="11"/>
        <color rgb="FFE46C0A"/>
        <rFont val="宋体"/>
        <family val="3"/>
        <charset val="134"/>
      </rPr>
      <t xml:space="preserve">用房</t>
    </r>
    <r>
      <rPr>
        <b val="true"/>
        <sz val="11"/>
        <color rgb="FFFF0000"/>
        <rFont val="宋体"/>
        <family val="3"/>
        <charset val="134"/>
      </rPr>
      <t xml:space="preserve">的</t>
    </r>
    <r>
      <rPr>
        <b val="true"/>
        <sz val="11"/>
        <rFont val="宋体"/>
        <family val="3"/>
        <charset val="134"/>
      </rPr>
      <t xml:space="preserve">比较价值（楼面单价，元</t>
    </r>
    <r>
      <rPr>
        <b val="true"/>
        <sz val="11"/>
        <rFont val="Arial"/>
        <family val="2"/>
        <charset val="1"/>
      </rPr>
      <t xml:space="preserve">/</t>
    </r>
    <r>
      <rPr>
        <b val="true"/>
        <sz val="11"/>
        <rFont val="宋体"/>
        <family val="3"/>
        <charset val="134"/>
      </rPr>
      <t xml:space="preserve">平方米）</t>
    </r>
  </si>
  <si>
    <t xml:space="preserve">配套类型（地上主用途）</t>
  </si>
  <si>
    <t xml:space="preserve">有无电梯</t>
  </si>
  <si>
    <t xml:space="preserve">是否封闭</t>
  </si>
  <si>
    <t xml:space="preserve">公用设施及基础设施水平</t>
  </si>
  <si>
    <t xml:space="preserve">套用比较法</t>
  </si>
  <si>
    <t xml:space="preserve">住宅、综合</t>
  </si>
  <si>
    <t xml:space="preserve">配建</t>
  </si>
  <si>
    <t xml:space="preserve">宗地面积</t>
  </si>
  <si>
    <t xml:space="preserve">宗地形状</t>
  </si>
  <si>
    <t xml:space="preserve">临街宽度及深度</t>
  </si>
  <si>
    <t xml:space="preserve">宗地开发程度</t>
  </si>
  <si>
    <t xml:space="preserve">工程地质条件</t>
  </si>
  <si>
    <r>
      <rPr>
        <b val="true"/>
        <sz val="11"/>
        <rFont val="宋体"/>
        <family val="3"/>
        <charset val="134"/>
      </rPr>
      <t xml:space="preserve">估价对象</t>
    </r>
    <r>
      <rPr>
        <b val="true"/>
        <sz val="11"/>
        <color rgb="FFFF0000"/>
        <rFont val="Arial"/>
        <family val="2"/>
        <charset val="1"/>
      </rPr>
      <t xml:space="preserve">XX</t>
    </r>
    <r>
      <rPr>
        <b val="true"/>
        <sz val="11"/>
        <color rgb="FFFF0000"/>
        <rFont val="宋体"/>
        <family val="3"/>
        <charset val="134"/>
      </rPr>
      <t xml:space="preserve">用房的</t>
    </r>
    <r>
      <rPr>
        <b val="true"/>
        <sz val="11"/>
        <rFont val="宋体"/>
        <family val="3"/>
        <charset val="134"/>
      </rPr>
      <t xml:space="preserve">比较价值（楼面单价，元</t>
    </r>
    <r>
      <rPr>
        <b val="true"/>
        <sz val="11"/>
        <rFont val="Arial"/>
        <family val="2"/>
        <charset val="1"/>
      </rPr>
      <t xml:space="preserve">/</t>
    </r>
    <r>
      <rPr>
        <b val="true"/>
        <sz val="11"/>
        <rFont val="宋体"/>
        <family val="3"/>
        <charset val="134"/>
      </rPr>
      <t xml:space="preserve">平方米）</t>
    </r>
  </si>
  <si>
    <r>
      <rPr>
        <sz val="11"/>
        <rFont val="宋体"/>
        <family val="3"/>
        <charset val="134"/>
      </rPr>
      <t xml:space="preserve">用途</t>
    </r>
    <r>
      <rPr>
        <sz val="11"/>
        <rFont val="Arial"/>
        <family val="2"/>
        <charset val="1"/>
      </rPr>
      <t xml:space="preserve">/</t>
    </r>
    <r>
      <rPr>
        <sz val="11"/>
        <rFont val="宋体"/>
        <family val="3"/>
        <charset val="134"/>
      </rPr>
      <t xml:space="preserve">位置</t>
    </r>
  </si>
  <si>
    <t xml:space="preserve">修正单价</t>
  </si>
  <si>
    <t xml:space="preserve">北京市系数</t>
  </si>
  <si>
    <t xml:space="preserve">政府土地出让收益比例</t>
  </si>
  <si>
    <t xml:space="preserve">对应的地上用途及土地级别（北京市）</t>
  </si>
  <si>
    <t xml:space="preserve">外省市地下修正系数请自行录入</t>
  </si>
  <si>
    <r>
      <rPr>
        <sz val="10"/>
        <rFont val="宋体"/>
        <family val="3"/>
        <charset val="134"/>
      </rPr>
      <t xml:space="preserve">地下商业（</t>
    </r>
    <r>
      <rPr>
        <sz val="10"/>
        <rFont val="Arial"/>
        <family val="2"/>
        <charset val="1"/>
      </rPr>
      <t xml:space="preserve">-1</t>
    </r>
    <r>
      <rPr>
        <sz val="10"/>
        <rFont val="宋体"/>
        <family val="3"/>
        <charset val="134"/>
      </rPr>
      <t xml:space="preserve">）</t>
    </r>
  </si>
  <si>
    <t xml:space="preserve">对应商业级别</t>
  </si>
  <si>
    <r>
      <rPr>
        <sz val="10"/>
        <rFont val="宋体"/>
        <family val="3"/>
        <charset val="134"/>
      </rPr>
      <t xml:space="preserve">地下商业（</t>
    </r>
    <r>
      <rPr>
        <sz val="10"/>
        <rFont val="Arial"/>
        <family val="2"/>
        <charset val="1"/>
      </rPr>
      <t xml:space="preserve">-2</t>
    </r>
    <r>
      <rPr>
        <sz val="10"/>
        <rFont val="宋体"/>
        <family val="3"/>
        <charset val="134"/>
      </rPr>
      <t xml:space="preserve">）</t>
    </r>
  </si>
  <si>
    <r>
      <rPr>
        <sz val="10"/>
        <rFont val="宋体"/>
        <family val="3"/>
        <charset val="134"/>
      </rPr>
      <t xml:space="preserve">地下商业（</t>
    </r>
    <r>
      <rPr>
        <sz val="10"/>
        <rFont val="Arial"/>
        <family val="2"/>
        <charset val="1"/>
      </rPr>
      <t xml:space="preserve">-3</t>
    </r>
    <r>
      <rPr>
        <sz val="10"/>
        <rFont val="宋体"/>
        <family val="3"/>
        <charset val="134"/>
      </rPr>
      <t xml:space="preserve">）</t>
    </r>
  </si>
  <si>
    <t xml:space="preserve">对应办公级别</t>
  </si>
  <si>
    <t xml:space="preserve">地下车库</t>
  </si>
  <si>
    <r>
      <rPr>
        <sz val="10"/>
        <rFont val="宋体"/>
        <family val="3"/>
        <charset val="134"/>
      </rPr>
      <t xml:space="preserve">地下车库</t>
    </r>
    <r>
      <rPr>
        <sz val="10"/>
        <rFont val="Arial"/>
        <family val="2"/>
        <charset val="1"/>
      </rPr>
      <t xml:space="preserve">-</t>
    </r>
    <r>
      <rPr>
        <sz val="10"/>
        <rFont val="宋体"/>
        <family val="3"/>
        <charset val="134"/>
      </rPr>
      <t xml:space="preserve">商业</t>
    </r>
  </si>
  <si>
    <r>
      <rPr>
        <sz val="10"/>
        <rFont val="宋体"/>
        <family val="3"/>
        <charset val="134"/>
      </rPr>
      <t xml:space="preserve">地下车库</t>
    </r>
    <r>
      <rPr>
        <sz val="10"/>
        <rFont val="Arial"/>
        <family val="2"/>
        <charset val="1"/>
      </rPr>
      <t xml:space="preserve">-</t>
    </r>
    <r>
      <rPr>
        <sz val="10"/>
        <rFont val="宋体"/>
        <family val="3"/>
        <charset val="134"/>
      </rPr>
      <t xml:space="preserve">办公</t>
    </r>
  </si>
  <si>
    <t xml:space="preserve">-</t>
  </si>
  <si>
    <t xml:space="preserve">交易时间（按季度调整）</t>
  </si>
  <si>
    <t xml:space="preserve">修正项</t>
  </si>
  <si>
    <t xml:space="preserve">说明</t>
  </si>
  <si>
    <t xml:space="preserve">修正系数</t>
  </si>
  <si>
    <r>
      <rPr>
        <sz val="10"/>
        <color rgb="FFE46C0A"/>
        <rFont val="宋体"/>
        <family val="3"/>
        <charset val="134"/>
      </rPr>
      <t xml:space="preserve">修正项</t>
    </r>
    <r>
      <rPr>
        <sz val="10"/>
        <color rgb="FFE46C0A"/>
        <rFont val="Arial"/>
        <family val="2"/>
        <charset val="1"/>
      </rPr>
      <t xml:space="preserve">2</t>
    </r>
  </si>
  <si>
    <r>
      <rPr>
        <sz val="10"/>
        <color rgb="FFE46C0A"/>
        <rFont val="宋体"/>
        <family val="3"/>
        <charset val="134"/>
      </rPr>
      <t xml:space="preserve">修正项</t>
    </r>
    <r>
      <rPr>
        <sz val="10"/>
        <color rgb="FFE46C0A"/>
        <rFont val="Arial"/>
        <family val="2"/>
        <charset val="1"/>
      </rPr>
      <t xml:space="preserve">3</t>
    </r>
  </si>
  <si>
    <r>
      <rPr>
        <sz val="10"/>
        <color rgb="FFE46C0A"/>
        <rFont val="宋体"/>
        <family val="3"/>
        <charset val="134"/>
      </rPr>
      <t xml:space="preserve">修正项</t>
    </r>
    <r>
      <rPr>
        <sz val="10"/>
        <color rgb="FFE46C0A"/>
        <rFont val="Arial"/>
        <family val="2"/>
        <charset val="1"/>
      </rPr>
      <t xml:space="preserve">4</t>
    </r>
  </si>
  <si>
    <r>
      <rPr>
        <sz val="10"/>
        <color rgb="FFE46C0A"/>
        <rFont val="宋体"/>
        <family val="3"/>
        <charset val="134"/>
      </rPr>
      <t xml:space="preserve">修正项</t>
    </r>
    <r>
      <rPr>
        <sz val="10"/>
        <color rgb="FFE46C0A"/>
        <rFont val="Arial"/>
        <family val="2"/>
        <charset val="1"/>
      </rPr>
      <t xml:space="preserve">5</t>
    </r>
  </si>
  <si>
    <r>
      <rPr>
        <sz val="10"/>
        <color rgb="FFE46C0A"/>
        <rFont val="宋体"/>
        <family val="3"/>
        <charset val="134"/>
      </rPr>
      <t xml:space="preserve">修正项</t>
    </r>
    <r>
      <rPr>
        <sz val="10"/>
        <color rgb="FFE46C0A"/>
        <rFont val="Arial"/>
        <family val="2"/>
        <charset val="1"/>
      </rPr>
      <t xml:space="preserve">6</t>
    </r>
  </si>
  <si>
    <r>
      <rPr>
        <sz val="10"/>
        <color rgb="FFE46C0A"/>
        <rFont val="宋体"/>
        <family val="3"/>
        <charset val="134"/>
      </rPr>
      <t xml:space="preserve">修正项</t>
    </r>
    <r>
      <rPr>
        <sz val="10"/>
        <color rgb="FFE46C0A"/>
        <rFont val="Arial"/>
        <family val="2"/>
        <charset val="1"/>
      </rPr>
      <t xml:space="preserve">7</t>
    </r>
  </si>
  <si>
    <t xml:space="preserve">承租人权益</t>
  </si>
  <si>
    <r>
      <rPr>
        <sz val="10"/>
        <color rgb="FF000000"/>
        <rFont val="宋体"/>
        <family val="3"/>
        <charset val="134"/>
      </rPr>
      <t xml:space="preserve">位置</t>
    </r>
    <r>
      <rPr>
        <sz val="10"/>
        <color rgb="FF000000"/>
        <rFont val="Arial"/>
        <family val="2"/>
        <charset val="1"/>
      </rPr>
      <t xml:space="preserve">/</t>
    </r>
    <r>
      <rPr>
        <sz val="10"/>
        <color rgb="FF000000"/>
        <rFont val="宋体"/>
        <family val="3"/>
        <charset val="134"/>
      </rPr>
      <t xml:space="preserve">类型</t>
    </r>
  </si>
  <si>
    <t xml:space="preserve">基准户型</t>
  </si>
  <si>
    <t xml:space="preserve">基准地价（汇总）</t>
  </si>
  <si>
    <t xml:space="preserve">本次评估所采用的基准地价系数修正法</t>
  </si>
  <si>
    <t xml:space="preserve">基准地价系数修正法</t>
  </si>
  <si>
    <t xml:space="preserve">商业多楼层</t>
  </si>
  <si>
    <t xml:space="preserve">楼层修正系数</t>
  </si>
  <si>
    <t xml:space="preserve">楼面熟地单价</t>
  </si>
  <si>
    <t xml:space="preserve">层面积</t>
  </si>
  <si>
    <t xml:space="preserve">用途类别</t>
  </si>
  <si>
    <t xml:space="preserve">（地上）</t>
  </si>
  <si>
    <t xml:space="preserve">适用的楼面熟地价</t>
  </si>
  <si>
    <t xml:space="preserve">（2）</t>
  </si>
  <si>
    <t xml:space="preserve">商业路线价修正（商业用途）</t>
  </si>
  <si>
    <t xml:space="preserve">宗地深度（米）</t>
  </si>
  <si>
    <t xml:space="preserve">估价对象级别</t>
  </si>
  <si>
    <t xml:space="preserve">所在商业街</t>
  </si>
  <si>
    <t xml:space="preserve">A1</t>
  </si>
  <si>
    <r>
      <rPr>
        <sz val="10"/>
        <rFont val="宋体"/>
        <family val="3"/>
        <charset val="134"/>
      </rPr>
      <t xml:space="preserve">临商业街红线</t>
    </r>
    <r>
      <rPr>
        <sz val="10"/>
        <rFont val="Arial"/>
        <family val="2"/>
        <charset val="1"/>
      </rPr>
      <t xml:space="preserve">1/4</t>
    </r>
    <r>
      <rPr>
        <sz val="10"/>
        <rFont val="宋体"/>
        <family val="3"/>
        <charset val="134"/>
      </rPr>
      <t xml:space="preserve">标准深度占地面积／宗地总面积</t>
    </r>
  </si>
  <si>
    <t xml:space="preserve">容积率             级别</t>
  </si>
  <si>
    <t xml:space="preserve">加价幅度</t>
  </si>
  <si>
    <t xml:space="preserve">A2</t>
  </si>
  <si>
    <r>
      <rPr>
        <sz val="10"/>
        <rFont val="宋体"/>
        <family val="3"/>
        <charset val="134"/>
      </rPr>
      <t xml:space="preserve">临商业街红线</t>
    </r>
    <r>
      <rPr>
        <sz val="10"/>
        <rFont val="Arial"/>
        <family val="2"/>
        <charset val="1"/>
      </rPr>
      <t xml:space="preserve">1/4</t>
    </r>
    <r>
      <rPr>
        <sz val="10"/>
        <rFont val="宋体"/>
        <family val="3"/>
        <charset val="134"/>
      </rPr>
      <t xml:space="preserve">至</t>
    </r>
    <r>
      <rPr>
        <sz val="10"/>
        <rFont val="Arial"/>
        <family val="2"/>
        <charset val="1"/>
      </rPr>
      <t xml:space="preserve">2/4</t>
    </r>
    <r>
      <rPr>
        <sz val="10"/>
        <rFont val="宋体"/>
        <family val="3"/>
        <charset val="134"/>
      </rPr>
      <t xml:space="preserve">标准深度占地面积／宗地总面积</t>
    </r>
  </si>
  <si>
    <r>
      <rPr>
        <sz val="10"/>
        <color rgb="FF000000"/>
        <rFont val="Arial"/>
        <family val="2"/>
        <charset val="1"/>
      </rPr>
      <t xml:space="preserve">6</t>
    </r>
    <r>
      <rPr>
        <sz val="10"/>
        <color rgb="FF000000"/>
        <rFont val="宋体"/>
        <family val="3"/>
        <charset val="134"/>
      </rPr>
      <t xml:space="preserve">层及以上</t>
    </r>
  </si>
  <si>
    <t xml:space="preserve">标准深度（米）</t>
  </si>
  <si>
    <t xml:space="preserve">A3</t>
  </si>
  <si>
    <r>
      <rPr>
        <sz val="10"/>
        <rFont val="宋体"/>
        <family val="3"/>
        <charset val="134"/>
      </rPr>
      <t xml:space="preserve">临商业街红线</t>
    </r>
    <r>
      <rPr>
        <sz val="10"/>
        <rFont val="Arial"/>
        <family val="2"/>
        <charset val="1"/>
      </rPr>
      <t xml:space="preserve">2/4</t>
    </r>
    <r>
      <rPr>
        <sz val="10"/>
        <rFont val="宋体"/>
        <family val="3"/>
        <charset val="134"/>
      </rPr>
      <t xml:space="preserve">至</t>
    </r>
    <r>
      <rPr>
        <sz val="10"/>
        <rFont val="Arial"/>
        <family val="2"/>
        <charset val="1"/>
      </rPr>
      <t xml:space="preserve">3/4</t>
    </r>
    <r>
      <rPr>
        <sz val="10"/>
        <rFont val="宋体"/>
        <family val="3"/>
        <charset val="134"/>
      </rPr>
      <t xml:space="preserve">标准深度占地面积／宗地总面积</t>
    </r>
  </si>
  <si>
    <r>
      <rPr>
        <sz val="10"/>
        <rFont val="Arial"/>
        <family val="2"/>
        <charset val="1"/>
      </rPr>
      <t xml:space="preserve">1/4</t>
    </r>
    <r>
      <rPr>
        <sz val="10"/>
        <rFont val="宋体"/>
        <family val="3"/>
        <charset val="134"/>
      </rPr>
      <t xml:space="preserve">标准深度</t>
    </r>
  </si>
  <si>
    <t xml:space="preserve">A4</t>
  </si>
  <si>
    <r>
      <rPr>
        <sz val="10"/>
        <rFont val="宋体"/>
        <family val="3"/>
        <charset val="134"/>
      </rPr>
      <t xml:space="preserve">临商业街红线</t>
    </r>
    <r>
      <rPr>
        <sz val="10"/>
        <rFont val="Arial"/>
        <family val="2"/>
        <charset val="1"/>
      </rPr>
      <t xml:space="preserve">3/4</t>
    </r>
    <r>
      <rPr>
        <sz val="10"/>
        <rFont val="宋体"/>
        <family val="3"/>
        <charset val="134"/>
      </rPr>
      <t xml:space="preserve">至</t>
    </r>
    <r>
      <rPr>
        <sz val="10"/>
        <rFont val="Arial"/>
        <family val="2"/>
        <charset val="1"/>
      </rPr>
      <t xml:space="preserve">4/4</t>
    </r>
    <r>
      <rPr>
        <sz val="10"/>
        <rFont val="宋体"/>
        <family val="3"/>
        <charset val="134"/>
      </rPr>
      <t xml:space="preserve">标准深度占地面积／宗地总面积</t>
    </r>
  </si>
  <si>
    <t xml:space="preserve">（3）</t>
  </si>
  <si>
    <r>
      <rPr>
        <b val="true"/>
        <sz val="10"/>
        <rFont val="宋体"/>
        <family val="3"/>
        <charset val="134"/>
      </rPr>
      <t xml:space="preserve">轨道交通站点</t>
    </r>
    <r>
      <rPr>
        <b val="true"/>
        <sz val="10"/>
        <rFont val="Arial"/>
        <family val="2"/>
        <charset val="1"/>
      </rPr>
      <t xml:space="preserve">500</t>
    </r>
    <r>
      <rPr>
        <b val="true"/>
        <sz val="10"/>
        <rFont val="宋体"/>
        <family val="3"/>
        <charset val="134"/>
      </rPr>
      <t xml:space="preserve">米范围内的办公用地</t>
    </r>
  </si>
  <si>
    <r>
      <rPr>
        <sz val="10"/>
        <rFont val="宋体"/>
        <family val="3"/>
        <charset val="134"/>
      </rPr>
      <t xml:space="preserve">浮动范围</t>
    </r>
    <r>
      <rPr>
        <sz val="10"/>
        <rFont val="Arial"/>
        <family val="2"/>
        <charset val="1"/>
      </rPr>
      <t xml:space="preserve">1.00~1.05</t>
    </r>
  </si>
  <si>
    <r>
      <rPr>
        <sz val="10"/>
        <color rgb="FFFF0000"/>
        <rFont val="宋体"/>
        <family val="3"/>
        <charset val="134"/>
      </rPr>
      <t xml:space="preserve">不需调整填 " 1 </t>
    </r>
    <r>
      <rPr>
        <sz val="10"/>
        <rFont val="宋体"/>
        <family val="3"/>
        <charset val="134"/>
      </rPr>
      <t xml:space="preserve">"</t>
    </r>
  </si>
  <si>
    <t xml:space="preserve">（4）</t>
  </si>
  <si>
    <t xml:space="preserve">特殊情况修正（居住用途）</t>
  </si>
  <si>
    <t xml:space="preserve">需根据项目情况调整公式修正项</t>
  </si>
  <si>
    <t xml:space="preserve">特殊情况</t>
  </si>
  <si>
    <t xml:space="preserve">公园</t>
  </si>
  <si>
    <t xml:space="preserve">水系</t>
  </si>
  <si>
    <t xml:space="preserve">轨道交通站点周边</t>
  </si>
  <si>
    <r>
      <rPr>
        <sz val="10"/>
        <color rgb="FFFF0000"/>
        <rFont val="宋体"/>
        <family val="3"/>
        <charset val="134"/>
      </rPr>
      <t xml:space="preserve">其他（大型博物馆、文体设施，优质教育资源；垃圾填埋场</t>
    </r>
    <r>
      <rPr>
        <sz val="10"/>
        <color rgb="FFFF0000"/>
        <rFont val="Arial"/>
        <family val="2"/>
        <charset val="1"/>
      </rPr>
      <t xml:space="preserve">/</t>
    </r>
    <r>
      <rPr>
        <sz val="10"/>
        <color rgb="FFFF0000"/>
        <rFont val="宋体"/>
        <family val="3"/>
        <charset val="134"/>
      </rPr>
      <t xml:space="preserve">污水处理厂，殡葬场等），自定义修正，幅度不超过</t>
    </r>
    <r>
      <rPr>
        <sz val="10"/>
        <color rgb="FFFF0000"/>
        <rFont val="Arial"/>
        <family val="2"/>
        <charset val="1"/>
      </rPr>
      <t xml:space="preserve">±10%</t>
    </r>
  </si>
  <si>
    <t xml:space="preserve">（5）</t>
  </si>
  <si>
    <t xml:space="preserve">自持修正</t>
  </si>
  <si>
    <t xml:space="preserve">自持年期修正系数</t>
  </si>
  <si>
    <t xml:space="preserve">自持面积比例</t>
  </si>
  <si>
    <t xml:space="preserve">自持年期（n)</t>
  </si>
  <si>
    <t xml:space="preserve">Kn</t>
  </si>
  <si>
    <t xml:space="preserve">KN</t>
  </si>
  <si>
    <t xml:space="preserve">自持面积</t>
  </si>
  <si>
    <t xml:space="preserve">全部面积</t>
  </si>
  <si>
    <t xml:space="preserve">（6）</t>
  </si>
  <si>
    <t xml:space="preserve">开发程度差异修正</t>
  </si>
  <si>
    <t xml:space="preserve">级别开发程度</t>
  </si>
  <si>
    <t xml:space="preserve">估价对象开发程度</t>
  </si>
  <si>
    <t xml:space="preserve">级别平均容积率</t>
  </si>
  <si>
    <t xml:space="preserve">用途修正系数</t>
  </si>
  <si>
    <t xml:space="preserve">期日修正指数</t>
  </si>
  <si>
    <t xml:space="preserve">基准期日</t>
  </si>
  <si>
    <t xml:space="preserve">估价期日</t>
  </si>
  <si>
    <t xml:space="preserve">按公示增长率计算</t>
  </si>
  <si>
    <t xml:space="preserve">中心城区</t>
  </si>
  <si>
    <t xml:space="preserve">基准日地价指数</t>
  </si>
  <si>
    <t xml:space="preserve">相差季度数</t>
  </si>
  <si>
    <t xml:space="preserve">现行一年期贷款利率</t>
  </si>
  <si>
    <t xml:space="preserve">土地还原率</t>
  </si>
  <si>
    <t xml:space="preserve">剩余使用年限</t>
  </si>
  <si>
    <t xml:space="preserve">所在季度地价指数</t>
  </si>
  <si>
    <t xml:space="preserve">季度增幅</t>
  </si>
  <si>
    <t xml:space="preserve">自定义涨幅</t>
  </si>
  <si>
    <t xml:space="preserve">平均季度增幅（公示）</t>
  </si>
  <si>
    <t xml:space="preserve">容积率修正</t>
  </si>
  <si>
    <r>
      <rPr>
        <sz val="11"/>
        <rFont val="宋体"/>
        <family val="3"/>
        <charset val="134"/>
      </rPr>
      <t xml:space="preserve">（</t>
    </r>
    <r>
      <rPr>
        <sz val="11"/>
        <rFont val="Arial"/>
        <family val="2"/>
        <charset val="1"/>
      </rPr>
      <t xml:space="preserve">1</t>
    </r>
    <r>
      <rPr>
        <sz val="11"/>
        <rFont val="宋体"/>
        <family val="3"/>
        <charset val="134"/>
      </rPr>
      <t xml:space="preserve">）</t>
    </r>
  </si>
  <si>
    <t xml:space="preserve">容积率修正系数</t>
  </si>
  <si>
    <r>
      <rPr>
        <sz val="11"/>
        <rFont val="Arial"/>
        <family val="2"/>
        <charset val="1"/>
      </rPr>
      <t xml:space="preserve">R</t>
    </r>
    <r>
      <rPr>
        <sz val="11"/>
        <rFont val="宋体"/>
        <family val="3"/>
        <charset val="134"/>
      </rPr>
      <t xml:space="preserve">＜</t>
    </r>
    <r>
      <rPr>
        <sz val="11"/>
        <rFont val="Arial"/>
        <family val="2"/>
        <charset val="1"/>
      </rPr>
      <t xml:space="preserve">10</t>
    </r>
  </si>
  <si>
    <r>
      <rPr>
        <sz val="11"/>
        <rFont val="Arial"/>
        <family val="2"/>
        <charset val="1"/>
      </rPr>
      <t xml:space="preserve">R</t>
    </r>
    <r>
      <rPr>
        <sz val="11"/>
        <rFont val="宋体"/>
        <family val="3"/>
        <charset val="134"/>
      </rPr>
      <t xml:space="preserve">≥</t>
    </r>
    <r>
      <rPr>
        <sz val="11"/>
        <rFont val="Arial"/>
        <family val="2"/>
        <charset val="1"/>
      </rPr>
      <t xml:space="preserve">10</t>
    </r>
  </si>
  <si>
    <r>
      <rPr>
        <sz val="11"/>
        <rFont val="宋体"/>
        <family val="3"/>
        <charset val="134"/>
      </rPr>
      <t xml:space="preserve">（</t>
    </r>
    <r>
      <rPr>
        <sz val="11"/>
        <rFont val="Arial"/>
        <family val="2"/>
        <charset val="1"/>
      </rPr>
      <t xml:space="preserve">2</t>
    </r>
    <r>
      <rPr>
        <sz val="11"/>
        <rFont val="宋体"/>
        <family val="3"/>
        <charset val="134"/>
      </rPr>
      <t xml:space="preserve">）</t>
    </r>
  </si>
  <si>
    <t xml:space="preserve">楼层修正系数（商业）</t>
  </si>
  <si>
    <t xml:space="preserve">6.</t>
  </si>
  <si>
    <t xml:space="preserve">因素修正系数</t>
  </si>
  <si>
    <t xml:space="preserve">7.</t>
  </si>
  <si>
    <t xml:space="preserve">估算结果</t>
  </si>
  <si>
    <t xml:space="preserve">综合</t>
  </si>
  <si>
    <t xml:space="preserve">熟地价</t>
  </si>
  <si>
    <t xml:space="preserve">政府土地出让收益</t>
  </si>
  <si>
    <t xml:space="preserve">上浮比率</t>
  </si>
  <si>
    <t xml:space="preserve">地上部分</t>
  </si>
  <si>
    <r>
      <rPr>
        <sz val="10"/>
        <rFont val="宋体"/>
        <family val="3"/>
        <charset val="134"/>
      </rPr>
      <t xml:space="preserve">地上部分</t>
    </r>
    <r>
      <rPr>
        <sz val="10"/>
        <rFont val="宋体"/>
        <family val="0"/>
        <charset val="134"/>
      </rPr>
      <t xml:space="preserve">——</t>
    </r>
    <r>
      <rPr>
        <sz val="10"/>
        <rFont val="宋体"/>
        <family val="3"/>
        <charset val="134"/>
      </rPr>
      <t xml:space="preserve">楼面熟地价</t>
    </r>
  </si>
  <si>
    <t xml:space="preserve">楼面熟地价=适用的基准地价×用途修正系数×期日修正系数×年期修正系数×（容积率修正系数或楼层修正系数）×因素修正系数</t>
  </si>
  <si>
    <t xml:space="preserve">不低于</t>
  </si>
  <si>
    <r>
      <rPr>
        <sz val="10"/>
        <rFont val="宋体"/>
        <family val="3"/>
        <charset val="134"/>
      </rPr>
      <t xml:space="preserve">地上部分</t>
    </r>
    <r>
      <rPr>
        <sz val="10"/>
        <rFont val="宋体"/>
        <family val="0"/>
        <charset val="134"/>
      </rPr>
      <t xml:space="preserve">——</t>
    </r>
    <r>
      <rPr>
        <sz val="10"/>
        <rFont val="宋体"/>
        <family val="3"/>
        <charset val="134"/>
      </rPr>
      <t xml:space="preserve">政府土地出让收益</t>
    </r>
  </si>
  <si>
    <r>
      <rPr>
        <sz val="10"/>
        <rFont val="宋体"/>
        <family val="3"/>
        <charset val="134"/>
      </rPr>
      <t xml:space="preserve">政府土地出让收益</t>
    </r>
    <r>
      <rPr>
        <sz val="10"/>
        <rFont val="Arial"/>
        <family val="2"/>
        <charset val="1"/>
      </rPr>
      <t xml:space="preserve">=</t>
    </r>
    <r>
      <rPr>
        <sz val="10"/>
        <rFont val="宋体"/>
        <family val="3"/>
        <charset val="134"/>
      </rPr>
      <t xml:space="preserve">楼面熟地价</t>
    </r>
    <r>
      <rPr>
        <sz val="10"/>
        <rFont val="Arial"/>
        <family val="2"/>
        <charset val="1"/>
      </rPr>
      <t xml:space="preserve">×</t>
    </r>
    <r>
      <rPr>
        <sz val="10"/>
        <rFont val="宋体"/>
        <family val="3"/>
        <charset val="134"/>
      </rPr>
      <t xml:space="preserve">政府土地出让收益比例</t>
    </r>
  </si>
  <si>
    <t xml:space="preserve">不高于</t>
  </si>
  <si>
    <t xml:space="preserve">地下部分</t>
  </si>
  <si>
    <t xml:space="preserve">楼面熟地价=适用的基准地价×用途修正系数×期日修正系数×年期修正系数×因素修正系数×相应用途地下空间修正系数</t>
  </si>
  <si>
    <t xml:space="preserve">相应用途地下空间修正系数</t>
  </si>
  <si>
    <t xml:space="preserve">lpr</t>
  </si>
  <si>
    <r>
      <rPr>
        <sz val="10"/>
        <color rgb="FF000000"/>
        <rFont val="宋体"/>
        <family val="3"/>
        <charset val="134"/>
      </rPr>
      <t xml:space="preserve">地下第</t>
    </r>
    <r>
      <rPr>
        <sz val="10"/>
        <color rgb="FF000000"/>
        <rFont val="Arial"/>
        <family val="2"/>
        <charset val="1"/>
      </rPr>
      <t xml:space="preserve">1</t>
    </r>
    <r>
      <rPr>
        <sz val="10"/>
        <color rgb="FF000000"/>
        <rFont val="宋体"/>
        <family val="3"/>
        <charset val="134"/>
      </rPr>
      <t xml:space="preserve">层商业</t>
    </r>
  </si>
  <si>
    <t xml:space="preserve">加浮动点数</t>
  </si>
  <si>
    <r>
      <rPr>
        <sz val="10"/>
        <color rgb="FF000000"/>
        <rFont val="宋体"/>
        <family val="3"/>
        <charset val="134"/>
      </rPr>
      <t xml:space="preserve">地下第</t>
    </r>
    <r>
      <rPr>
        <sz val="10"/>
        <color rgb="FF000000"/>
        <rFont val="Arial"/>
        <family val="2"/>
        <charset val="1"/>
      </rPr>
      <t xml:space="preserve">2</t>
    </r>
    <r>
      <rPr>
        <sz val="10"/>
        <color rgb="FF000000"/>
        <rFont val="宋体"/>
        <family val="3"/>
        <charset val="134"/>
      </rPr>
      <t xml:space="preserve">层商业</t>
    </r>
  </si>
  <si>
    <r>
      <rPr>
        <sz val="10"/>
        <color rgb="FF000000"/>
        <rFont val="宋体"/>
        <family val="3"/>
        <charset val="134"/>
      </rPr>
      <t xml:space="preserve">地下第</t>
    </r>
    <r>
      <rPr>
        <sz val="10"/>
        <color rgb="FF000000"/>
        <rFont val="Arial"/>
        <family val="2"/>
        <charset val="1"/>
      </rPr>
      <t xml:space="preserve">3</t>
    </r>
    <r>
      <rPr>
        <sz val="10"/>
        <color rgb="FF000000"/>
        <rFont val="宋体"/>
        <family val="3"/>
        <charset val="134"/>
      </rPr>
      <t xml:space="preserve">层及以下商业</t>
    </r>
  </si>
  <si>
    <t xml:space="preserve">地下办公</t>
  </si>
  <si>
    <r>
      <rPr>
        <sz val="10"/>
        <rFont val="宋体"/>
        <family val="3"/>
        <charset val="134"/>
      </rPr>
      <t xml:space="preserve">商业</t>
    </r>
    <r>
      <rPr>
        <sz val="10"/>
        <rFont val="Arial"/>
        <family val="2"/>
        <charset val="1"/>
      </rPr>
      <t xml:space="preserve">/</t>
    </r>
    <r>
      <rPr>
        <sz val="10"/>
        <rFont val="宋体"/>
        <family val="3"/>
        <charset val="134"/>
      </rPr>
      <t xml:space="preserve">办公</t>
    </r>
    <r>
      <rPr>
        <sz val="10"/>
        <rFont val="Arial"/>
        <family val="2"/>
        <charset val="1"/>
      </rPr>
      <t xml:space="preserve">/</t>
    </r>
    <r>
      <rPr>
        <sz val="10"/>
        <rFont val="宋体"/>
        <family val="3"/>
        <charset val="134"/>
      </rPr>
      <t xml:space="preserve">居住</t>
    </r>
    <r>
      <rPr>
        <sz val="10"/>
        <rFont val="Arial"/>
        <family val="2"/>
        <charset val="1"/>
      </rPr>
      <t xml:space="preserve">/</t>
    </r>
    <r>
      <rPr>
        <sz val="10"/>
        <rFont val="宋体"/>
        <family val="3"/>
        <charset val="134"/>
      </rPr>
      <t xml:space="preserve">公共服务</t>
    </r>
  </si>
  <si>
    <t xml:space="preserve">地下车库及仓储年期修正</t>
  </si>
  <si>
    <t xml:space="preserve">结果不可超过《北京市区片基准地价因素总修正幅度表》所列修正幅度；依据估价对象用途调整链接</t>
  </si>
  <si>
    <t xml:space="preserve">影响因素</t>
  </si>
  <si>
    <t xml:space="preserve">情况说明</t>
  </si>
  <si>
    <t xml:space="preserve">等级</t>
  </si>
  <si>
    <r>
      <rPr>
        <sz val="10"/>
        <color rgb="FFFF0000"/>
        <rFont val="宋体"/>
        <family val="3"/>
        <charset val="134"/>
      </rPr>
      <t xml:space="preserve">总幅度控制</t>
    </r>
    <r>
      <rPr>
        <sz val="10"/>
        <color rgb="FFFF0000"/>
        <rFont val="Arial"/>
        <family val="2"/>
        <charset val="1"/>
      </rPr>
      <t xml:space="preserve">(±)</t>
    </r>
  </si>
  <si>
    <r>
      <rPr>
        <sz val="10"/>
        <color rgb="FFFF0000"/>
        <rFont val="宋体"/>
        <family val="3"/>
        <charset val="134"/>
      </rPr>
      <t xml:space="preserve">各因素幅度控制</t>
    </r>
    <r>
      <rPr>
        <sz val="10"/>
        <color rgb="FFFF0000"/>
        <rFont val="Arial"/>
        <family val="2"/>
        <charset val="1"/>
      </rPr>
      <t xml:space="preserve">(±)</t>
    </r>
  </si>
  <si>
    <r>
      <rPr>
        <sz val="10"/>
        <color rgb="FF000000"/>
        <rFont val="宋体"/>
        <family val="0"/>
        <charset val="134"/>
      </rPr>
      <t xml:space="preserve"> </t>
    </r>
    <r>
      <rPr>
        <sz val="10"/>
        <color rgb="FF000000"/>
        <rFont val="宋体"/>
        <family val="3"/>
        <charset val="134"/>
      </rPr>
      <t xml:space="preserve">商业繁华程度</t>
    </r>
  </si>
  <si>
    <t xml:space="preserve">城市规划及区域土地利用方向</t>
  </si>
  <si>
    <t xml:space="preserve">临街宽度和深度</t>
  </si>
  <si>
    <r>
      <rPr>
        <sz val="10"/>
        <color rgb="FFE46C0A"/>
        <rFont val="宋体"/>
        <family val="3"/>
        <charset val="134"/>
      </rPr>
      <t xml:space="preserve">宽度</t>
    </r>
    <r>
      <rPr>
        <sz val="10"/>
        <color rgb="FFE46C0A"/>
        <rFont val="Arial"/>
        <family val="2"/>
        <charset val="1"/>
      </rPr>
      <t xml:space="preserve">XX</t>
    </r>
    <r>
      <rPr>
        <sz val="10"/>
        <color rgb="FFE46C0A"/>
        <rFont val="宋体"/>
        <family val="3"/>
        <charset val="134"/>
      </rPr>
      <t xml:space="preserve">米，深度</t>
    </r>
    <r>
      <rPr>
        <sz val="10"/>
        <color rgb="FFE46C0A"/>
        <rFont val="Arial"/>
        <family val="2"/>
        <charset val="1"/>
      </rPr>
      <t xml:space="preserve">XX</t>
    </r>
    <r>
      <rPr>
        <sz val="10"/>
        <color rgb="FFE46C0A"/>
        <rFont val="宋体"/>
        <family val="3"/>
        <charset val="134"/>
      </rPr>
      <t xml:space="preserve">米</t>
    </r>
    <r>
      <rPr>
        <sz val="10"/>
        <color rgb="FFE46C0A"/>
        <rFont val="Arial"/>
        <family val="2"/>
        <charset val="1"/>
      </rPr>
      <t xml:space="preserve">,</t>
    </r>
    <r>
      <rPr>
        <sz val="10"/>
        <color rgb="FFE46C0A"/>
        <rFont val="宋体"/>
        <family val="3"/>
        <charset val="134"/>
      </rPr>
      <t xml:space="preserve">临街宽度及深度比例适宜程度？对土地利用的影响？</t>
    </r>
  </si>
  <si>
    <t xml:space="preserve">临街道路状况</t>
  </si>
  <si>
    <t xml:space="preserve">宗地形状及可利用程度</t>
  </si>
  <si>
    <t xml:space="preserve">宗地形状？，但对宗地利用影响？</t>
  </si>
  <si>
    <t xml:space="preserve">公共服务设施状况</t>
  </si>
  <si>
    <t xml:space="preserve">基础设施完备状况</t>
  </si>
  <si>
    <t xml:space="preserve">自然和人文环境状况</t>
  </si>
  <si>
    <r>
      <rPr>
        <sz val="10"/>
        <color rgb="FFFF0000"/>
        <rFont val="宋体"/>
        <family val="3"/>
        <charset val="134"/>
      </rPr>
      <t xml:space="preserve">幅度控制</t>
    </r>
    <r>
      <rPr>
        <sz val="10"/>
        <color rgb="FFFF0000"/>
        <rFont val="Arial"/>
        <family val="2"/>
        <charset val="1"/>
      </rPr>
      <t xml:space="preserve">(±)</t>
    </r>
  </si>
  <si>
    <t xml:space="preserve">临路状况</t>
  </si>
  <si>
    <t xml:space="preserve">与区域中心的接近程度</t>
  </si>
  <si>
    <t xml:space="preserve">宗地形状不规则，但对宗地利用影响较小</t>
  </si>
  <si>
    <t xml:space="preserve">物业聚集程度</t>
  </si>
  <si>
    <t xml:space="preserve">北京市基准地价商业用途楼层修正系数表</t>
  </si>
  <si>
    <r>
      <rPr>
        <sz val="10"/>
        <color rgb="FF000000"/>
        <rFont val="宋体"/>
        <family val="3"/>
        <charset val="134"/>
      </rPr>
      <t xml:space="preserve">商业</t>
    </r>
    <r>
      <rPr>
        <sz val="10"/>
        <color rgb="FF000000"/>
        <rFont val="Arial"/>
        <family val="2"/>
        <charset val="1"/>
      </rPr>
      <t xml:space="preserve">R</t>
    </r>
    <r>
      <rPr>
        <sz val="10"/>
        <color rgb="FF000000"/>
        <rFont val="宋体"/>
        <family val="3"/>
        <charset val="134"/>
      </rPr>
      <t xml:space="preserve">≥</t>
    </r>
    <r>
      <rPr>
        <sz val="10"/>
        <color rgb="FF000000"/>
        <rFont val="Arial"/>
        <family val="2"/>
        <charset val="1"/>
      </rPr>
      <t xml:space="preserve">1</t>
    </r>
  </si>
  <si>
    <r>
      <rPr>
        <sz val="10"/>
        <color rgb="FF000000"/>
        <rFont val="宋体"/>
        <family val="3"/>
        <charset val="134"/>
      </rPr>
      <t xml:space="preserve">说明：</t>
    </r>
    <r>
      <rPr>
        <sz val="10"/>
        <color rgb="FF000000"/>
        <rFont val="Arial"/>
        <family val="2"/>
        <charset val="1"/>
      </rPr>
      <t xml:space="preserve">R</t>
    </r>
    <r>
      <rPr>
        <sz val="10"/>
        <color rgb="FF000000"/>
        <rFont val="宋体"/>
        <family val="3"/>
        <charset val="134"/>
      </rPr>
      <t xml:space="preserve">为宗地地上容积率</t>
    </r>
  </si>
  <si>
    <r>
      <rPr>
        <sz val="10"/>
        <rFont val="宋体"/>
        <family val="3"/>
        <charset val="134"/>
      </rPr>
      <t xml:space="preserve">宗地容积率</t>
    </r>
    <r>
      <rPr>
        <sz val="10"/>
        <rFont val="Arial"/>
        <family val="2"/>
        <charset val="1"/>
      </rPr>
      <t xml:space="preserve">R</t>
    </r>
  </si>
  <si>
    <t xml:space="preserve">M4科研用地</t>
  </si>
  <si>
    <t xml:space="preserve">燃气</t>
  </si>
  <si>
    <t xml:space="preserve">北京市基准地价用途修正系数表</t>
  </si>
  <si>
    <t xml:space="preserve">参照基准</t>
  </si>
  <si>
    <t xml:space="preserve">一级类</t>
  </si>
  <si>
    <t xml:space="preserve">二级分类</t>
  </si>
  <si>
    <t xml:space="preserve">商服</t>
  </si>
  <si>
    <t xml:space="preserve">零售商业用地</t>
  </si>
  <si>
    <t xml:space="preserve">指以零售功能为主的商铺、商场、超市、市场和加油、加气、充换电站等的用地。</t>
  </si>
  <si>
    <t xml:space="preserve">批发市场用地</t>
  </si>
  <si>
    <t xml:space="preserve">指以批发功能为主的市场用地。</t>
  </si>
  <si>
    <t xml:space="preserve">餐饮用地</t>
  </si>
  <si>
    <t xml:space="preserve">指饭店、餐厅、酒吧等用地。</t>
  </si>
  <si>
    <t xml:space="preserve">旅馆用地</t>
  </si>
  <si>
    <t xml:space="preserve">指宾馆、旅馆、招待所、服务型公寓、度假村等用地。</t>
  </si>
  <si>
    <t xml:space="preserve">娱乐用地</t>
  </si>
  <si>
    <t xml:space="preserve">指剧院、音乐厅、电影院、歌舞厅、网吧、影视城、仿古城以及绿地率小于65% 的大型游乐等设施用地。</t>
  </si>
  <si>
    <t xml:space="preserve">其他商服用地</t>
  </si>
  <si>
    <t xml:space="preserve">指上述用地以外的其他商业、服务业用地。</t>
  </si>
  <si>
    <t xml:space="preserve">商务金融用地</t>
  </si>
  <si>
    <t xml:space="preserve">指商务服务用地,以及经营性的办公场所用地,包括写字楼、商业性办公场所、金融活动场所和企业厂区外独立的办公场所;信息网络服务、信息技术服务、电子商务服务、广告传媒等用地。</t>
  </si>
  <si>
    <t xml:space="preserve">机关团体用地</t>
  </si>
  <si>
    <t xml:space="preserve">指用于党政机关、社会团体、群众自治组织等的用地。</t>
  </si>
  <si>
    <t xml:space="preserve">新闻出版用地</t>
  </si>
  <si>
    <t xml:space="preserve">指用于广播电台、电视台、电影厂、报社、杂志社、通讯社、出版社等的用地。</t>
  </si>
  <si>
    <t xml:space="preserve">教育用地</t>
  </si>
  <si>
    <t xml:space="preserve">指用于各类教育用地,包括高等院校、中等专业学校、中学、小学、幼儿园及其附属设施用地,聋、哑、盲人学校及工读学校用地,以及为学校配建的独立地段的学生生活用地。</t>
  </si>
  <si>
    <t xml:space="preserve">科研用地</t>
  </si>
  <si>
    <t xml:space="preserve">指独立的科研、勘察、研发、设计、检验检测、技术推广、环境评估与监测、科普等科研事业单位及其附属设施用地(除 M4 工业研发用地)。</t>
  </si>
  <si>
    <t xml:space="preserve">医疗卫生用地</t>
  </si>
  <si>
    <t xml:space="preserve">指医疗、保健、卫生、防疫、康复和急救设施等用地,包括综合医院、专科医院、社区卫生服务中心等用地;卫生防疫站、专科防治所、检验中心和动物检疫站等用地;对环境有特殊要求的传染病、精神病等专科医院用地;急救中心、血库等用地。</t>
  </si>
  <si>
    <t xml:space="preserve">社会福利用地</t>
  </si>
  <si>
    <t xml:space="preserve">指为社会提供福利和慈善服务的设施及其附属设施用地,包括福利院、养老院、孤儿院等用地。</t>
  </si>
  <si>
    <t xml:space="preserve">文化设施用地</t>
  </si>
  <si>
    <t xml:space="preserve">指图书、展览等公共文化活动设施用地,包括公共图书馆、博物馆、档案馆、科技馆、纪念馆、美术馆和展览馆等设施用地;综合文化活动中心、文化馆、青少年宫、儿童活动中心、老年活动中心等设施用地。</t>
  </si>
  <si>
    <t xml:space="preserve">体育用地</t>
  </si>
  <si>
    <t xml:space="preserve">指体育场馆和体育训练基地等用地,包括室内外体育运动用地,如体育场馆、游泳场馆、各类球场及其附属的业余体校等用地,溜冰场、跳伞场、摩托车场、射击场,以及水上运动的陆域部分等用地,以及为体育运动专设的训练基地用地,不包括学校等机构专用的体育设施用地。</t>
  </si>
  <si>
    <t xml:space="preserve">公用设施用地</t>
  </si>
  <si>
    <t xml:space="preserve">指用于城乡基础设施的用地,包括供水、排 水、污水处理、供电、供热、供气、邮政、电信、消防、环卫、公用设施维修等用地。</t>
  </si>
  <si>
    <t xml:space="preserve">公园与绿地</t>
  </si>
  <si>
    <t xml:space="preserve">指城镇、村庄范围内的公园、动物园、植物园、街心花园、广场和用于休憩、美化环境及防护 的绿化用地。</t>
  </si>
  <si>
    <t xml:space="preserve">特殊</t>
  </si>
  <si>
    <t xml:space="preserve">宗教用地</t>
  </si>
  <si>
    <t xml:space="preserve">指专门用于宗教活动的庙宇、寺院、道观、教堂等宗教自用地。</t>
  </si>
  <si>
    <t xml:space="preserve">殡葬用地</t>
  </si>
  <si>
    <t xml:space="preserve">指陵园、墓地、殡葬场所用地。</t>
  </si>
  <si>
    <t xml:space="preserve">风景名胜设施用地</t>
  </si>
  <si>
    <t xml:space="preserve">指风景名胜景点的管理机构,以及旅游服务设施的建筑用地。</t>
  </si>
  <si>
    <t xml:space="preserve">城镇住宅用地</t>
  </si>
  <si>
    <t xml:space="preserve">指城镇用于生活居住的各类房屋用地及其附属设施用地,不含配套的商业服务设施等用地。</t>
  </si>
  <si>
    <t xml:space="preserve">工矿仓储</t>
  </si>
  <si>
    <t xml:space="preserve">工业用地</t>
  </si>
  <si>
    <t xml:space="preserve">指工业生产、产品加工制造、机械和设备修理及直接为工业生产等服务的附属设施用地。</t>
  </si>
  <si>
    <t xml:space="preserve">采矿用地</t>
  </si>
  <si>
    <t xml:space="preserve">指采矿、采石、采砂(沙)场,砖瓦窑等地面生产用地,排土(石)及尾矿堆放地等用地。</t>
  </si>
  <si>
    <t xml:space="preserve">仓储用地</t>
  </si>
  <si>
    <t xml:space="preserve">指用于物资储备、中转的场所用地。</t>
  </si>
  <si>
    <t xml:space="preserve">工业研发用地(M4)指以技术研发、中试为主,兼具小规模的生产、技术服务、管理等功能的用地。</t>
  </si>
  <si>
    <t xml:space="preserve">交通运输</t>
  </si>
  <si>
    <t xml:space="preserve">铁路用地</t>
  </si>
  <si>
    <t xml:space="preserve">指用于铁道线路及场站的用地。</t>
  </si>
  <si>
    <t xml:space="preserve">轨道交通用地</t>
  </si>
  <si>
    <t xml:space="preserve">指用于轻轨、现代有轨电车、单轨等轨道交通用地,以及场站的用地。</t>
  </si>
  <si>
    <t xml:space="preserve">公路用地</t>
  </si>
  <si>
    <t xml:space="preserve">指用于国道、省道、县道和乡道的用地。</t>
  </si>
  <si>
    <t xml:space="preserve">城镇村道路用地</t>
  </si>
  <si>
    <t xml:space="preserve">指城镇、村庄范围内公用道路及行道树用地, 包括快速路、主干道、次干道、支路、专用人行道和非机动车道,及其交叉口等。</t>
  </si>
  <si>
    <t xml:space="preserve">机场用地</t>
  </si>
  <si>
    <t xml:space="preserve">指用于民用机场、军民合用机场的用地。</t>
  </si>
  <si>
    <t xml:space="preserve">管道运输用地</t>
  </si>
  <si>
    <t xml:space="preserve">指用于运输煤炭、矿石、石油、天然气等管道及其相应附属设施的地上部分用地。</t>
  </si>
  <si>
    <t xml:space="preserve">交通服务场站用地</t>
  </si>
  <si>
    <t xml:space="preserve">指城镇、村庄范围内交通服务设施用地,包括公共枢纽及其附属设施用地、公路长途客运站、公共交通场站、公共停车场、停车楼、教练场等用地。</t>
  </si>
  <si>
    <t xml:space="preserve">—</t>
  </si>
  <si>
    <t xml:space="preserve">北京市商业路线价加价幅度表</t>
  </si>
  <si>
    <t xml:space="preserve">区县</t>
  </si>
  <si>
    <t xml:space="preserve">商业街名称</t>
  </si>
  <si>
    <t xml:space="preserve">起止点</t>
  </si>
  <si>
    <t xml:space="preserve">标准深度（m）</t>
  </si>
  <si>
    <t xml:space="preserve">不临65条商业街</t>
  </si>
  <si>
    <t xml:space="preserve">东城区</t>
  </si>
  <si>
    <t xml:space="preserve">东长安街</t>
  </si>
  <si>
    <t xml:space="preserve">天安门——东单</t>
  </si>
  <si>
    <t xml:space="preserve">王府井商业街（王府井大街）</t>
  </si>
  <si>
    <t xml:space="preserve">东长安街——金鱼胡同</t>
  </si>
  <si>
    <t xml:space="preserve">前门商业街（前门大街）</t>
  </si>
  <si>
    <t xml:space="preserve">前门箭楼——珠市口</t>
  </si>
  <si>
    <t xml:space="preserve">建国门内大街</t>
  </si>
  <si>
    <t xml:space="preserve">建国门——东单</t>
  </si>
  <si>
    <t xml:space="preserve">王府井大街</t>
  </si>
  <si>
    <t xml:space="preserve">金鱼胡同——五四大街</t>
  </si>
  <si>
    <t xml:space="preserve">东单北大街</t>
  </si>
  <si>
    <t xml:space="preserve">金鱼胡同——东单路口</t>
  </si>
  <si>
    <t xml:space="preserve">南锣鼓巷</t>
  </si>
  <si>
    <t xml:space="preserve">地安门东大街——鼓楼东大街</t>
  </si>
  <si>
    <t xml:space="preserve">东四南大街</t>
  </si>
  <si>
    <t xml:space="preserve">东四路口——金鱼胡同</t>
  </si>
  <si>
    <t xml:space="preserve">簋街（东直门内大街）</t>
  </si>
  <si>
    <t xml:space="preserve">东直门桥——北新桥</t>
  </si>
  <si>
    <t xml:space="preserve">东四十条</t>
  </si>
  <si>
    <t xml:space="preserve">东四十条桥——东四北大街</t>
  </si>
  <si>
    <t xml:space="preserve">张自忠路</t>
  </si>
  <si>
    <t xml:space="preserve">东四北大街——交道口南大街</t>
  </si>
  <si>
    <t xml:space="preserve">地安门东大街</t>
  </si>
  <si>
    <t xml:space="preserve">交道口南大街——地安门外大街</t>
  </si>
  <si>
    <t xml:space="preserve">崇文门外大街</t>
  </si>
  <si>
    <t xml:space="preserve">崇文门——磁器口</t>
  </si>
  <si>
    <t xml:space="preserve">广渠门内大街</t>
  </si>
  <si>
    <t xml:space="preserve">广渠门——磁器口</t>
  </si>
  <si>
    <t xml:space="preserve">珠市口东大街</t>
  </si>
  <si>
    <t xml:space="preserve">磁器口——珠市口</t>
  </si>
  <si>
    <t xml:space="preserve">鲜鱼口老字号美食街</t>
  </si>
  <si>
    <t xml:space="preserve">前门大街——前门东路</t>
  </si>
  <si>
    <t xml:space="preserve">五道营胡同</t>
  </si>
  <si>
    <t xml:space="preserve">安定门内大街——雍和宫大街</t>
  </si>
  <si>
    <t xml:space="preserve">西城区</t>
  </si>
  <si>
    <t xml:space="preserve">西长安街</t>
  </si>
  <si>
    <t xml:space="preserve">天安门——西单</t>
  </si>
  <si>
    <t xml:space="preserve">西单商业街（西单北大街）</t>
  </si>
  <si>
    <t xml:space="preserve">西单——辟才胡同</t>
  </si>
  <si>
    <t xml:space="preserve">复兴门内大街</t>
  </si>
  <si>
    <t xml:space="preserve">西单——复兴门</t>
  </si>
  <si>
    <t xml:space="preserve">西四大街</t>
  </si>
  <si>
    <t xml:space="preserve">辟才胡同——平安里</t>
  </si>
  <si>
    <t xml:space="preserve">大栅栏商业街</t>
  </si>
  <si>
    <t xml:space="preserve">前门大街——煤市街</t>
  </si>
  <si>
    <t xml:space="preserve">琉璃厂古文化街（琉璃厂西街、琉璃厂东街）</t>
  </si>
  <si>
    <t xml:space="preserve">南柳巷——延寿街</t>
  </si>
  <si>
    <t xml:space="preserve">复兴门外大街</t>
  </si>
  <si>
    <t xml:space="preserve">复兴门——木樨地</t>
  </si>
  <si>
    <t xml:space="preserve">新街口大街</t>
  </si>
  <si>
    <t xml:space="preserve">平安里——积水潭桥</t>
  </si>
  <si>
    <t xml:space="preserve">地安门西大街</t>
  </si>
  <si>
    <t xml:space="preserve">地安门外大街——新街口南大街</t>
  </si>
  <si>
    <t xml:space="preserve">平安里西大街</t>
  </si>
  <si>
    <t xml:space="preserve">新街口南大街——车公庄</t>
  </si>
  <si>
    <t xml:space="preserve">珠市口西大街</t>
  </si>
  <si>
    <t xml:space="preserve">珠市口——南新华街</t>
  </si>
  <si>
    <t xml:space="preserve">骡马市大街</t>
  </si>
  <si>
    <t xml:space="preserve">南新华街——菜市口</t>
  </si>
  <si>
    <t xml:space="preserve">广安门内大街</t>
  </si>
  <si>
    <t xml:space="preserve">菜市口——广安门桥</t>
  </si>
  <si>
    <t xml:space="preserve">马连道茶叶街（马连道路）</t>
  </si>
  <si>
    <t xml:space="preserve">广安门外大街——红莲南路</t>
  </si>
  <si>
    <t xml:space="preserve">烟袋斜街</t>
  </si>
  <si>
    <t xml:space="preserve">小石碑胡同——地安门外大街</t>
  </si>
  <si>
    <t xml:space="preserve">护国寺街</t>
  </si>
  <si>
    <t xml:space="preserve">新街口南大街——德胜门内大街</t>
  </si>
  <si>
    <t xml:space="preserve">什刹海茶艺酒吧街</t>
  </si>
  <si>
    <t xml:space="preserve">地安门西大街——前海北沿</t>
  </si>
  <si>
    <t xml:space="preserve">三里屯路</t>
  </si>
  <si>
    <t xml:space="preserve">工人体育场北路——三里屯东三街</t>
  </si>
  <si>
    <t xml:space="preserve">建国门外大街</t>
  </si>
  <si>
    <t xml:space="preserve">建国门桥——国贸桥</t>
  </si>
  <si>
    <t xml:space="preserve">建国路</t>
  </si>
  <si>
    <t xml:space="preserve">国贸桥——西大望路</t>
  </si>
  <si>
    <t xml:space="preserve">朝阳门外大街</t>
  </si>
  <si>
    <t xml:space="preserve">朝阳门——东大桥</t>
  </si>
  <si>
    <t xml:space="preserve">十里河家具大道</t>
  </si>
  <si>
    <t xml:space="preserve">东三环南路——周家庄路</t>
  </si>
  <si>
    <t xml:space="preserve">大羊坊路         </t>
  </si>
  <si>
    <t xml:space="preserve">十里河桥——小武基路</t>
  </si>
  <si>
    <t xml:space="preserve">海淀区</t>
  </si>
  <si>
    <t xml:space="preserve">中关村大街</t>
  </si>
  <si>
    <t xml:space="preserve">海淀南路——北四环</t>
  </si>
  <si>
    <t xml:space="preserve">复兴路</t>
  </si>
  <si>
    <t xml:space="preserve">木樨地——万寿路</t>
  </si>
  <si>
    <t xml:space="preserve">丹棱街</t>
  </si>
  <si>
    <t xml:space="preserve">苏州街——中关村大街</t>
  </si>
  <si>
    <t xml:space="preserve">丰台区</t>
  </si>
  <si>
    <t xml:space="preserve">丽泽路</t>
  </si>
  <si>
    <t xml:space="preserve">菜户营桥——丽泽桥</t>
  </si>
  <si>
    <t xml:space="preserve">方庄商业街（蒲芳路）</t>
  </si>
  <si>
    <t xml:space="preserve">蒲黄榆路——方庄路</t>
  </si>
  <si>
    <t xml:space="preserve">石景山区</t>
  </si>
  <si>
    <t xml:space="preserve">政达路</t>
  </si>
  <si>
    <t xml:space="preserve">鲁谷大街——银河大街</t>
  </si>
  <si>
    <t xml:space="preserve">北京台湾街</t>
  </si>
  <si>
    <t xml:space="preserve">雕塑园中街——鲁谷东街</t>
  </si>
  <si>
    <t xml:space="preserve">门头沟区</t>
  </si>
  <si>
    <t xml:space="preserve">新桥大街</t>
  </si>
  <si>
    <t xml:space="preserve">门头沟路——双峪路</t>
  </si>
  <si>
    <t xml:space="preserve">金安路</t>
  </si>
  <si>
    <t xml:space="preserve">西六环——石担路</t>
  </si>
  <si>
    <t xml:space="preserve">房山区</t>
  </si>
  <si>
    <t xml:space="preserve">南关大街</t>
  </si>
  <si>
    <t xml:space="preserve">房山东大街——南关立交桥</t>
  </si>
  <si>
    <t xml:space="preserve">拱辰大街</t>
  </si>
  <si>
    <t xml:space="preserve">良乡中路——月华大街</t>
  </si>
  <si>
    <t xml:space="preserve">通州区</t>
  </si>
  <si>
    <t xml:space="preserve">新华大街</t>
  </si>
  <si>
    <t xml:space="preserve">北苑南路——滨河中路</t>
  </si>
  <si>
    <t xml:space="preserve">云景东路</t>
  </si>
  <si>
    <t xml:space="preserve">地铁八通线——云景南大街</t>
  </si>
  <si>
    <t xml:space="preserve">顺义区</t>
  </si>
  <si>
    <t xml:space="preserve">新顺大街</t>
  </si>
  <si>
    <t xml:space="preserve">幸福西街——站前街</t>
  </si>
  <si>
    <t xml:space="preserve">昌平区</t>
  </si>
  <si>
    <t xml:space="preserve">鼓楼东、西街</t>
  </si>
  <si>
    <t xml:space="preserve">东环路——西环路</t>
  </si>
  <si>
    <t xml:space="preserve">鼓楼南、北街</t>
  </si>
  <si>
    <t xml:space="preserve">北环路——府学路</t>
  </si>
  <si>
    <t xml:space="preserve">回龙观西大街</t>
  </si>
  <si>
    <t xml:space="preserve">京藏高速公路——文华西路</t>
  </si>
  <si>
    <t xml:space="preserve">大兴区</t>
  </si>
  <si>
    <t xml:space="preserve">兴华大街</t>
  </si>
  <si>
    <t xml:space="preserve">乐园路——黄村火车站</t>
  </si>
  <si>
    <t xml:space="preserve">新源大街</t>
  </si>
  <si>
    <t xml:space="preserve">天河西路——永旺路</t>
  </si>
  <si>
    <t xml:space="preserve">怀柔区</t>
  </si>
  <si>
    <t xml:space="preserve">迎宾路——龙山东路</t>
  </si>
  <si>
    <t xml:space="preserve">青春路</t>
  </si>
  <si>
    <t xml:space="preserve">南大街——兴怀大街</t>
  </si>
  <si>
    <t xml:space="preserve">平谷区</t>
  </si>
  <si>
    <t xml:space="preserve">步行街</t>
  </si>
  <si>
    <t xml:space="preserve">文化北街——向阳北街</t>
  </si>
  <si>
    <t xml:space="preserve">密云县</t>
  </si>
  <si>
    <t xml:space="preserve">鼓楼东、西大街</t>
  </si>
  <si>
    <t xml:space="preserve">新中街——南更大街</t>
  </si>
  <si>
    <t xml:space="preserve">鼓楼南北大街</t>
  </si>
  <si>
    <t xml:space="preserve">京沈路——康复路</t>
  </si>
  <si>
    <t xml:space="preserve">延庆县</t>
  </si>
  <si>
    <t xml:space="preserve">东外大街</t>
  </si>
  <si>
    <t xml:space="preserve">香苑街——东顺城街</t>
  </si>
  <si>
    <t xml:space="preserve">北京市基准地价容积率修正系数表（商业）</t>
  </si>
  <si>
    <t xml:space="preserve">R</t>
  </si>
  <si>
    <t xml:space="preserve">1~2级</t>
  </si>
  <si>
    <t xml:space="preserve">3~7级</t>
  </si>
  <si>
    <t xml:space="preserve">8~12级</t>
  </si>
  <si>
    <t xml:space="preserve">北京市基准地价容积率修正系数表（办公）</t>
  </si>
  <si>
    <t xml:space="preserve">北京市基准地价容积率修正系数表（住宅）</t>
  </si>
  <si>
    <t xml:space="preserve">北京市基准地价容积率修正系数表（工业）</t>
  </si>
  <si>
    <t xml:space="preserve">3~5级</t>
  </si>
  <si>
    <t xml:space="preserve">6~7级</t>
  </si>
  <si>
    <t xml:space="preserve">北京市基准地价容积率修正系数表（公共服务及M4科研）</t>
  </si>
  <si>
    <t xml:space="preserve">元/平方米</t>
  </si>
  <si>
    <r>
      <rPr>
        <b val="true"/>
        <sz val="12"/>
        <rFont val="Arial"/>
        <family val="2"/>
        <charset val="1"/>
      </rPr>
      <t xml:space="preserve">1.</t>
    </r>
    <r>
      <rPr>
        <b val="true"/>
        <sz val="12"/>
        <rFont val="楷体_GB2312"/>
        <family val="0"/>
        <charset val="134"/>
      </rPr>
      <t xml:space="preserve">土地价值</t>
    </r>
  </si>
  <si>
    <r>
      <rPr>
        <b val="true"/>
        <sz val="10"/>
        <rFont val="楷体_GB2312"/>
        <family val="0"/>
        <charset val="134"/>
      </rPr>
      <t xml:space="preserve">土地开发费用</t>
    </r>
    <r>
      <rPr>
        <b val="true"/>
        <sz val="10"/>
        <rFont val="Arial"/>
        <family val="2"/>
        <charset val="1"/>
      </rPr>
      <t xml:space="preserve">-</t>
    </r>
    <r>
      <rPr>
        <b val="true"/>
        <sz val="10"/>
        <rFont val="楷体_GB2312"/>
        <family val="0"/>
        <charset val="134"/>
      </rPr>
      <t xml:space="preserve">红线外（现状）</t>
    </r>
  </si>
  <si>
    <t xml:space="preserve">以前述2项为基数</t>
  </si>
  <si>
    <r>
      <rPr>
        <b val="true"/>
        <sz val="10"/>
        <rFont val="Arial"/>
        <family val="2"/>
        <charset val="1"/>
      </rPr>
      <t xml:space="preserve">V</t>
    </r>
    <r>
      <rPr>
        <b val="true"/>
        <vertAlign val="subscript"/>
        <sz val="10"/>
        <rFont val="楷体_GB2312"/>
        <family val="0"/>
        <charset val="134"/>
      </rPr>
      <t xml:space="preserve">土</t>
    </r>
  </si>
  <si>
    <r>
      <rPr>
        <sz val="10"/>
        <rFont val="楷体_GB2312"/>
        <family val="0"/>
        <charset val="134"/>
      </rPr>
      <t xml:space="preserve">（</t>
    </r>
    <r>
      <rPr>
        <sz val="10"/>
        <rFont val="Arial"/>
        <family val="2"/>
        <charset val="1"/>
      </rPr>
      <t xml:space="preserve">1</t>
    </r>
    <r>
      <rPr>
        <sz val="10"/>
        <rFont val="楷体_GB2312"/>
        <family val="0"/>
        <charset val="134"/>
      </rPr>
      <t xml:space="preserve">）项产生的利息</t>
    </r>
  </si>
  <si>
    <r>
      <rPr>
        <sz val="10"/>
        <rFont val="楷体_GB2312"/>
        <family val="0"/>
        <charset val="134"/>
      </rPr>
      <t xml:space="preserve">（</t>
    </r>
    <r>
      <rPr>
        <sz val="10"/>
        <rFont val="Arial"/>
        <family val="2"/>
        <charset val="1"/>
      </rPr>
      <t xml:space="preserve">2</t>
    </r>
    <r>
      <rPr>
        <sz val="10"/>
        <rFont val="楷体_GB2312"/>
        <family val="0"/>
        <charset val="134"/>
      </rPr>
      <t xml:space="preserve">）项产生的利息</t>
    </r>
  </si>
  <si>
    <r>
      <rPr>
        <sz val="10"/>
        <rFont val="楷体_GB2312"/>
        <family val="0"/>
        <charset val="134"/>
      </rPr>
      <t xml:space="preserve">（</t>
    </r>
    <r>
      <rPr>
        <sz val="10"/>
        <rFont val="Arial"/>
        <family val="2"/>
        <charset val="1"/>
      </rPr>
      <t xml:space="preserve">3</t>
    </r>
    <r>
      <rPr>
        <sz val="10"/>
        <rFont val="楷体_GB2312"/>
        <family val="0"/>
        <charset val="134"/>
      </rPr>
      <t xml:space="preserve">）项产生的利息</t>
    </r>
  </si>
  <si>
    <r>
      <rPr>
        <sz val="10"/>
        <rFont val="楷体_GB2312"/>
        <family val="0"/>
        <charset val="134"/>
      </rPr>
      <t xml:space="preserve">（</t>
    </r>
    <r>
      <rPr>
        <sz val="10"/>
        <rFont val="Arial"/>
        <family val="2"/>
        <charset val="1"/>
      </rPr>
      <t xml:space="preserve">4</t>
    </r>
    <r>
      <rPr>
        <sz val="10"/>
        <rFont val="楷体_GB2312"/>
        <family val="0"/>
        <charset val="134"/>
      </rPr>
      <t xml:space="preserve">）项产生的利息</t>
    </r>
  </si>
  <si>
    <r>
      <rPr>
        <b val="true"/>
        <sz val="10"/>
        <rFont val="楷体_GB2312"/>
        <family val="0"/>
        <charset val="134"/>
      </rPr>
      <t xml:space="preserve">（</t>
    </r>
    <r>
      <rPr>
        <b val="true"/>
        <sz val="10"/>
        <rFont val="Arial"/>
        <family val="2"/>
        <charset val="1"/>
      </rPr>
      <t xml:space="preserve">1</t>
    </r>
    <r>
      <rPr>
        <b val="true"/>
        <sz val="10"/>
        <rFont val="楷体_GB2312"/>
        <family val="0"/>
        <charset val="134"/>
      </rPr>
      <t xml:space="preserve">）</t>
    </r>
    <r>
      <rPr>
        <b val="true"/>
        <sz val="10"/>
        <rFont val="Arial"/>
        <family val="2"/>
        <charset val="1"/>
      </rPr>
      <t xml:space="preserve">-</t>
    </r>
    <r>
      <rPr>
        <b val="true"/>
        <sz val="10"/>
        <rFont val="楷体_GB2312"/>
        <family val="0"/>
        <charset val="134"/>
      </rPr>
      <t xml:space="preserve">（</t>
    </r>
    <r>
      <rPr>
        <b val="true"/>
        <sz val="10"/>
        <rFont val="Arial"/>
        <family val="2"/>
        <charset val="1"/>
      </rPr>
      <t xml:space="preserve">4</t>
    </r>
    <r>
      <rPr>
        <b val="true"/>
        <sz val="10"/>
        <rFont val="楷体_GB2312"/>
        <family val="0"/>
        <charset val="134"/>
      </rPr>
      <t xml:space="preserve">）项之和</t>
    </r>
    <r>
      <rPr>
        <b val="true"/>
        <sz val="10"/>
        <rFont val="Arial"/>
        <family val="2"/>
        <charset val="1"/>
      </rPr>
      <t xml:space="preserve">*</t>
    </r>
    <r>
      <rPr>
        <b val="true"/>
        <sz val="10"/>
        <rFont val="楷体_GB2312"/>
        <family val="0"/>
        <charset val="134"/>
      </rPr>
      <t xml:space="preserve">利润率</t>
    </r>
    <r>
      <rPr>
        <b val="true"/>
        <sz val="10"/>
        <rFont val="Arial"/>
        <family val="2"/>
        <charset val="1"/>
      </rPr>
      <t xml:space="preserve">*</t>
    </r>
    <r>
      <rPr>
        <b val="true"/>
        <sz val="10"/>
        <rFont val="楷体_GB2312"/>
        <family val="0"/>
        <charset val="134"/>
      </rPr>
      <t xml:space="preserve">已建工期</t>
    </r>
    <r>
      <rPr>
        <b val="true"/>
        <sz val="10"/>
        <rFont val="Arial"/>
        <family val="2"/>
        <charset val="1"/>
      </rPr>
      <t xml:space="preserve">/</t>
    </r>
    <r>
      <rPr>
        <b val="true"/>
        <sz val="10"/>
        <rFont val="楷体_GB2312"/>
        <family val="0"/>
        <charset val="134"/>
      </rPr>
      <t xml:space="preserve">建设期</t>
    </r>
  </si>
  <si>
    <r>
      <rPr>
        <sz val="10"/>
        <rFont val="楷体_GB2312"/>
        <family val="0"/>
        <charset val="134"/>
      </rPr>
      <t xml:space="preserve">（</t>
    </r>
    <r>
      <rPr>
        <sz val="10"/>
        <rFont val="Arial"/>
        <family val="2"/>
        <charset val="1"/>
      </rPr>
      <t xml:space="preserve">1</t>
    </r>
    <r>
      <rPr>
        <sz val="10"/>
        <rFont val="楷体_GB2312"/>
        <family val="0"/>
        <charset val="134"/>
      </rPr>
      <t xml:space="preserve">）</t>
    </r>
    <r>
      <rPr>
        <sz val="10"/>
        <rFont val="Arial"/>
        <family val="2"/>
        <charset val="1"/>
      </rPr>
      <t xml:space="preserve">-</t>
    </r>
    <r>
      <rPr>
        <sz val="10"/>
        <rFont val="楷体_GB2312"/>
        <family val="0"/>
        <charset val="134"/>
      </rPr>
      <t xml:space="preserve">（</t>
    </r>
    <r>
      <rPr>
        <sz val="10"/>
        <rFont val="Arial"/>
        <family val="2"/>
        <charset val="1"/>
      </rPr>
      <t xml:space="preserve">3</t>
    </r>
    <r>
      <rPr>
        <sz val="10"/>
        <rFont val="楷体_GB2312"/>
        <family val="0"/>
        <charset val="134"/>
      </rPr>
      <t xml:space="preserve">）项产生的利润</t>
    </r>
  </si>
  <si>
    <r>
      <rPr>
        <sz val="10"/>
        <rFont val="楷体_GB2312"/>
        <family val="0"/>
        <charset val="134"/>
      </rPr>
      <t xml:space="preserve">（</t>
    </r>
    <r>
      <rPr>
        <sz val="10"/>
        <rFont val="Arial"/>
        <family val="2"/>
        <charset val="1"/>
      </rPr>
      <t xml:space="preserve">4</t>
    </r>
    <r>
      <rPr>
        <sz val="10"/>
        <rFont val="楷体_GB2312"/>
        <family val="0"/>
        <charset val="134"/>
      </rPr>
      <t xml:space="preserve">）项产生的利润</t>
    </r>
  </si>
  <si>
    <t xml:space="preserve">（7）</t>
  </si>
  <si>
    <r>
      <rPr>
        <b val="true"/>
        <sz val="10"/>
        <rFont val="Arial"/>
        <family val="2"/>
        <charset val="1"/>
      </rPr>
      <t xml:space="preserve">V</t>
    </r>
    <r>
      <rPr>
        <b val="true"/>
        <vertAlign val="subscript"/>
        <sz val="10"/>
        <rFont val="楷体_GB2312"/>
        <family val="0"/>
        <charset val="134"/>
      </rPr>
      <t xml:space="preserve">土</t>
    </r>
    <r>
      <rPr>
        <b val="true"/>
        <sz val="10"/>
        <rFont val="Arial"/>
        <family val="2"/>
        <charset val="1"/>
      </rPr>
      <t xml:space="preserve">/(1+5%)</t>
    </r>
  </si>
  <si>
    <t xml:space="preserve">以房地产价值为基数</t>
  </si>
  <si>
    <r>
      <rPr>
        <b val="true"/>
        <sz val="10"/>
        <rFont val="楷体_GB2312"/>
        <family val="0"/>
        <charset val="134"/>
      </rPr>
      <t xml:space="preserve">土地价值</t>
    </r>
    <r>
      <rPr>
        <b val="true"/>
        <sz val="10"/>
        <rFont val="Arial"/>
        <family val="2"/>
        <charset val="1"/>
      </rPr>
      <t xml:space="preserve">(V</t>
    </r>
    <r>
      <rPr>
        <b val="true"/>
        <vertAlign val="subscript"/>
        <sz val="10"/>
        <rFont val="楷体_GB2312"/>
        <family val="0"/>
        <charset val="134"/>
      </rPr>
      <t xml:space="preserve">土</t>
    </r>
    <r>
      <rPr>
        <b val="true"/>
        <sz val="10"/>
        <rFont val="Arial"/>
        <family val="2"/>
        <charset val="1"/>
      </rPr>
      <t xml:space="preserve">)</t>
    </r>
  </si>
  <si>
    <r>
      <rPr>
        <b val="true"/>
        <sz val="10"/>
        <rFont val="楷体_GB2312"/>
        <family val="0"/>
        <charset val="134"/>
      </rPr>
      <t xml:space="preserve">前述</t>
    </r>
    <r>
      <rPr>
        <b val="true"/>
        <sz val="10"/>
        <rFont val="Arial"/>
        <family val="2"/>
        <charset val="1"/>
      </rPr>
      <t xml:space="preserve">7</t>
    </r>
    <r>
      <rPr>
        <b val="true"/>
        <sz val="10"/>
        <rFont val="楷体_GB2312"/>
        <family val="0"/>
        <charset val="134"/>
      </rPr>
      <t xml:space="preserve">项相加</t>
    </r>
  </si>
  <si>
    <r>
      <rPr>
        <b val="true"/>
        <sz val="12"/>
        <rFont val="Arial"/>
        <family val="2"/>
        <charset val="1"/>
      </rPr>
      <t xml:space="preserve">2.</t>
    </r>
    <r>
      <rPr>
        <b val="true"/>
        <sz val="12"/>
        <rFont val="楷体_GB2312"/>
        <family val="0"/>
        <charset val="134"/>
      </rPr>
      <t xml:space="preserve">建筑物</t>
    </r>
    <r>
      <rPr>
        <b val="true"/>
        <sz val="12"/>
        <rFont val="Arial"/>
        <family val="2"/>
        <charset val="1"/>
      </rPr>
      <t xml:space="preserve">/</t>
    </r>
    <r>
      <rPr>
        <b val="true"/>
        <sz val="12"/>
        <rFont val="楷体_GB2312"/>
        <family val="0"/>
        <charset val="134"/>
      </rPr>
      <t xml:space="preserve">在建工程价值</t>
    </r>
  </si>
  <si>
    <r>
      <rPr>
        <b val="true"/>
        <sz val="10"/>
        <rFont val="楷体_GB2312"/>
        <family val="0"/>
        <charset val="134"/>
      </rPr>
      <t xml:space="preserve">建筑物建造</t>
    </r>
    <r>
      <rPr>
        <b val="true"/>
        <sz val="10"/>
        <rFont val="Arial"/>
        <family val="2"/>
        <charset val="1"/>
      </rPr>
      <t xml:space="preserve">/</t>
    </r>
    <r>
      <rPr>
        <b val="true"/>
        <sz val="10"/>
        <rFont val="楷体_GB2312"/>
        <family val="0"/>
        <charset val="134"/>
      </rPr>
      <t xml:space="preserve">已建成本</t>
    </r>
  </si>
  <si>
    <r>
      <rPr>
        <sz val="10"/>
        <rFont val="楷体_GB2312"/>
        <family val="0"/>
        <charset val="134"/>
      </rPr>
      <t xml:space="preserve">现房</t>
    </r>
    <r>
      <rPr>
        <sz val="10"/>
        <rFont val="Arial"/>
        <family val="2"/>
        <charset val="1"/>
      </rPr>
      <t xml:space="preserve">100%</t>
    </r>
    <r>
      <rPr>
        <sz val="10"/>
        <rFont val="楷体_GB2312"/>
        <family val="0"/>
        <charset val="134"/>
      </rPr>
      <t xml:space="preserve">；在建为综合进度</t>
    </r>
  </si>
  <si>
    <t xml:space="preserve">以（1）为基数</t>
  </si>
  <si>
    <r>
      <rPr>
        <b val="true"/>
        <sz val="10"/>
        <rFont val="Arial"/>
        <family val="2"/>
        <charset val="1"/>
      </rPr>
      <t xml:space="preserve">V</t>
    </r>
    <r>
      <rPr>
        <b val="true"/>
        <vertAlign val="subscript"/>
        <sz val="10"/>
        <rFont val="楷体_GB2312"/>
        <family val="0"/>
        <charset val="134"/>
      </rPr>
      <t xml:space="preserve">建</t>
    </r>
  </si>
  <si>
    <r>
      <rPr>
        <b val="true"/>
        <sz val="10"/>
        <rFont val="楷体_GB2312"/>
        <family val="0"/>
        <charset val="134"/>
      </rPr>
      <t xml:space="preserve">以</t>
    </r>
    <r>
      <rPr>
        <b val="true"/>
        <sz val="10"/>
        <rFont val="Arial"/>
        <family val="2"/>
        <charset val="1"/>
      </rPr>
      <t xml:space="preserve">V</t>
    </r>
    <r>
      <rPr>
        <b val="true"/>
        <sz val="10"/>
        <rFont val="楷体_GB2312"/>
        <family val="0"/>
        <charset val="134"/>
      </rPr>
      <t xml:space="preserve">建为基数</t>
    </r>
  </si>
  <si>
    <r>
      <rPr>
        <b val="true"/>
        <sz val="10"/>
        <rFont val="楷体_GB2312"/>
        <family val="0"/>
        <charset val="134"/>
      </rPr>
      <t xml:space="preserve">（</t>
    </r>
    <r>
      <rPr>
        <b val="true"/>
        <sz val="10"/>
        <rFont val="Arial"/>
        <family val="2"/>
        <charset val="1"/>
      </rPr>
      <t xml:space="preserve">1</t>
    </r>
    <r>
      <rPr>
        <b val="true"/>
        <sz val="10"/>
        <rFont val="楷体_GB2312"/>
        <family val="0"/>
        <charset val="134"/>
      </rPr>
      <t xml:space="preserve">）</t>
    </r>
    <r>
      <rPr>
        <b val="true"/>
        <sz val="10"/>
        <rFont val="Arial"/>
        <family val="2"/>
        <charset val="1"/>
      </rPr>
      <t xml:space="preserve">-</t>
    </r>
    <r>
      <rPr>
        <b val="true"/>
        <sz val="10"/>
        <rFont val="楷体_GB2312"/>
        <family val="0"/>
        <charset val="134"/>
      </rPr>
      <t xml:space="preserve">（</t>
    </r>
    <r>
      <rPr>
        <b val="true"/>
        <sz val="10"/>
        <rFont val="Arial"/>
        <family val="2"/>
        <charset val="1"/>
      </rPr>
      <t xml:space="preserve">3</t>
    </r>
    <r>
      <rPr>
        <b val="true"/>
        <sz val="10"/>
        <rFont val="楷体_GB2312"/>
        <family val="0"/>
        <charset val="134"/>
      </rPr>
      <t xml:space="preserve">）项乘利润率</t>
    </r>
  </si>
  <si>
    <r>
      <rPr>
        <sz val="10"/>
        <rFont val="楷体_GB2312"/>
        <family val="0"/>
        <charset val="134"/>
      </rPr>
      <t xml:space="preserve">（</t>
    </r>
    <r>
      <rPr>
        <sz val="10"/>
        <rFont val="Arial"/>
        <family val="2"/>
        <charset val="1"/>
      </rPr>
      <t xml:space="preserve">1</t>
    </r>
    <r>
      <rPr>
        <sz val="10"/>
        <rFont val="楷体_GB2312"/>
        <family val="0"/>
        <charset val="134"/>
      </rPr>
      <t xml:space="preserve">）、（</t>
    </r>
    <r>
      <rPr>
        <sz val="10"/>
        <rFont val="Arial"/>
        <family val="2"/>
        <charset val="1"/>
      </rPr>
      <t xml:space="preserve">2</t>
    </r>
    <r>
      <rPr>
        <sz val="10"/>
        <rFont val="楷体_GB2312"/>
        <family val="0"/>
        <charset val="134"/>
      </rPr>
      <t xml:space="preserve">）项产生的利润</t>
    </r>
  </si>
  <si>
    <r>
      <rPr>
        <sz val="10"/>
        <rFont val="楷体_GB2312"/>
        <family val="0"/>
        <charset val="134"/>
      </rPr>
      <t xml:space="preserve">（</t>
    </r>
    <r>
      <rPr>
        <sz val="10"/>
        <rFont val="Arial"/>
        <family val="2"/>
        <charset val="1"/>
      </rPr>
      <t xml:space="preserve">3</t>
    </r>
    <r>
      <rPr>
        <sz val="10"/>
        <rFont val="楷体_GB2312"/>
        <family val="0"/>
        <charset val="134"/>
      </rPr>
      <t xml:space="preserve">）项产生的利润</t>
    </r>
  </si>
  <si>
    <r>
      <rPr>
        <b val="true"/>
        <sz val="10"/>
        <rFont val="Arial"/>
        <family val="2"/>
        <charset val="1"/>
      </rPr>
      <t xml:space="preserve">V</t>
    </r>
    <r>
      <rPr>
        <b val="true"/>
        <vertAlign val="subscript"/>
        <sz val="10"/>
        <rFont val="楷体_GB2312"/>
        <family val="0"/>
        <charset val="134"/>
      </rPr>
      <t xml:space="preserve">建</t>
    </r>
    <r>
      <rPr>
        <b val="true"/>
        <sz val="10"/>
        <rFont val="Arial"/>
        <family val="2"/>
        <charset val="1"/>
      </rPr>
      <t xml:space="preserve">/(1+5%)</t>
    </r>
  </si>
  <si>
    <t xml:space="preserve">以成本价值为基数</t>
  </si>
  <si>
    <r>
      <rPr>
        <b val="true"/>
        <sz val="10"/>
        <rFont val="楷体_GB2312"/>
        <family val="0"/>
        <charset val="134"/>
      </rPr>
      <t xml:space="preserve">建筑物</t>
    </r>
    <r>
      <rPr>
        <b val="true"/>
        <sz val="10"/>
        <rFont val="Arial"/>
        <family val="2"/>
        <charset val="1"/>
      </rPr>
      <t xml:space="preserve">/</t>
    </r>
    <r>
      <rPr>
        <b val="true"/>
        <sz val="10"/>
        <rFont val="楷体_GB2312"/>
        <family val="0"/>
        <charset val="134"/>
      </rPr>
      <t xml:space="preserve">在建工程重置价值（</t>
    </r>
    <r>
      <rPr>
        <b val="true"/>
        <sz val="10"/>
        <rFont val="Arial"/>
        <family val="2"/>
        <charset val="1"/>
      </rPr>
      <t xml:space="preserve">V</t>
    </r>
    <r>
      <rPr>
        <b val="true"/>
        <vertAlign val="subscript"/>
        <sz val="10"/>
        <rFont val="宋体"/>
        <family val="3"/>
        <charset val="134"/>
      </rPr>
      <t xml:space="preserve">建1</t>
    </r>
    <r>
      <rPr>
        <b val="true"/>
        <sz val="10"/>
        <rFont val="楷体_GB2312"/>
        <family val="0"/>
        <charset val="134"/>
      </rPr>
      <t xml:space="preserve">）</t>
    </r>
  </si>
  <si>
    <r>
      <rPr>
        <b val="true"/>
        <sz val="10"/>
        <rFont val="楷体_GB2312"/>
        <family val="0"/>
        <charset val="134"/>
      </rPr>
      <t xml:space="preserve">前述</t>
    </r>
    <r>
      <rPr>
        <b val="true"/>
        <sz val="10"/>
        <rFont val="Arial"/>
        <family val="2"/>
        <charset val="1"/>
      </rPr>
      <t xml:space="preserve">6</t>
    </r>
    <r>
      <rPr>
        <b val="true"/>
        <sz val="10"/>
        <rFont val="楷体_GB2312"/>
        <family val="0"/>
        <charset val="134"/>
      </rPr>
      <t xml:space="preserve">项相加</t>
    </r>
  </si>
  <si>
    <t xml:space="preserve">（8）</t>
  </si>
  <si>
    <t xml:space="preserve">（9）</t>
  </si>
  <si>
    <r>
      <rPr>
        <b val="true"/>
        <sz val="10"/>
        <rFont val="楷体_GB2312"/>
        <family val="0"/>
        <charset val="134"/>
      </rPr>
      <t xml:space="preserve">建筑物</t>
    </r>
    <r>
      <rPr>
        <b val="true"/>
        <sz val="10"/>
        <rFont val="Arial"/>
        <family val="2"/>
        <charset val="1"/>
      </rPr>
      <t xml:space="preserve">/</t>
    </r>
    <r>
      <rPr>
        <b val="true"/>
        <sz val="10"/>
        <rFont val="楷体_GB2312"/>
        <family val="0"/>
        <charset val="134"/>
      </rPr>
      <t xml:space="preserve">在建工程价值（</t>
    </r>
    <r>
      <rPr>
        <b val="true"/>
        <sz val="10"/>
        <rFont val="Arial"/>
        <family val="2"/>
        <charset val="1"/>
      </rPr>
      <t xml:space="preserve">V</t>
    </r>
    <r>
      <rPr>
        <b val="true"/>
        <vertAlign val="subscript"/>
        <sz val="10"/>
        <rFont val="宋体"/>
        <family val="3"/>
        <charset val="134"/>
      </rPr>
      <t xml:space="preserve">建2</t>
    </r>
    <r>
      <rPr>
        <b val="true"/>
        <sz val="10"/>
        <rFont val="楷体_GB2312"/>
        <family val="0"/>
        <charset val="134"/>
      </rPr>
      <t xml:space="preserve">）</t>
    </r>
  </si>
  <si>
    <r>
      <rPr>
        <b val="true"/>
        <sz val="10"/>
        <rFont val="楷体_GB2312"/>
        <family val="0"/>
        <charset val="134"/>
      </rPr>
      <t xml:space="preserve">重置价值</t>
    </r>
    <r>
      <rPr>
        <b val="true"/>
        <sz val="10"/>
        <rFont val="Arial"/>
        <family val="2"/>
        <charset val="1"/>
      </rPr>
      <t xml:space="preserve">×</t>
    </r>
    <r>
      <rPr>
        <b val="true"/>
        <sz val="10"/>
        <rFont val="楷体_GB2312"/>
        <family val="0"/>
        <charset val="134"/>
      </rPr>
      <t xml:space="preserve">成新率</t>
    </r>
  </si>
  <si>
    <r>
      <rPr>
        <b val="true"/>
        <sz val="12"/>
        <rFont val="Arial"/>
        <family val="2"/>
        <charset val="1"/>
      </rPr>
      <t xml:space="preserve">3.</t>
    </r>
    <r>
      <rPr>
        <b val="true"/>
        <sz val="12"/>
        <rFont val="楷体_GB2312"/>
        <family val="0"/>
        <charset val="134"/>
      </rPr>
      <t xml:space="preserve">成本价值</t>
    </r>
  </si>
  <si>
    <t xml:space="preserve">建筑物价值比率</t>
  </si>
  <si>
    <t xml:space="preserve">土地价值比率</t>
  </si>
  <si>
    <t xml:space="preserve">北京市区片基准地价表（楼面地价）</t>
  </si>
  <si>
    <t xml:space="preserve">基准日期：2021年1月1日                                                             </t>
  </si>
  <si>
    <t xml:space="preserve">单位：元/平方米</t>
  </si>
  <si>
    <t xml:space="preserve">Ⅰ—01</t>
  </si>
  <si>
    <t xml:space="preserve">Ⅱ—01</t>
  </si>
  <si>
    <t xml:space="preserve">Ⅲ—01</t>
  </si>
  <si>
    <t xml:space="preserve">Ⅳ-01</t>
  </si>
  <si>
    <t xml:space="preserve">Ⅴ-01</t>
  </si>
  <si>
    <t xml:space="preserve">Ⅵ-01</t>
  </si>
  <si>
    <t xml:space="preserve">Ⅶ-01</t>
  </si>
  <si>
    <t xml:space="preserve">Ⅷ-01</t>
  </si>
  <si>
    <t xml:space="preserve">Ⅸ-01</t>
  </si>
  <si>
    <t xml:space="preserve">Ⅹ-01</t>
  </si>
  <si>
    <t xml:space="preserve">Ⅺ-门1</t>
  </si>
  <si>
    <t xml:space="preserve">Ⅻ-门1</t>
  </si>
  <si>
    <t xml:space="preserve">级别</t>
  </si>
  <si>
    <t xml:space="preserve">Ⅰ—02</t>
  </si>
  <si>
    <t xml:space="preserve">Ⅱ—02</t>
  </si>
  <si>
    <t xml:space="preserve">Ⅲ—02</t>
  </si>
  <si>
    <t xml:space="preserve">Ⅳ-02</t>
  </si>
  <si>
    <t xml:space="preserve">Ⅴ-02</t>
  </si>
  <si>
    <t xml:space="preserve">Ⅵ-02</t>
  </si>
  <si>
    <t xml:space="preserve">Ⅶ-02</t>
  </si>
  <si>
    <t xml:space="preserve">Ⅷ-02</t>
  </si>
  <si>
    <t xml:space="preserve">Ⅸ-02</t>
  </si>
  <si>
    <t xml:space="preserve">Ⅹ-02</t>
  </si>
  <si>
    <t xml:space="preserve">Ⅺ-门斋</t>
  </si>
  <si>
    <t xml:space="preserve">Ⅻ-房1</t>
  </si>
  <si>
    <t xml:space="preserve">区片价格</t>
  </si>
  <si>
    <t xml:space="preserve">Ⅰ—03</t>
  </si>
  <si>
    <t xml:space="preserve">Ⅱ—03</t>
  </si>
  <si>
    <t xml:space="preserve">Ⅲ—03</t>
  </si>
  <si>
    <t xml:space="preserve">Ⅳ-03</t>
  </si>
  <si>
    <t xml:space="preserve">Ⅴ-03</t>
  </si>
  <si>
    <t xml:space="preserve">Ⅵ-03</t>
  </si>
  <si>
    <t xml:space="preserve">Ⅶ-03</t>
  </si>
  <si>
    <t xml:space="preserve">Ⅷ-03</t>
  </si>
  <si>
    <t xml:space="preserve">Ⅸ-门1</t>
  </si>
  <si>
    <t xml:space="preserve">Ⅹ-门1</t>
  </si>
  <si>
    <t xml:space="preserve">Ⅺ-房1</t>
  </si>
  <si>
    <t xml:space="preserve">Ⅻ-昌1</t>
  </si>
  <si>
    <t xml:space="preserve">Ⅰ—04</t>
  </si>
  <si>
    <t xml:space="preserve">Ⅱ—04</t>
  </si>
  <si>
    <t xml:space="preserve">Ⅲ—04</t>
  </si>
  <si>
    <t xml:space="preserve">Ⅳ-04</t>
  </si>
  <si>
    <t xml:space="preserve">Ⅴ-04</t>
  </si>
  <si>
    <t xml:space="preserve">Ⅵ-04</t>
  </si>
  <si>
    <t xml:space="preserve">Ⅶ-04</t>
  </si>
  <si>
    <t xml:space="preserve">Ⅷ-04</t>
  </si>
  <si>
    <t xml:space="preserve">Ⅸ-门2</t>
  </si>
  <si>
    <t xml:space="preserve">Ⅹ-房1</t>
  </si>
  <si>
    <t xml:space="preserve">Ⅺ-房2</t>
  </si>
  <si>
    <t xml:space="preserve">Ⅻ-怀1</t>
  </si>
  <si>
    <t xml:space="preserve">Ⅰ—05</t>
  </si>
  <si>
    <t xml:space="preserve">Ⅱ—05</t>
  </si>
  <si>
    <t xml:space="preserve">Ⅲ—05</t>
  </si>
  <si>
    <t xml:space="preserve">Ⅳ-05</t>
  </si>
  <si>
    <t xml:space="preserve">Ⅴ-05</t>
  </si>
  <si>
    <t xml:space="preserve">Ⅵ-05</t>
  </si>
  <si>
    <t xml:space="preserve">Ⅶ-05</t>
  </si>
  <si>
    <t xml:space="preserve">Ⅷ-05</t>
  </si>
  <si>
    <t xml:space="preserve">Ⅸ-门潭</t>
  </si>
  <si>
    <t xml:space="preserve">Ⅹ-房2</t>
  </si>
  <si>
    <t xml:space="preserve">Ⅺ-顺1</t>
  </si>
  <si>
    <t xml:space="preserve">Ⅻ-平1</t>
  </si>
  <si>
    <t xml:space="preserve">Ⅱ—06</t>
  </si>
  <si>
    <t xml:space="preserve">Ⅲ—06</t>
  </si>
  <si>
    <t xml:space="preserve">Ⅳ-06</t>
  </si>
  <si>
    <t xml:space="preserve">Ⅴ-06</t>
  </si>
  <si>
    <t xml:space="preserve">Ⅵ-06</t>
  </si>
  <si>
    <t xml:space="preserve">Ⅶ-06</t>
  </si>
  <si>
    <t xml:space="preserve">Ⅷ-门1</t>
  </si>
  <si>
    <t xml:space="preserve">Ⅸ-房1</t>
  </si>
  <si>
    <t xml:space="preserve">Ⅹ-房3</t>
  </si>
  <si>
    <t xml:space="preserve">Ⅺ-顺2</t>
  </si>
  <si>
    <t xml:space="preserve">Ⅻ-密1</t>
  </si>
  <si>
    <t xml:space="preserve">Ⅱ—07</t>
  </si>
  <si>
    <t xml:space="preserve">Ⅲ—07</t>
  </si>
  <si>
    <t xml:space="preserve">Ⅳ-07</t>
  </si>
  <si>
    <t xml:space="preserve">Ⅴ-07</t>
  </si>
  <si>
    <t xml:space="preserve">Ⅵ-07</t>
  </si>
  <si>
    <t xml:space="preserve">Ⅶ-07</t>
  </si>
  <si>
    <t xml:space="preserve">Ⅷ-门军</t>
  </si>
  <si>
    <t xml:space="preserve">Ⅸ-房2</t>
  </si>
  <si>
    <t xml:space="preserve">Ⅹ-顺1</t>
  </si>
  <si>
    <t xml:space="preserve">Ⅺ-昌1</t>
  </si>
  <si>
    <t xml:space="preserve">Ⅻ-延1</t>
  </si>
  <si>
    <t xml:space="preserve">Ⅱ—08</t>
  </si>
  <si>
    <t xml:space="preserve">Ⅲ—08</t>
  </si>
  <si>
    <t xml:space="preserve">Ⅳ-08</t>
  </si>
  <si>
    <t xml:space="preserve">Ⅴ-08</t>
  </si>
  <si>
    <t xml:space="preserve">Ⅵ-08</t>
  </si>
  <si>
    <t xml:space="preserve">Ⅶ-08</t>
  </si>
  <si>
    <t xml:space="preserve">Ⅷ-房1</t>
  </si>
  <si>
    <t xml:space="preserve">Ⅸ-房3</t>
  </si>
  <si>
    <t xml:space="preserve">Ⅹ-顺2</t>
  </si>
  <si>
    <t xml:space="preserve">Ⅺ-昌2</t>
  </si>
  <si>
    <t xml:space="preserve">Ⅱ—09</t>
  </si>
  <si>
    <t xml:space="preserve">Ⅲ—09</t>
  </si>
  <si>
    <t xml:space="preserve">Ⅳ-09</t>
  </si>
  <si>
    <t xml:space="preserve">Ⅴ-09</t>
  </si>
  <si>
    <t xml:space="preserve">Ⅵ-09</t>
  </si>
  <si>
    <t xml:space="preserve">Ⅶ-09</t>
  </si>
  <si>
    <t xml:space="preserve">Ⅷ-房2</t>
  </si>
  <si>
    <t xml:space="preserve">Ⅸ-房4</t>
  </si>
  <si>
    <t xml:space="preserve">Ⅹ-顺3</t>
  </si>
  <si>
    <t xml:space="preserve">Ⅺ-昌3</t>
  </si>
  <si>
    <t xml:space="preserve">Ⅱ—10</t>
  </si>
  <si>
    <t xml:space="preserve">Ⅲ—10</t>
  </si>
  <si>
    <t xml:space="preserve">Ⅳ-10</t>
  </si>
  <si>
    <t xml:space="preserve">Ⅴ-10</t>
  </si>
  <si>
    <t xml:space="preserve">Ⅵ-10</t>
  </si>
  <si>
    <t xml:space="preserve">Ⅶ-门1</t>
  </si>
  <si>
    <t xml:space="preserve">Ⅷ-房3</t>
  </si>
  <si>
    <t xml:space="preserve">Ⅸ-房5</t>
  </si>
  <si>
    <t xml:space="preserve">Ⅹ-顺4</t>
  </si>
  <si>
    <t xml:space="preserve">Ⅺ-怀1</t>
  </si>
  <si>
    <t xml:space="preserve">Ⅱ—11</t>
  </si>
  <si>
    <t xml:space="preserve">Ⅲ—11</t>
  </si>
  <si>
    <t xml:space="preserve">Ⅳ-11</t>
  </si>
  <si>
    <t xml:space="preserve">Ⅴ-11</t>
  </si>
  <si>
    <t xml:space="preserve">Ⅵ-11</t>
  </si>
  <si>
    <t xml:space="preserve">Ⅶ-门2</t>
  </si>
  <si>
    <t xml:space="preserve">Ⅷ-通1</t>
  </si>
  <si>
    <t xml:space="preserve">Ⅸ-通1</t>
  </si>
  <si>
    <t xml:space="preserve">Ⅹ-昌1</t>
  </si>
  <si>
    <t xml:space="preserve">Ⅺ-平1</t>
  </si>
  <si>
    <t xml:space="preserve">Ⅱ—12</t>
  </si>
  <si>
    <t xml:space="preserve">Ⅲ—12</t>
  </si>
  <si>
    <t xml:space="preserve">Ⅳ-12</t>
  </si>
  <si>
    <t xml:space="preserve">Ⅴ-12</t>
  </si>
  <si>
    <t xml:space="preserve">Ⅵ-12</t>
  </si>
  <si>
    <t xml:space="preserve">Ⅶ-房1</t>
  </si>
  <si>
    <t xml:space="preserve">Ⅷ-通2</t>
  </si>
  <si>
    <t xml:space="preserve">Ⅸ-通2</t>
  </si>
  <si>
    <t xml:space="preserve">Ⅹ-昌2</t>
  </si>
  <si>
    <t xml:space="preserve">Ⅺ-平2</t>
  </si>
  <si>
    <t xml:space="preserve">Ⅱ—13</t>
  </si>
  <si>
    <t xml:space="preserve">Ⅲ—13</t>
  </si>
  <si>
    <t xml:space="preserve">Ⅳ-13</t>
  </si>
  <si>
    <t xml:space="preserve">Ⅴ-13</t>
  </si>
  <si>
    <t xml:space="preserve">Ⅵ-13</t>
  </si>
  <si>
    <t xml:space="preserve">Ⅶ-房2</t>
  </si>
  <si>
    <t xml:space="preserve">Ⅷ-通3</t>
  </si>
  <si>
    <t xml:space="preserve">Ⅸ-顺1</t>
  </si>
  <si>
    <t xml:space="preserve">Ⅹ-昌3</t>
  </si>
  <si>
    <t xml:space="preserve">Ⅺ-平3</t>
  </si>
  <si>
    <t xml:space="preserve">Ⅱ—14</t>
  </si>
  <si>
    <t xml:space="preserve">Ⅲ—14</t>
  </si>
  <si>
    <t xml:space="preserve">Ⅳ-14</t>
  </si>
  <si>
    <t xml:space="preserve">Ⅴ-14</t>
  </si>
  <si>
    <t xml:space="preserve">Ⅵ-14</t>
  </si>
  <si>
    <t xml:space="preserve">Ⅶ-通1</t>
  </si>
  <si>
    <t xml:space="preserve">Ⅷ-顺1</t>
  </si>
  <si>
    <t xml:space="preserve">Ⅸ-顺2</t>
  </si>
  <si>
    <t xml:space="preserve">Ⅹ-兴1</t>
  </si>
  <si>
    <t xml:space="preserve">Ⅺ-平4</t>
  </si>
  <si>
    <t xml:space="preserve">Ⅱ—15</t>
  </si>
  <si>
    <t xml:space="preserve">Ⅲ—15</t>
  </si>
  <si>
    <t xml:space="preserve">Ⅳ-15</t>
  </si>
  <si>
    <t xml:space="preserve">Ⅴ-15</t>
  </si>
  <si>
    <t xml:space="preserve">Ⅵ-15</t>
  </si>
  <si>
    <t xml:space="preserve">Ⅶ-通2</t>
  </si>
  <si>
    <t xml:space="preserve">Ⅷ-顺2</t>
  </si>
  <si>
    <t xml:space="preserve">Ⅸ-顺3</t>
  </si>
  <si>
    <t xml:space="preserve">Ⅹ-兴2</t>
  </si>
  <si>
    <t xml:space="preserve">Ⅺ-密1</t>
  </si>
  <si>
    <t xml:space="preserve">Ⅱ—16</t>
  </si>
  <si>
    <t xml:space="preserve">Ⅲ—16</t>
  </si>
  <si>
    <t xml:space="preserve">Ⅳ-16</t>
  </si>
  <si>
    <t xml:space="preserve">Ⅴ-16</t>
  </si>
  <si>
    <t xml:space="preserve">Ⅵ-16</t>
  </si>
  <si>
    <t xml:space="preserve">Ⅶ-通3</t>
  </si>
  <si>
    <t xml:space="preserve">Ⅷ-顺3</t>
  </si>
  <si>
    <t xml:space="preserve">Ⅸ-顺4</t>
  </si>
  <si>
    <t xml:space="preserve">Ⅹ-怀1</t>
  </si>
  <si>
    <t xml:space="preserve">Ⅺ-密2</t>
  </si>
  <si>
    <t xml:space="preserve">Ⅱ—17</t>
  </si>
  <si>
    <t xml:space="preserve">Ⅲ—17</t>
  </si>
  <si>
    <t xml:space="preserve">Ⅳ-17</t>
  </si>
  <si>
    <t xml:space="preserve">Ⅴ-17</t>
  </si>
  <si>
    <t xml:space="preserve">Ⅵ-17</t>
  </si>
  <si>
    <t xml:space="preserve">Ⅶ-通4</t>
  </si>
  <si>
    <t xml:space="preserve">Ⅷ-顺4</t>
  </si>
  <si>
    <t xml:space="preserve">Ⅸ-顺5</t>
  </si>
  <si>
    <t xml:space="preserve">Ⅹ-怀2</t>
  </si>
  <si>
    <t xml:space="preserve">Ⅺ-密3</t>
  </si>
  <si>
    <t xml:space="preserve">Ⅱ—18</t>
  </si>
  <si>
    <t xml:space="preserve">Ⅲ—18</t>
  </si>
  <si>
    <t xml:space="preserve">Ⅳ-18</t>
  </si>
  <si>
    <t xml:space="preserve">Ⅴ-18</t>
  </si>
  <si>
    <t xml:space="preserve">Ⅵ-18</t>
  </si>
  <si>
    <t xml:space="preserve">Ⅶ-通5</t>
  </si>
  <si>
    <t xml:space="preserve">Ⅷ-顺5</t>
  </si>
  <si>
    <t xml:space="preserve">Ⅸ-昌1</t>
  </si>
  <si>
    <t xml:space="preserve">Ⅹ-怀3</t>
  </si>
  <si>
    <t xml:space="preserve">Ⅺ-延1</t>
  </si>
  <si>
    <t xml:space="preserve">Ⅱ—19</t>
  </si>
  <si>
    <t xml:space="preserve">Ⅲ—19</t>
  </si>
  <si>
    <t xml:space="preserve">Ⅳ-19</t>
  </si>
  <si>
    <t xml:space="preserve">Ⅴ-19</t>
  </si>
  <si>
    <t xml:space="preserve">Ⅵ-19</t>
  </si>
  <si>
    <t xml:space="preserve">Ⅶ-顺1</t>
  </si>
  <si>
    <t xml:space="preserve">Ⅷ-昌1</t>
  </si>
  <si>
    <t xml:space="preserve">Ⅸ-昌2</t>
  </si>
  <si>
    <t xml:space="preserve">Ⅹ-怀4</t>
  </si>
  <si>
    <t xml:space="preserve">Ⅺ-延2</t>
  </si>
  <si>
    <t xml:space="preserve">Ⅱ—20</t>
  </si>
  <si>
    <t xml:space="preserve">Ⅲ—20</t>
  </si>
  <si>
    <t xml:space="preserve">Ⅳ-20</t>
  </si>
  <si>
    <t xml:space="preserve">Ⅴ-20</t>
  </si>
  <si>
    <t xml:space="preserve">Ⅵ-20</t>
  </si>
  <si>
    <t xml:space="preserve">Ⅶ-顺2</t>
  </si>
  <si>
    <t xml:space="preserve">Ⅷ-昌2</t>
  </si>
  <si>
    <t xml:space="preserve">Ⅸ-昌3</t>
  </si>
  <si>
    <t xml:space="preserve">Ⅹ-平1</t>
  </si>
  <si>
    <t xml:space="preserve">Ⅺ-延3</t>
  </si>
  <si>
    <t xml:space="preserve">Ⅲ—21</t>
  </si>
  <si>
    <t xml:space="preserve">Ⅳ-21</t>
  </si>
  <si>
    <t xml:space="preserve">Ⅴ-21</t>
  </si>
  <si>
    <t xml:space="preserve">Ⅵ-21</t>
  </si>
  <si>
    <t xml:space="preserve">Ⅶ-顺3</t>
  </si>
  <si>
    <t xml:space="preserve">Ⅷ-昌3</t>
  </si>
  <si>
    <t xml:space="preserve">Ⅸ-昌4</t>
  </si>
  <si>
    <t xml:space="preserve">Ⅹ-平2</t>
  </si>
  <si>
    <t xml:space="preserve">Ⅲ—22</t>
  </si>
  <si>
    <t xml:space="preserve">Ⅳ-22</t>
  </si>
  <si>
    <t xml:space="preserve">Ⅴ-22</t>
  </si>
  <si>
    <t xml:space="preserve">Ⅵ-门1</t>
  </si>
  <si>
    <t xml:space="preserve">Ⅶ-昌1</t>
  </si>
  <si>
    <t xml:space="preserve">Ⅷ-昌4</t>
  </si>
  <si>
    <t xml:space="preserve">Ⅸ-昌5</t>
  </si>
  <si>
    <t xml:space="preserve">Ⅹ-平3</t>
  </si>
  <si>
    <t xml:space="preserve">Ⅲ—23</t>
  </si>
  <si>
    <t xml:space="preserve">Ⅳ-23</t>
  </si>
  <si>
    <t xml:space="preserve">Ⅴ-23</t>
  </si>
  <si>
    <t xml:space="preserve">Ⅵ-通1</t>
  </si>
  <si>
    <t xml:space="preserve">Ⅶ-昌2</t>
  </si>
  <si>
    <t xml:space="preserve">Ⅷ-兴1</t>
  </si>
  <si>
    <t xml:space="preserve">Ⅸ-兴1</t>
  </si>
  <si>
    <t xml:space="preserve">Ⅹ-平4</t>
  </si>
  <si>
    <t xml:space="preserve">Ⅲ—24</t>
  </si>
  <si>
    <t xml:space="preserve">Ⅳ-24</t>
  </si>
  <si>
    <t xml:space="preserve">Ⅴ-24</t>
  </si>
  <si>
    <t xml:space="preserve">Ⅵ-通2</t>
  </si>
  <si>
    <t xml:space="preserve">Ⅶ-昌3</t>
  </si>
  <si>
    <t xml:space="preserve">Ⅷ-兴2</t>
  </si>
  <si>
    <t xml:space="preserve">Ⅸ-兴2</t>
  </si>
  <si>
    <t xml:space="preserve">Ⅹ-密1</t>
  </si>
  <si>
    <t xml:space="preserve">Ⅲ—25</t>
  </si>
  <si>
    <t xml:space="preserve">Ⅳ-25</t>
  </si>
  <si>
    <t xml:space="preserve">Ⅴ-25</t>
  </si>
  <si>
    <t xml:space="preserve">Ⅵ-通3</t>
  </si>
  <si>
    <t xml:space="preserve">Ⅶ-兴1</t>
  </si>
  <si>
    <t xml:space="preserve">Ⅷ-兴3</t>
  </si>
  <si>
    <t xml:space="preserve">Ⅸ-兴3</t>
  </si>
  <si>
    <t xml:space="preserve">Ⅹ-密2</t>
  </si>
  <si>
    <t xml:space="preserve">Ⅳ-26</t>
  </si>
  <si>
    <t xml:space="preserve">Ⅴ-26</t>
  </si>
  <si>
    <t xml:space="preserve">Ⅵ-通4</t>
  </si>
  <si>
    <t xml:space="preserve">Ⅶ-兴2</t>
  </si>
  <si>
    <t xml:space="preserve">Ⅷ-怀1</t>
  </si>
  <si>
    <t xml:space="preserve">Ⅸ-怀1</t>
  </si>
  <si>
    <t xml:space="preserve">Ⅹ-密3</t>
  </si>
  <si>
    <t xml:space="preserve">Ⅳ-27</t>
  </si>
  <si>
    <t xml:space="preserve">Ⅴ-27</t>
  </si>
  <si>
    <t xml:space="preserve">Ⅵ-通5</t>
  </si>
  <si>
    <t xml:space="preserve">Ⅶ-亦1</t>
  </si>
  <si>
    <t xml:space="preserve">Ⅷ-平1</t>
  </si>
  <si>
    <t xml:space="preserve">Ⅸ-怀2</t>
  </si>
  <si>
    <t xml:space="preserve">Ⅹ-延1</t>
  </si>
  <si>
    <t xml:space="preserve">Ⅳ-28</t>
  </si>
  <si>
    <t xml:space="preserve">Ⅴ-28</t>
  </si>
  <si>
    <t xml:space="preserve">Ⅵ-顺1</t>
  </si>
  <si>
    <t xml:space="preserve">Ⅶ-亦2</t>
  </si>
  <si>
    <t xml:space="preserve">Ⅷ-密1</t>
  </si>
  <si>
    <t xml:space="preserve">Ⅸ-怀3</t>
  </si>
  <si>
    <t xml:space="preserve">Ⅹ-延2</t>
  </si>
  <si>
    <t xml:space="preserve">Ⅳ-电子城东</t>
  </si>
  <si>
    <t xml:space="preserve">Ⅴ-29</t>
  </si>
  <si>
    <t xml:space="preserve">Ⅵ-顺2</t>
  </si>
  <si>
    <t xml:space="preserve">Ⅶ-创新园</t>
  </si>
  <si>
    <t xml:space="preserve">Ⅷ-延1</t>
  </si>
  <si>
    <t xml:space="preserve">Ⅸ-怀4</t>
  </si>
  <si>
    <t xml:space="preserve">Ⅹ-延3</t>
  </si>
  <si>
    <t xml:space="preserve">Ⅳ-电子城西</t>
  </si>
  <si>
    <t xml:space="preserve">Ⅴ-30</t>
  </si>
  <si>
    <t xml:space="preserve">Ⅵ-昌1</t>
  </si>
  <si>
    <t xml:space="preserve">Ⅶ-海淀环保园</t>
  </si>
  <si>
    <t xml:space="preserve">Ⅷ-亦1</t>
  </si>
  <si>
    <t xml:space="preserve">Ⅸ-平1</t>
  </si>
  <si>
    <t xml:space="preserve">Ⅹ-延4</t>
  </si>
  <si>
    <t xml:space="preserve">Ⅳ-丰台园东</t>
  </si>
  <si>
    <t xml:space="preserve">Ⅴ-31</t>
  </si>
  <si>
    <t xml:space="preserve">Ⅵ-昌2</t>
  </si>
  <si>
    <t xml:space="preserve">Ⅶ-温泉科技园Ⅰ</t>
  </si>
  <si>
    <t xml:space="preserve">Ⅷ-亦2</t>
  </si>
  <si>
    <t xml:space="preserve">Ⅸ-平2</t>
  </si>
  <si>
    <t xml:space="preserve">Ⅹ-亦1</t>
  </si>
  <si>
    <t xml:space="preserve">Ⅳ-通1</t>
  </si>
  <si>
    <t xml:space="preserve">Ⅴ-32</t>
  </si>
  <si>
    <t xml:space="preserve">Ⅵ-昌3</t>
  </si>
  <si>
    <t xml:space="preserve">Ⅶ-温泉科技园Ⅱ</t>
  </si>
  <si>
    <t xml:space="preserve">Ⅷ-文化教育基地</t>
  </si>
  <si>
    <t xml:space="preserve">Ⅸ-密1</t>
  </si>
  <si>
    <t xml:space="preserve">Ⅴ-33</t>
  </si>
  <si>
    <t xml:space="preserve">Ⅵ-昌4</t>
  </si>
  <si>
    <t xml:space="preserve">Ⅶ-温泉科技园Ⅲ</t>
  </si>
  <si>
    <t xml:space="preserve">Ⅷ-苏家坨科技Ⅰ</t>
  </si>
  <si>
    <t xml:space="preserve">Ⅸ-延1</t>
  </si>
  <si>
    <t xml:space="preserve">Ⅴ-上地核心</t>
  </si>
  <si>
    <t xml:space="preserve">Ⅵ-兴1</t>
  </si>
  <si>
    <t xml:space="preserve">Ⅶ-国际教育园</t>
  </si>
  <si>
    <t xml:space="preserve">Ⅷ-苏家坨科技Ⅱ</t>
  </si>
  <si>
    <t xml:space="preserve">Ⅸ-延2</t>
  </si>
  <si>
    <t xml:space="preserve">Ⅴ-电子城北</t>
  </si>
  <si>
    <t xml:space="preserve">Ⅵ-兴2</t>
  </si>
  <si>
    <t xml:space="preserve">Ⅶ-农林园</t>
  </si>
  <si>
    <t xml:space="preserve">Ⅷ-通州环保园</t>
  </si>
  <si>
    <t xml:space="preserve">Ⅸ-亦1</t>
  </si>
  <si>
    <t xml:space="preserve">Ⅴ-通1</t>
  </si>
  <si>
    <t xml:space="preserve">Ⅵ-兴3</t>
  </si>
  <si>
    <t xml:space="preserve">Ⅶ-上庄科技</t>
  </si>
  <si>
    <t xml:space="preserve">Ⅷ-通州开发区东</t>
  </si>
  <si>
    <t xml:space="preserve">Ⅸ-亦2</t>
  </si>
  <si>
    <t xml:space="preserve">Ⅴ-通2</t>
  </si>
  <si>
    <t xml:space="preserve">Ⅵ-兴4</t>
  </si>
  <si>
    <t xml:space="preserve">Ⅶ-石龙开发区</t>
  </si>
  <si>
    <t xml:space="preserve">Ⅷ-空港北区B</t>
  </si>
  <si>
    <t xml:space="preserve">Ⅸ-亦3</t>
  </si>
  <si>
    <t xml:space="preserve">Ⅴ-通3</t>
  </si>
  <si>
    <t xml:space="preserve">Ⅵ-兴5</t>
  </si>
  <si>
    <t xml:space="preserve">Ⅶ-良乡开发区A</t>
  </si>
  <si>
    <t xml:space="preserve">Ⅷ-昌平园北Ⅱ</t>
  </si>
  <si>
    <t xml:space="preserve">Ⅸ-房山工业园西</t>
  </si>
  <si>
    <t xml:space="preserve">Ⅴ-通4</t>
  </si>
  <si>
    <t xml:space="preserve">Ⅵ-亦1</t>
  </si>
  <si>
    <t xml:space="preserve">Ⅶ-良乡开发区B</t>
  </si>
  <si>
    <t xml:space="preserve">Ⅷ-昌平园北Ⅲ</t>
  </si>
  <si>
    <t xml:space="preserve">Ⅸ-房山工业园东</t>
  </si>
  <si>
    <t xml:space="preserve">Ⅴ-亦1</t>
  </si>
  <si>
    <t xml:space="preserve">Ⅵ-亦2</t>
  </si>
  <si>
    <t xml:space="preserve">Ⅶ-良乡开发区C</t>
  </si>
  <si>
    <t xml:space="preserve">Ⅷ-昌平园南Ⅰ</t>
  </si>
  <si>
    <t xml:space="preserve">Ⅸ-永乐开发区</t>
  </si>
  <si>
    <t xml:space="preserve">Ⅵ-亦3</t>
  </si>
  <si>
    <t xml:space="preserve">Ⅶ-林河开发区</t>
  </si>
  <si>
    <t xml:space="preserve">Ⅷ-昌平园南Ⅱ</t>
  </si>
  <si>
    <t xml:space="preserve">Ⅸ-采育开发区</t>
  </si>
  <si>
    <t xml:space="preserve">Ⅵ-亦4</t>
  </si>
  <si>
    <t xml:space="preserve">Ⅶ-空港北区A</t>
  </si>
  <si>
    <t xml:space="preserve">Ⅷ-小汤山工业园</t>
  </si>
  <si>
    <t xml:space="preserve">Ⅸ-雁栖开发区A</t>
  </si>
  <si>
    <t xml:space="preserve">Ⅵ-永丰产业基地</t>
  </si>
  <si>
    <r>
      <rPr>
        <sz val="9"/>
        <color rgb="FF000000"/>
        <rFont val="仿宋_GB2312"/>
        <family val="0"/>
        <charset val="134"/>
      </rPr>
      <t xml:space="preserve">Ⅶ-昌平园北</t>
    </r>
    <r>
      <rPr>
        <sz val="9"/>
        <color rgb="FF000000"/>
        <rFont val="宋体"/>
        <family val="3"/>
        <charset val="134"/>
      </rPr>
      <t xml:space="preserve">Ⅰ</t>
    </r>
  </si>
  <si>
    <t xml:space="preserve">Ⅷ-生物医药基地</t>
  </si>
  <si>
    <t xml:space="preserve">Ⅸ-雁栖开发区B</t>
  </si>
  <si>
    <t xml:space="preserve">Ⅵ-航天城</t>
  </si>
  <si>
    <t xml:space="preserve">Ⅶ-BDA南</t>
  </si>
  <si>
    <t xml:space="preserve">Ⅸ-雁栖开发区C</t>
  </si>
  <si>
    <t xml:space="preserve">Ⅵ-西北旺Ⅰ</t>
  </si>
  <si>
    <t xml:space="preserve">Ⅸ-兴谷开发区A</t>
  </si>
  <si>
    <t xml:space="preserve">Ⅵ-西北旺Ⅱ</t>
  </si>
  <si>
    <t xml:space="preserve">Ⅸ-兴谷开发区B</t>
  </si>
  <si>
    <t xml:space="preserve">Ⅵ-丰台西园Ⅰ</t>
  </si>
  <si>
    <t xml:space="preserve">Ⅸ-马坊工业园</t>
  </si>
  <si>
    <t xml:space="preserve">Ⅵ-丰台西园Ⅱ</t>
  </si>
  <si>
    <t xml:space="preserve">Ⅸ-密云开发区</t>
  </si>
  <si>
    <t xml:space="preserve">Ⅵ-石景山园北Ⅰ</t>
  </si>
  <si>
    <t xml:space="preserve">Ⅸ-延庆开发区</t>
  </si>
  <si>
    <t xml:space="preserve">Ⅵ-石景山园北Ⅱ</t>
  </si>
  <si>
    <t xml:space="preserve">Ⅸ-八达岭开发区</t>
  </si>
  <si>
    <t xml:space="preserve">Ⅵ-石景山园南</t>
  </si>
  <si>
    <t xml:space="preserve">Ⅵ-通州开发区西</t>
  </si>
  <si>
    <t xml:space="preserve">Ⅵ-光机电</t>
  </si>
  <si>
    <t xml:space="preserve">Ⅵ-天竺保税区南</t>
  </si>
  <si>
    <t xml:space="preserve">Ⅵ-天竺保税区北Ⅰ</t>
  </si>
  <si>
    <t xml:space="preserve">Ⅵ-天竺保税区北Ⅱ</t>
  </si>
  <si>
    <t xml:space="preserve">Ⅵ-空港A</t>
  </si>
  <si>
    <t xml:space="preserve">Ⅵ-空港B</t>
  </si>
  <si>
    <t xml:space="preserve">Ⅵ-生命科学园</t>
  </si>
  <si>
    <t xml:space="preserve">Ⅵ-三一光电</t>
  </si>
  <si>
    <t xml:space="preserve">Ⅵ-大兴开发区</t>
  </si>
  <si>
    <t xml:space="preserve">Ⅵ-BDA核心</t>
  </si>
  <si>
    <t xml:space="preserve">Ⅵ-BDA东</t>
  </si>
  <si>
    <t xml:space="preserve">北京市区片基准地价因素总修正幅度表</t>
  </si>
  <si>
    <r>
      <rPr>
        <sz val="8"/>
        <color rgb="FF000000"/>
        <rFont val="仿宋_GB2312"/>
        <family val="0"/>
        <charset val="134"/>
      </rPr>
      <t xml:space="preserve">Ⅶ-昌平园北</t>
    </r>
    <r>
      <rPr>
        <sz val="8"/>
        <color rgb="FF000000"/>
        <rFont val="宋体"/>
        <family val="3"/>
        <charset val="134"/>
      </rPr>
      <t xml:space="preserve">Ⅰ</t>
    </r>
  </si>
  <si>
    <t xml:space="preserve">北京市级别基准地价表（楼面地价）</t>
  </si>
  <si>
    <t xml:space="preserve">（一）北京市级别基准地价表</t>
  </si>
  <si>
    <t xml:space="preserve">基准期日：2021年１月１日                        </t>
  </si>
  <si>
    <t xml:space="preserve">单位：元／平方米</t>
  </si>
  <si>
    <t xml:space="preserve">居住</t>
  </si>
  <si>
    <t xml:space="preserve">公示增长率-中心城区</t>
  </si>
  <si>
    <t xml:space="preserve">核算至百分数</t>
  </si>
  <si>
    <t xml:space="preserve">季度连乘</t>
  </si>
  <si>
    <t xml:space="preserve">平均增幅</t>
  </si>
  <si>
    <t xml:space="preserve">平均</t>
  </si>
  <si>
    <t xml:space="preserve">本行不参与计算</t>
  </si>
  <si>
    <t xml:space="preserve">2023-4</t>
  </si>
  <si>
    <t xml:space="preserve">2023-3</t>
  </si>
  <si>
    <t xml:space="preserve">2023-2</t>
  </si>
  <si>
    <t xml:space="preserve">2023-1</t>
  </si>
  <si>
    <t xml:space="preserve">2022-4</t>
  </si>
  <si>
    <t xml:space="preserve">2022-3</t>
  </si>
  <si>
    <t xml:space="preserve">2022-2</t>
  </si>
  <si>
    <t xml:space="preserve">2022-1</t>
  </si>
  <si>
    <t xml:space="preserve">2021-4</t>
  </si>
  <si>
    <t xml:space="preserve">2021-3</t>
  </si>
  <si>
    <t xml:space="preserve">2021-2</t>
  </si>
  <si>
    <t xml:space="preserve">2021-1</t>
  </si>
  <si>
    <t xml:space="preserve">中心城区：城六区，对应北京市地价动态监测结果的国家级样点和市级样点中办公（市区）</t>
  </si>
  <si>
    <t xml:space="preserve">公示增长率-非中心城区</t>
  </si>
  <si>
    <t xml:space="preserve">非中心城区：除城六区外其余十一区，对应北京市地价动态监测结果的市级样点，即规划新城</t>
  </si>
  <si>
    <t xml:space="preserve">公示地价指数</t>
  </si>
  <si>
    <t xml:space="preserve">公示增长率</t>
  </si>
  <si>
    <t xml:space="preserve">验证</t>
  </si>
  <si>
    <r>
      <rPr>
        <sz val="10"/>
        <color rgb="FFFF0000"/>
        <rFont val="宋体"/>
        <family val="3"/>
        <charset val="134"/>
      </rPr>
      <t xml:space="preserve">当前季度，自</t>
    </r>
    <r>
      <rPr>
        <sz val="10"/>
        <color rgb="FFFF0000"/>
        <rFont val="Arial"/>
        <family val="2"/>
        <charset val="1"/>
      </rPr>
      <t xml:space="preserve">2018</t>
    </r>
    <r>
      <rPr>
        <sz val="10"/>
        <color rgb="FFFF0000"/>
        <rFont val="宋体"/>
        <family val="3"/>
        <charset val="134"/>
      </rPr>
      <t xml:space="preserve">年</t>
    </r>
    <r>
      <rPr>
        <sz val="10"/>
        <color rgb="FFFF0000"/>
        <rFont val="Arial"/>
        <family val="2"/>
        <charset val="1"/>
      </rPr>
      <t xml:space="preserve">1</t>
    </r>
    <r>
      <rPr>
        <sz val="10"/>
        <color rgb="FFFF0000"/>
        <rFont val="宋体"/>
        <family val="3"/>
        <charset val="134"/>
      </rPr>
      <t xml:space="preserve">季度起不计预测值</t>
    </r>
  </si>
  <si>
    <t xml:space="preserve">2020-4</t>
  </si>
  <si>
    <t xml:space="preserve">2020-3</t>
  </si>
  <si>
    <t xml:space="preserve">2020-2</t>
  </si>
  <si>
    <t xml:space="preserve">2020-1</t>
  </si>
  <si>
    <t xml:space="preserve">2019-4</t>
  </si>
  <si>
    <t xml:space="preserve">2019-3</t>
  </si>
  <si>
    <t xml:space="preserve">2019-2</t>
  </si>
  <si>
    <t xml:space="preserve">2019-1</t>
  </si>
  <si>
    <t xml:space="preserve">2018-4</t>
  </si>
  <si>
    <t xml:space="preserve">2018-3</t>
  </si>
  <si>
    <t xml:space="preserve">2018-2</t>
  </si>
  <si>
    <t xml:space="preserve">2018-1</t>
  </si>
  <si>
    <t xml:space="preserve">2017-4</t>
  </si>
  <si>
    <t xml:space="preserve">2017-3</t>
  </si>
  <si>
    <t xml:space="preserve">2017-2</t>
  </si>
  <si>
    <t xml:space="preserve">2017-1</t>
  </si>
  <si>
    <t xml:space="preserve">2016-4</t>
  </si>
  <si>
    <t xml:space="preserve">2016-3</t>
  </si>
  <si>
    <t xml:space="preserve">2016-2</t>
  </si>
  <si>
    <t xml:space="preserve">2016-1</t>
  </si>
  <si>
    <t xml:space="preserve">2015-4</t>
  </si>
  <si>
    <t xml:space="preserve">2015-3</t>
  </si>
  <si>
    <t xml:space="preserve">2015-2</t>
  </si>
  <si>
    <t xml:space="preserve">2015-1</t>
  </si>
  <si>
    <t xml:space="preserve">2014-4</t>
  </si>
  <si>
    <t xml:space="preserve">2014-3</t>
  </si>
  <si>
    <t xml:space="preserve">2014-2</t>
  </si>
  <si>
    <t xml:space="preserve">2014-1</t>
  </si>
  <si>
    <t xml:space="preserve">基准季度</t>
  </si>
  <si>
    <t xml:space="preserve">2013-4</t>
  </si>
  <si>
    <t xml:space="preserve">2013-3</t>
  </si>
  <si>
    <t xml:space="preserve">2013-2</t>
  </si>
  <si>
    <t xml:space="preserve">2013-1</t>
  </si>
  <si>
    <r>
      <rPr>
        <sz val="10"/>
        <rFont val="Arial"/>
        <family val="2"/>
        <charset val="1"/>
      </rPr>
      <t xml:space="preserve">2</t>
    </r>
    <r>
      <rPr>
        <sz val="10"/>
        <color rgb="FF000000"/>
        <rFont val="Arial"/>
        <family val="2"/>
        <charset val="1"/>
      </rPr>
      <t xml:space="preserve">012-4</t>
    </r>
  </si>
  <si>
    <r>
      <rPr>
        <sz val="10"/>
        <rFont val="Arial"/>
        <family val="2"/>
        <charset val="1"/>
      </rPr>
      <t xml:space="preserve">2</t>
    </r>
    <r>
      <rPr>
        <sz val="10"/>
        <color rgb="FF000000"/>
        <rFont val="Arial"/>
        <family val="2"/>
        <charset val="1"/>
      </rPr>
      <t xml:space="preserve">012-3</t>
    </r>
  </si>
  <si>
    <r>
      <rPr>
        <sz val="10"/>
        <rFont val="Arial"/>
        <family val="2"/>
        <charset val="1"/>
      </rPr>
      <t xml:space="preserve">2</t>
    </r>
    <r>
      <rPr>
        <sz val="10"/>
        <color rgb="FF000000"/>
        <rFont val="Arial"/>
        <family val="2"/>
        <charset val="1"/>
      </rPr>
      <t xml:space="preserve">012-2</t>
    </r>
  </si>
  <si>
    <r>
      <rPr>
        <sz val="10"/>
        <rFont val="Arial"/>
        <family val="2"/>
        <charset val="1"/>
      </rPr>
      <t xml:space="preserve">2</t>
    </r>
    <r>
      <rPr>
        <sz val="10"/>
        <color rgb="FF000000"/>
        <rFont val="Arial"/>
        <family val="2"/>
        <charset val="1"/>
      </rPr>
      <t xml:space="preserve">012-1</t>
    </r>
  </si>
  <si>
    <r>
      <rPr>
        <sz val="10"/>
        <rFont val="Arial"/>
        <family val="2"/>
        <charset val="1"/>
      </rPr>
      <t xml:space="preserve">2</t>
    </r>
    <r>
      <rPr>
        <sz val="10"/>
        <color rgb="FF000000"/>
        <rFont val="Arial"/>
        <family val="2"/>
        <charset val="1"/>
      </rPr>
      <t xml:space="preserve">011-4</t>
    </r>
  </si>
  <si>
    <r>
      <rPr>
        <sz val="10"/>
        <rFont val="Arial"/>
        <family val="2"/>
        <charset val="1"/>
      </rPr>
      <t xml:space="preserve">2</t>
    </r>
    <r>
      <rPr>
        <sz val="10"/>
        <color rgb="FF000000"/>
        <rFont val="Arial"/>
        <family val="2"/>
        <charset val="1"/>
      </rPr>
      <t xml:space="preserve">011-3</t>
    </r>
  </si>
  <si>
    <r>
      <rPr>
        <sz val="10"/>
        <rFont val="Arial"/>
        <family val="2"/>
        <charset val="1"/>
      </rPr>
      <t xml:space="preserve">2</t>
    </r>
    <r>
      <rPr>
        <sz val="10"/>
        <color rgb="FF000000"/>
        <rFont val="Arial"/>
        <family val="2"/>
        <charset val="1"/>
      </rPr>
      <t xml:space="preserve">011-2</t>
    </r>
  </si>
  <si>
    <r>
      <rPr>
        <sz val="10"/>
        <rFont val="Arial"/>
        <family val="2"/>
        <charset val="1"/>
      </rPr>
      <t xml:space="preserve">2</t>
    </r>
    <r>
      <rPr>
        <sz val="10"/>
        <color rgb="FF000000"/>
        <rFont val="Arial"/>
        <family val="2"/>
        <charset val="1"/>
      </rPr>
      <t xml:space="preserve">011-1</t>
    </r>
  </si>
  <si>
    <r>
      <rPr>
        <sz val="10"/>
        <rFont val="Arial"/>
        <family val="2"/>
        <charset val="1"/>
      </rPr>
      <t xml:space="preserve">2</t>
    </r>
    <r>
      <rPr>
        <sz val="10"/>
        <color rgb="FF000000"/>
        <rFont val="Arial"/>
        <family val="2"/>
        <charset val="1"/>
      </rPr>
      <t xml:space="preserve">010-4</t>
    </r>
  </si>
  <si>
    <r>
      <rPr>
        <sz val="10"/>
        <rFont val="Arial"/>
        <family val="2"/>
        <charset val="1"/>
      </rPr>
      <t xml:space="preserve">2</t>
    </r>
    <r>
      <rPr>
        <sz val="10"/>
        <color rgb="FF000000"/>
        <rFont val="Arial"/>
        <family val="2"/>
        <charset val="1"/>
      </rPr>
      <t xml:space="preserve">010-3</t>
    </r>
  </si>
  <si>
    <r>
      <rPr>
        <sz val="10"/>
        <rFont val="Arial"/>
        <family val="2"/>
        <charset val="1"/>
      </rPr>
      <t xml:space="preserve">2</t>
    </r>
    <r>
      <rPr>
        <sz val="10"/>
        <color rgb="FF000000"/>
        <rFont val="Arial"/>
        <family val="2"/>
        <charset val="1"/>
      </rPr>
      <t xml:space="preserve">010-2</t>
    </r>
  </si>
  <si>
    <r>
      <rPr>
        <sz val="10"/>
        <rFont val="Arial"/>
        <family val="2"/>
        <charset val="1"/>
      </rPr>
      <t xml:space="preserve">2</t>
    </r>
    <r>
      <rPr>
        <sz val="10"/>
        <color rgb="FF000000"/>
        <rFont val="Arial"/>
        <family val="2"/>
        <charset val="1"/>
      </rPr>
      <t xml:space="preserve">010-1</t>
    </r>
  </si>
  <si>
    <r>
      <rPr>
        <sz val="10"/>
        <rFont val="Arial"/>
        <family val="2"/>
        <charset val="1"/>
      </rPr>
      <t xml:space="preserve">2</t>
    </r>
    <r>
      <rPr>
        <sz val="10"/>
        <color rgb="FF000000"/>
        <rFont val="Arial"/>
        <family val="2"/>
        <charset val="1"/>
      </rPr>
      <t xml:space="preserve">009-4</t>
    </r>
  </si>
  <si>
    <r>
      <rPr>
        <sz val="10"/>
        <rFont val="Arial"/>
        <family val="2"/>
        <charset val="1"/>
      </rPr>
      <t xml:space="preserve">2</t>
    </r>
    <r>
      <rPr>
        <sz val="10"/>
        <color rgb="FF000000"/>
        <rFont val="Arial"/>
        <family val="2"/>
        <charset val="1"/>
      </rPr>
      <t xml:space="preserve">009-3</t>
    </r>
  </si>
  <si>
    <r>
      <rPr>
        <sz val="10"/>
        <rFont val="Arial"/>
        <family val="2"/>
        <charset val="1"/>
      </rPr>
      <t xml:space="preserve">2</t>
    </r>
    <r>
      <rPr>
        <sz val="10"/>
        <color rgb="FF000000"/>
        <rFont val="Arial"/>
        <family val="2"/>
        <charset val="1"/>
      </rPr>
      <t xml:space="preserve">009-2</t>
    </r>
  </si>
  <si>
    <r>
      <rPr>
        <sz val="10"/>
        <rFont val="Arial"/>
        <family val="2"/>
        <charset val="1"/>
      </rPr>
      <t xml:space="preserve">2</t>
    </r>
    <r>
      <rPr>
        <sz val="10"/>
        <color rgb="FF000000"/>
        <rFont val="Arial"/>
        <family val="2"/>
        <charset val="1"/>
      </rPr>
      <t xml:space="preserve">009-1</t>
    </r>
  </si>
  <si>
    <r>
      <rPr>
        <sz val="10"/>
        <rFont val="Arial"/>
        <family val="2"/>
        <charset val="1"/>
      </rPr>
      <t xml:space="preserve">2</t>
    </r>
    <r>
      <rPr>
        <sz val="10"/>
        <color rgb="FF000000"/>
        <rFont val="Arial"/>
        <family val="2"/>
        <charset val="1"/>
      </rPr>
      <t xml:space="preserve">008-4</t>
    </r>
  </si>
  <si>
    <r>
      <rPr>
        <sz val="10"/>
        <rFont val="Arial"/>
        <family val="2"/>
        <charset val="1"/>
      </rPr>
      <t xml:space="preserve">2</t>
    </r>
    <r>
      <rPr>
        <sz val="10"/>
        <color rgb="FF000000"/>
        <rFont val="Arial"/>
        <family val="2"/>
        <charset val="1"/>
      </rPr>
      <t xml:space="preserve">008-3</t>
    </r>
  </si>
  <si>
    <r>
      <rPr>
        <sz val="10"/>
        <rFont val="Arial"/>
        <family val="2"/>
        <charset val="1"/>
      </rPr>
      <t xml:space="preserve">2</t>
    </r>
    <r>
      <rPr>
        <sz val="10"/>
        <color rgb="FF000000"/>
        <rFont val="Arial"/>
        <family val="2"/>
        <charset val="1"/>
      </rPr>
      <t xml:space="preserve">008-2</t>
    </r>
  </si>
  <si>
    <r>
      <rPr>
        <sz val="10"/>
        <rFont val="Arial"/>
        <family val="2"/>
        <charset val="1"/>
      </rPr>
      <t xml:space="preserve">2</t>
    </r>
    <r>
      <rPr>
        <sz val="10"/>
        <color rgb="FF000000"/>
        <rFont val="Arial"/>
        <family val="2"/>
        <charset val="1"/>
      </rPr>
      <t xml:space="preserve">008-1</t>
    </r>
  </si>
  <si>
    <r>
      <rPr>
        <sz val="10"/>
        <rFont val="Arial"/>
        <family val="2"/>
        <charset val="1"/>
      </rPr>
      <t xml:space="preserve">2</t>
    </r>
    <r>
      <rPr>
        <sz val="10"/>
        <color rgb="FF000000"/>
        <rFont val="Arial"/>
        <family val="2"/>
        <charset val="1"/>
      </rPr>
      <t xml:space="preserve">007-4</t>
    </r>
  </si>
  <si>
    <r>
      <rPr>
        <sz val="10"/>
        <rFont val="Arial"/>
        <family val="2"/>
        <charset val="1"/>
      </rPr>
      <t xml:space="preserve">2</t>
    </r>
    <r>
      <rPr>
        <sz val="10"/>
        <color rgb="FF000000"/>
        <rFont val="Arial"/>
        <family val="2"/>
        <charset val="1"/>
      </rPr>
      <t xml:space="preserve">007-3</t>
    </r>
  </si>
  <si>
    <r>
      <rPr>
        <sz val="10"/>
        <rFont val="Arial"/>
        <family val="2"/>
        <charset val="1"/>
      </rPr>
      <t xml:space="preserve">2</t>
    </r>
    <r>
      <rPr>
        <sz val="10"/>
        <color rgb="FF000000"/>
        <rFont val="Arial"/>
        <family val="2"/>
        <charset val="1"/>
      </rPr>
      <t xml:space="preserve">007-2</t>
    </r>
  </si>
  <si>
    <r>
      <rPr>
        <sz val="10"/>
        <rFont val="Arial"/>
        <family val="2"/>
        <charset val="1"/>
      </rPr>
      <t xml:space="preserve">2</t>
    </r>
    <r>
      <rPr>
        <sz val="10"/>
        <color rgb="FF000000"/>
        <rFont val="Arial"/>
        <family val="2"/>
        <charset val="1"/>
      </rPr>
      <t xml:space="preserve">007-1</t>
    </r>
  </si>
  <si>
    <r>
      <rPr>
        <sz val="10"/>
        <rFont val="Arial"/>
        <family val="2"/>
        <charset val="1"/>
      </rPr>
      <t xml:space="preserve">2</t>
    </r>
    <r>
      <rPr>
        <sz val="10"/>
        <color rgb="FF000000"/>
        <rFont val="Arial"/>
        <family val="2"/>
        <charset val="1"/>
      </rPr>
      <t xml:space="preserve">006-4</t>
    </r>
  </si>
  <si>
    <t xml:space="preserve">2006-3</t>
  </si>
  <si>
    <t xml:space="preserve">2006-2</t>
  </si>
  <si>
    <t xml:space="preserve">2006-1</t>
  </si>
  <si>
    <r>
      <rPr>
        <sz val="10"/>
        <rFont val="Arial"/>
        <family val="2"/>
        <charset val="1"/>
      </rPr>
      <t xml:space="preserve">2</t>
    </r>
    <r>
      <rPr>
        <sz val="10"/>
        <color rgb="FF000000"/>
        <rFont val="Arial"/>
        <family val="2"/>
        <charset val="1"/>
      </rPr>
      <t xml:space="preserve">005-4</t>
    </r>
  </si>
  <si>
    <r>
      <rPr>
        <sz val="10"/>
        <rFont val="Arial"/>
        <family val="2"/>
        <charset val="1"/>
      </rPr>
      <t xml:space="preserve">2</t>
    </r>
    <r>
      <rPr>
        <sz val="10"/>
        <color rgb="FF000000"/>
        <rFont val="Arial"/>
        <family val="2"/>
        <charset val="1"/>
      </rPr>
      <t xml:space="preserve">005-3</t>
    </r>
  </si>
  <si>
    <r>
      <rPr>
        <sz val="10"/>
        <rFont val="Arial"/>
        <family val="2"/>
        <charset val="1"/>
      </rPr>
      <t xml:space="preserve">2</t>
    </r>
    <r>
      <rPr>
        <sz val="10"/>
        <color rgb="FF000000"/>
        <rFont val="Arial"/>
        <family val="2"/>
        <charset val="1"/>
      </rPr>
      <t xml:space="preserve">005-2</t>
    </r>
  </si>
  <si>
    <r>
      <rPr>
        <sz val="10"/>
        <rFont val="Arial"/>
        <family val="2"/>
        <charset val="1"/>
      </rPr>
      <t xml:space="preserve">2</t>
    </r>
    <r>
      <rPr>
        <sz val="10"/>
        <color rgb="FF000000"/>
        <rFont val="Arial"/>
        <family val="2"/>
        <charset val="1"/>
      </rPr>
      <t xml:space="preserve">005-1</t>
    </r>
  </si>
  <si>
    <r>
      <rPr>
        <sz val="10"/>
        <rFont val="Arial"/>
        <family val="2"/>
        <charset val="1"/>
      </rPr>
      <t xml:space="preserve">2</t>
    </r>
    <r>
      <rPr>
        <sz val="10"/>
        <color rgb="FF000000"/>
        <rFont val="Arial"/>
        <family val="2"/>
        <charset val="1"/>
      </rPr>
      <t xml:space="preserve">004-4</t>
    </r>
  </si>
  <si>
    <r>
      <rPr>
        <sz val="10"/>
        <rFont val="Arial"/>
        <family val="2"/>
        <charset val="1"/>
      </rPr>
      <t xml:space="preserve">2</t>
    </r>
    <r>
      <rPr>
        <sz val="10"/>
        <color rgb="FF000000"/>
        <rFont val="Arial"/>
        <family val="2"/>
        <charset val="1"/>
      </rPr>
      <t xml:space="preserve">004-3</t>
    </r>
  </si>
  <si>
    <r>
      <rPr>
        <sz val="10"/>
        <rFont val="Arial"/>
        <family val="2"/>
        <charset val="1"/>
      </rPr>
      <t xml:space="preserve">2</t>
    </r>
    <r>
      <rPr>
        <sz val="10"/>
        <color rgb="FF000000"/>
        <rFont val="Arial"/>
        <family val="2"/>
        <charset val="1"/>
      </rPr>
      <t xml:space="preserve">004-2</t>
    </r>
  </si>
  <si>
    <r>
      <rPr>
        <sz val="10"/>
        <rFont val="Arial"/>
        <family val="2"/>
        <charset val="1"/>
      </rPr>
      <t xml:space="preserve">2</t>
    </r>
    <r>
      <rPr>
        <sz val="10"/>
        <color rgb="FF000000"/>
        <rFont val="Arial"/>
        <family val="2"/>
        <charset val="1"/>
      </rPr>
      <t xml:space="preserve">004-1</t>
    </r>
  </si>
  <si>
    <r>
      <rPr>
        <sz val="10"/>
        <rFont val="Arial"/>
        <family val="2"/>
        <charset val="1"/>
      </rPr>
      <t xml:space="preserve">2</t>
    </r>
    <r>
      <rPr>
        <sz val="10"/>
        <color rgb="FF000000"/>
        <rFont val="Arial"/>
        <family val="2"/>
        <charset val="1"/>
      </rPr>
      <t xml:space="preserve">003-4</t>
    </r>
  </si>
  <si>
    <r>
      <rPr>
        <sz val="10"/>
        <rFont val="Arial"/>
        <family val="2"/>
        <charset val="1"/>
      </rPr>
      <t xml:space="preserve">2</t>
    </r>
    <r>
      <rPr>
        <sz val="10"/>
        <color rgb="FF000000"/>
        <rFont val="Arial"/>
        <family val="2"/>
        <charset val="1"/>
      </rPr>
      <t xml:space="preserve">003-3</t>
    </r>
  </si>
  <si>
    <r>
      <rPr>
        <sz val="10"/>
        <rFont val="Arial"/>
        <family val="2"/>
        <charset val="1"/>
      </rPr>
      <t xml:space="preserve">2</t>
    </r>
    <r>
      <rPr>
        <sz val="10"/>
        <color rgb="FF000000"/>
        <rFont val="Arial"/>
        <family val="2"/>
        <charset val="1"/>
      </rPr>
      <t xml:space="preserve">003-2</t>
    </r>
  </si>
  <si>
    <r>
      <rPr>
        <sz val="10"/>
        <rFont val="Arial"/>
        <family val="2"/>
        <charset val="1"/>
      </rPr>
      <t xml:space="preserve">2</t>
    </r>
    <r>
      <rPr>
        <sz val="10"/>
        <color rgb="FF000000"/>
        <rFont val="Arial"/>
        <family val="2"/>
        <charset val="1"/>
      </rPr>
      <t xml:space="preserve">003-1</t>
    </r>
  </si>
  <si>
    <r>
      <rPr>
        <sz val="10"/>
        <rFont val="Arial"/>
        <family val="2"/>
        <charset val="1"/>
      </rPr>
      <t xml:space="preserve">2</t>
    </r>
    <r>
      <rPr>
        <sz val="10"/>
        <color rgb="FF000000"/>
        <rFont val="Arial"/>
        <family val="2"/>
        <charset val="1"/>
      </rPr>
      <t xml:space="preserve">002-4</t>
    </r>
  </si>
  <si>
    <r>
      <rPr>
        <sz val="10"/>
        <rFont val="Arial"/>
        <family val="2"/>
        <charset val="1"/>
      </rPr>
      <t xml:space="preserve">2</t>
    </r>
    <r>
      <rPr>
        <sz val="10"/>
        <color rgb="FF000000"/>
        <rFont val="Arial"/>
        <family val="2"/>
        <charset val="1"/>
      </rPr>
      <t xml:space="preserve">002-3</t>
    </r>
  </si>
  <si>
    <r>
      <rPr>
        <sz val="10"/>
        <rFont val="Arial"/>
        <family val="2"/>
        <charset val="1"/>
      </rPr>
      <t xml:space="preserve">2</t>
    </r>
    <r>
      <rPr>
        <sz val="10"/>
        <color rgb="FF000000"/>
        <rFont val="Arial"/>
        <family val="2"/>
        <charset val="1"/>
      </rPr>
      <t xml:space="preserve">002-2</t>
    </r>
  </si>
  <si>
    <r>
      <rPr>
        <sz val="10"/>
        <rFont val="Arial"/>
        <family val="2"/>
        <charset val="1"/>
      </rPr>
      <t xml:space="preserve">2</t>
    </r>
    <r>
      <rPr>
        <sz val="10"/>
        <color rgb="FF000000"/>
        <rFont val="Arial"/>
        <family val="2"/>
        <charset val="1"/>
      </rPr>
      <t xml:space="preserve">002-1</t>
    </r>
  </si>
  <si>
    <r>
      <rPr>
        <sz val="10"/>
        <color rgb="FFFF0000"/>
        <rFont val="Arial"/>
        <family val="2"/>
        <charset val="1"/>
      </rPr>
      <t xml:space="preserve">2008</t>
    </r>
    <r>
      <rPr>
        <sz val="10"/>
        <color rgb="FFFF0000"/>
        <rFont val="宋体"/>
        <family val="3"/>
        <charset val="134"/>
      </rPr>
      <t xml:space="preserve">年</t>
    </r>
    <r>
      <rPr>
        <sz val="10"/>
        <color rgb="FFFF0000"/>
        <rFont val="Arial"/>
        <family val="2"/>
        <charset val="1"/>
      </rPr>
      <t xml:space="preserve">-</t>
    </r>
    <r>
      <rPr>
        <sz val="10"/>
        <color rgb="FFFF0000"/>
        <rFont val="宋体"/>
        <family val="3"/>
        <charset val="134"/>
      </rPr>
      <t xml:space="preserve">至今，</t>
    </r>
    <r>
      <rPr>
        <sz val="10"/>
        <color rgb="FFFF0000"/>
        <rFont val="Arial"/>
        <family val="2"/>
        <charset val="1"/>
      </rPr>
      <t xml:space="preserve">4</t>
    </r>
    <r>
      <rPr>
        <sz val="10"/>
        <color rgb="FFFF0000"/>
        <rFont val="宋体"/>
        <family val="3"/>
        <charset val="134"/>
      </rPr>
      <t xml:space="preserve">季度地价指数为地价监测网站公布数据，其余各季度指数按照公示增长率折算；</t>
    </r>
  </si>
  <si>
    <r>
      <rPr>
        <sz val="10"/>
        <color rgb="FFFF0000"/>
        <rFont val="Arial"/>
        <family val="2"/>
        <charset val="1"/>
      </rPr>
      <t xml:space="preserve">2004-2007</t>
    </r>
    <r>
      <rPr>
        <sz val="10"/>
        <color rgb="FFFF0000"/>
        <rFont val="宋体"/>
        <family val="3"/>
        <charset val="134"/>
      </rPr>
      <t xml:space="preserve">年，按公示地价指数计算的增长率与公示增长率不符，除</t>
    </r>
    <r>
      <rPr>
        <sz val="10"/>
        <color rgb="FFFF0000"/>
        <rFont val="Arial"/>
        <family val="2"/>
        <charset val="1"/>
      </rPr>
      <t xml:space="preserve">4</t>
    </r>
    <r>
      <rPr>
        <sz val="10"/>
        <color rgb="FFFF0000"/>
        <rFont val="宋体"/>
        <family val="3"/>
        <charset val="134"/>
      </rPr>
      <t xml:space="preserve">季度以外的各季度地价指数的计算，是通过公示增长率的比例分配至年度间指数差值计算得出</t>
    </r>
  </si>
  <si>
    <r>
      <rPr>
        <sz val="10"/>
        <color rgb="FFFF0000"/>
        <rFont val="Arial"/>
        <family val="2"/>
        <charset val="1"/>
      </rPr>
      <t xml:space="preserve">2002</t>
    </r>
    <r>
      <rPr>
        <sz val="10"/>
        <color rgb="FFFF0000"/>
        <rFont val="宋体"/>
        <family val="3"/>
        <charset val="134"/>
      </rPr>
      <t xml:space="preserve">及</t>
    </r>
    <r>
      <rPr>
        <sz val="10"/>
        <color rgb="FFFF0000"/>
        <rFont val="Arial"/>
        <family val="2"/>
        <charset val="1"/>
      </rPr>
      <t xml:space="preserve">2003</t>
    </r>
    <r>
      <rPr>
        <sz val="10"/>
        <color rgb="FFFF0000"/>
        <rFont val="宋体"/>
        <family val="3"/>
        <charset val="134"/>
      </rPr>
      <t xml:space="preserve">年，除</t>
    </r>
    <r>
      <rPr>
        <sz val="10"/>
        <color rgb="FFFF0000"/>
        <rFont val="Arial"/>
        <family val="2"/>
        <charset val="1"/>
      </rPr>
      <t xml:space="preserve">4</t>
    </r>
    <r>
      <rPr>
        <sz val="10"/>
        <color rgb="FFFF0000"/>
        <rFont val="宋体"/>
        <family val="3"/>
        <charset val="134"/>
      </rPr>
      <t xml:space="preserve">季度外的各季度地价指数是将年度指数差值平均分配计算得出</t>
    </r>
  </si>
  <si>
    <t xml:space="preserve">年度</t>
  </si>
  <si>
    <t xml:space="preserve">建面成交单价</t>
  </si>
  <si>
    <t xml:space="preserve">建面评估单价(元/M2)</t>
  </si>
  <si>
    <t xml:space="preserve">释放清单出具日期</t>
  </si>
  <si>
    <t xml:space="preserve">销售方式</t>
  </si>
  <si>
    <t xml:space="preserve">交易方式</t>
  </si>
  <si>
    <t xml:space="preserve">价格内涵</t>
  </si>
  <si>
    <t xml:space="preserve">评估套内单价</t>
  </si>
  <si>
    <t xml:space="preserve">套内单价</t>
  </si>
  <si>
    <t xml:space="preserve">蒲黄榆路</t>
  </si>
  <si>
    <t xml:space="preserve">11号楼</t>
  </si>
  <si>
    <t xml:space="preserve">13层2号</t>
  </si>
  <si>
    <t xml:space="preserve">林秀红</t>
  </si>
  <si>
    <t xml:space="preserve">一室一厅一卫一厨</t>
  </si>
  <si>
    <t xml:space="preserve">北京住房公积金管理中心丰台管理部</t>
  </si>
  <si>
    <t xml:space="preserve">邹晓鸣</t>
  </si>
  <si>
    <t xml:space="preserve">一</t>
  </si>
  <si>
    <t xml:space="preserve">三</t>
  </si>
  <si>
    <t xml:space="preserve">裴蓓</t>
  </si>
  <si>
    <t xml:space="preserve">初审意见书</t>
  </si>
  <si>
    <t xml:space="preserve">买卖合同</t>
  </si>
  <si>
    <t xml:space="preserve">二手房</t>
  </si>
  <si>
    <t xml:space="preserve">郭凡</t>
  </si>
  <si>
    <t xml:space="preserve">现售</t>
  </si>
  <si>
    <t xml:space="preserve">双方</t>
  </si>
  <si>
    <t xml:space="preserve">不含税费</t>
  </si>
  <si>
    <t xml:space="preserve">定安东里</t>
  </si>
  <si>
    <t xml:space="preserve">1205号</t>
  </si>
  <si>
    <t xml:space="preserve">陈佳雯</t>
  </si>
  <si>
    <t xml:space="preserve">三室一厅一卫一厨</t>
  </si>
  <si>
    <t xml:space="preserve">邓晓澜</t>
  </si>
  <si>
    <t xml:space="preserve">李晓岩</t>
  </si>
  <si>
    <t xml:space="preserve">二</t>
  </si>
  <si>
    <t xml:space="preserve">新增</t>
  </si>
  <si>
    <t xml:space="preserve">中介</t>
  </si>
  <si>
    <t xml:space="preserve">9号楼</t>
  </si>
  <si>
    <t xml:space="preserve">16-1号</t>
  </si>
  <si>
    <t xml:space="preserve">赵宁</t>
  </si>
  <si>
    <t xml:space="preserve">三室一卫一厨</t>
  </si>
  <si>
    <t xml:space="preserve">范永刚</t>
  </si>
  <si>
    <t xml:space="preserve">四</t>
  </si>
  <si>
    <t xml:space="preserve">杨红英</t>
  </si>
  <si>
    <t xml:space="preserve">不含税费、出让金，含中介费、贷款代理费</t>
  </si>
  <si>
    <t xml:space="preserve">刘家窑南里</t>
  </si>
  <si>
    <t xml:space="preserve">16号楼</t>
  </si>
  <si>
    <t xml:space="preserve">3门202</t>
  </si>
  <si>
    <t xml:space="preserve">买卖协议</t>
  </si>
  <si>
    <t xml:space="preserve">胡灏</t>
  </si>
  <si>
    <t xml:space="preserve">不含税费、出让金</t>
  </si>
  <si>
    <t xml:space="preserve">蒲安东里</t>
  </si>
  <si>
    <t xml:space="preserve">1604</t>
  </si>
  <si>
    <t xml:space="preserve">二室二厅二卫一厨</t>
  </si>
  <si>
    <t xml:space="preserve">北京住房公积金管理中心住房公积金贷款中心</t>
  </si>
  <si>
    <t xml:space="preserve">蒲黄榆三里</t>
  </si>
  <si>
    <t xml:space="preserve">4门</t>
  </si>
  <si>
    <t xml:space="preserve">王晓佳</t>
  </si>
  <si>
    <t xml:space="preserve">李晶</t>
  </si>
  <si>
    <t xml:space="preserve">合同</t>
  </si>
  <si>
    <t xml:space="preserve">32号楼</t>
  </si>
  <si>
    <t xml:space="preserve">1-603</t>
  </si>
  <si>
    <t xml:space="preserve">六</t>
  </si>
  <si>
    <t xml:space="preserve">五</t>
  </si>
  <si>
    <t xml:space="preserve">初审换正式</t>
  </si>
  <si>
    <t xml:space="preserve">1号楼</t>
  </si>
  <si>
    <t xml:space="preserve">1003号</t>
  </si>
  <si>
    <t xml:space="preserve">李志宏</t>
  </si>
  <si>
    <t xml:space="preserve">王晓中</t>
  </si>
  <si>
    <t xml:space="preserve">六里桥北里</t>
  </si>
  <si>
    <t xml:space="preserve">2门</t>
  </si>
  <si>
    <t xml:space="preserve">503号</t>
  </si>
  <si>
    <t xml:space="preserve">金翠兰</t>
  </si>
  <si>
    <t xml:space="preserve">91302006071365</t>
  </si>
  <si>
    <t xml:space="preserve">4号</t>
  </si>
  <si>
    <t xml:space="preserve">李东海</t>
  </si>
  <si>
    <t xml:space="preserve">一室一卫一厨</t>
  </si>
  <si>
    <t xml:space="preserve">91302006120500</t>
  </si>
  <si>
    <t xml:space="preserve">十二</t>
  </si>
  <si>
    <t xml:space="preserve">蒲黄榆二里</t>
  </si>
  <si>
    <t xml:space="preserve">13号楼</t>
  </si>
  <si>
    <t xml:space="preserve">1610号</t>
  </si>
  <si>
    <t xml:space="preserve">邢杰</t>
  </si>
  <si>
    <t xml:space="preserve">91302006111039</t>
  </si>
  <si>
    <t xml:space="preserve">十一</t>
  </si>
  <si>
    <t xml:space="preserve">含出让金、不含税费</t>
  </si>
  <si>
    <t xml:space="preserve">定安西里危改项目1-5#楼及配套</t>
  </si>
  <si>
    <t xml:space="preserve">3号楼住宅</t>
  </si>
  <si>
    <t xml:space="preserve">第4层</t>
  </si>
  <si>
    <t xml:space="preserve">0401号</t>
  </si>
  <si>
    <t xml:space="preserve">北京军凯房地产开发有限公司</t>
  </si>
  <si>
    <t xml:space="preserve">北京住房公积金管理中心宣武第二管理部</t>
  </si>
  <si>
    <t xml:space="preserve">结构施工</t>
  </si>
  <si>
    <t xml:space="preserve">Y</t>
  </si>
  <si>
    <t xml:space="preserve">199047</t>
  </si>
  <si>
    <t xml:space="preserve">吴铭</t>
  </si>
  <si>
    <t xml:space="preserve">预售</t>
  </si>
  <si>
    <t xml:space="preserve">蒲安西里</t>
  </si>
  <si>
    <t xml:space="preserve">二单元</t>
  </si>
  <si>
    <t xml:space="preserve">张德盛</t>
  </si>
  <si>
    <t xml:space="preserve">赵亮</t>
  </si>
  <si>
    <t xml:space="preserve">刘朝阳</t>
  </si>
  <si>
    <t xml:space="preserve">七</t>
  </si>
  <si>
    <t xml:space="preserve">2006-3-1D1-0433CJD</t>
  </si>
  <si>
    <t xml:space="preserve">正常交易</t>
  </si>
  <si>
    <t xml:space="preserve">2号楼住宅</t>
  </si>
  <si>
    <t xml:space="preserve">第4层2单元</t>
  </si>
  <si>
    <t xml:space="preserve">三室二厅二卫一厨</t>
  </si>
  <si>
    <t xml:space="preserve">205556</t>
  </si>
  <si>
    <t xml:space="preserve">蒲安里</t>
  </si>
  <si>
    <t xml:space="preserve">27号楼</t>
  </si>
  <si>
    <t xml:space="preserve">1-601号</t>
  </si>
  <si>
    <t xml:space="preserve">张兰星</t>
  </si>
  <si>
    <t xml:space="preserve">胡哲明</t>
  </si>
  <si>
    <t xml:space="preserve">刘家窑东里</t>
  </si>
  <si>
    <t xml:space="preserve">10号楼</t>
  </si>
  <si>
    <t xml:space="preserve">杨文跃</t>
  </si>
  <si>
    <t xml:space="preserve">2006-3-1D1-921CJD</t>
  </si>
  <si>
    <t xml:space="preserve">2单元</t>
  </si>
  <si>
    <t xml:space="preserve">二室二厅一卫一厨</t>
  </si>
  <si>
    <t xml:space="preserve">175888</t>
  </si>
  <si>
    <t xml:space="preserve">北京市崇文区沙子口路76号12号楼二层</t>
  </si>
  <si>
    <t xml:space="preserve">赵国芳</t>
  </si>
  <si>
    <t xml:space="preserve">1门603号</t>
  </si>
  <si>
    <t xml:space="preserve">刘海岩</t>
  </si>
  <si>
    <t xml:space="preserve">白景生</t>
  </si>
  <si>
    <t xml:space="preserve">殷晓枫</t>
  </si>
  <si>
    <t xml:space="preserve">4-401</t>
  </si>
  <si>
    <t xml:space="preserve">张宽</t>
  </si>
  <si>
    <t xml:space="preserve">4号楼</t>
  </si>
  <si>
    <t xml:space="preserve">4-401号</t>
  </si>
  <si>
    <t xml:space="preserve">梁浩</t>
  </si>
  <si>
    <t xml:space="preserve">十</t>
  </si>
  <si>
    <t xml:space="preserve">二手</t>
  </si>
  <si>
    <t xml:space="preserve">评估日期</t>
  </si>
  <si>
    <t xml:space="preserve">贷款机构</t>
  </si>
  <si>
    <t xml:space="preserve">评估人电话</t>
  </si>
  <si>
    <t xml:space="preserve">记录时间</t>
  </si>
  <si>
    <t xml:space="preserve">康正代办</t>
  </si>
  <si>
    <t xml:space="preserve">更改日期</t>
  </si>
  <si>
    <t xml:space="preserve">评估通知单</t>
  </si>
  <si>
    <t xml:space="preserve">仅限于抵押物</t>
  </si>
  <si>
    <t xml:space="preserve">身份证号</t>
  </si>
  <si>
    <t xml:space="preserve">2006-2-CP-10073-U</t>
  </si>
  <si>
    <t xml:space="preserve">李文立</t>
  </si>
  <si>
    <t xml:space="preserve">110111196708092834</t>
  </si>
  <si>
    <t xml:space="preserve">13691390222</t>
  </si>
  <si>
    <t xml:space="preserve">三义庙新华服装厂大华衬衫厂宿舍</t>
  </si>
  <si>
    <t xml:space="preserve">5号楼</t>
  </si>
  <si>
    <t xml:space="preserve">11门</t>
  </si>
  <si>
    <t xml:space="preserve">402号</t>
  </si>
  <si>
    <t xml:space="preserve">邵桂芳</t>
  </si>
  <si>
    <t xml:space="preserve">91302006121260</t>
  </si>
  <si>
    <t xml:space="preserve">赵亚群</t>
  </si>
  <si>
    <t xml:space="preserve">现为三义庙北17号楼</t>
  </si>
  <si>
    <t xml:space="preserve">协议</t>
  </si>
  <si>
    <t xml:space="preserve">不含任何税费</t>
  </si>
  <si>
    <t xml:space="preserve">2006-21-P-01191-U</t>
  </si>
  <si>
    <t xml:space="preserve">顾红杰</t>
  </si>
  <si>
    <t xml:space="preserve">110106197801112725</t>
  </si>
  <si>
    <t xml:space="preserve">双榆树南里二区</t>
  </si>
  <si>
    <t xml:space="preserve">6号楼</t>
  </si>
  <si>
    <t xml:space="preserve">北京住房公积金管理中心海淀管理部</t>
  </si>
  <si>
    <t xml:space="preserve">2006-3-1D1-00177CJD</t>
  </si>
  <si>
    <t xml:space="preserve">彭俊明</t>
  </si>
  <si>
    <t xml:space="preserve">张国威</t>
  </si>
  <si>
    <t xml:space="preserve">含装修费</t>
  </si>
  <si>
    <t xml:space="preserve">2006-22-P-00901-U</t>
  </si>
  <si>
    <t xml:space="preserve">秦俊兵</t>
  </si>
  <si>
    <t xml:space="preserve">110108197406125414</t>
  </si>
  <si>
    <t xml:space="preserve">13911858334、51523236</t>
  </si>
  <si>
    <t xml:space="preserve">双榆树东里</t>
  </si>
  <si>
    <t xml:space="preserve">21号楼</t>
  </si>
  <si>
    <t xml:space="preserve">2门12号</t>
  </si>
  <si>
    <t xml:space="preserve">郭钟麟</t>
  </si>
  <si>
    <t xml:space="preserve">2006-22-P-09042-U</t>
  </si>
  <si>
    <t xml:space="preserve">王信东</t>
  </si>
  <si>
    <t xml:space="preserve">110106197112020016</t>
  </si>
  <si>
    <t xml:space="preserve">13910395079</t>
  </si>
  <si>
    <t xml:space="preserve">北三环西路双榆树</t>
  </si>
  <si>
    <t xml:space="preserve">1101号</t>
  </si>
  <si>
    <t xml:space="preserve">李雪生</t>
  </si>
  <si>
    <t xml:space="preserve">91302006111434</t>
  </si>
  <si>
    <t xml:space="preserve">现楼牌号为双榆树南里二区</t>
  </si>
  <si>
    <t xml:space="preserve">62158286、13910893971</t>
  </si>
  <si>
    <t xml:space="preserve">含中介费</t>
  </si>
  <si>
    <t xml:space="preserve">2006-2-CP-00979-U</t>
  </si>
  <si>
    <t xml:space="preserve">于飞</t>
  </si>
  <si>
    <t xml:space="preserve">110102197612220051</t>
  </si>
  <si>
    <t xml:space="preserve">13910162476</t>
  </si>
  <si>
    <t xml:space="preserve">28号楼</t>
  </si>
  <si>
    <t xml:space="preserve">907号</t>
  </si>
  <si>
    <t xml:space="preserve">8</t>
  </si>
  <si>
    <t xml:space="preserve">评估免费</t>
  </si>
  <si>
    <t xml:space="preserve">卢恩贵</t>
  </si>
  <si>
    <t xml:space="preserve">2006-2-CP-04863-U</t>
  </si>
  <si>
    <t xml:space="preserve">史博</t>
  </si>
  <si>
    <t xml:space="preserve">211402198010300412</t>
  </si>
  <si>
    <t xml:space="preserve">13366766313</t>
  </si>
  <si>
    <t xml:space="preserve">李铁群</t>
  </si>
  <si>
    <t xml:space="preserve">91302006080621</t>
  </si>
  <si>
    <t xml:space="preserve">2006-2-CP-05279-U</t>
  </si>
  <si>
    <t xml:space="preserve">邓中秋</t>
  </si>
  <si>
    <t xml:space="preserve">430124197608188661</t>
  </si>
  <si>
    <t xml:space="preserve">13261960818</t>
  </si>
  <si>
    <t xml:space="preserve">双榆树西里</t>
  </si>
  <si>
    <t xml:space="preserve">1102号</t>
  </si>
  <si>
    <t xml:space="preserve">刘京颖</t>
  </si>
  <si>
    <t xml:space="preserve">91302006081281</t>
  </si>
  <si>
    <t xml:space="preserve">含装修</t>
  </si>
  <si>
    <t xml:space="preserve">2006-2-CP-06355-U</t>
  </si>
  <si>
    <t xml:space="preserve">邵悦阳、虞恩益</t>
  </si>
  <si>
    <t xml:space="preserve">642123197706070768、330222197702252198</t>
  </si>
  <si>
    <t xml:space="preserve">13641241877</t>
  </si>
  <si>
    <t xml:space="preserve">15号楼</t>
  </si>
  <si>
    <t xml:space="preserve">202号</t>
  </si>
  <si>
    <t xml:space="preserve">那敏珍</t>
  </si>
  <si>
    <t xml:space="preserve">91302006091213</t>
  </si>
  <si>
    <t xml:space="preserve">2006-2-CP-06672-U</t>
  </si>
  <si>
    <t xml:space="preserve">张向阳</t>
  </si>
  <si>
    <t xml:space="preserve">110108195305090030</t>
  </si>
  <si>
    <t xml:space="preserve">13693287399</t>
  </si>
  <si>
    <t xml:space="preserve">四层402号</t>
  </si>
  <si>
    <t xml:space="preserve">刘亚平</t>
  </si>
  <si>
    <t xml:space="preserve">刘珊</t>
  </si>
  <si>
    <t xml:space="preserve">2006-2-CP-07590-U</t>
  </si>
  <si>
    <t xml:space="preserve">赵建军</t>
  </si>
  <si>
    <t xml:space="preserve">110228197108010062</t>
  </si>
  <si>
    <t xml:space="preserve">13716240162</t>
  </si>
  <si>
    <t xml:space="preserve">双榆树北路</t>
  </si>
  <si>
    <t xml:space="preserve">甲1号楼</t>
  </si>
  <si>
    <t xml:space="preserve">1门</t>
  </si>
  <si>
    <t xml:space="preserve">103号</t>
  </si>
  <si>
    <t xml:space="preserve">91302006101030</t>
  </si>
  <si>
    <t xml:space="preserve">记税价45万</t>
  </si>
  <si>
    <t xml:space="preserve">京房权证海私移字第0095677号</t>
  </si>
  <si>
    <t xml:space="preserve">2006-2-CP-07877-U</t>
  </si>
  <si>
    <t xml:space="preserve">杨长发、王慧俐</t>
  </si>
  <si>
    <t xml:space="preserve">110108195608231830、110108195509031825</t>
  </si>
  <si>
    <t xml:space="preserve">13693226810</t>
  </si>
  <si>
    <t xml:space="preserve">双榆树北里</t>
  </si>
  <si>
    <t xml:space="preserve">203号</t>
  </si>
  <si>
    <t xml:space="preserve">李玉霞</t>
  </si>
  <si>
    <t xml:space="preserve">三室一厅一卫一厨（原为二室二厅一卫一厨）</t>
  </si>
  <si>
    <t xml:space="preserve">91302006101395</t>
  </si>
  <si>
    <t xml:space="preserve">记税价46万</t>
  </si>
  <si>
    <t xml:space="preserve">2006-2-CP-07936-U</t>
  </si>
  <si>
    <t xml:space="preserve">彭京庆</t>
  </si>
  <si>
    <t xml:space="preserve">110108196312267310</t>
  </si>
  <si>
    <t xml:space="preserve">13683530398</t>
  </si>
  <si>
    <t xml:space="preserve">2号楼</t>
  </si>
  <si>
    <t xml:space="preserve">309号</t>
  </si>
  <si>
    <t xml:space="preserve">王桂香</t>
  </si>
  <si>
    <t xml:space="preserve">91302006101478</t>
  </si>
  <si>
    <t xml:space="preserve">汪鸿</t>
  </si>
  <si>
    <t xml:space="preserve">2006-2-CP-09042-U</t>
  </si>
  <si>
    <t xml:space="preserve">2006-21-P-00446</t>
  </si>
  <si>
    <t xml:space="preserve">元慧</t>
  </si>
  <si>
    <t xml:space="preserve">140402197903080425</t>
  </si>
  <si>
    <t xml:space="preserve">13671313046、82339266</t>
  </si>
  <si>
    <t xml:space="preserve">知春路西五道口2号楼号地块荣上居（西五道口住宅楼）</t>
  </si>
  <si>
    <t xml:space="preserve">第7层</t>
  </si>
  <si>
    <t xml:space="preserve">07C2号</t>
  </si>
  <si>
    <t xml:space="preserve">中垦集团房地产有限责任公司</t>
  </si>
  <si>
    <t xml:space="preserve">北京住房公积金管理中心中关村管理部</t>
  </si>
  <si>
    <t xml:space="preserve">176307</t>
  </si>
  <si>
    <t xml:space="preserve">韩静</t>
  </si>
  <si>
    <t xml:space="preserve">2006-21-P-00447</t>
  </si>
  <si>
    <t xml:space="preserve">裴明涛</t>
  </si>
  <si>
    <t xml:space="preserve">130403197703301515</t>
  </si>
  <si>
    <t xml:space="preserve">13501325190、69840938</t>
  </si>
  <si>
    <t xml:space="preserve">06B10号</t>
  </si>
  <si>
    <t xml:space="preserve">174874</t>
  </si>
  <si>
    <t xml:space="preserve">2006-21-P-02135</t>
  </si>
  <si>
    <t xml:space="preserve">罗嘉</t>
  </si>
  <si>
    <t xml:space="preserve">450501781222061</t>
  </si>
  <si>
    <t xml:space="preserve">81736673、13911562903、88851544-8501</t>
  </si>
  <si>
    <t xml:space="preserve">07B10号</t>
  </si>
  <si>
    <t xml:space="preserve">内外装修</t>
  </si>
  <si>
    <t xml:space="preserve">238442</t>
  </si>
  <si>
    <t xml:space="preserve">2006-22-P-00221</t>
  </si>
  <si>
    <t xml:space="preserve">郝海生</t>
  </si>
  <si>
    <t xml:space="preserve">150302197511150515</t>
  </si>
  <si>
    <t xml:space="preserve">09C1号</t>
  </si>
  <si>
    <t xml:space="preserve">174711</t>
  </si>
  <si>
    <t xml:space="preserve">北京市西城区西四砖塔胡同56号</t>
  </si>
  <si>
    <t xml:space="preserve">1000001001730（4-2）</t>
  </si>
  <si>
    <t xml:space="preserve">周宗宝</t>
  </si>
  <si>
    <t xml:space="preserve">2006-22-P-00402</t>
  </si>
  <si>
    <t xml:space="preserve">张静</t>
  </si>
  <si>
    <t xml:space="preserve">133025198106106707</t>
  </si>
  <si>
    <t xml:space="preserve">05C5号</t>
  </si>
  <si>
    <t xml:space="preserve">北京住房公积金管理中心东城管理部</t>
  </si>
  <si>
    <t xml:space="preserve">169825</t>
  </si>
  <si>
    <t xml:space="preserve">2006-22-P-00579</t>
  </si>
  <si>
    <t xml:space="preserve">高志</t>
  </si>
  <si>
    <t xml:space="preserve">140103196305156333</t>
  </si>
  <si>
    <t xml:space="preserve">04H号</t>
  </si>
  <si>
    <t xml:space="preserve">北京住房公积金管理中心方庄管理部</t>
  </si>
  <si>
    <t xml:space="preserve">173653</t>
  </si>
  <si>
    <t xml:space="preserve">张颖</t>
  </si>
  <si>
    <t xml:space="preserve">2006-22-P-00860</t>
  </si>
  <si>
    <t xml:space="preserve">金晟</t>
  </si>
  <si>
    <t xml:space="preserve">420106197001100905</t>
  </si>
  <si>
    <t xml:space="preserve">13801391416</t>
  </si>
  <si>
    <t xml:space="preserve">13H号</t>
  </si>
  <si>
    <t xml:space="preserve">北京住房公积金管理中心朝阳管理部</t>
  </si>
  <si>
    <t xml:space="preserve">175276</t>
  </si>
  <si>
    <t xml:space="preserve">2006-22-P-00942</t>
  </si>
  <si>
    <t xml:space="preserve">刘增光</t>
  </si>
  <si>
    <t xml:space="preserve">130302196911183510</t>
  </si>
  <si>
    <t xml:space="preserve">13911225499</t>
  </si>
  <si>
    <t xml:space="preserve">08F号</t>
  </si>
  <si>
    <t xml:space="preserve">146154</t>
  </si>
  <si>
    <t xml:space="preserve">2006-22-P-01137</t>
  </si>
  <si>
    <t xml:space="preserve">樊凡</t>
  </si>
  <si>
    <t xml:space="preserve">110111198002048224</t>
  </si>
  <si>
    <t xml:space="preserve">03D号</t>
  </si>
  <si>
    <t xml:space="preserve">北京住房公积金管理中心燕山管理部</t>
  </si>
  <si>
    <t xml:space="preserve">175465</t>
  </si>
  <si>
    <t xml:space="preserve">2006-22-P-01423</t>
  </si>
  <si>
    <t xml:space="preserve">赵良晶</t>
  </si>
  <si>
    <t xml:space="preserve">420106197911204033</t>
  </si>
  <si>
    <t xml:space="preserve">08C2号</t>
  </si>
  <si>
    <t xml:space="preserve">2006-22-P-01425</t>
  </si>
  <si>
    <t xml:space="preserve">李少春</t>
  </si>
  <si>
    <t xml:space="preserve">610103198212153653</t>
  </si>
  <si>
    <t xml:space="preserve">05H号</t>
  </si>
  <si>
    <t xml:space="preserve">170598</t>
  </si>
  <si>
    <t xml:space="preserve">刘梅</t>
  </si>
  <si>
    <t xml:space="preserve">2006-22-P-01550</t>
  </si>
  <si>
    <t xml:space="preserve">王艳</t>
  </si>
  <si>
    <t xml:space="preserve">13010719720328122X</t>
  </si>
  <si>
    <t xml:space="preserve">第6层</t>
  </si>
  <si>
    <t xml:space="preserve">06B12号</t>
  </si>
  <si>
    <t xml:space="preserve">2006-22-P-01759</t>
  </si>
  <si>
    <t xml:space="preserve">袁治、汪洁</t>
  </si>
  <si>
    <t xml:space="preserve">120103197704101111、130203197711010346</t>
  </si>
  <si>
    <t xml:space="preserve">13910109840</t>
  </si>
  <si>
    <t xml:space="preserve">06F号</t>
  </si>
  <si>
    <t xml:space="preserve">137690</t>
  </si>
  <si>
    <t xml:space="preserve">2006-22-P-01904</t>
  </si>
  <si>
    <t xml:space="preserve">林贵斌</t>
  </si>
  <si>
    <t xml:space="preserve">452223197804033514</t>
  </si>
  <si>
    <t xml:space="preserve">13911827836</t>
  </si>
  <si>
    <t xml:space="preserve">14层</t>
  </si>
  <si>
    <t xml:space="preserve">14C5号</t>
  </si>
  <si>
    <t xml:space="preserve">2006-22-P-01951</t>
  </si>
  <si>
    <t xml:space="preserve">陈辉</t>
  </si>
  <si>
    <t xml:space="preserve">110108197404181420</t>
  </si>
  <si>
    <t xml:space="preserve">11F号</t>
  </si>
  <si>
    <t xml:space="preserve">2006-22-P-02509</t>
  </si>
  <si>
    <t xml:space="preserve">安睿娟</t>
  </si>
  <si>
    <t xml:space="preserve">110106197308073929</t>
  </si>
  <si>
    <t xml:space="preserve">13501297760、68095956</t>
  </si>
  <si>
    <t xml:space="preserve">16层</t>
  </si>
  <si>
    <t xml:space="preserve">16C2号</t>
  </si>
  <si>
    <t xml:space="preserve">182998</t>
  </si>
  <si>
    <t xml:space="preserve">2006-22-P-03618</t>
  </si>
  <si>
    <t xml:space="preserve">黄智鹏</t>
  </si>
  <si>
    <t xml:space="preserve">429006198010015515</t>
  </si>
  <si>
    <t xml:space="preserve">13810398432</t>
  </si>
  <si>
    <t xml:space="preserve">06C4号</t>
  </si>
  <si>
    <t xml:space="preserve">191720</t>
  </si>
  <si>
    <t xml:space="preserve">2006-22-P-04243</t>
  </si>
  <si>
    <t xml:space="preserve">王刚</t>
  </si>
  <si>
    <t xml:space="preserve">110108196706245712</t>
  </si>
  <si>
    <t xml:space="preserve">13522025448</t>
  </si>
  <si>
    <t xml:space="preserve">17层</t>
  </si>
  <si>
    <t xml:space="preserve">17D号</t>
  </si>
  <si>
    <t xml:space="preserve">基本完工</t>
  </si>
  <si>
    <t xml:space="preserve">200469</t>
  </si>
  <si>
    <t xml:space="preserve">2006-22-P-04801</t>
  </si>
  <si>
    <t xml:space="preserve">李冬霞</t>
  </si>
  <si>
    <t xml:space="preserve">430524760816322</t>
  </si>
  <si>
    <t xml:space="preserve">13910220710</t>
  </si>
  <si>
    <t xml:space="preserve">06G号</t>
  </si>
  <si>
    <t xml:space="preserve">212171</t>
  </si>
  <si>
    <t xml:space="preserve">2006-22-P-04976</t>
  </si>
  <si>
    <t xml:space="preserve">王冀川</t>
  </si>
  <si>
    <t xml:space="preserve">110228195605010072</t>
  </si>
  <si>
    <t xml:space="preserve">07D号</t>
  </si>
  <si>
    <t xml:space="preserve">北京住房公积金管理中心密云管理部</t>
  </si>
  <si>
    <t xml:space="preserve">207249</t>
  </si>
  <si>
    <t xml:space="preserve">2006-22-P-05338</t>
  </si>
  <si>
    <t xml:space="preserve">李晨</t>
  </si>
  <si>
    <t xml:space="preserve">110102198005200029</t>
  </si>
  <si>
    <t xml:space="preserve">13901139185</t>
  </si>
  <si>
    <t xml:space="preserve">第5层</t>
  </si>
  <si>
    <t xml:space="preserve">05D号</t>
  </si>
  <si>
    <t xml:space="preserve">216345</t>
  </si>
  <si>
    <t xml:space="preserve">2006-2-CP-00306</t>
  </si>
  <si>
    <t xml:space="preserve">张应华</t>
  </si>
  <si>
    <t xml:space="preserve">110105196307071146</t>
  </si>
  <si>
    <t xml:space="preserve">13701157996</t>
  </si>
  <si>
    <t xml:space="preserve">第3层</t>
  </si>
  <si>
    <t xml:space="preserve">03I号</t>
  </si>
  <si>
    <t xml:space="preserve">228369</t>
  </si>
  <si>
    <t xml:space="preserve">2006-2-CP-00496</t>
  </si>
  <si>
    <t xml:space="preserve">黄荣</t>
  </si>
  <si>
    <t xml:space="preserve">430104197311134632</t>
  </si>
  <si>
    <t xml:space="preserve">13611366747</t>
  </si>
  <si>
    <t xml:space="preserve">06I号</t>
  </si>
  <si>
    <t xml:space="preserve">221209</t>
  </si>
  <si>
    <t xml:space="preserve">2006-2-CP-00650</t>
  </si>
  <si>
    <t xml:space="preserve">姜向荣</t>
  </si>
  <si>
    <t xml:space="preserve">37061119771205112X</t>
  </si>
  <si>
    <t xml:space="preserve">13693044357</t>
  </si>
  <si>
    <t xml:space="preserve">第10层</t>
  </si>
  <si>
    <t xml:space="preserve">10B13号</t>
  </si>
  <si>
    <t xml:space="preserve">236160</t>
  </si>
  <si>
    <t xml:space="preserve">2006-2-CP-00727</t>
  </si>
  <si>
    <t xml:space="preserve">白锐、安之若</t>
  </si>
  <si>
    <t xml:space="preserve">610113197801220410、110103198103090923</t>
  </si>
  <si>
    <t xml:space="preserve">13691540196</t>
  </si>
  <si>
    <t xml:space="preserve">第9层</t>
  </si>
  <si>
    <t xml:space="preserve">09G号</t>
  </si>
  <si>
    <t xml:space="preserve">242671</t>
  </si>
  <si>
    <t xml:space="preserve">2006-2-CP-00818</t>
  </si>
  <si>
    <t xml:space="preserve">董宏英</t>
  </si>
  <si>
    <t xml:space="preserve">130702196610150346</t>
  </si>
  <si>
    <t xml:space="preserve">13124797323</t>
  </si>
  <si>
    <t xml:space="preserve">第11层</t>
  </si>
  <si>
    <t xml:space="preserve">11B10号</t>
  </si>
  <si>
    <t xml:space="preserve">241275</t>
  </si>
  <si>
    <t xml:space="preserve">2006-2-CP-01106</t>
  </si>
  <si>
    <t xml:space="preserve">李朗凯</t>
  </si>
  <si>
    <t xml:space="preserve">120223197903272678</t>
  </si>
  <si>
    <t xml:space="preserve">知春路西五道口2号楼号地块荣上居</t>
  </si>
  <si>
    <t xml:space="preserve">西五道口住宅楼</t>
  </si>
  <si>
    <t xml:space="preserve">10J号</t>
  </si>
  <si>
    <t xml:space="preserve">211571</t>
  </si>
  <si>
    <t xml:space="preserve">2006-2-CP-01514</t>
  </si>
  <si>
    <t xml:space="preserve">谭思思</t>
  </si>
  <si>
    <t xml:space="preserve">43010319780801404X</t>
  </si>
  <si>
    <t xml:space="preserve">13810301588</t>
  </si>
  <si>
    <t xml:space="preserve">04B7号</t>
  </si>
  <si>
    <t xml:space="preserve">240587</t>
  </si>
  <si>
    <t xml:space="preserve">2006-2-CP-01739</t>
  </si>
  <si>
    <t xml:space="preserve">孔羽</t>
  </si>
  <si>
    <t xml:space="preserve">640202197508210020</t>
  </si>
  <si>
    <t xml:space="preserve">81558509、13911891056、13141282216</t>
  </si>
  <si>
    <t xml:space="preserve">知春路西五道口2号楼号地块荣上居西五道口住宅楼</t>
  </si>
  <si>
    <t xml:space="preserve">07B13号</t>
  </si>
  <si>
    <t xml:space="preserve">236279</t>
  </si>
  <si>
    <t xml:space="preserve">2006-2-CP-02098</t>
  </si>
  <si>
    <t xml:space="preserve">张晓格</t>
  </si>
  <si>
    <t xml:space="preserve">132302760717142</t>
  </si>
  <si>
    <t xml:space="preserve">13641150816</t>
  </si>
  <si>
    <t xml:space="preserve">第17层</t>
  </si>
  <si>
    <t xml:space="preserve">17C6号</t>
  </si>
  <si>
    <t xml:space="preserve">42.6</t>
  </si>
  <si>
    <t xml:space="preserve">17</t>
  </si>
  <si>
    <t xml:space="preserve">30.67</t>
  </si>
  <si>
    <t xml:space="preserve">474758</t>
  </si>
  <si>
    <t xml:space="preserve">11060</t>
  </si>
  <si>
    <t xml:space="preserve">9</t>
  </si>
  <si>
    <t xml:space="preserve">250341</t>
  </si>
  <si>
    <t xml:space="preserve">2006-2-CP-02385</t>
  </si>
  <si>
    <t xml:space="preserve">赵鹍、赵鹏</t>
  </si>
  <si>
    <t xml:space="preserve">370102197902084543、370881198007131129</t>
  </si>
  <si>
    <t xml:space="preserve">13810686693</t>
  </si>
  <si>
    <t xml:space="preserve">第8层</t>
  </si>
  <si>
    <t xml:space="preserve">08J号</t>
  </si>
  <si>
    <t xml:space="preserve">40.99</t>
  </si>
  <si>
    <t xml:space="preserve">29.51</t>
  </si>
  <si>
    <t xml:space="preserve">426091</t>
  </si>
  <si>
    <t xml:space="preserve">10370</t>
  </si>
  <si>
    <t xml:space="preserve">14</t>
  </si>
  <si>
    <t xml:space="preserve">254928</t>
  </si>
  <si>
    <t xml:space="preserve">2006-2-CP-02398</t>
  </si>
  <si>
    <t xml:space="preserve">谭智勇、王丽鑫</t>
  </si>
  <si>
    <t xml:space="preserve">510107197902100011、320625197701167169</t>
  </si>
  <si>
    <t xml:space="preserve">13522551695</t>
  </si>
  <si>
    <t xml:space="preserve">03G号</t>
  </si>
  <si>
    <t xml:space="preserve">52.25</t>
  </si>
  <si>
    <t xml:space="preserve">37.61</t>
  </si>
  <si>
    <t xml:space="preserve">521507</t>
  </si>
  <si>
    <t xml:space="preserve">9900</t>
  </si>
  <si>
    <t xml:space="preserve">233772</t>
  </si>
  <si>
    <t xml:space="preserve">2006-2-CP-02716</t>
  </si>
  <si>
    <t xml:space="preserve">赵辉</t>
  </si>
  <si>
    <t xml:space="preserve">110108195803120431</t>
  </si>
  <si>
    <t xml:space="preserve">13161037726</t>
  </si>
  <si>
    <t xml:space="preserve">03B3号</t>
  </si>
  <si>
    <t xml:space="preserve">52.76</t>
  </si>
  <si>
    <t xml:space="preserve">37.98</t>
  </si>
  <si>
    <t xml:space="preserve">547088</t>
  </si>
  <si>
    <t xml:space="preserve">10280</t>
  </si>
  <si>
    <t xml:space="preserve">20</t>
  </si>
  <si>
    <t xml:space="preserve">267248</t>
  </si>
  <si>
    <t xml:space="preserve">2006-2-CP-02795</t>
  </si>
  <si>
    <t xml:space="preserve">胡岩</t>
  </si>
  <si>
    <t xml:space="preserve">130102198003050331</t>
  </si>
  <si>
    <t xml:space="preserve">13911626176</t>
  </si>
  <si>
    <t xml:space="preserve">07B12号</t>
  </si>
  <si>
    <t xml:space="preserve">52.59</t>
  </si>
  <si>
    <t xml:space="preserve">7</t>
  </si>
  <si>
    <t xml:space="preserve">37.86</t>
  </si>
  <si>
    <t xml:space="preserve">535740</t>
  </si>
  <si>
    <t xml:space="preserve">10100</t>
  </si>
  <si>
    <t xml:space="preserve">21</t>
  </si>
  <si>
    <t xml:space="preserve">245039</t>
  </si>
  <si>
    <t xml:space="preserve">2006-2-CP-02894</t>
  </si>
  <si>
    <t xml:space="preserve">刘凌云</t>
  </si>
  <si>
    <t xml:space="preserve">610404197404281017</t>
  </si>
  <si>
    <t xml:space="preserve">13601361225</t>
  </si>
  <si>
    <t xml:space="preserve">05F号</t>
  </si>
  <si>
    <t xml:space="preserve">69.95</t>
  </si>
  <si>
    <t xml:space="preserve">50.35</t>
  </si>
  <si>
    <t xml:space="preserve">601570</t>
  </si>
  <si>
    <t xml:space="preserve">8435</t>
  </si>
  <si>
    <t xml:space="preserve">23</t>
  </si>
  <si>
    <t xml:space="preserve">267840</t>
  </si>
  <si>
    <t xml:space="preserve">2006-2-CP-03573</t>
  </si>
  <si>
    <t xml:space="preserve">邓雪晖</t>
  </si>
  <si>
    <t xml:space="preserve">510303691221052</t>
  </si>
  <si>
    <t xml:space="preserve">13910296871</t>
  </si>
  <si>
    <t xml:space="preserve">17J号</t>
  </si>
  <si>
    <t xml:space="preserve">44.85</t>
  </si>
  <si>
    <t xml:space="preserve">32.29</t>
  </si>
  <si>
    <t xml:space="preserve">511789</t>
  </si>
  <si>
    <t xml:space="preserve">11325</t>
  </si>
  <si>
    <t xml:space="preserve">11</t>
  </si>
  <si>
    <t xml:space="preserve">91302006070413</t>
  </si>
  <si>
    <t xml:space="preserve">282825</t>
  </si>
  <si>
    <t xml:space="preserve">2006-2-CP-03582</t>
  </si>
  <si>
    <t xml:space="preserve">张睿哲</t>
  </si>
  <si>
    <t xml:space="preserve">420111197003145585</t>
  </si>
  <si>
    <t xml:space="preserve">13521105840</t>
  </si>
  <si>
    <t xml:space="preserve">第15层</t>
  </si>
  <si>
    <t xml:space="preserve">15G号</t>
  </si>
  <si>
    <t xml:space="preserve">15</t>
  </si>
  <si>
    <t xml:space="preserve">574469</t>
  </si>
  <si>
    <t xml:space="preserve">10900</t>
  </si>
  <si>
    <t xml:space="preserve">91302006070424</t>
  </si>
  <si>
    <t xml:space="preserve">八</t>
  </si>
  <si>
    <t xml:space="preserve">268949</t>
  </si>
  <si>
    <t xml:space="preserve">2006-2-CP-03583</t>
  </si>
  <si>
    <t xml:space="preserve">李季达</t>
  </si>
  <si>
    <t xml:space="preserve">420502790102009</t>
  </si>
  <si>
    <t xml:space="preserve">13701173236</t>
  </si>
  <si>
    <t xml:space="preserve">第12层</t>
  </si>
  <si>
    <t xml:space="preserve">12B13号</t>
  </si>
  <si>
    <t xml:space="preserve">52.82</t>
  </si>
  <si>
    <t xml:space="preserve">12</t>
  </si>
  <si>
    <t xml:space="preserve">38.02</t>
  </si>
  <si>
    <t xml:space="preserve">575818</t>
  </si>
  <si>
    <t xml:space="preserve">10815</t>
  </si>
  <si>
    <t xml:space="preserve">91302006070423</t>
  </si>
  <si>
    <t xml:space="preserve">281933</t>
  </si>
  <si>
    <t xml:space="preserve">2006-2-CP-03645</t>
  </si>
  <si>
    <t xml:space="preserve">陈雷</t>
  </si>
  <si>
    <t xml:space="preserve">610103198008022410</t>
  </si>
  <si>
    <t xml:space="preserve">13810173383</t>
  </si>
  <si>
    <t xml:space="preserve">第18层</t>
  </si>
  <si>
    <t xml:space="preserve">18C2号</t>
  </si>
  <si>
    <t xml:space="preserve">18</t>
  </si>
  <si>
    <t xml:space="preserve">551866</t>
  </si>
  <si>
    <t xml:space="preserve">12860</t>
  </si>
  <si>
    <t xml:space="preserve">91302006070505</t>
  </si>
  <si>
    <t xml:space="preserve">284478</t>
  </si>
  <si>
    <t xml:space="preserve">2006-2-CP-04724</t>
  </si>
  <si>
    <t xml:space="preserve">陆严</t>
  </si>
  <si>
    <t xml:space="preserve">110105196610062517</t>
  </si>
  <si>
    <t xml:space="preserve">13651312252</t>
  </si>
  <si>
    <t xml:space="preserve">04A号</t>
  </si>
  <si>
    <t xml:space="preserve">59.11</t>
  </si>
  <si>
    <t xml:space="preserve">42.55</t>
  </si>
  <si>
    <t xml:space="preserve">606851</t>
  </si>
  <si>
    <t xml:space="preserve">10180</t>
  </si>
  <si>
    <t xml:space="preserve">91302006080412</t>
  </si>
  <si>
    <t xml:space="preserve">287347</t>
  </si>
  <si>
    <t xml:space="preserve">居室</t>
  </si>
  <si>
    <t xml:space="preserve">厨房</t>
  </si>
  <si>
    <t xml:space="preserve">卫生间</t>
  </si>
  <si>
    <t xml:space="preserve">公共部分</t>
  </si>
  <si>
    <t xml:space="preserve">录入修改时间</t>
  </si>
  <si>
    <t xml:space="preserve">小区名称</t>
  </si>
  <si>
    <t xml:space="preserve">标准</t>
  </si>
  <si>
    <t xml:space="preserve">屋面</t>
  </si>
  <si>
    <t xml:space="preserve">外墙面</t>
  </si>
  <si>
    <t xml:space="preserve">外门窗</t>
  </si>
  <si>
    <t xml:space="preserve">天棚</t>
  </si>
  <si>
    <t xml:space="preserve">内墙面</t>
  </si>
  <si>
    <t xml:space="preserve">楼面</t>
  </si>
  <si>
    <t xml:space="preserve">内门</t>
  </si>
  <si>
    <t xml:space="preserve">建筑装饰配件及附属设备</t>
  </si>
  <si>
    <t xml:space="preserve"> 大堂</t>
  </si>
  <si>
    <t xml:space="preserve">门廊</t>
  </si>
  <si>
    <t xml:space="preserve">楼梯间</t>
  </si>
  <si>
    <t xml:space="preserve">特色</t>
  </si>
  <si>
    <t xml:space="preserve">供水</t>
  </si>
  <si>
    <t xml:space="preserve">排水</t>
  </si>
  <si>
    <t xml:space="preserve">供电</t>
  </si>
  <si>
    <t xml:space="preserve">采暖</t>
  </si>
  <si>
    <t xml:space="preserve">通风</t>
  </si>
  <si>
    <t xml:space="preserve">消防</t>
  </si>
  <si>
    <t xml:space="preserve">计量</t>
  </si>
  <si>
    <t xml:space="preserve">保安</t>
  </si>
  <si>
    <t xml:space="preserve">停车</t>
  </si>
  <si>
    <t xml:space="preserve">居住区类型</t>
  </si>
  <si>
    <t xml:space="preserve">商服中心等级</t>
  </si>
  <si>
    <t xml:space="preserve">道路级别</t>
  </si>
  <si>
    <t xml:space="preserve">公交</t>
  </si>
  <si>
    <t xml:space="preserve">配套</t>
  </si>
  <si>
    <t xml:space="preserve">基础供气</t>
  </si>
  <si>
    <t xml:space="preserve">绿地率</t>
  </si>
  <si>
    <t xml:space="preserve">公共绿地</t>
  </si>
  <si>
    <t xml:space="preserve">楼宇类型</t>
  </si>
  <si>
    <t xml:space="preserve">环境</t>
  </si>
  <si>
    <t xml:space="preserve">积聚程度</t>
  </si>
  <si>
    <t xml:space="preserve">基础设施</t>
  </si>
  <si>
    <t xml:space="preserve">居住密度</t>
  </si>
  <si>
    <t xml:space="preserve">园林绿化</t>
  </si>
  <si>
    <t xml:space="preserve">录入人</t>
  </si>
  <si>
    <t xml:space="preserve">修改人</t>
  </si>
  <si>
    <t xml:space="preserve">变更类型</t>
  </si>
  <si>
    <t xml:space="preserve">贷款额度</t>
  </si>
  <si>
    <t xml:space="preserve">贷款年限</t>
  </si>
  <si>
    <t xml:space="preserve">3-4-402</t>
  </si>
  <si>
    <t xml:space="preserve">涂料</t>
  </si>
  <si>
    <t xml:space="preserve">外窗：铝合金窗；户门：防盗门、木门</t>
  </si>
  <si>
    <t xml:space="preserve">壁布</t>
  </si>
  <si>
    <t xml:space="preserve">涂料（严重剥落）</t>
  </si>
  <si>
    <t xml:space="preserve">瓷砖</t>
  </si>
  <si>
    <t xml:space="preserve">地砖</t>
  </si>
  <si>
    <t xml:space="preserve">木门</t>
  </si>
  <si>
    <t xml:space="preserve">壁柜、吊柜</t>
  </si>
  <si>
    <t xml:space="preserve">洗菜池、灶具、抽油烟机</t>
  </si>
  <si>
    <t xml:space="preserve">座便器、面盆</t>
  </si>
  <si>
    <t xml:space="preserve">水泥地面，涂料墙面</t>
  </si>
  <si>
    <t xml:space="preserve">市政供水</t>
  </si>
  <si>
    <t xml:space="preserve">市政排水</t>
  </si>
  <si>
    <t xml:space="preserve">市政供电</t>
  </si>
  <si>
    <t xml:space="preserve">集中供暖</t>
  </si>
  <si>
    <t xml:space="preserve">管道天然气</t>
  </si>
  <si>
    <t xml:space="preserve">有线电视、电话入户</t>
  </si>
  <si>
    <t xml:space="preserve">消防井</t>
  </si>
  <si>
    <t xml:space="preserve">电表磁卡计费</t>
  </si>
  <si>
    <t xml:space="preserve">楼前后停车</t>
  </si>
  <si>
    <t xml:space="preserve">单位自管</t>
  </si>
  <si>
    <t xml:space="preserve">普通居住区</t>
  </si>
  <si>
    <t xml:space="preserve">市级√、区级、小区级、街区级    </t>
  </si>
  <si>
    <t xml:space="preserve">城市主干道√、城市次干道、支路</t>
  </si>
  <si>
    <t xml:space="preserve">有300、727、718、367路等多条公交线路</t>
  </si>
  <si>
    <t xml:space="preserve">利用周围配套设施</t>
  </si>
  <si>
    <t xml:space="preserve">天然气√、煤气</t>
  </si>
  <si>
    <t xml:space="preserve">多层板楼</t>
  </si>
  <si>
    <t xml:space="preserve">中等</t>
  </si>
  <si>
    <t xml:space="preserve">七通一平</t>
  </si>
  <si>
    <t xml:space="preserve">32万</t>
  </si>
  <si>
    <t xml:space="preserve">15年</t>
  </si>
  <si>
    <t xml:space="preserve">18号楼2-203</t>
  </si>
  <si>
    <t xml:space="preserve">不上人屋面</t>
  </si>
  <si>
    <t xml:space="preserve">外窗：钢窗、铝合金窗；户门：防盗铁门、木门</t>
  </si>
  <si>
    <t xml:space="preserve">涂料（部分剥落）</t>
  </si>
  <si>
    <t xml:space="preserve">壁纸</t>
  </si>
  <si>
    <t xml:space="preserve">木地板、地砖</t>
  </si>
  <si>
    <t xml:space="preserve">壁柜、吊柜、木质暖气罩</t>
  </si>
  <si>
    <t xml:space="preserve">有线电视入户</t>
  </si>
  <si>
    <t xml:space="preserve">地上停车</t>
  </si>
  <si>
    <t xml:space="preserve">市级、区级、小区级√、街区级    </t>
  </si>
  <si>
    <t xml:space="preserve">城市主干道、城市次干道、支路√</t>
  </si>
  <si>
    <t xml:space="preserve">有323、384、302路等多条公交线路经过</t>
  </si>
  <si>
    <t xml:space="preserve">30万</t>
  </si>
  <si>
    <t xml:space="preserve">2006-22-P-07936-U</t>
  </si>
  <si>
    <t xml:space="preserve">2-309</t>
  </si>
  <si>
    <t xml:space="preserve">外窗：钢窗、塑钢窗；户门：防盗门、木门</t>
  </si>
  <si>
    <t xml:space="preserve">铝扣板吊顶</t>
  </si>
  <si>
    <t xml:space="preserve">PVC吊顶</t>
  </si>
  <si>
    <t xml:space="preserve">木质装饰柜</t>
  </si>
  <si>
    <t xml:space="preserve">洗菜池、厨柜、灶具、抽油烟机</t>
  </si>
  <si>
    <t xml:space="preserve">有线电视、电话、宽带入户</t>
  </si>
  <si>
    <t xml:space="preserve">消防栓</t>
  </si>
  <si>
    <t xml:space="preserve">电表、气表磁卡计费</t>
  </si>
  <si>
    <t xml:space="preserve">小区门卫</t>
  </si>
  <si>
    <t xml:space="preserve">2部电梯</t>
  </si>
  <si>
    <t xml:space="preserve">有718、300、302、361路等多条公交线路经过</t>
  </si>
  <si>
    <t xml:space="preserve">高层塔楼</t>
  </si>
  <si>
    <t xml:space="preserve">35万</t>
  </si>
  <si>
    <t xml:space="preserve">10年</t>
  </si>
  <si>
    <t xml:space="preserve">房屋状况</t>
  </si>
  <si>
    <t xml:space="preserve">新产权证</t>
  </si>
  <si>
    <t xml:space="preserve">他项权利</t>
  </si>
  <si>
    <t xml:space="preserve">房屋所有权证号</t>
  </si>
  <si>
    <t xml:space="preserve">房屋座落</t>
  </si>
  <si>
    <t xml:space="preserve">地号</t>
  </si>
  <si>
    <t xml:space="preserve">产别</t>
  </si>
  <si>
    <t xml:space="preserve">幢号</t>
  </si>
  <si>
    <t xml:space="preserve">房号</t>
  </si>
  <si>
    <t xml:space="preserve">结构</t>
  </si>
  <si>
    <t xml:space="preserve">房屋总层数</t>
  </si>
  <si>
    <t xml:space="preserve">设计用途</t>
  </si>
  <si>
    <t xml:space="preserve">卖方房屋所有权证号</t>
  </si>
  <si>
    <t xml:space="preserve">房屋所有权人</t>
  </si>
  <si>
    <t xml:space="preserve">共有情况</t>
  </si>
  <si>
    <t xml:space="preserve">登记时间</t>
  </si>
  <si>
    <t xml:space="preserve">房屋性质</t>
  </si>
  <si>
    <t xml:space="preserve">至年</t>
  </si>
  <si>
    <t xml:space="preserve">权利种类</t>
  </si>
  <si>
    <t xml:space="preserve">约定期限</t>
  </si>
  <si>
    <t xml:space="preserve">注销日期</t>
  </si>
  <si>
    <t xml:space="preserve">录入修改人</t>
  </si>
  <si>
    <t xml:space="preserve">房屋耐用年限</t>
  </si>
  <si>
    <t xml:space="preserve">京房权证海私成字第006988号</t>
  </si>
  <si>
    <t xml:space="preserve">海淀区双榆树东里3号楼</t>
  </si>
  <si>
    <t xml:space="preserve">Ⅳ-1-3-15（2）</t>
  </si>
  <si>
    <t xml:space="preserve">私有产</t>
  </si>
  <si>
    <t xml:space="preserve">4门402</t>
  </si>
  <si>
    <t xml:space="preserve">原产权证</t>
  </si>
  <si>
    <t xml:space="preserve">海更成字第008358号</t>
  </si>
  <si>
    <t xml:space="preserve">海淀区双榆树北里18号楼</t>
  </si>
  <si>
    <t xml:space="preserve">Ⅳ-1-3-5（3）</t>
  </si>
  <si>
    <t xml:space="preserve">私产</t>
  </si>
  <si>
    <t xml:space="preserve">2门203</t>
  </si>
  <si>
    <t xml:space="preserve">京房权证海私成字第135444号</t>
  </si>
  <si>
    <t xml:space="preserve">海淀区双榆树西里2号楼</t>
  </si>
  <si>
    <t xml:space="preserve">IV-1-3-24（1）</t>
  </si>
  <si>
    <t xml:space="preserve">贷款利率</t>
  </si>
  <si>
    <t xml:space="preserve">1年期存款利率</t>
  </si>
  <si>
    <t xml:space="preserve">存款利率</t>
  </si>
  <si>
    <t xml:space="preserve">半年以内（含）</t>
  </si>
  <si>
    <t xml:space="preserve">0.5-1年（含）</t>
  </si>
  <si>
    <t xml:space="preserve">1-3年（含）</t>
  </si>
  <si>
    <t xml:space="preserve">3-5年（含）</t>
  </si>
  <si>
    <t xml:space="preserve">5年以上</t>
  </si>
  <si>
    <t xml:space="preserve">更新利率时，不要插入或删减行，会影响公式判断。当期行（13行）为固定行，只录入当期数据，如有更新，需要将历史数据从第14行起复制黏贴</t>
  </si>
  <si>
    <r>
      <rPr>
        <b val="true"/>
        <sz val="18"/>
        <color rgb="FFFF0000"/>
        <rFont val="宋体"/>
        <family val="3"/>
        <charset val="134"/>
      </rPr>
      <t xml:space="preserve">贷</t>
    </r>
    <r>
      <rPr>
        <b val="true"/>
        <sz val="16"/>
        <rFont val="宋体"/>
        <family val="3"/>
        <charset val="134"/>
      </rPr>
      <t xml:space="preserve">款利率</t>
    </r>
  </si>
  <si>
    <r>
      <rPr>
        <b val="true"/>
        <sz val="18"/>
        <color rgb="FFFF0000"/>
        <rFont val="宋体"/>
        <family val="3"/>
        <charset val="134"/>
      </rPr>
      <t xml:space="preserve">存</t>
    </r>
    <r>
      <rPr>
        <b val="true"/>
        <sz val="16"/>
        <rFont val="宋体"/>
        <family val="3"/>
        <charset val="134"/>
      </rPr>
      <t xml:space="preserve">款利率</t>
    </r>
  </si>
  <si>
    <t xml:space="preserve">序列</t>
  </si>
  <si>
    <t xml:space="preserve">日期</t>
  </si>
  <si>
    <t xml:space="preserve">短期</t>
  </si>
  <si>
    <t xml:space="preserve">中长期</t>
  </si>
  <si>
    <t xml:space="preserve">个人住房公积金</t>
  </si>
  <si>
    <t xml:space="preserve">活期</t>
  </si>
  <si>
    <t xml:space="preserve">整存整取</t>
  </si>
  <si>
    <t xml:space="preserve">零存整取</t>
  </si>
  <si>
    <t xml:space="preserve">协定</t>
  </si>
  <si>
    <t xml:space="preserve">一天通</t>
  </si>
  <si>
    <t xml:space="preserve">七天通</t>
  </si>
  <si>
    <t xml:space="preserve">0半年以内（含）</t>
  </si>
  <si>
    <t xml:space="preserve">5年以</t>
  </si>
  <si>
    <t xml:space="preserve">3个月</t>
  </si>
  <si>
    <t xml:space="preserve">当期</t>
  </si>
  <si>
    <t xml:space="preserve">LPR</t>
  </si>
  <si>
    <t xml:space="preserve">--</t>
  </si>
</sst>
</file>

<file path=xl/styles.xml><?xml version="1.0" encoding="utf-8"?>
<styleSheet xmlns="http://schemas.openxmlformats.org/spreadsheetml/2006/main">
  <numFmts count="36">
    <numFmt numFmtId="164" formatCode="General"/>
    <numFmt numFmtId="165" formatCode="[$-1E000804]YYYY\年M\月D\日;@"/>
    <numFmt numFmtId="166" formatCode="0%"/>
    <numFmt numFmtId="167" formatCode="General"/>
    <numFmt numFmtId="168" formatCode="[$-804]YYYY\-M\-D"/>
    <numFmt numFmtId="169" formatCode="YYYY\年M\月D\日;@"/>
    <numFmt numFmtId="170" formatCode="0.00_);[RED]\(0.00\)"/>
    <numFmt numFmtId="171" formatCode="[$-F800]DDDD&quot;, &quot;MMMM\ DD&quot;, &quot;YYYY"/>
    <numFmt numFmtId="172" formatCode="0.0000_);[RED]\(0.0000\)"/>
    <numFmt numFmtId="173" formatCode="0.00%"/>
    <numFmt numFmtId="174" formatCode="@"/>
    <numFmt numFmtId="175" formatCode="0_ "/>
    <numFmt numFmtId="176" formatCode="0.00_ "/>
    <numFmt numFmtId="177" formatCode="0.000_ "/>
    <numFmt numFmtId="178" formatCode="0.0%"/>
    <numFmt numFmtId="179" formatCode="0.000%"/>
    <numFmt numFmtId="180" formatCode="0.0_ "/>
    <numFmt numFmtId="181" formatCode="0;_쐀"/>
    <numFmt numFmtId="182" formatCode="0.00"/>
    <numFmt numFmtId="183" formatCode="0.0000%"/>
    <numFmt numFmtId="184" formatCode="0.0000_ "/>
    <numFmt numFmtId="185" formatCode="0_);[RED]\(0\)"/>
    <numFmt numFmtId="186" formatCode="0_ ;[RED]\-0\ "/>
    <numFmt numFmtId="187" formatCode="0.0_);[RED]\(0.0\)"/>
    <numFmt numFmtId="188" formatCode="0.000_);[RED]\(0.000\)"/>
    <numFmt numFmtId="189" formatCode="YYYY\年M\月;@"/>
    <numFmt numFmtId="190" formatCode="[$-804]YYYY\年M\月D\日"/>
    <numFmt numFmtId="191" formatCode="[H]:MM:SS"/>
    <numFmt numFmtId="192" formatCode="000000"/>
    <numFmt numFmtId="193" formatCode="[DBNum2][$-804]General"/>
    <numFmt numFmtId="194" formatCode="[$-804]MMM\-YY"/>
    <numFmt numFmtId="195" formatCode="[$-804]General"/>
    <numFmt numFmtId="196" formatCode="0"/>
    <numFmt numFmtId="197" formatCode="[DBNum1][$-804]General"/>
    <numFmt numFmtId="198" formatCode="# ?/?"/>
    <numFmt numFmtId="199" formatCode="YYYY/M/D;@"/>
  </numFmts>
  <fonts count="186">
    <font>
      <sz val="11"/>
      <color rgb="FF000000"/>
      <name val="宋体"/>
      <family val="0"/>
      <charset val="134"/>
    </font>
    <font>
      <sz val="10"/>
      <name val="Arial"/>
      <family val="0"/>
      <charset val="134"/>
    </font>
    <font>
      <sz val="10"/>
      <name val="Arial"/>
      <family val="0"/>
      <charset val="134"/>
    </font>
    <font>
      <sz val="10"/>
      <name val="Arial"/>
      <family val="0"/>
      <charset val="134"/>
    </font>
    <font>
      <sz val="11"/>
      <color rgb="FF000000"/>
      <name val="宋体"/>
      <family val="3"/>
      <charset val="134"/>
    </font>
    <font>
      <sz val="12"/>
      <name val="宋体"/>
      <family val="3"/>
      <charset val="134"/>
    </font>
    <font>
      <sz val="12"/>
      <color rgb="FF000000"/>
      <name val="楷体_GB2312"/>
      <family val="0"/>
      <charset val="134"/>
    </font>
    <font>
      <sz val="12"/>
      <color rgb="FF000000"/>
      <name val="宋体"/>
      <family val="3"/>
      <charset val="134"/>
    </font>
    <font>
      <b val="true"/>
      <sz val="12"/>
      <color rgb="FF000000"/>
      <name val="宋体"/>
      <family val="3"/>
      <charset val="134"/>
    </font>
    <font>
      <b val="true"/>
      <i val="true"/>
      <sz val="12"/>
      <color rgb="FFE46C0A"/>
      <name val="宋体"/>
      <family val="0"/>
      <charset val="134"/>
    </font>
    <font>
      <b val="true"/>
      <i val="true"/>
      <sz val="12"/>
      <color rgb="FFE46C0A"/>
      <name val="宋体"/>
      <family val="3"/>
      <charset val="134"/>
    </font>
    <font>
      <b val="true"/>
      <i val="true"/>
      <sz val="12"/>
      <color rgb="FFE46C0A"/>
      <name val="Arial"/>
      <family val="2"/>
      <charset val="1"/>
    </font>
    <font>
      <b val="true"/>
      <i val="true"/>
      <sz val="12"/>
      <color rgb="FF558ED5"/>
      <name val="宋体"/>
      <family val="0"/>
      <charset val="134"/>
    </font>
    <font>
      <b val="true"/>
      <i val="true"/>
      <sz val="12"/>
      <color rgb="FF558ED5"/>
      <name val="宋体"/>
      <family val="3"/>
      <charset val="134"/>
    </font>
    <font>
      <b val="true"/>
      <sz val="10.5"/>
      <color rgb="FF000000"/>
      <name val="黑体"/>
      <family val="3"/>
      <charset val="134"/>
    </font>
    <font>
      <sz val="10.5"/>
      <color rgb="FF000000"/>
      <name val="黑体"/>
      <family val="3"/>
      <charset val="134"/>
    </font>
    <font>
      <b val="true"/>
      <sz val="18"/>
      <color rgb="FF000000"/>
      <name val="宋体"/>
      <family val="3"/>
      <charset val="134"/>
    </font>
    <font>
      <b val="true"/>
      <sz val="14"/>
      <color rgb="FF000000"/>
      <name val="Arial"/>
      <family val="2"/>
      <charset val="1"/>
    </font>
    <font>
      <sz val="14"/>
      <color rgb="FF000000"/>
      <name val="Arial"/>
      <family val="2"/>
      <charset val="1"/>
    </font>
    <font>
      <b val="true"/>
      <sz val="14"/>
      <color rgb="FF000000"/>
      <name val="宋体"/>
      <family val="3"/>
      <charset val="134"/>
    </font>
    <font>
      <b val="true"/>
      <i val="true"/>
      <sz val="14"/>
      <color rgb="FF558ED5"/>
      <name val="宋体"/>
      <family val="3"/>
      <charset val="134"/>
    </font>
    <font>
      <i val="true"/>
      <sz val="14"/>
      <color rgb="FF558ED5"/>
      <name val="宋体"/>
      <family val="3"/>
      <charset val="134"/>
    </font>
    <font>
      <i val="true"/>
      <sz val="14"/>
      <color rgb="FF558ED5"/>
      <name val="Arial"/>
      <family val="2"/>
      <charset val="1"/>
    </font>
    <font>
      <i val="true"/>
      <sz val="14"/>
      <color rgb="FF558ED5"/>
      <name val="宋体"/>
      <family val="0"/>
      <charset val="134"/>
    </font>
    <font>
      <sz val="14"/>
      <color rgb="FF000000"/>
      <name val="宋体"/>
      <family val="3"/>
      <charset val="134"/>
    </font>
    <font>
      <sz val="14"/>
      <color rgb="FFE46C0A"/>
      <name val="宋体"/>
      <family val="3"/>
      <charset val="134"/>
    </font>
    <font>
      <b val="true"/>
      <sz val="12"/>
      <color rgb="FF000000"/>
      <name val="Arial"/>
      <family val="2"/>
      <charset val="1"/>
    </font>
    <font>
      <sz val="12"/>
      <color rgb="FF000000"/>
      <name val="Arial"/>
      <family val="2"/>
      <charset val="1"/>
    </font>
    <font>
      <b val="true"/>
      <sz val="11"/>
      <color rgb="FF000000"/>
      <name val="Arial"/>
      <family val="2"/>
      <charset val="1"/>
    </font>
    <font>
      <sz val="10"/>
      <color rgb="FF000000"/>
      <name val="宋体"/>
      <family val="3"/>
      <charset val="134"/>
    </font>
    <font>
      <sz val="10"/>
      <color rgb="FF000000"/>
      <name val="Arial"/>
      <family val="2"/>
      <charset val="1"/>
    </font>
    <font>
      <sz val="12"/>
      <color rgb="FF000000"/>
      <name val="宋体"/>
      <family val="0"/>
      <charset val="134"/>
    </font>
    <font>
      <sz val="14"/>
      <color rgb="FF000000"/>
      <name val="宋体"/>
      <family val="0"/>
      <charset val="134"/>
    </font>
    <font>
      <sz val="14"/>
      <color rgb="FFE36C0A"/>
      <name val="Arial"/>
      <family val="2"/>
      <charset val="1"/>
    </font>
    <font>
      <sz val="14"/>
      <color rgb="FFE36C0A"/>
      <name val="宋体"/>
      <family val="0"/>
      <charset val="134"/>
    </font>
    <font>
      <sz val="12"/>
      <color rgb="FFE46C0A"/>
      <name val="宋体"/>
      <family val="3"/>
      <charset val="134"/>
    </font>
    <font>
      <sz val="12"/>
      <color rgb="FFE46C0A"/>
      <name val="Arial"/>
      <family val="2"/>
      <charset val="1"/>
    </font>
    <font>
      <sz val="12"/>
      <color rgb="FFE46C0A"/>
      <name val="宋体"/>
      <family val="0"/>
      <charset val="134"/>
    </font>
    <font>
      <sz val="11"/>
      <color rgb="FF000000"/>
      <name val="Arial"/>
      <family val="2"/>
      <charset val="1"/>
    </font>
    <font>
      <sz val="11"/>
      <color rgb="FFFF6600"/>
      <name val="Arial"/>
      <family val="2"/>
      <charset val="1"/>
    </font>
    <font>
      <sz val="11"/>
      <color rgb="FFFF6600"/>
      <name val="宋体"/>
      <family val="3"/>
      <charset val="134"/>
    </font>
    <font>
      <i val="true"/>
      <sz val="11"/>
      <color rgb="FF558ED5"/>
      <name val="宋体"/>
      <family val="3"/>
      <charset val="134"/>
    </font>
    <font>
      <sz val="14"/>
      <color rgb="FFE46C0A"/>
      <name val="Arial"/>
      <family val="2"/>
      <charset val="1"/>
    </font>
    <font>
      <b val="true"/>
      <sz val="14"/>
      <color rgb="FFFF0000"/>
      <name val="宋体"/>
      <family val="3"/>
      <charset val="134"/>
    </font>
    <font>
      <b val="true"/>
      <sz val="12"/>
      <color rgb="FFFFFF00"/>
      <name val="宋体"/>
      <family val="3"/>
      <charset val="134"/>
    </font>
    <font>
      <b val="true"/>
      <sz val="12"/>
      <color rgb="FFFF0000"/>
      <name val="宋体"/>
      <family val="3"/>
      <charset val="134"/>
    </font>
    <font>
      <sz val="16"/>
      <color rgb="FF000000"/>
      <name val="宋体"/>
      <family val="3"/>
      <charset val="134"/>
    </font>
    <font>
      <b val="true"/>
      <sz val="16"/>
      <color rgb="FF000000"/>
      <name val="宋体"/>
      <family val="3"/>
      <charset val="134"/>
    </font>
    <font>
      <sz val="16"/>
      <color rgb="FFFF0000"/>
      <name val="宋体"/>
      <family val="3"/>
      <charset val="134"/>
    </font>
    <font>
      <b val="true"/>
      <sz val="16"/>
      <color rgb="FFFF0000"/>
      <name val="宋体"/>
      <family val="3"/>
      <charset val="134"/>
    </font>
    <font>
      <sz val="16"/>
      <color rgb="FF000000"/>
      <name val="Arial"/>
      <family val="2"/>
      <charset val="1"/>
    </font>
    <font>
      <sz val="9"/>
      <color rgb="FF000000"/>
      <name val="宋体"/>
      <family val="3"/>
      <charset val="134"/>
    </font>
    <font>
      <b val="true"/>
      <sz val="11"/>
      <color rgb="FFFF0000"/>
      <name val="宋体"/>
      <family val="3"/>
      <charset val="134"/>
    </font>
    <font>
      <sz val="10"/>
      <color rgb="FF000000"/>
      <name val="宋体"/>
      <family val="0"/>
      <charset val="134"/>
    </font>
    <font>
      <sz val="10"/>
      <color rgb="FFE46C0A"/>
      <name val="宋体"/>
      <family val="0"/>
      <charset val="134"/>
    </font>
    <font>
      <sz val="10"/>
      <color rgb="FFE46C0A"/>
      <name val="宋体"/>
      <family val="3"/>
      <charset val="134"/>
    </font>
    <font>
      <sz val="10"/>
      <color rgb="FFE46C0A"/>
      <name val="Arial"/>
      <family val="2"/>
      <charset val="1"/>
    </font>
    <font>
      <sz val="10"/>
      <color rgb="FFFF0000"/>
      <name val="Arial"/>
      <family val="2"/>
      <charset val="1"/>
    </font>
    <font>
      <sz val="10"/>
      <name val="宋体"/>
      <family val="0"/>
      <charset val="134"/>
    </font>
    <font>
      <b val="true"/>
      <sz val="10"/>
      <color rgb="FFFF0000"/>
      <name val="宋体"/>
      <family val="3"/>
      <charset val="134"/>
    </font>
    <font>
      <b val="true"/>
      <sz val="10"/>
      <color rgb="FF000000"/>
      <name val="宋体"/>
      <family val="0"/>
      <charset val="134"/>
    </font>
    <font>
      <b val="true"/>
      <sz val="10"/>
      <color rgb="FF000000"/>
      <name val="宋体"/>
      <family val="3"/>
      <charset val="134"/>
    </font>
    <font>
      <sz val="14"/>
      <name val="楷体_GB2312"/>
      <family val="0"/>
      <charset val="134"/>
    </font>
    <font>
      <sz val="9"/>
      <name val="宋体"/>
      <family val="3"/>
      <charset val="134"/>
    </font>
    <font>
      <sz val="11"/>
      <name val="楷体_GB2312"/>
      <family val="0"/>
      <charset val="134"/>
    </font>
    <font>
      <sz val="11"/>
      <name val="宋体"/>
      <family val="3"/>
      <charset val="134"/>
    </font>
    <font>
      <sz val="12"/>
      <name val="仿宋_GB2312"/>
      <family val="0"/>
      <charset val="134"/>
    </font>
    <font>
      <sz val="10"/>
      <color rgb="FFFF0000"/>
      <name val="宋体"/>
      <family val="0"/>
      <charset val="134"/>
    </font>
    <font>
      <sz val="10"/>
      <color rgb="FFFF0000"/>
      <name val="宋体"/>
      <family val="3"/>
      <charset val="134"/>
    </font>
    <font>
      <sz val="9"/>
      <color rgb="FFFF0000"/>
      <name val="宋体"/>
      <family val="0"/>
      <charset val="134"/>
    </font>
    <font>
      <sz val="11"/>
      <color rgb="FFFF0000"/>
      <name val="宋体"/>
      <family val="0"/>
      <charset val="134"/>
    </font>
    <font>
      <sz val="10"/>
      <name val="宋体"/>
      <family val="3"/>
      <charset val="134"/>
    </font>
    <font>
      <b val="true"/>
      <sz val="11"/>
      <color rgb="FF000000"/>
      <name val="宋体"/>
      <family val="3"/>
      <charset val="134"/>
    </font>
    <font>
      <b val="true"/>
      <sz val="11"/>
      <name val="宋体"/>
      <family val="3"/>
      <charset val="134"/>
    </font>
    <font>
      <b val="true"/>
      <sz val="11"/>
      <color rgb="FF000000"/>
      <name val="宋体"/>
      <family val="0"/>
      <charset val="134"/>
    </font>
    <font>
      <sz val="11"/>
      <name val="Arial"/>
      <family val="2"/>
      <charset val="1"/>
    </font>
    <font>
      <sz val="11"/>
      <color rgb="FFFF0000"/>
      <name val="宋体"/>
      <family val="3"/>
      <charset val="134"/>
    </font>
    <font>
      <sz val="10"/>
      <name val="Arial"/>
      <family val="2"/>
      <charset val="1"/>
    </font>
    <font>
      <sz val="11"/>
      <color rgb="FFFF0000"/>
      <name val="楷体_GB2312"/>
      <family val="0"/>
      <charset val="134"/>
    </font>
    <font>
      <sz val="11"/>
      <color rgb="FFFF0000"/>
      <name val="Arial"/>
      <family val="2"/>
      <charset val="1"/>
    </font>
    <font>
      <b val="true"/>
      <sz val="8"/>
      <name val="宋体"/>
      <family val="3"/>
      <charset val="134"/>
    </font>
    <font>
      <b val="true"/>
      <sz val="9"/>
      <name val="宋体"/>
      <family val="3"/>
      <charset val="134"/>
    </font>
    <font>
      <b val="true"/>
      <sz val="14"/>
      <color rgb="FF000000"/>
      <name val="宋体"/>
      <family val="0"/>
      <charset val="134"/>
    </font>
    <font>
      <b val="true"/>
      <sz val="10"/>
      <color rgb="FFFF0000"/>
      <name val="宋体"/>
      <family val="0"/>
      <charset val="134"/>
    </font>
    <font>
      <sz val="11"/>
      <color rgb="FF666666"/>
      <name val="微软雅黑"/>
      <family val="2"/>
      <charset val="134"/>
    </font>
    <font>
      <b val="true"/>
      <vertAlign val="superscript"/>
      <sz val="8"/>
      <color rgb="FF666666"/>
      <name val="微软雅黑"/>
      <family val="2"/>
      <charset val="134"/>
    </font>
    <font>
      <b val="true"/>
      <sz val="11"/>
      <color rgb="FF666666"/>
      <name val="微软雅黑"/>
      <family val="2"/>
      <charset val="134"/>
    </font>
    <font>
      <b val="true"/>
      <sz val="10"/>
      <color rgb="FF000000"/>
      <name val="Arial"/>
      <family val="2"/>
      <charset val="1"/>
    </font>
    <font>
      <u val="single"/>
      <sz val="11"/>
      <color rgb="FFFF0000"/>
      <name val="Arial"/>
      <family val="2"/>
      <charset val="1"/>
    </font>
    <font>
      <b val="true"/>
      <sz val="16"/>
      <color rgb="FFFF0000"/>
      <name val="宋体"/>
      <family val="0"/>
      <charset val="134"/>
    </font>
    <font>
      <b val="true"/>
      <sz val="10"/>
      <color rgb="FFE36C0A"/>
      <name val="宋体"/>
      <family val="0"/>
      <charset val="134"/>
    </font>
    <font>
      <b val="true"/>
      <sz val="10"/>
      <color rgb="FFE36C0A"/>
      <name val="Arial"/>
      <family val="2"/>
      <charset val="1"/>
    </font>
    <font>
      <vertAlign val="superscript"/>
      <sz val="10"/>
      <color rgb="FF000000"/>
      <name val="Arial"/>
      <family val="2"/>
      <charset val="1"/>
    </font>
    <font>
      <sz val="10"/>
      <color rgb="FFE36C0A"/>
      <name val="Arial"/>
      <family val="2"/>
      <charset val="1"/>
    </font>
    <font>
      <sz val="10"/>
      <color rgb="FFE36C0A"/>
      <name val="宋体"/>
      <family val="0"/>
      <charset val="134"/>
    </font>
    <font>
      <b val="true"/>
      <sz val="10"/>
      <name val="宋体"/>
      <family val="3"/>
      <charset val="134"/>
    </font>
    <font>
      <b val="true"/>
      <sz val="10"/>
      <name val="宋体"/>
      <family val="0"/>
      <charset val="134"/>
    </font>
    <font>
      <b val="true"/>
      <sz val="10"/>
      <name val="Arial"/>
      <family val="2"/>
      <charset val="1"/>
    </font>
    <font>
      <b val="true"/>
      <i val="true"/>
      <sz val="11"/>
      <color rgb="FF558ED5"/>
      <name val="宋体"/>
      <family val="3"/>
      <charset val="134"/>
    </font>
    <font>
      <sz val="12"/>
      <name val="楷体_GB2312"/>
      <family val="0"/>
      <charset val="134"/>
    </font>
    <font>
      <b val="true"/>
      <sz val="16"/>
      <name val="宋体"/>
      <family val="0"/>
      <charset val="134"/>
    </font>
    <font>
      <b val="true"/>
      <sz val="12"/>
      <name val="宋体"/>
      <family val="3"/>
      <charset val="134"/>
    </font>
    <font>
      <b val="true"/>
      <sz val="12"/>
      <name val="Arial"/>
      <family val="2"/>
      <charset val="1"/>
    </font>
    <font>
      <sz val="12"/>
      <name val="宋体"/>
      <family val="0"/>
      <charset val="134"/>
    </font>
    <font>
      <b val="true"/>
      <sz val="12"/>
      <name val="宋体"/>
      <family val="0"/>
      <charset val="134"/>
    </font>
    <font>
      <i val="true"/>
      <sz val="10"/>
      <name val="Arial"/>
      <family val="2"/>
      <charset val="1"/>
    </font>
    <font>
      <i val="true"/>
      <sz val="10"/>
      <name val="宋体"/>
      <family val="3"/>
      <charset val="134"/>
    </font>
    <font>
      <b val="true"/>
      <vertAlign val="subscript"/>
      <sz val="10"/>
      <name val="宋体"/>
      <family val="3"/>
      <charset val="134"/>
    </font>
    <font>
      <b val="true"/>
      <vertAlign val="subscript"/>
      <sz val="10"/>
      <name val="Arial"/>
      <family val="2"/>
      <charset val="1"/>
    </font>
    <font>
      <sz val="12"/>
      <name val="Arial"/>
      <family val="2"/>
      <charset val="1"/>
    </font>
    <font>
      <b val="true"/>
      <sz val="12"/>
      <color rgb="FF000000"/>
      <name val="宋体"/>
      <family val="0"/>
      <charset val="134"/>
    </font>
    <font>
      <sz val="16"/>
      <name val="宋体"/>
      <family val="0"/>
      <charset val="134"/>
    </font>
    <font>
      <i val="true"/>
      <sz val="10"/>
      <color rgb="FF000000"/>
      <name val="宋体"/>
      <family val="3"/>
      <charset val="134"/>
    </font>
    <font>
      <b val="true"/>
      <i val="true"/>
      <sz val="10"/>
      <color rgb="FFFF0000"/>
      <name val="宋体"/>
      <family val="3"/>
      <charset val="134"/>
    </font>
    <font>
      <vertAlign val="subscript"/>
      <sz val="10"/>
      <color rgb="FF000000"/>
      <name val="宋体"/>
      <family val="3"/>
      <charset val="134"/>
    </font>
    <font>
      <b val="true"/>
      <sz val="10"/>
      <color rgb="FFFF0000"/>
      <name val="Arial"/>
      <family val="2"/>
      <charset val="1"/>
    </font>
    <font>
      <vertAlign val="superscript"/>
      <sz val="10"/>
      <color rgb="FF000000"/>
      <name val="宋体"/>
      <family val="3"/>
      <charset val="134"/>
    </font>
    <font>
      <vertAlign val="subscript"/>
      <sz val="10"/>
      <color rgb="FF000000"/>
      <name val="Arial"/>
      <family val="2"/>
      <charset val="1"/>
    </font>
    <font>
      <sz val="16"/>
      <name val="宋体"/>
      <family val="3"/>
      <charset val="134"/>
    </font>
    <font>
      <b val="true"/>
      <sz val="10"/>
      <color rgb="FFFF6600"/>
      <name val="宋体"/>
      <family val="3"/>
      <charset val="134"/>
    </font>
    <font>
      <sz val="11"/>
      <name val="宋体"/>
      <family val="0"/>
      <charset val="134"/>
    </font>
    <font>
      <b val="true"/>
      <sz val="16"/>
      <name val="宋体"/>
      <family val="3"/>
      <charset val="134"/>
    </font>
    <font>
      <b val="true"/>
      <sz val="16"/>
      <color rgb="FFFF0000"/>
      <name val="Arial"/>
      <family val="2"/>
      <charset val="1"/>
    </font>
    <font>
      <b val="true"/>
      <sz val="12"/>
      <color rgb="FFFF0000"/>
      <name val="宋体"/>
      <family val="0"/>
      <charset val="134"/>
    </font>
    <font>
      <b val="true"/>
      <sz val="11"/>
      <name val="宋体"/>
      <family val="0"/>
      <charset val="134"/>
    </font>
    <font>
      <sz val="11"/>
      <color rgb="FFE46C0A"/>
      <name val="宋体"/>
      <family val="3"/>
      <charset val="134"/>
    </font>
    <font>
      <b val="true"/>
      <sz val="11"/>
      <color rgb="FF333399"/>
      <name val="宋体"/>
      <family val="0"/>
      <charset val="134"/>
    </font>
    <font>
      <sz val="11"/>
      <color rgb="FF333399"/>
      <name val="宋体"/>
      <family val="0"/>
      <charset val="134"/>
    </font>
    <font>
      <sz val="11"/>
      <color rgb="FFFF6600"/>
      <name val="宋体"/>
      <family val="0"/>
      <charset val="134"/>
    </font>
    <font>
      <b val="true"/>
      <sz val="11"/>
      <color rgb="FFFF0000"/>
      <name val="宋体"/>
      <family val="0"/>
      <charset val="134"/>
    </font>
    <font>
      <b val="true"/>
      <sz val="11"/>
      <name val="Arial"/>
      <family val="2"/>
      <charset val="1"/>
    </font>
    <font>
      <b val="true"/>
      <sz val="11"/>
      <color rgb="FFFF6600"/>
      <name val="Arial"/>
      <family val="2"/>
      <charset val="1"/>
    </font>
    <font>
      <b val="true"/>
      <sz val="11"/>
      <color rgb="FFFF6600"/>
      <name val="宋体"/>
      <family val="0"/>
      <charset val="134"/>
    </font>
    <font>
      <b val="true"/>
      <sz val="11"/>
      <color rgb="FFE46C0A"/>
      <name val="Arial"/>
      <family val="2"/>
      <charset val="1"/>
    </font>
    <font>
      <b val="true"/>
      <sz val="11"/>
      <color rgb="FFE46C0A"/>
      <name val="宋体"/>
      <family val="3"/>
      <charset val="134"/>
    </font>
    <font>
      <b val="true"/>
      <sz val="11"/>
      <color rgb="FFFF0000"/>
      <name val="Arial"/>
      <family val="2"/>
      <charset val="1"/>
    </font>
    <font>
      <sz val="10"/>
      <name val="Times New Roman"/>
      <family val="1"/>
      <charset val="1"/>
    </font>
    <font>
      <b val="true"/>
      <sz val="9"/>
      <name val="Times New Roman"/>
      <family val="1"/>
      <charset val="1"/>
    </font>
    <font>
      <sz val="11"/>
      <color rgb="FFE46C0A"/>
      <name val="Arial"/>
      <family val="2"/>
      <charset val="1"/>
    </font>
    <font>
      <sz val="12"/>
      <color rgb="FFFF6600"/>
      <name val="宋体"/>
      <family val="0"/>
      <charset val="134"/>
    </font>
    <font>
      <sz val="10"/>
      <color rgb="FFFF6600"/>
      <name val="Arial"/>
      <family val="2"/>
      <charset val="1"/>
    </font>
    <font>
      <sz val="10"/>
      <color rgb="FFFF6600"/>
      <name val="宋体"/>
      <family val="0"/>
      <charset val="134"/>
    </font>
    <font>
      <sz val="10"/>
      <color rgb="FFFF6600"/>
      <name val="宋体"/>
      <family val="3"/>
      <charset val="134"/>
    </font>
    <font>
      <b val="true"/>
      <sz val="11"/>
      <color rgb="FF808080"/>
      <name val="Arial"/>
      <family val="2"/>
      <charset val="1"/>
    </font>
    <font>
      <sz val="12"/>
      <color rgb="FFFF0000"/>
      <name val="Arial"/>
      <family val="2"/>
      <charset val="1"/>
    </font>
    <font>
      <b val="true"/>
      <sz val="14"/>
      <name val="宋体"/>
      <family val="3"/>
      <charset val="134"/>
    </font>
    <font>
      <sz val="12"/>
      <color rgb="FFFF0000"/>
      <name val="宋体"/>
      <family val="3"/>
      <charset val="134"/>
    </font>
    <font>
      <b val="true"/>
      <sz val="12"/>
      <color rgb="FFFF0000"/>
      <name val="仿宋_GB2312"/>
      <family val="0"/>
      <charset val="134"/>
    </font>
    <font>
      <b val="true"/>
      <sz val="12"/>
      <name val="仿宋_GB2312"/>
      <family val="0"/>
      <charset val="134"/>
    </font>
    <font>
      <sz val="9"/>
      <name val="仿宋_GB2312"/>
      <family val="0"/>
      <charset val="134"/>
    </font>
    <font>
      <sz val="9"/>
      <color rgb="FF000000"/>
      <name val="仿宋_GB2312"/>
      <family val="0"/>
      <charset val="134"/>
    </font>
    <font>
      <b val="true"/>
      <sz val="16"/>
      <color rgb="FFFF0000"/>
      <name val="楷体_GB2312"/>
      <family val="0"/>
      <charset val="134"/>
    </font>
    <font>
      <b val="true"/>
      <sz val="12"/>
      <name val="楷体_GB2312"/>
      <family val="0"/>
      <charset val="134"/>
    </font>
    <font>
      <b val="true"/>
      <sz val="10"/>
      <name val="楷体_GB2312"/>
      <family val="0"/>
      <charset val="134"/>
    </font>
    <font>
      <sz val="10"/>
      <name val="楷体_GB2312"/>
      <family val="0"/>
      <charset val="134"/>
    </font>
    <font>
      <i val="true"/>
      <sz val="10"/>
      <name val="楷体_GB2312"/>
      <family val="0"/>
      <charset val="134"/>
    </font>
    <font>
      <b val="true"/>
      <vertAlign val="subscript"/>
      <sz val="10"/>
      <name val="楷体_GB2312"/>
      <family val="0"/>
      <charset val="134"/>
    </font>
    <font>
      <b val="true"/>
      <sz val="10"/>
      <color rgb="FFFF0000"/>
      <name val="楷体_GB2312"/>
      <family val="0"/>
      <charset val="134"/>
    </font>
    <font>
      <sz val="10"/>
      <color rgb="FF000000"/>
      <name val="楷体_GB2312"/>
      <family val="0"/>
      <charset val="134"/>
    </font>
    <font>
      <b val="true"/>
      <sz val="9"/>
      <color rgb="FF000000"/>
      <name val="仿宋_GB2312"/>
      <family val="0"/>
      <charset val="134"/>
    </font>
    <font>
      <b val="true"/>
      <sz val="9"/>
      <color rgb="FF000000"/>
      <name val="宋体"/>
      <family val="3"/>
      <charset val="134"/>
    </font>
    <font>
      <b val="true"/>
      <sz val="11"/>
      <color rgb="FF000000"/>
      <name val="仿宋_GB2312"/>
      <family val="0"/>
      <charset val="134"/>
    </font>
    <font>
      <b val="true"/>
      <sz val="10"/>
      <color rgb="FF000000"/>
      <name val="仿宋_GB2312"/>
      <family val="0"/>
      <charset val="134"/>
    </font>
    <font>
      <sz val="10"/>
      <color rgb="FF000000"/>
      <name val="仿宋_GB2312"/>
      <family val="0"/>
      <charset val="134"/>
    </font>
    <font>
      <sz val="8"/>
      <color rgb="FF000000"/>
      <name val="仿宋_GB2312"/>
      <family val="0"/>
      <charset val="134"/>
    </font>
    <font>
      <sz val="8"/>
      <color rgb="FF000000"/>
      <name val="宋体"/>
      <family val="3"/>
      <charset val="134"/>
    </font>
    <font>
      <sz val="9"/>
      <color rgb="FF000000"/>
      <name val="宋体"/>
      <family val="0"/>
      <charset val="134"/>
    </font>
    <font>
      <sz val="11"/>
      <color rgb="FF000000"/>
      <name val="方正黑体简体"/>
      <family val="0"/>
      <charset val="134"/>
    </font>
    <font>
      <sz val="9"/>
      <color rgb="FF000000"/>
      <name val="华文细黑"/>
      <family val="3"/>
      <charset val="134"/>
    </font>
    <font>
      <sz val="9"/>
      <color rgb="FF000000"/>
      <name val="Arial"/>
      <family val="2"/>
      <charset val="1"/>
    </font>
    <font>
      <b val="true"/>
      <sz val="10"/>
      <color rgb="FF000000"/>
      <name val="楷体_GB2312"/>
      <family val="0"/>
      <charset val="134"/>
    </font>
    <font>
      <sz val="11"/>
      <color rgb="FF000000"/>
      <name val="楷体_GB2312"/>
      <family val="0"/>
      <charset val="134"/>
    </font>
    <font>
      <b val="true"/>
      <sz val="10"/>
      <color rgb="FFE46C0A"/>
      <name val="宋体"/>
      <family val="3"/>
      <charset val="134"/>
    </font>
    <font>
      <b val="true"/>
      <sz val="10"/>
      <color rgb="FFE46C0A"/>
      <name val="楷体_GB2312"/>
      <family val="0"/>
      <charset val="134"/>
    </font>
    <font>
      <b val="true"/>
      <sz val="10"/>
      <color rgb="FFE46C0A"/>
      <name val="Arial"/>
      <family val="2"/>
      <charset val="1"/>
    </font>
    <font>
      <sz val="10"/>
      <color rgb="FF707070"/>
      <name val="Arial"/>
      <family val="2"/>
      <charset val="1"/>
    </font>
    <font>
      <b val="true"/>
      <sz val="10"/>
      <color rgb="FFFFFFFF"/>
      <name val="楷体_GB2312"/>
      <family val="0"/>
      <charset val="134"/>
    </font>
    <font>
      <b val="true"/>
      <sz val="10"/>
      <color rgb="FF707070"/>
      <name val="Arial"/>
      <family val="2"/>
      <charset val="1"/>
    </font>
    <font>
      <b val="true"/>
      <sz val="10"/>
      <color rgb="FFFFFFFF"/>
      <name val="Arial"/>
      <family val="2"/>
      <charset val="1"/>
    </font>
    <font>
      <sz val="10"/>
      <color rgb="FFFF0000"/>
      <name val="楷体_GB2312"/>
      <family val="0"/>
      <charset val="134"/>
    </font>
    <font>
      <sz val="10"/>
      <color rgb="FF707070"/>
      <name val="宋体"/>
      <family val="3"/>
      <charset val="134"/>
    </font>
    <font>
      <b val="true"/>
      <sz val="9"/>
      <color rgb="FF000000"/>
      <name val="Times New Roman"/>
      <family val="1"/>
      <charset val="1"/>
    </font>
    <font>
      <b val="true"/>
      <sz val="16"/>
      <color rgb="FF558ED5"/>
      <name val="宋体"/>
      <family val="3"/>
      <charset val="134"/>
    </font>
    <font>
      <b val="true"/>
      <sz val="12"/>
      <color rgb="FF558ED5"/>
      <name val="宋体"/>
      <family val="3"/>
      <charset val="134"/>
    </font>
    <font>
      <b val="true"/>
      <sz val="18"/>
      <color rgb="FFFF0000"/>
      <name val="宋体"/>
      <family val="3"/>
      <charset val="134"/>
    </font>
    <font>
      <sz val="13"/>
      <color rgb="FF000000"/>
      <name val="宋体"/>
      <family val="3"/>
      <charset val="134"/>
    </font>
  </fonts>
  <fills count="23">
    <fill>
      <patternFill patternType="none"/>
    </fill>
    <fill>
      <patternFill patternType="gray125"/>
    </fill>
    <fill>
      <patternFill patternType="solid">
        <fgColor rgb="FFFFFF00"/>
        <bgColor rgb="FFFFFF99"/>
      </patternFill>
    </fill>
    <fill>
      <patternFill patternType="solid">
        <fgColor rgb="FFBFBFBF"/>
        <bgColor rgb="FFC0C0C0"/>
      </patternFill>
    </fill>
    <fill>
      <patternFill patternType="solid">
        <fgColor rgb="FFFF0000"/>
        <bgColor rgb="FF993300"/>
      </patternFill>
    </fill>
    <fill>
      <patternFill patternType="solid">
        <fgColor rgb="FFFFFFFF"/>
        <bgColor rgb="FFF0F0F0"/>
      </patternFill>
    </fill>
    <fill>
      <patternFill patternType="solid">
        <fgColor rgb="FF92D050"/>
        <bgColor rgb="FF9BBB59"/>
      </patternFill>
    </fill>
    <fill>
      <patternFill patternType="solid">
        <fgColor rgb="FF808080"/>
        <bgColor rgb="FF707070"/>
      </patternFill>
    </fill>
    <fill>
      <patternFill patternType="solid">
        <fgColor rgb="FF57EF57"/>
        <bgColor rgb="FF92D050"/>
      </patternFill>
    </fill>
    <fill>
      <patternFill patternType="solid">
        <fgColor rgb="FFB3A2C7"/>
        <bgColor rgb="FFBFBFBF"/>
      </patternFill>
    </fill>
    <fill>
      <patternFill patternType="solid">
        <fgColor rgb="FFE46C0A"/>
        <bgColor rgb="FFE36C0A"/>
      </patternFill>
    </fill>
    <fill>
      <patternFill patternType="solid">
        <fgColor rgb="FFD9D9D9"/>
        <bgColor rgb="FFE6E0EC"/>
      </patternFill>
    </fill>
    <fill>
      <patternFill patternType="solid">
        <fgColor rgb="FFFFFF99"/>
        <bgColor rgb="FFEBF1DE"/>
      </patternFill>
    </fill>
    <fill>
      <patternFill patternType="solid">
        <fgColor rgb="FF99CCFF"/>
        <bgColor rgb="FF93CDDD"/>
      </patternFill>
    </fill>
    <fill>
      <patternFill patternType="solid">
        <fgColor rgb="FFB7DEE8"/>
        <bgColor rgb="FFD9D9D9"/>
      </patternFill>
    </fill>
    <fill>
      <patternFill patternType="solid">
        <fgColor rgb="FFC3D69B"/>
        <bgColor rgb="FFD7E4BD"/>
      </patternFill>
    </fill>
    <fill>
      <patternFill patternType="solid">
        <fgColor rgb="FFF0F0F0"/>
        <bgColor rgb="FFEBF1DE"/>
      </patternFill>
    </fill>
    <fill>
      <patternFill patternType="solid">
        <fgColor rgb="FF8EB4E3"/>
        <bgColor rgb="FF93CDDD"/>
      </patternFill>
    </fill>
    <fill>
      <patternFill patternType="solid">
        <fgColor rgb="FF93CDDD"/>
        <bgColor rgb="FF99CCFF"/>
      </patternFill>
    </fill>
    <fill>
      <patternFill patternType="solid">
        <fgColor rgb="FFD7E4BD"/>
        <bgColor rgb="FFD9D9D9"/>
      </patternFill>
    </fill>
    <fill>
      <patternFill patternType="solid">
        <fgColor rgb="FFC0C0C0"/>
        <bgColor rgb="FFBFBFBF"/>
      </patternFill>
    </fill>
    <fill>
      <patternFill patternType="solid">
        <fgColor rgb="FFEBF1DE"/>
        <bgColor rgb="FFF0F0F0"/>
      </patternFill>
    </fill>
    <fill>
      <patternFill patternType="solid">
        <fgColor rgb="FFE6E0EC"/>
        <bgColor rgb="FFDFE8ED"/>
      </patternFill>
    </fill>
  </fills>
  <borders count="173">
    <border diagonalUp="false" diagonalDown="false">
      <left/>
      <right/>
      <top/>
      <bottom/>
      <diagonal/>
    </border>
    <border diagonalUp="false" diagonalDown="false">
      <left style="thin"/>
      <right style="thin"/>
      <top style="thin"/>
      <bottom style="double"/>
      <diagonal/>
    </border>
    <border diagonalUp="false" diagonalDown="false">
      <left/>
      <right/>
      <top/>
      <bottom style="double"/>
      <diagonal/>
    </border>
    <border diagonalUp="false" diagonalDown="false">
      <left style="thin"/>
      <right style="thin"/>
      <top style="double"/>
      <bottom style="thin"/>
      <diagonal/>
    </border>
    <border diagonalUp="false" diagonalDown="false">
      <left/>
      <right/>
      <top style="double"/>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bottom style="thin"/>
      <diagonal/>
    </border>
    <border diagonalUp="false" diagonalDown="false">
      <left/>
      <right/>
      <top style="thin"/>
      <bottom style="thin"/>
      <diagonal/>
    </border>
    <border diagonalUp="false" diagonalDown="false">
      <left style="thin"/>
      <right style="thin"/>
      <top style="thin"/>
      <bottom/>
      <diagonal/>
    </border>
    <border diagonalUp="false" diagonalDown="false">
      <left style="double"/>
      <right/>
      <top style="thin"/>
      <bottom style="thin"/>
      <diagonal/>
    </border>
    <border diagonalUp="false" diagonalDown="false">
      <left style="double"/>
      <right style="thin"/>
      <top style="thin"/>
      <bottom style="thin"/>
      <diagonal/>
    </border>
    <border diagonalUp="false" diagonalDown="false">
      <left style="double"/>
      <right/>
      <top/>
      <bottom/>
      <diagonal/>
    </border>
    <border diagonalUp="false" diagonalDown="false">
      <left/>
      <right style="thin"/>
      <top/>
      <bottom/>
      <diagonal/>
    </border>
    <border diagonalUp="false" diagonalDown="false">
      <left style="thin"/>
      <right style="thin"/>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style="thin"/>
      <top style="thin"/>
      <bottom style="thin"/>
      <diagonal/>
    </border>
    <border diagonalUp="false" diagonalDown="false">
      <left style="thin"/>
      <right style="medium"/>
      <top style="thin"/>
      <bottom style="thin"/>
      <diagonal/>
    </border>
    <border diagonalUp="false" diagonalDown="false">
      <left style="medium"/>
      <right style="thin"/>
      <top style="thin"/>
      <bottom style="medium"/>
      <diagonal/>
    </border>
    <border diagonalUp="false" diagonalDown="false">
      <left style="thin"/>
      <right style="thin"/>
      <top style="thin"/>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top style="thick"/>
      <bottom/>
      <diagonal/>
    </border>
    <border diagonalUp="false" diagonalDown="false">
      <left/>
      <right/>
      <top style="thick"/>
      <bottom/>
      <diagonal/>
    </border>
    <border diagonalUp="false" diagonalDown="false">
      <left/>
      <right style="medium"/>
      <top style="thick"/>
      <bottom/>
      <diagonal/>
    </border>
    <border diagonalUp="false" diagonalDown="false">
      <left/>
      <right style="medium"/>
      <top style="thin"/>
      <bottom style="thin"/>
      <diagonal/>
    </border>
    <border diagonalUp="false" diagonalDown="false">
      <left style="thin"/>
      <right/>
      <top/>
      <bottom/>
      <diagonal/>
    </border>
    <border diagonalUp="false" diagonalDown="false">
      <left style="medium"/>
      <right style="thin"/>
      <top style="medium"/>
      <bottom style="medium"/>
      <diagonal/>
    </border>
    <border diagonalUp="false" diagonalDown="false">
      <left style="thin"/>
      <right style="medium"/>
      <top style="medium"/>
      <bottom style="medium"/>
      <diagonal/>
    </border>
    <border diagonalUp="false" diagonalDown="false">
      <left style="thin"/>
      <right/>
      <top/>
      <bottom style="thin"/>
      <diagonal/>
    </border>
    <border diagonalUp="false" diagonalDown="false">
      <left style="thin"/>
      <right/>
      <top style="double"/>
      <bottom style="thin"/>
      <diagonal/>
    </border>
    <border diagonalUp="false" diagonalDown="false">
      <left/>
      <right style="thin"/>
      <top/>
      <bottom style="thin"/>
      <diagonal/>
    </border>
    <border diagonalUp="false" diagonalDown="false">
      <left style="thin"/>
      <right/>
      <top style="thin"/>
      <bottom/>
      <diagonal/>
    </border>
    <border diagonalUp="false" diagonalDown="false">
      <left/>
      <right style="thin"/>
      <top style="thin"/>
      <bottom/>
      <diagonal/>
    </border>
    <border diagonalUp="false" diagonalDown="false">
      <left style="thin"/>
      <right/>
      <top style="thin"/>
      <bottom style="double"/>
      <diagonal/>
    </border>
    <border diagonalUp="false" diagonalDown="false">
      <left/>
      <right/>
      <top style="thin"/>
      <bottom style="double"/>
      <diagonal/>
    </border>
    <border diagonalUp="false" diagonalDown="false">
      <left/>
      <right style="thin"/>
      <top style="thin"/>
      <bottom style="double"/>
      <diagonal/>
    </border>
    <border diagonalUp="false" diagonalDown="false">
      <left style="thin"/>
      <right style="thin"/>
      <top/>
      <bottom style="double"/>
      <diagonal/>
    </border>
    <border diagonalUp="false" diagonalDown="false">
      <left style="thin"/>
      <right style="thin"/>
      <top/>
      <bottom style="medium"/>
      <diagonal/>
    </border>
    <border diagonalUp="false" diagonalDown="false">
      <left style="thin"/>
      <right style="medium"/>
      <top/>
      <bottom style="medium"/>
      <diagonal/>
    </border>
    <border diagonalUp="false" diagonalDown="false">
      <left style="medium"/>
      <right style="medium"/>
      <top style="medium"/>
      <bottom style="thin"/>
      <diagonal/>
    </border>
    <border diagonalUp="false" diagonalDown="false">
      <left style="medium"/>
      <right/>
      <top style="medium"/>
      <bottom style="thin"/>
      <diagonal/>
    </border>
    <border diagonalUp="false" diagonalDown="false">
      <left style="medium"/>
      <right style="medium"/>
      <top style="medium"/>
      <bottom/>
      <diagonal/>
    </border>
    <border diagonalUp="false" diagonalDown="false">
      <left style="medium"/>
      <right style="medium"/>
      <top style="thin"/>
      <bottom style="medium"/>
      <diagonal/>
    </border>
    <border diagonalUp="false" diagonalDown="false">
      <left/>
      <right style="medium"/>
      <top style="medium"/>
      <bottom style="thin"/>
      <diagonal/>
    </border>
    <border diagonalUp="false" diagonalDown="false">
      <left style="medium"/>
      <right/>
      <top/>
      <bottom style="double"/>
      <diagonal/>
    </border>
    <border diagonalUp="false" diagonalDown="false">
      <left style="medium"/>
      <right style="thin"/>
      <top style="thin"/>
      <bottom style="double"/>
      <diagonal/>
    </border>
    <border diagonalUp="false" diagonalDown="false">
      <left style="thin"/>
      <right style="medium"/>
      <top style="thin"/>
      <bottom style="double"/>
      <diagonal/>
    </border>
    <border diagonalUp="false" diagonalDown="false">
      <left/>
      <right style="medium"/>
      <top style="thin"/>
      <bottom style="double"/>
      <diagonal/>
    </border>
    <border diagonalUp="false" diagonalDown="false">
      <left/>
      <right/>
      <top/>
      <bottom style="mediumDashed"/>
      <diagonal/>
    </border>
    <border diagonalUp="false" diagonalDown="false">
      <left style="thin"/>
      <right/>
      <top/>
      <bottom style="mediumDashed"/>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right/>
      <top style="thin"/>
      <bottom/>
      <diagonal/>
    </border>
    <border diagonalUp="false" diagonalDown="false">
      <left/>
      <right style="medium"/>
      <top style="thin"/>
      <bottom/>
      <diagonal/>
    </border>
    <border diagonalUp="false" diagonalDown="false">
      <left style="thin"/>
      <right style="medium"/>
      <top/>
      <bottom style="thin"/>
      <diagonal/>
    </border>
    <border diagonalUp="false" diagonalDown="false">
      <left style="thin"/>
      <right style="medium"/>
      <top style="thin"/>
      <bottom/>
      <diagonal/>
    </border>
    <border diagonalUp="false" diagonalDown="false">
      <left/>
      <right/>
      <top style="medium"/>
      <bottom style="thin"/>
      <diagonal/>
    </border>
    <border diagonalUp="false" diagonalDown="false">
      <left style="medium"/>
      <right style="thin"/>
      <top style="thin"/>
      <bottom/>
      <diagonal/>
    </border>
    <border diagonalUp="false" diagonalDown="false">
      <left style="medium"/>
      <right style="thin"/>
      <top/>
      <bottom style="thin"/>
      <diagonal/>
    </border>
    <border diagonalUp="false" diagonalDown="false">
      <left style="medium"/>
      <right style="thin"/>
      <top/>
      <bottom style="medium"/>
      <diagonal/>
    </border>
    <border diagonalUp="false" diagonalDown="false">
      <left style="medium"/>
      <right style="thin"/>
      <top/>
      <bottom/>
      <diagonal/>
    </border>
    <border diagonalUp="false" diagonalDown="false">
      <left style="medium"/>
      <right/>
      <top style="thin"/>
      <bottom style="medium"/>
      <diagonal/>
    </border>
    <border diagonalUp="false" diagonalDown="false">
      <left/>
      <right style="thin"/>
      <top style="thin"/>
      <bottom style="medium"/>
      <diagonal/>
    </border>
    <border diagonalUp="false" diagonalDown="false">
      <left style="thin"/>
      <right style="medium"/>
      <top style="thin"/>
      <bottom style="medium"/>
      <diagonal/>
    </border>
    <border diagonalUp="false" diagonalDown="false">
      <left style="thin"/>
      <right style="thin"/>
      <top style="medium"/>
      <bottom/>
      <diagonal/>
    </border>
    <border diagonalUp="false" diagonalDown="false">
      <left style="thin"/>
      <right/>
      <top style="medium"/>
      <bottom/>
      <diagonal/>
    </border>
    <border diagonalUp="false" diagonalDown="false">
      <left style="medium"/>
      <right/>
      <top style="thin"/>
      <bottom/>
      <diagonal/>
    </border>
    <border diagonalUp="false" diagonalDown="false">
      <left style="medium"/>
      <right/>
      <top/>
      <bottom style="medium"/>
      <diagonal/>
    </border>
    <border diagonalUp="false" diagonalDown="false">
      <left style="thin"/>
      <right/>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style="thin"/>
      <right/>
      <top style="medium"/>
      <bottom style="thin"/>
      <diagonal/>
    </border>
    <border diagonalUp="false" diagonalDown="false">
      <left style="thin"/>
      <right style="medium"/>
      <top style="medium"/>
      <bottom/>
      <diagonal/>
    </border>
    <border diagonalUp="false" diagonalDown="false">
      <left/>
      <right style="thin"/>
      <top style="medium"/>
      <bottom style="thin"/>
      <diagonal/>
    </border>
    <border diagonalUp="false" diagonalDown="false">
      <left/>
      <right style="medium"/>
      <top style="thin"/>
      <bottom style="medium"/>
      <diagonal/>
    </border>
    <border diagonalUp="false" diagonalDown="false">
      <left style="thin"/>
      <right/>
      <top style="medium"/>
      <bottom style="medium"/>
      <diagonal/>
    </border>
    <border diagonalUp="false" diagonalDown="false">
      <left style="thin"/>
      <right style="medium"/>
      <top/>
      <bottom/>
      <diagonal/>
    </border>
    <border diagonalUp="false" diagonalDown="false">
      <left style="medium"/>
      <right style="thin"/>
      <top style="medium"/>
      <bottom/>
      <diagonal/>
    </border>
    <border diagonalUp="false" diagonalDown="false">
      <left style="dotted"/>
      <right/>
      <top style="dotted"/>
      <bottom/>
      <diagonal/>
    </border>
    <border diagonalUp="false" diagonalDown="false">
      <left/>
      <right/>
      <top style="dotted"/>
      <bottom/>
      <diagonal/>
    </border>
    <border diagonalUp="false" diagonalDown="false">
      <left/>
      <right style="dotted"/>
      <top style="dotted"/>
      <bottom/>
      <diagonal/>
    </border>
    <border diagonalUp="false" diagonalDown="false">
      <left style="dotted"/>
      <right/>
      <top/>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medium"/>
      <right/>
      <top/>
      <bottom style="thin"/>
      <diagonal/>
    </border>
    <border diagonalUp="false" diagonalDown="false">
      <left/>
      <right style="thin"/>
      <top style="medium"/>
      <bottom style="medium"/>
      <diagonal/>
    </border>
    <border diagonalUp="false" diagonalDown="false">
      <left/>
      <right/>
      <top style="double"/>
      <bottom style="double">
        <color rgb="FFFF0000"/>
      </bottom>
      <diagonal/>
    </border>
    <border diagonalUp="false" diagonalDown="false">
      <left/>
      <right/>
      <top style="thin"/>
      <bottom style="medium"/>
      <diagonal/>
    </border>
    <border diagonalUp="false" diagonalDown="true">
      <left style="medium"/>
      <right style="thin"/>
      <top style="thin"/>
      <bottom style="thin"/>
      <diagonal style="thin"/>
    </border>
    <border diagonalUp="false" diagonalDown="false">
      <left style="medium"/>
      <right/>
      <top style="thin"/>
      <bottom style="thin"/>
      <diagonal/>
    </border>
    <border diagonalUp="false" diagonalDown="false">
      <left style="thin"/>
      <right/>
      <top/>
      <bottom style="medium"/>
      <diagonal/>
    </border>
    <border diagonalUp="false" diagonalDown="false">
      <left/>
      <right style="medium"/>
      <top/>
      <bottom style="thin"/>
      <diagonal/>
    </border>
    <border diagonalUp="false" diagonalDown="false">
      <left style="thin"/>
      <right style="thin"/>
      <top style="medium"/>
      <bottom style="medium"/>
      <diagonal/>
    </border>
    <border diagonalUp="false" diagonalDown="false">
      <left style="double"/>
      <right style="double"/>
      <top style="thin"/>
      <bottom style="thin"/>
      <diagonal/>
    </border>
    <border diagonalUp="false" diagonalDown="false">
      <left style="double"/>
      <right style="double"/>
      <top style="thin"/>
      <bottom style="medium"/>
      <diagonal/>
    </border>
    <border diagonalUp="false" diagonalDown="false">
      <left style="medium"/>
      <right style="medium"/>
      <top style="thin"/>
      <bottom style="thin"/>
      <diagonal/>
    </border>
    <border diagonalUp="false" diagonalDown="false">
      <left style="medium"/>
      <right style="medium"/>
      <top style="thin"/>
      <bottom/>
      <diagonal/>
    </border>
    <border diagonalUp="false" diagonalDown="false">
      <left/>
      <right style="thin"/>
      <top style="medium"/>
      <bottom/>
      <diagonal/>
    </border>
    <border diagonalUp="false" diagonalDown="false">
      <left style="medium"/>
      <right style="medium"/>
      <top/>
      <bottom style="thin"/>
      <diagonal/>
    </border>
    <border diagonalUp="false" diagonalDown="false">
      <left/>
      <right style="thin"/>
      <top/>
      <bottom style="medium"/>
      <diagonal/>
    </border>
    <border diagonalUp="false" diagonalDown="false">
      <left style="thin"/>
      <right style="thin"/>
      <top style="double"/>
      <bottom/>
      <diagonal/>
    </border>
    <border diagonalUp="false" diagonalDown="false">
      <left style="thin"/>
      <right style="medium"/>
      <top style="double"/>
      <bottom style="thin"/>
      <diagonal/>
    </border>
    <border diagonalUp="false" diagonalDown="false">
      <left style="mediumDashed"/>
      <right style="thin"/>
      <top style="thin"/>
      <bottom style="thin"/>
      <diagonal/>
    </border>
    <border diagonalUp="false" diagonalDown="false">
      <left style="mediumDashed"/>
      <right style="thin"/>
      <top/>
      <bottom style="thin"/>
      <diagonal/>
    </border>
    <border diagonalUp="false" diagonalDown="false">
      <left style="mediumDashed"/>
      <right/>
      <top style="thin"/>
      <bottom style="medium"/>
      <diagonal/>
    </border>
    <border diagonalUp="false" diagonalDown="false">
      <left style="thin"/>
      <right/>
      <top/>
      <bottom style="double"/>
      <diagonal/>
    </border>
    <border diagonalUp="false" diagonalDown="false">
      <left style="medium"/>
      <right/>
      <top style="mediumDashed"/>
      <bottom/>
      <diagonal/>
    </border>
    <border diagonalUp="false" diagonalDown="false">
      <left style="medium"/>
      <right style="thin"/>
      <top style="mediumDashed"/>
      <bottom style="thin"/>
      <diagonal/>
    </border>
    <border diagonalUp="false" diagonalDown="false">
      <left style="thin"/>
      <right style="thin"/>
      <top style="mediumDashed"/>
      <bottom style="thin"/>
      <diagonal/>
    </border>
    <border diagonalUp="false" diagonalDown="false">
      <left style="thin"/>
      <right/>
      <top style="mediumDashed"/>
      <bottom style="thin"/>
      <diagonal/>
    </border>
    <border diagonalUp="false" diagonalDown="false">
      <left/>
      <right style="medium"/>
      <top style="mediumDashed"/>
      <bottom style="thin"/>
      <diagonal/>
    </border>
    <border diagonalUp="false" diagonalDown="false">
      <left/>
      <right style="medium"/>
      <top style="mediumDashed"/>
      <bottom/>
      <diagonal/>
    </border>
    <border diagonalUp="false" diagonalDown="false">
      <left style="medium"/>
      <right/>
      <top/>
      <bottom style="mediumDashed"/>
      <diagonal/>
    </border>
    <border diagonalUp="false" diagonalDown="false">
      <left style="medium"/>
      <right style="thin"/>
      <top style="thin"/>
      <bottom style="mediumDashed"/>
      <diagonal/>
    </border>
    <border diagonalUp="false" diagonalDown="false">
      <left style="thin"/>
      <right style="thin"/>
      <top style="thin"/>
      <bottom style="mediumDashed"/>
      <diagonal/>
    </border>
    <border diagonalUp="false" diagonalDown="false">
      <left/>
      <right style="medium"/>
      <top/>
      <bottom style="mediumDashed"/>
      <diagonal/>
    </border>
    <border diagonalUp="false" diagonalDown="false">
      <left style="thin"/>
      <right/>
      <top style="mediumDashed"/>
      <bottom/>
      <diagonal/>
    </border>
    <border diagonalUp="false" diagonalDown="false">
      <left style="thin"/>
      <right style="thin"/>
      <top style="mediumDashed"/>
      <bottom/>
      <diagonal/>
    </border>
    <border diagonalUp="false" diagonalDown="false">
      <left style="thin"/>
      <right/>
      <top style="thin"/>
      <bottom style="mediumDashed"/>
      <diagonal/>
    </border>
    <border diagonalUp="false" diagonalDown="false">
      <left/>
      <right style="medium"/>
      <top style="thin"/>
      <bottom style="mediumDashed"/>
      <diagonal/>
    </border>
    <border diagonalUp="false" diagonalDown="false">
      <left/>
      <right/>
      <top/>
      <bottom style="slantDashDot"/>
      <diagonal/>
    </border>
    <border diagonalUp="false" diagonalDown="false">
      <left style="slantDashDot"/>
      <right/>
      <top/>
      <bottom style="slantDashDot"/>
      <diagonal/>
    </border>
    <border diagonalUp="false" diagonalDown="false">
      <left style="slantDashDot"/>
      <right/>
      <top/>
      <bottom/>
      <diagonal/>
    </border>
    <border diagonalUp="false" diagonalDown="false">
      <left style="mediumDashDot"/>
      <right/>
      <top/>
      <bottom/>
      <diagonal/>
    </border>
    <border diagonalUp="false" diagonalDown="false">
      <left/>
      <right style="mediumDashDot"/>
      <top/>
      <bottom/>
      <diagonal/>
    </border>
    <border diagonalUp="false" diagonalDown="false">
      <left style="mediumDashDot"/>
      <right style="mediumDashDot"/>
      <top/>
      <bottom/>
      <diagonal/>
    </border>
    <border diagonalUp="false" diagonalDown="false">
      <left style="slantDashDot"/>
      <right style="thin">
        <color rgb="FFDFE8ED"/>
      </right>
      <top/>
      <bottom/>
      <diagonal/>
    </border>
    <border diagonalUp="false" diagonalDown="false">
      <left style="thin">
        <color rgb="FFDFE8ED"/>
      </left>
      <right style="thin">
        <color rgb="FFDFE8ED"/>
      </right>
      <top style="thin">
        <color rgb="FFDFE8ED"/>
      </top>
      <bottom style="thin">
        <color rgb="FFDFE8ED"/>
      </bottom>
      <diagonal/>
    </border>
    <border diagonalUp="false" diagonalDown="false">
      <left style="thin">
        <color rgb="FFDFE8ED"/>
      </left>
      <right style="medium">
        <color rgb="FFDFE8ED"/>
      </right>
      <top style="thin">
        <color rgb="FFDFE8ED"/>
      </top>
      <bottom style="thin">
        <color rgb="FFDFE8ED"/>
      </bottom>
      <diagonal/>
    </border>
    <border diagonalUp="false" diagonalDown="false">
      <left style="thin">
        <color rgb="FFDFE8ED"/>
      </left>
      <right/>
      <top style="thin">
        <color rgb="FFDFE8ED"/>
      </top>
      <bottom style="thin">
        <color rgb="FFDFE8ED"/>
      </bottom>
      <diagonal/>
    </border>
    <border diagonalUp="false" diagonalDown="false">
      <left style="thin"/>
      <right style="thin"/>
      <top style="thin"/>
      <bottom style="thick"/>
      <diagonal/>
    </border>
    <border diagonalUp="false" diagonalDown="false">
      <left style="slantDashDot"/>
      <right style="thin">
        <color rgb="FFDFE8ED"/>
      </right>
      <top/>
      <bottom style="thick"/>
      <diagonal/>
    </border>
    <border diagonalUp="false" diagonalDown="false">
      <left style="thin">
        <color rgb="FFDFE8ED"/>
      </left>
      <right style="thin">
        <color rgb="FFDFE8ED"/>
      </right>
      <top style="thin">
        <color rgb="FFDFE8ED"/>
      </top>
      <bottom style="thick"/>
      <diagonal/>
    </border>
    <border diagonalUp="false" diagonalDown="false">
      <left style="thin">
        <color rgb="FFDFE8ED"/>
      </left>
      <right/>
      <top style="thin">
        <color rgb="FFDFE8ED"/>
      </top>
      <bottom style="thick"/>
      <diagonal/>
    </border>
    <border diagonalUp="false" diagonalDown="false">
      <left style="thin">
        <color rgb="FFDFE8ED"/>
      </left>
      <right style="medium">
        <color rgb="FFDFE8ED"/>
      </right>
      <top style="thin">
        <color rgb="FFDFE8ED"/>
      </top>
      <bottom style="thick"/>
      <diagonal/>
    </border>
    <border diagonalUp="false" diagonalDown="false">
      <left/>
      <right/>
      <top/>
      <bottom style="thick"/>
      <diagonal/>
    </border>
    <border diagonalUp="false" diagonalDown="false">
      <left style="slantDashDot"/>
      <right/>
      <top/>
      <bottom style="thick"/>
      <diagonal/>
    </border>
    <border diagonalUp="false" diagonalDown="false">
      <left style="mediumDashDot"/>
      <right/>
      <top/>
      <bottom style="thick"/>
      <diagonal/>
    </border>
    <border diagonalUp="false" diagonalDown="false">
      <left/>
      <right style="mediumDashDot"/>
      <top/>
      <bottom style="thick"/>
      <diagonal/>
    </border>
    <border diagonalUp="false" diagonalDown="false">
      <left style="mediumDashDot"/>
      <right style="mediumDashDot"/>
      <top/>
      <bottom style="thick"/>
      <diagonal/>
    </border>
    <border diagonalUp="false" diagonalDown="false">
      <left style="slantDashDot"/>
      <right/>
      <top/>
      <bottom style="thin"/>
      <diagonal/>
    </border>
    <border diagonalUp="false" diagonalDown="false">
      <left style="thin">
        <color rgb="FFDFE8ED"/>
      </left>
      <right style="thin">
        <color rgb="FFDFE8ED"/>
      </right>
      <top style="medium">
        <color rgb="FFDFE8ED"/>
      </top>
      <bottom style="thin">
        <color rgb="FFDFE8ED"/>
      </bottom>
      <diagonal/>
    </border>
    <border diagonalUp="false" diagonalDown="false">
      <left style="thin">
        <color rgb="FFDFE8ED"/>
      </left>
      <right style="medium">
        <color rgb="FFDFE8ED"/>
      </right>
      <top style="medium">
        <color rgb="FFDFE8ED"/>
      </top>
      <bottom style="thin">
        <color rgb="FFDFE8ED"/>
      </bottom>
      <diagonal/>
    </border>
    <border diagonalUp="false" diagonalDown="false">
      <left style="thin">
        <color rgb="FFDFE8ED"/>
      </left>
      <right/>
      <top style="medium">
        <color rgb="FFDFE8ED"/>
      </top>
      <bottom style="thin">
        <color rgb="FFDFE8ED"/>
      </bottom>
      <diagonal/>
    </border>
    <border diagonalUp="false" diagonalDown="false">
      <left style="slantDashDot"/>
      <right style="thin">
        <color rgb="FFDFE8ED"/>
      </right>
      <top/>
      <bottom style="medium">
        <color rgb="FFDFE8ED"/>
      </bottom>
      <diagonal/>
    </border>
    <border diagonalUp="false" diagonalDown="false">
      <left style="slantDashDot"/>
      <right style="thin">
        <color rgb="FFDFE8ED"/>
      </right>
      <top style="medium">
        <color rgb="FFDFE8ED"/>
      </top>
      <bottom style="medium">
        <color rgb="FFDFE8ED"/>
      </bottom>
      <diagonal/>
    </border>
    <border diagonalUp="false" diagonalDown="false">
      <left style="slantDashDot"/>
      <right style="thin">
        <color rgb="FFDFE8ED"/>
      </right>
      <top style="medium">
        <color rgb="FFDFE8ED"/>
      </top>
      <bottom style="thin">
        <color rgb="FFDFE8ED"/>
      </bottom>
      <diagonal/>
    </border>
    <border diagonalUp="false" diagonalDown="false">
      <left style="slantDashDot"/>
      <right style="thin">
        <color rgb="FFDFE8ED"/>
      </right>
      <top style="thin">
        <color rgb="FFDFE8ED"/>
      </top>
      <bottom style="thin">
        <color rgb="FFDFE8ED"/>
      </bottom>
      <diagonal/>
    </border>
    <border diagonalUp="false" diagonalDown="false">
      <left style="thin">
        <color rgb="FFDFE8ED"/>
      </left>
      <right style="thin">
        <color rgb="FFDFE8ED"/>
      </right>
      <top style="thin">
        <color rgb="FFDFE8ED"/>
      </top>
      <bottom style="medium">
        <color rgb="FFDFE8ED"/>
      </bottom>
      <diagonal/>
    </border>
    <border diagonalUp="false" diagonalDown="false">
      <left style="thin">
        <color rgb="FFDFE8ED"/>
      </left>
      <right style="medium">
        <color rgb="FFDFE8ED"/>
      </right>
      <top style="thin">
        <color rgb="FFDFE8ED"/>
      </top>
      <bottom style="medium">
        <color rgb="FFDFE8ED"/>
      </bottom>
      <diagonal/>
    </border>
    <border diagonalUp="false" diagonalDown="false">
      <left style="slantDashDot"/>
      <right/>
      <top style="thin"/>
      <bottom/>
      <diagonal/>
    </border>
    <border diagonalUp="false" diagonalDown="false">
      <left style="thin">
        <color rgb="FFDFE8ED"/>
      </left>
      <right/>
      <top style="thin">
        <color rgb="FFDFE8ED"/>
      </top>
      <bottom style="medium">
        <color rgb="FFDFE8ED"/>
      </bottom>
      <diagonal/>
    </border>
    <border diagonalUp="false" diagonalDown="false">
      <left style="thin">
        <color rgb="FFDFE8ED"/>
      </left>
      <right style="thin">
        <color rgb="FFDFE8ED"/>
      </right>
      <top style="thin">
        <color rgb="FFDFE8ED"/>
      </top>
      <bottom style="medium"/>
      <diagonal/>
    </border>
    <border diagonalUp="false" diagonalDown="false">
      <left style="thin">
        <color rgb="FFDFE8ED"/>
      </left>
      <right style="medium">
        <color rgb="FFDFE8ED"/>
      </right>
      <top style="thin">
        <color rgb="FFDFE8ED"/>
      </top>
      <bottom style="medium"/>
      <diagonal/>
    </border>
    <border diagonalUp="false" diagonalDown="false">
      <left style="slantDashDot"/>
      <right/>
      <top/>
      <bottom style="medium"/>
      <diagonal/>
    </border>
    <border diagonalUp="false" diagonalDown="false">
      <left style="thin">
        <color rgb="FFDFE8ED"/>
      </left>
      <right style="thin">
        <color rgb="FFDFE8ED"/>
      </right>
      <top/>
      <bottom style="medium">
        <color rgb="FFDFE8ED"/>
      </bottom>
      <diagonal/>
    </border>
    <border diagonalUp="false" diagonalDown="false">
      <left style="thin">
        <color rgb="FFDFE8ED"/>
      </left>
      <right style="medium">
        <color rgb="FFDFE8ED"/>
      </right>
      <top/>
      <bottom style="medium">
        <color rgb="FFDFE8ED"/>
      </bottom>
      <diagonal/>
    </border>
    <border diagonalUp="false" diagonalDown="false">
      <left style="thin">
        <color rgb="FFDFE8ED"/>
      </left>
      <right style="thin">
        <color rgb="FFDFE8ED"/>
      </right>
      <top/>
      <bottom style="thin">
        <color rgb="FFDFE8ED"/>
      </bottom>
      <diagonal/>
    </border>
    <border diagonalUp="false" diagonalDown="false">
      <left style="thin">
        <color rgb="FFDFE8ED"/>
      </left>
      <right/>
      <top/>
      <bottom style="thin">
        <color rgb="FFDFE8ED"/>
      </bottom>
      <diagonal/>
    </border>
    <border diagonalUp="false" diagonalDown="false">
      <left style="medium">
        <color rgb="FFDFE8ED"/>
      </left>
      <right style="thin">
        <color rgb="FFDFE8ED"/>
      </right>
      <top style="medium">
        <color rgb="FFDFE8ED"/>
      </top>
      <bottom style="medium">
        <color rgb="FFDFE8ED"/>
      </bottom>
      <diagonal/>
    </border>
    <border diagonalUp="false" diagonalDown="false">
      <left style="thin">
        <color rgb="FFDFE8ED"/>
      </left>
      <right style="thin">
        <color rgb="FFDFE8ED"/>
      </right>
      <top style="medium">
        <color rgb="FFDFE8ED"/>
      </top>
      <bottom style="medium">
        <color rgb="FFDFE8ED"/>
      </bottom>
      <diagonal/>
    </border>
    <border diagonalUp="false" diagonalDown="false">
      <left style="thin">
        <color rgb="FFDFE8ED"/>
      </left>
      <right/>
      <top style="medium">
        <color rgb="FFDFE8ED"/>
      </top>
      <bottom style="medium">
        <color rgb="FFDFE8ED"/>
      </bottom>
      <diagonal/>
    </border>
    <border diagonalUp="false" diagonalDown="false">
      <left style="slantDashDot"/>
      <right style="thin">
        <color rgb="FFDFE8ED"/>
      </right>
      <top style="thin">
        <color rgb="FFDFE8ED"/>
      </top>
      <bottom style="medium">
        <color rgb="FFDFE8ED"/>
      </bottom>
      <diagonal/>
    </border>
  </borders>
  <cellStyleXfs count="37">
    <xf numFmtId="164" fontId="0" fillId="0" borderId="0" applyFont="true" applyBorder="true" applyAlignment="true" applyProtection="true">
      <alignment horizontal="general" vertical="center"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true" applyProtection="false">
      <alignment horizontal="general" vertical="center" textRotation="0" wrapText="false" indent="0" shrinkToFit="false"/>
    </xf>
    <xf numFmtId="165"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center" textRotation="0" wrapText="false" indent="0" shrinkToFit="false"/>
      <protection locked="true" hidden="false"/>
    </xf>
    <xf numFmtId="164" fontId="6" fillId="0" borderId="0" applyFont="true" applyBorder="true" applyAlignment="true" applyProtection="true">
      <alignment horizontal="general" vertical="center"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true" applyProtection="false">
      <alignment horizontal="general" vertical="center" textRotation="0" wrapText="false" indent="0" shrinkToFit="false"/>
    </xf>
  </cellStyleXfs>
  <cellXfs count="3755">
    <xf numFmtId="164" fontId="0" fillId="0" borderId="0" xfId="0" applyFont="false" applyBorder="false" applyAlignment="false" applyProtection="false">
      <alignment horizontal="general" vertical="center" textRotation="0" wrapText="false" indent="0" shrinkToFit="false"/>
      <protection locked="true" hidden="false"/>
    </xf>
    <xf numFmtId="164" fontId="7" fillId="0" borderId="0" xfId="34"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left" vertical="center" textRotation="0" wrapText="false" indent="0" shrinkToFit="false"/>
      <protection locked="true" hidden="false"/>
    </xf>
    <xf numFmtId="164" fontId="7" fillId="0" borderId="0" xfId="0" applyFont="true" applyBorder="false" applyAlignment="false" applyProtection="true">
      <alignment horizontal="general" vertical="center" textRotation="0" wrapText="false" indent="0" shrinkToFit="false"/>
      <protection locked="true" hidden="false"/>
    </xf>
    <xf numFmtId="164" fontId="7" fillId="0" borderId="1" xfId="34" applyFont="true" applyBorder="true" applyAlignment="true" applyProtection="true">
      <alignment horizontal="left"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false" indent="0" shrinkToFit="false"/>
      <protection locked="true" hidden="false"/>
    </xf>
    <xf numFmtId="164" fontId="7" fillId="0" borderId="2" xfId="0" applyFont="true" applyBorder="true" applyAlignment="false" applyProtection="true">
      <alignment horizontal="general" vertical="center" textRotation="0" wrapText="false" indent="0" shrinkToFit="false"/>
      <protection locked="true" hidden="false"/>
    </xf>
    <xf numFmtId="164" fontId="7" fillId="0" borderId="3" xfId="34" applyFont="true" applyBorder="true" applyAlignment="true" applyProtection="true">
      <alignment horizontal="general" vertical="center" textRotation="0" wrapText="true" indent="0" shrinkToFit="false"/>
      <protection locked="true" hidden="false"/>
    </xf>
    <xf numFmtId="167" fontId="7" fillId="0" borderId="3" xfId="0" applyFont="true" applyBorder="true" applyAlignment="true" applyProtection="true">
      <alignment horizontal="left" vertical="center" textRotation="0" wrapText="false" indent="0" shrinkToFit="false"/>
      <protection locked="true" hidden="false"/>
    </xf>
    <xf numFmtId="164" fontId="7" fillId="0" borderId="4" xfId="0" applyFont="true" applyBorder="true" applyAlignment="false" applyProtection="true">
      <alignment horizontal="general" vertical="center" textRotation="0" wrapText="false" indent="0" shrinkToFit="false"/>
      <protection locked="true" hidden="false"/>
    </xf>
    <xf numFmtId="164" fontId="7" fillId="0" borderId="5" xfId="34" applyFont="true" applyBorder="true" applyAlignment="true" applyProtection="true">
      <alignment horizontal="general" vertical="center" textRotation="0" wrapText="true" indent="0" shrinkToFit="false"/>
      <protection locked="true" hidden="false"/>
    </xf>
    <xf numFmtId="167" fontId="7" fillId="0" borderId="5" xfId="0" applyFont="true" applyBorder="true" applyAlignment="true" applyProtection="true">
      <alignment horizontal="left" vertical="center" textRotation="0" wrapText="false" indent="0" shrinkToFit="false"/>
      <protection locked="true" hidden="false"/>
    </xf>
    <xf numFmtId="164" fontId="7" fillId="0" borderId="0" xfId="0" applyFont="true" applyBorder="true" applyAlignment="false" applyProtection="true">
      <alignment horizontal="general" vertical="center" textRotation="0" wrapText="false" indent="0" shrinkToFit="false"/>
      <protection locked="true" hidden="false"/>
    </xf>
    <xf numFmtId="164" fontId="7" fillId="0" borderId="1" xfId="34" applyFont="true" applyBorder="true" applyAlignment="true" applyProtection="true">
      <alignment horizontal="general" vertical="center" textRotation="0" wrapText="true" indent="0" shrinkToFit="false"/>
      <protection locked="true" hidden="false"/>
    </xf>
    <xf numFmtId="167" fontId="7" fillId="0" borderId="1" xfId="0" applyFont="true" applyBorder="true" applyAlignment="true" applyProtection="true">
      <alignment horizontal="left" vertical="center" textRotation="0" wrapText="false" indent="0" shrinkToFit="false"/>
      <protection locked="true" hidden="false"/>
    </xf>
    <xf numFmtId="165" fontId="7" fillId="0" borderId="1" xfId="0" applyFont="true" applyBorder="true" applyAlignment="true" applyProtection="true">
      <alignment horizontal="left" vertical="center" textRotation="0" wrapText="false" indent="0" shrinkToFit="false"/>
      <protection locked="true" hidden="false"/>
    </xf>
    <xf numFmtId="164" fontId="7" fillId="0" borderId="6" xfId="34" applyFont="true" applyBorder="true" applyAlignment="true" applyProtection="true">
      <alignment horizontal="general" vertical="center" textRotation="0" wrapText="true" indent="0" shrinkToFit="false"/>
      <protection locked="true" hidden="false"/>
    </xf>
    <xf numFmtId="168" fontId="7" fillId="0" borderId="6" xfId="0" applyFont="true" applyBorder="true" applyAlignment="true" applyProtection="true">
      <alignment horizontal="left" vertical="center" textRotation="0" wrapText="false" indent="0" shrinkToFit="false"/>
      <protection locked="true" hidden="false"/>
    </xf>
    <xf numFmtId="168" fontId="7" fillId="0" borderId="5" xfId="0" applyFont="true" applyBorder="true" applyAlignment="true" applyProtection="true">
      <alignment horizontal="left" vertical="center" textRotation="0" wrapText="false" indent="0" shrinkToFit="false"/>
      <protection locked="true" hidden="false"/>
    </xf>
    <xf numFmtId="164" fontId="4" fillId="0" borderId="0" xfId="28" applyFont="false" applyBorder="false" applyAlignment="false" applyProtection="false">
      <alignment horizontal="general" vertical="center" textRotation="0" wrapText="false" indent="0" shrinkToFit="false"/>
      <protection locked="true" hidden="false"/>
    </xf>
    <xf numFmtId="164" fontId="14" fillId="0" borderId="0" xfId="28" applyFont="true" applyBorder="false" applyAlignment="false" applyProtection="false">
      <alignment horizontal="general" vertical="center" textRotation="0" wrapText="false" indent="0" shrinkToFit="false"/>
      <protection locked="true" hidden="false"/>
    </xf>
    <xf numFmtId="167" fontId="15" fillId="0" borderId="0" xfId="28" applyFont="true" applyBorder="true" applyAlignment="true" applyProtection="true">
      <alignment horizontal="left" vertical="top" textRotation="0" wrapText="true" indent="0" shrinkToFit="false"/>
      <protection locked="true" hidden="false"/>
    </xf>
    <xf numFmtId="164" fontId="14" fillId="0" borderId="0" xfId="28" applyFont="true" applyBorder="false" applyAlignment="true" applyProtection="false">
      <alignment horizontal="general" vertical="top" textRotation="0" wrapText="true" indent="0" shrinkToFit="false"/>
      <protection locked="true" hidden="false"/>
    </xf>
    <xf numFmtId="167" fontId="15" fillId="0" borderId="0" xfId="28" applyFont="true" applyBorder="false" applyAlignment="false" applyProtection="false">
      <alignment horizontal="general" vertical="center" textRotation="0" wrapText="fals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16" fillId="0" borderId="0" xfId="0" applyFont="true" applyBorder="true" applyAlignment="true" applyProtection="false">
      <alignment horizontal="center" vertical="center" textRotation="0" wrapText="false" indent="0" shrinkToFit="false"/>
      <protection locked="true" hidden="false"/>
    </xf>
    <xf numFmtId="164" fontId="0" fillId="0" borderId="0" xfId="0" applyFont="true" applyBorder="true" applyAlignment="false" applyProtection="false">
      <alignment horizontal="general" vertical="center" textRotation="0" wrapText="false" indent="0" shrinkToFit="false"/>
      <protection locked="true" hidden="false"/>
    </xf>
    <xf numFmtId="167" fontId="17" fillId="0" borderId="0" xfId="0" applyFont="true" applyBorder="false" applyAlignment="true" applyProtection="false">
      <alignment horizontal="general" vertical="center" textRotation="0" wrapText="false" indent="0" shrinkToFit="false"/>
      <protection locked="true" hidden="false"/>
    </xf>
    <xf numFmtId="167" fontId="18" fillId="0" borderId="0" xfId="0" applyFont="true" applyBorder="false" applyAlignment="true" applyProtection="false">
      <alignment horizontal="general" vertical="center" textRotation="0" wrapText="true" indent="0" shrinkToFit="false"/>
      <protection locked="true" hidden="false"/>
    </xf>
    <xf numFmtId="164" fontId="19" fillId="0" borderId="0" xfId="0" applyFont="true" applyBorder="false" applyAlignment="false" applyProtection="false">
      <alignment horizontal="general" vertical="center" textRotation="0" wrapText="false" indent="0" shrinkToFit="false"/>
      <protection locked="true" hidden="false"/>
    </xf>
    <xf numFmtId="164" fontId="20" fillId="0" borderId="0" xfId="0" applyFont="true" applyBorder="false" applyAlignment="false" applyProtection="false">
      <alignment horizontal="general" vertical="center" textRotation="0" wrapText="false" indent="0" shrinkToFit="false"/>
      <protection locked="true" hidden="false"/>
    </xf>
    <xf numFmtId="164" fontId="21" fillId="0" borderId="0" xfId="0" applyFont="true" applyBorder="false" applyAlignment="true" applyProtection="true">
      <alignment horizontal="general" vertical="center" textRotation="0" wrapText="true" indent="0" shrinkToFit="false"/>
      <protection locked="false" hidden="false"/>
    </xf>
    <xf numFmtId="167" fontId="18" fillId="0" borderId="0" xfId="0" applyFont="true" applyBorder="false" applyAlignment="true" applyProtection="false">
      <alignment horizontal="general" vertical="center" textRotation="0" wrapText="true" indent="0" shrinkToFit="false"/>
      <protection locked="true" hidden="false"/>
    </xf>
    <xf numFmtId="169" fontId="18" fillId="0" borderId="0" xfId="0" applyFont="true" applyBorder="false" applyAlignment="true" applyProtection="false">
      <alignment horizontal="left" vertical="center" textRotation="0" wrapText="false" indent="0" shrinkToFit="false"/>
      <protection locked="true" hidden="false"/>
    </xf>
    <xf numFmtId="164" fontId="24" fillId="0" borderId="0" xfId="0" applyFont="true" applyBorder="false" applyAlignment="true" applyProtection="false">
      <alignment horizontal="general" vertical="center" textRotation="0" wrapText="true" indent="0" shrinkToFit="false"/>
      <protection locked="true" hidden="false"/>
    </xf>
    <xf numFmtId="167" fontId="18" fillId="0" borderId="0" xfId="0" applyFont="true" applyBorder="false" applyAlignment="false" applyProtection="false">
      <alignment horizontal="general" vertical="center" textRotation="0" wrapText="false" indent="0" shrinkToFit="false"/>
      <protection locked="true" hidden="false"/>
    </xf>
    <xf numFmtId="164" fontId="25" fillId="2" borderId="0" xfId="0" applyFont="true" applyBorder="false" applyAlignment="false" applyProtection="true">
      <alignment horizontal="general" vertical="center" textRotation="0" wrapText="false" indent="0" shrinkToFit="false"/>
      <protection locked="false" hidden="false"/>
    </xf>
    <xf numFmtId="164" fontId="0" fillId="0" borderId="0" xfId="0" applyFont="true" applyBorder="false" applyAlignment="false" applyProtection="true">
      <alignment horizontal="general" vertical="center" textRotation="0" wrapText="false" indent="0" shrinkToFit="false"/>
      <protection locked="false" hidden="false"/>
    </xf>
    <xf numFmtId="164" fontId="4" fillId="0" borderId="0" xfId="33" applyFont="true" applyBorder="false" applyAlignment="false" applyProtection="false">
      <alignment horizontal="general" vertical="center" textRotation="0" wrapText="false" indent="0" shrinkToFit="false"/>
      <protection locked="true" hidden="false"/>
    </xf>
    <xf numFmtId="164" fontId="19" fillId="0" borderId="0" xfId="33" applyFont="true" applyBorder="false" applyAlignment="false" applyProtection="true">
      <alignment horizontal="general" vertical="center" textRotation="0" wrapText="false" indent="0" shrinkToFit="false"/>
      <protection locked="true" hidden="false"/>
    </xf>
    <xf numFmtId="164" fontId="4" fillId="0" borderId="0" xfId="33" applyFont="true" applyBorder="false" applyAlignment="false" applyProtection="true">
      <alignment horizontal="general" vertical="center" textRotation="0" wrapText="false" indent="0" shrinkToFit="false"/>
      <protection locked="true" hidden="false"/>
    </xf>
    <xf numFmtId="167" fontId="18" fillId="0" borderId="0" xfId="33" applyFont="true" applyBorder="true" applyAlignment="true" applyProtection="true">
      <alignment horizontal="left" vertical="center" textRotation="0" wrapText="true" indent="0" shrinkToFit="false"/>
      <protection locked="true" hidden="false"/>
    </xf>
    <xf numFmtId="167" fontId="17" fillId="0" borderId="0" xfId="33" applyFont="true" applyBorder="true" applyAlignment="true" applyProtection="true">
      <alignment horizontal="center" vertical="center" textRotation="0" wrapText="false" indent="0" shrinkToFit="false"/>
      <protection locked="true" hidden="false"/>
    </xf>
    <xf numFmtId="164" fontId="19" fillId="0" borderId="0" xfId="33" applyFont="true" applyBorder="false" applyAlignment="true" applyProtection="true">
      <alignment horizontal="center" vertical="center" textRotation="0" wrapText="false" indent="0" shrinkToFit="false"/>
      <protection locked="true" hidden="false"/>
    </xf>
    <xf numFmtId="164" fontId="19" fillId="0" borderId="2" xfId="33" applyFont="true" applyBorder="true" applyAlignment="true" applyProtection="true">
      <alignment horizontal="center" vertical="center" textRotation="0" wrapText="false" indent="0" shrinkToFit="false"/>
      <protection locked="true" hidden="false"/>
    </xf>
    <xf numFmtId="164" fontId="26" fillId="0" borderId="6" xfId="33" applyFont="true" applyBorder="true" applyAlignment="true" applyProtection="true">
      <alignment horizontal="left" vertical="center" textRotation="0" wrapText="true" indent="0" shrinkToFit="false"/>
      <protection locked="true" hidden="false"/>
    </xf>
    <xf numFmtId="164" fontId="8" fillId="0" borderId="6" xfId="33" applyFont="true" applyBorder="true" applyAlignment="true" applyProtection="true">
      <alignment horizontal="left" vertical="center" textRotation="0" wrapText="true" indent="0" shrinkToFit="false"/>
      <protection locked="true" hidden="false"/>
    </xf>
    <xf numFmtId="167" fontId="26" fillId="0" borderId="6" xfId="33" applyFont="true" applyBorder="true" applyAlignment="true" applyProtection="true">
      <alignment horizontal="center" vertical="center" textRotation="0" wrapText="true" indent="0" shrinkToFit="false"/>
      <protection locked="true" hidden="false"/>
    </xf>
    <xf numFmtId="164" fontId="7" fillId="0" borderId="5" xfId="33" applyFont="true" applyBorder="true" applyAlignment="true" applyProtection="true">
      <alignment horizontal="left" vertical="center" textRotation="0" wrapText="true" indent="0" shrinkToFit="false"/>
      <protection locked="true" hidden="false"/>
    </xf>
    <xf numFmtId="167" fontId="26" fillId="0" borderId="5" xfId="33" applyFont="true" applyBorder="true" applyAlignment="true" applyProtection="true">
      <alignment horizontal="center" vertical="center" textRotation="0" wrapText="true" indent="0" shrinkToFit="false"/>
      <protection locked="true" hidden="false"/>
    </xf>
    <xf numFmtId="167" fontId="26" fillId="0" borderId="5" xfId="33" applyFont="true" applyBorder="true" applyAlignment="true" applyProtection="true">
      <alignment horizontal="general" vertical="center" textRotation="0" wrapText="true" indent="0" shrinkToFit="false"/>
      <protection locked="true" hidden="false"/>
    </xf>
    <xf numFmtId="164" fontId="8" fillId="0" borderId="5" xfId="33" applyFont="true" applyBorder="true" applyAlignment="true" applyProtection="true">
      <alignment horizontal="left" vertical="center" textRotation="0" wrapText="true" indent="0" shrinkToFit="false"/>
      <protection locked="true" hidden="false"/>
    </xf>
    <xf numFmtId="164" fontId="7" fillId="0" borderId="7" xfId="33" applyFont="true" applyBorder="true" applyAlignment="true" applyProtection="true">
      <alignment horizontal="general" vertical="center" textRotation="0" wrapText="true" indent="0" shrinkToFit="false"/>
      <protection locked="true" hidden="false"/>
    </xf>
    <xf numFmtId="167" fontId="27" fillId="0" borderId="5" xfId="33" applyFont="true" applyBorder="true" applyAlignment="true" applyProtection="true">
      <alignment horizontal="center" vertical="center" textRotation="0" wrapText="true" indent="0" shrinkToFit="false"/>
      <protection locked="true" hidden="false"/>
    </xf>
    <xf numFmtId="167" fontId="26" fillId="0" borderId="5" xfId="33" applyFont="true" applyBorder="true" applyAlignment="true" applyProtection="true">
      <alignment horizontal="left" vertical="center" textRotation="0" wrapText="true" indent="0" shrinkToFit="false"/>
      <protection locked="true" hidden="false"/>
    </xf>
    <xf numFmtId="167" fontId="26" fillId="0" borderId="8" xfId="33" applyFont="true" applyBorder="true" applyAlignment="true" applyProtection="true">
      <alignment horizontal="center" vertical="center" textRotation="0" wrapText="true" indent="0" shrinkToFit="false"/>
      <protection locked="true" hidden="false"/>
    </xf>
    <xf numFmtId="167" fontId="27" fillId="0" borderId="8" xfId="33" applyFont="true" applyBorder="true" applyAlignment="true" applyProtection="true">
      <alignment horizontal="center" vertical="center" textRotation="0" wrapText="true" indent="0" shrinkToFit="false"/>
      <protection locked="true" hidden="false"/>
    </xf>
    <xf numFmtId="167" fontId="28" fillId="0" borderId="5" xfId="33" applyFont="true" applyBorder="true" applyAlignment="true" applyProtection="false">
      <alignment horizontal="center" vertical="center" textRotation="0" wrapText="false" indent="0" shrinkToFit="false"/>
      <protection locked="true" hidden="false"/>
    </xf>
    <xf numFmtId="167" fontId="26" fillId="0" borderId="1" xfId="33" applyFont="true" applyBorder="true" applyAlignment="true" applyProtection="true">
      <alignment horizontal="left" vertical="center" textRotation="0" wrapText="true" indent="0" shrinkToFit="false"/>
      <protection locked="true" hidden="false"/>
    </xf>
    <xf numFmtId="164" fontId="7" fillId="0" borderId="1" xfId="33" applyFont="true" applyBorder="true" applyAlignment="true" applyProtection="true">
      <alignment horizontal="left" vertical="center" textRotation="0" wrapText="true" indent="0" shrinkToFit="false"/>
      <protection locked="true" hidden="false"/>
    </xf>
    <xf numFmtId="167" fontId="27" fillId="0" borderId="1" xfId="33" applyFont="true" applyBorder="true" applyAlignment="true" applyProtection="true">
      <alignment horizontal="center" vertical="center" textRotation="0" wrapText="true" indent="0" shrinkToFit="false"/>
      <protection locked="true" hidden="false"/>
    </xf>
    <xf numFmtId="164" fontId="29" fillId="0" borderId="0" xfId="33" applyFont="true" applyBorder="false" applyAlignment="false" applyProtection="true">
      <alignment horizontal="general" vertical="center" textRotation="0" wrapText="false" indent="0" shrinkToFit="false"/>
      <protection locked="true" hidden="false"/>
    </xf>
    <xf numFmtId="164" fontId="4" fillId="0" borderId="0" xfId="33" applyFont="true" applyBorder="false" applyAlignment="false" applyProtection="true">
      <alignment horizontal="general" vertical="center" textRotation="0" wrapText="false" indent="0" shrinkToFit="false"/>
      <protection locked="false" hidden="false"/>
    </xf>
    <xf numFmtId="164" fontId="24" fillId="0" borderId="0" xfId="33" applyFont="true" applyBorder="false" applyAlignment="false" applyProtection="true">
      <alignment horizontal="general" vertical="center" textRotation="0" wrapText="false" indent="0" shrinkToFit="false"/>
      <protection locked="false" hidden="false"/>
    </xf>
    <xf numFmtId="167" fontId="17" fillId="0" borderId="0"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center" vertical="center" textRotation="0" wrapText="true" indent="0" shrinkToFit="false"/>
      <protection locked="true" hidden="false"/>
    </xf>
    <xf numFmtId="164" fontId="27" fillId="0" borderId="3" xfId="0" applyFont="true" applyBorder="true" applyAlignment="true" applyProtection="true">
      <alignment horizontal="center" vertical="center" textRotation="0" wrapText="true" indent="0" shrinkToFit="false"/>
      <protection locked="true" hidden="false"/>
    </xf>
    <xf numFmtId="167" fontId="27" fillId="0" borderId="3" xfId="0" applyFont="true" applyBorder="true" applyAlignment="true" applyProtection="true">
      <alignment horizontal="center" vertical="center" textRotation="0" wrapText="true" indent="0" shrinkToFit="false"/>
      <protection locked="true" hidden="false"/>
    </xf>
    <xf numFmtId="164" fontId="7" fillId="0" borderId="5" xfId="0" applyFont="true" applyBorder="true" applyAlignment="true" applyProtection="true">
      <alignment horizontal="center" vertical="center" textRotation="0" wrapText="true" indent="0" shrinkToFit="false"/>
      <protection locked="true" hidden="false"/>
    </xf>
    <xf numFmtId="167" fontId="27" fillId="0" borderId="5" xfId="0" applyFont="true" applyBorder="true" applyAlignment="true" applyProtection="true">
      <alignment horizontal="left" vertical="center" textRotation="0" wrapText="true" indent="0" shrinkToFit="false"/>
      <protection locked="true" hidden="false"/>
    </xf>
    <xf numFmtId="167" fontId="27" fillId="0" borderId="5" xfId="0" applyFont="true" applyBorder="true" applyAlignment="true" applyProtection="true">
      <alignment horizontal="center" vertical="center" textRotation="0" wrapText="true" indent="0" shrinkToFit="false"/>
      <protection locked="true" hidden="false"/>
    </xf>
    <xf numFmtId="167" fontId="26" fillId="0" borderId="5" xfId="0" applyFont="true" applyBorder="true" applyAlignment="true" applyProtection="true">
      <alignment horizontal="center" vertical="center" textRotation="0" wrapText="true" indent="0" shrinkToFit="false"/>
      <protection locked="true" hidden="false"/>
    </xf>
    <xf numFmtId="164" fontId="7" fillId="0" borderId="1" xfId="0" applyFont="true" applyBorder="true" applyAlignment="true" applyProtection="true">
      <alignment horizontal="center" vertical="center" textRotation="0" wrapText="true" indent="0" shrinkToFit="false"/>
      <protection locked="true" hidden="false"/>
    </xf>
    <xf numFmtId="167" fontId="27" fillId="0" borderId="1" xfId="0" applyFont="true" applyBorder="true" applyAlignment="true" applyProtection="true">
      <alignment horizontal="center" vertical="center" textRotation="0" wrapText="true" indent="0" shrinkToFit="false"/>
      <protection locked="true" hidden="false"/>
    </xf>
    <xf numFmtId="164" fontId="29" fillId="0" borderId="0" xfId="0" applyFont="true" applyBorder="true" applyAlignment="true" applyProtection="true">
      <alignment horizontal="left" vertical="center" textRotation="0" wrapText="false" indent="0" shrinkToFit="false"/>
      <protection locked="true" hidden="false"/>
    </xf>
    <xf numFmtId="164" fontId="24" fillId="0" borderId="0" xfId="0" applyFont="true" applyBorder="false" applyAlignment="false" applyProtection="true">
      <alignment horizontal="general" vertical="center" textRotation="0" wrapText="false" indent="0" shrinkToFit="false"/>
      <protection locked="false" hidden="false"/>
    </xf>
    <xf numFmtId="164" fontId="19" fillId="0" borderId="0" xfId="0" applyFont="true" applyBorder="true" applyAlignment="true" applyProtection="true">
      <alignment horizontal="left" vertical="center" textRotation="0" wrapText="false" indent="0" shrinkToFit="false"/>
      <protection locked="true" hidden="false"/>
    </xf>
    <xf numFmtId="164" fontId="19" fillId="0" borderId="0" xfId="0" applyFont="true" applyBorder="true" applyAlignment="true" applyProtection="true">
      <alignment horizontal="justify" vertical="center" textRotation="0" wrapText="true" indent="0" shrinkToFit="false"/>
      <protection locked="true" hidden="false"/>
    </xf>
    <xf numFmtId="164" fontId="24" fillId="0" borderId="0" xfId="0" applyFont="true" applyBorder="true" applyAlignment="true" applyProtection="true">
      <alignment horizontal="center" vertical="center" textRotation="0" wrapText="true" indent="0" shrinkToFit="false"/>
      <protection locked="true" hidden="false"/>
    </xf>
    <xf numFmtId="168" fontId="18" fillId="0" borderId="0" xfId="0" applyFont="true" applyBorder="true" applyAlignment="true" applyProtection="true">
      <alignment horizontal="center" vertical="center" textRotation="0" wrapText="true" indent="0" shrinkToFit="false"/>
      <protection locked="true" hidden="false"/>
    </xf>
    <xf numFmtId="164" fontId="32" fillId="0" borderId="9" xfId="0" applyFont="true" applyBorder="true" applyAlignment="true" applyProtection="true">
      <alignment horizontal="justify" vertical="center" textRotation="0" wrapText="true" indent="0" shrinkToFit="false"/>
      <protection locked="true" hidden="false"/>
    </xf>
    <xf numFmtId="164" fontId="32" fillId="0" borderId="0" xfId="0" applyFont="true" applyBorder="true" applyAlignment="true" applyProtection="true">
      <alignment horizontal="right" vertical="center" textRotation="0" wrapText="true" indent="0" shrinkToFit="false"/>
      <protection locked="true" hidden="false"/>
    </xf>
    <xf numFmtId="164" fontId="32" fillId="0" borderId="10" xfId="0" applyFont="true" applyBorder="true" applyAlignment="true" applyProtection="true">
      <alignment horizontal="justify" vertical="center" textRotation="0" wrapText="true" indent="0" shrinkToFit="false"/>
      <protection locked="true" hidden="false"/>
    </xf>
    <xf numFmtId="164" fontId="33" fillId="0" borderId="0" xfId="0" applyFont="true" applyBorder="true" applyAlignment="true" applyProtection="true">
      <alignment horizontal="center" vertical="center" textRotation="0" wrapText="true" indent="0" shrinkToFit="false"/>
      <protection locked="false" hidden="false"/>
    </xf>
    <xf numFmtId="164" fontId="34" fillId="0" borderId="0" xfId="0" applyFont="true" applyBorder="true" applyAlignment="true" applyProtection="true">
      <alignment horizontal="center" vertical="center" textRotation="0" wrapText="true" indent="0" shrinkToFit="false"/>
      <protection locked="false" hidden="false"/>
    </xf>
    <xf numFmtId="164" fontId="0" fillId="0" borderId="0" xfId="0" applyFont="true" applyBorder="false" applyAlignment="fals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left" vertical="center" textRotation="0" wrapText="true" indent="0" shrinkToFit="false"/>
      <protection locked="true" hidden="false"/>
    </xf>
    <xf numFmtId="164" fontId="35" fillId="0" borderId="0" xfId="0" applyFont="true" applyBorder="true" applyAlignment="true" applyProtection="true">
      <alignment horizontal="left" vertical="center" textRotation="0" wrapText="true" indent="0" shrinkToFit="false"/>
      <protection locked="false" hidden="false"/>
    </xf>
    <xf numFmtId="167" fontId="38" fillId="0" borderId="0" xfId="0" applyFont="true" applyBorder="true" applyAlignment="true" applyProtection="true">
      <alignment horizontal="general" vertical="center" textRotation="0" wrapText="true" indent="0" shrinkToFit="false"/>
      <protection locked="true" hidden="false"/>
    </xf>
    <xf numFmtId="164" fontId="39" fillId="0" borderId="0" xfId="0" applyFont="true" applyBorder="true" applyAlignment="true" applyProtection="true">
      <alignment horizontal="general" vertical="center" textRotation="0" wrapText="true" indent="0" shrinkToFit="false"/>
      <protection locked="false" hidden="false"/>
    </xf>
    <xf numFmtId="164" fontId="0" fillId="0" borderId="0" xfId="0" applyFont="true" applyBorder="false" applyAlignment="true" applyProtection="true">
      <alignment horizontal="general" vertical="center" textRotation="0" wrapText="true" indent="0" shrinkToFit="false"/>
      <protection locked="false" hidden="false"/>
    </xf>
    <xf numFmtId="164" fontId="32" fillId="0" borderId="0" xfId="0" applyFont="true" applyBorder="false" applyAlignment="true" applyProtection="false">
      <alignment horizontal="right" vertical="center" textRotation="0" wrapText="false" indent="0" shrinkToFit="false"/>
      <protection locked="true" hidden="false"/>
    </xf>
    <xf numFmtId="164" fontId="24" fillId="0" borderId="0" xfId="0" applyFont="true" applyBorder="false" applyAlignment="false" applyProtection="false">
      <alignment horizontal="general" vertical="center" textRotation="0" wrapText="false" indent="0" shrinkToFit="false"/>
      <protection locked="true" hidden="false"/>
    </xf>
    <xf numFmtId="164" fontId="24" fillId="0" borderId="0" xfId="0" applyFont="true" applyBorder="false" applyAlignment="true" applyProtection="false">
      <alignment horizontal="right" vertical="center" textRotation="0" wrapText="false" indent="0" shrinkToFit="false"/>
      <protection locked="true" hidden="false"/>
    </xf>
    <xf numFmtId="165" fontId="42" fillId="0" borderId="0" xfId="0" applyFont="true" applyBorder="true" applyAlignment="true" applyProtection="true">
      <alignment horizontal="right" vertical="center" textRotation="0" wrapText="false" indent="0" shrinkToFit="false"/>
      <protection locked="false" hidden="false"/>
    </xf>
    <xf numFmtId="164" fontId="0" fillId="0" borderId="0" xfId="0" applyFont="true" applyBorder="true" applyAlignment="false" applyProtection="true">
      <alignment horizontal="general" vertical="center" textRotation="0" wrapText="false" indent="0" shrinkToFit="false"/>
      <protection locked="false" hidden="false"/>
    </xf>
    <xf numFmtId="164" fontId="24" fillId="0" borderId="0" xfId="0" applyFont="true" applyBorder="true" applyAlignment="false" applyProtection="true">
      <alignment horizontal="general" vertical="center" textRotation="0" wrapText="false" indent="0" shrinkToFit="false"/>
      <protection locked="false" hidden="false"/>
    </xf>
    <xf numFmtId="164" fontId="8" fillId="0" borderId="0" xfId="0" applyFont="true" applyBorder="false" applyAlignment="false" applyProtection="true">
      <alignment horizontal="general" vertical="center" textRotation="0" wrapText="false" indent="0" shrinkToFit="false"/>
      <protection locked="true" hidden="false"/>
    </xf>
    <xf numFmtId="164" fontId="43" fillId="0" borderId="0" xfId="0" applyFont="true" applyBorder="false" applyAlignment="false" applyProtection="true">
      <alignment horizontal="general" vertical="center" textRotation="0" wrapText="false" indent="0" shrinkToFit="false"/>
      <protection locked="true" hidden="false"/>
    </xf>
    <xf numFmtId="164" fontId="24" fillId="0" borderId="0" xfId="0" applyFont="true" applyBorder="false" applyAlignment="false" applyProtection="true">
      <alignment horizontal="general" vertical="center" textRotation="0" wrapText="false" indent="0" shrinkToFit="false"/>
      <protection locked="true" hidden="false"/>
    </xf>
    <xf numFmtId="164" fontId="8" fillId="0" borderId="5" xfId="0" applyFont="true" applyBorder="true" applyAlignment="true" applyProtection="true">
      <alignment horizontal="center" vertical="center" textRotation="0" wrapText="true" indent="0" shrinkToFit="false"/>
      <protection locked="true" hidden="false"/>
    </xf>
    <xf numFmtId="164" fontId="4" fillId="0" borderId="0" xfId="0" applyFont="true" applyBorder="false" applyAlignment="false" applyProtection="true">
      <alignment horizontal="general" vertical="center"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8" fillId="2" borderId="5" xfId="0" applyFont="true" applyBorder="true" applyAlignment="true" applyProtection="true">
      <alignment horizontal="center" vertical="center" textRotation="0" wrapText="true" indent="0" shrinkToFit="false"/>
      <protection locked="true" hidden="false"/>
    </xf>
    <xf numFmtId="164" fontId="8" fillId="3" borderId="5" xfId="0" applyFont="true" applyBorder="true" applyAlignment="true" applyProtection="true">
      <alignment horizontal="center" vertical="center" textRotation="0" wrapText="true" indent="0" shrinkToFit="false"/>
      <protection locked="true" hidden="false"/>
    </xf>
    <xf numFmtId="164" fontId="44" fillId="4" borderId="5" xfId="0" applyFont="true" applyBorder="true" applyAlignment="true" applyProtection="true">
      <alignment horizontal="center" vertical="center" textRotation="0" wrapText="false" indent="0" shrinkToFit="false"/>
      <protection locked="true" hidden="false"/>
    </xf>
    <xf numFmtId="164" fontId="45" fillId="0" borderId="5" xfId="0" applyFont="true" applyBorder="true" applyAlignment="true" applyProtection="true">
      <alignment horizontal="center" vertical="center" textRotation="0" wrapText="false" indent="0" shrinkToFit="false"/>
      <protection locked="true" hidden="false"/>
    </xf>
    <xf numFmtId="164" fontId="8" fillId="0" borderId="5" xfId="0" applyFont="true" applyBorder="true" applyAlignment="true" applyProtection="true">
      <alignment horizontal="center" vertical="center" textRotation="0" wrapText="false" indent="0" shrinkToFit="false"/>
      <protection locked="true" hidden="false"/>
    </xf>
    <xf numFmtId="164" fontId="4" fillId="2" borderId="5" xfId="0" applyFont="true" applyBorder="true" applyAlignment="true" applyProtection="true">
      <alignment horizontal="left" vertical="center" textRotation="0" wrapText="false" indent="0" shrinkToFit="false"/>
      <protection locked="true" hidden="false"/>
    </xf>
    <xf numFmtId="164" fontId="4" fillId="0" borderId="5" xfId="0" applyFont="true" applyBorder="true" applyAlignment="true" applyProtection="true">
      <alignment horizontal="left" vertical="center" textRotation="0" wrapText="false" indent="0" shrinkToFit="false"/>
      <protection locked="true" hidden="false"/>
    </xf>
    <xf numFmtId="164" fontId="4" fillId="4" borderId="7" xfId="0" applyFont="true" applyBorder="true" applyAlignment="true" applyProtection="true">
      <alignment horizontal="general" vertical="center" textRotation="0" wrapText="false" indent="0" shrinkToFit="false"/>
      <protection locked="true" hidden="false"/>
    </xf>
    <xf numFmtId="164" fontId="0" fillId="5" borderId="10" xfId="0" applyFont="true" applyBorder="true" applyAlignment="true" applyProtection="true">
      <alignment horizontal="general" vertical="center" textRotation="0" wrapText="false" indent="0" shrinkToFit="false"/>
      <protection locked="true" hidden="false"/>
    </xf>
    <xf numFmtId="164" fontId="0" fillId="5" borderId="8" xfId="0" applyFont="true" applyBorder="true" applyAlignment="true" applyProtection="true">
      <alignment horizontal="general" vertical="center" textRotation="0" wrapText="false" indent="0" shrinkToFit="false"/>
      <protection locked="true" hidden="false"/>
    </xf>
    <xf numFmtId="164" fontId="4" fillId="6" borderId="5" xfId="0" applyFont="true" applyBorder="true" applyAlignment="true" applyProtection="true">
      <alignment horizontal="left" vertical="center" textRotation="0" wrapText="false" indent="0" shrinkToFit="false"/>
      <protection locked="true" hidden="false"/>
    </xf>
    <xf numFmtId="164" fontId="45" fillId="0" borderId="0" xfId="0" applyFont="true" applyBorder="false" applyAlignment="false" applyProtection="true">
      <alignment horizontal="general" vertical="center" textRotation="0" wrapText="false" indent="0" shrinkToFit="false"/>
      <protection locked="true" hidden="false"/>
    </xf>
    <xf numFmtId="164" fontId="4" fillId="0" borderId="0" xfId="0" applyFont="true" applyBorder="false" applyAlignment="true" applyProtection="true">
      <alignment horizontal="left" vertical="center" textRotation="0" wrapText="false" indent="0" shrinkToFit="false"/>
      <protection locked="true" hidden="false"/>
    </xf>
    <xf numFmtId="170" fontId="4" fillId="0" borderId="0" xfId="0" applyFont="true" applyBorder="false" applyAlignment="true" applyProtection="true">
      <alignment horizontal="left" vertical="center" textRotation="0" wrapText="false" indent="0" shrinkToFit="false"/>
      <protection locked="true" hidden="false"/>
    </xf>
    <xf numFmtId="164" fontId="7" fillId="0" borderId="0" xfId="28" applyFont="true" applyBorder="false" applyAlignment="true" applyProtection="false">
      <alignment horizontal="left" vertical="center" textRotation="0" wrapText="false" indent="0" shrinkToFit="false"/>
      <protection locked="true" hidden="false"/>
    </xf>
    <xf numFmtId="164" fontId="46" fillId="0" borderId="0" xfId="28" applyFont="true" applyBorder="false" applyAlignment="true" applyProtection="false">
      <alignment horizontal="left" vertical="center" textRotation="0" wrapText="false" indent="0" shrinkToFit="false"/>
      <protection locked="true" hidden="false"/>
    </xf>
    <xf numFmtId="164" fontId="47" fillId="0" borderId="0" xfId="28" applyFont="true" applyBorder="false" applyAlignment="true" applyProtection="false">
      <alignment horizontal="left" vertical="center" textRotation="0" wrapText="false" indent="0" shrinkToFit="false"/>
      <protection locked="true" hidden="false"/>
    </xf>
    <xf numFmtId="168" fontId="47" fillId="0" borderId="0" xfId="28" applyFont="true" applyBorder="false" applyAlignment="true" applyProtection="false">
      <alignment horizontal="left" vertical="center" textRotation="0" wrapText="false" indent="0" shrinkToFit="false"/>
      <protection locked="true" hidden="false"/>
    </xf>
    <xf numFmtId="164" fontId="48" fillId="0" borderId="0" xfId="28" applyFont="true" applyBorder="false" applyAlignment="true" applyProtection="false">
      <alignment horizontal="left" vertical="center" textRotation="0" wrapText="false" indent="0" shrinkToFit="false"/>
      <protection locked="true" hidden="false"/>
    </xf>
    <xf numFmtId="164" fontId="49" fillId="2" borderId="11" xfId="28" applyFont="true" applyBorder="true" applyAlignment="true" applyProtection="false">
      <alignment horizontal="left" vertical="center" textRotation="0" wrapText="false" indent="0" shrinkToFit="false"/>
      <protection locked="true" hidden="false"/>
    </xf>
    <xf numFmtId="164" fontId="47" fillId="0" borderId="5" xfId="28" applyFont="true" applyBorder="true" applyAlignment="true" applyProtection="false">
      <alignment horizontal="left" vertical="center" textRotation="0" wrapText="false" indent="0" shrinkToFit="false"/>
      <protection locked="true" hidden="false"/>
    </xf>
    <xf numFmtId="164" fontId="47" fillId="0" borderId="7" xfId="28" applyFont="true" applyBorder="true" applyAlignment="true" applyProtection="false">
      <alignment horizontal="left" vertical="center" textRotation="0" wrapText="false" indent="0" shrinkToFit="false"/>
      <protection locked="true" hidden="false"/>
    </xf>
    <xf numFmtId="164" fontId="49" fillId="2" borderId="12" xfId="28" applyFont="true" applyBorder="true" applyAlignment="true" applyProtection="false">
      <alignment horizontal="left" vertical="center" textRotation="0" wrapText="false" indent="0" shrinkToFit="false"/>
      <protection locked="true" hidden="false"/>
    </xf>
    <xf numFmtId="164" fontId="47" fillId="0" borderId="5" xfId="28" applyFont="true" applyBorder="true" applyAlignment="true" applyProtection="false">
      <alignment horizontal="left" vertical="center" textRotation="0" wrapText="false" indent="0" shrinkToFit="false"/>
      <protection locked="true" hidden="false"/>
    </xf>
    <xf numFmtId="167" fontId="47" fillId="0" borderId="5" xfId="28" applyFont="true" applyBorder="true" applyAlignment="true" applyProtection="false">
      <alignment horizontal="left" vertical="center" textRotation="0" wrapText="false" indent="0" shrinkToFit="false"/>
      <protection locked="true" hidden="false"/>
    </xf>
    <xf numFmtId="171" fontId="47" fillId="0" borderId="5" xfId="28" applyFont="true" applyBorder="true" applyAlignment="true" applyProtection="false">
      <alignment horizontal="left" vertical="center" textRotation="0" wrapText="false" indent="0" shrinkToFit="false"/>
      <protection locked="true" hidden="false"/>
    </xf>
    <xf numFmtId="171" fontId="50" fillId="0" borderId="7" xfId="28" applyFont="true" applyBorder="true" applyAlignment="true" applyProtection="false">
      <alignment horizontal="left" vertical="center" textRotation="0" wrapText="false" indent="0" shrinkToFit="false"/>
      <protection locked="true" hidden="false"/>
    </xf>
    <xf numFmtId="164" fontId="47" fillId="0" borderId="13" xfId="28" applyFont="true" applyBorder="true" applyAlignment="true" applyProtection="false">
      <alignment horizontal="left" vertical="center" textRotation="0" wrapText="false" indent="0" shrinkToFit="false"/>
      <protection locked="true" hidden="false"/>
    </xf>
    <xf numFmtId="169" fontId="47" fillId="0" borderId="5" xfId="28" applyFont="true" applyBorder="true" applyAlignment="true" applyProtection="false">
      <alignment horizontal="left" vertical="center" textRotation="0" wrapText="false" indent="0" shrinkToFit="false"/>
      <protection locked="true" hidden="false"/>
    </xf>
    <xf numFmtId="167" fontId="50" fillId="0" borderId="5" xfId="28" applyFont="true" applyBorder="true" applyAlignment="true" applyProtection="false">
      <alignment horizontal="left" vertical="center" textRotation="0" wrapText="false" indent="0" shrinkToFit="false"/>
      <protection locked="true" hidden="false"/>
    </xf>
    <xf numFmtId="171" fontId="47" fillId="0" borderId="7" xfId="28" applyFont="true" applyBorder="true" applyAlignment="true" applyProtection="false">
      <alignment horizontal="left" vertical="center" textRotation="0" wrapText="false" indent="0" shrinkToFit="false"/>
      <protection locked="true" hidden="false"/>
    </xf>
    <xf numFmtId="167" fontId="50" fillId="0" borderId="0" xfId="28" applyFont="true" applyBorder="false" applyAlignment="true" applyProtection="false">
      <alignment horizontal="left" vertical="center" textRotation="0" wrapText="false" indent="0" shrinkToFit="false"/>
      <protection locked="true" hidden="false"/>
    </xf>
    <xf numFmtId="164" fontId="7" fillId="0" borderId="0" xfId="28" applyFont="true" applyBorder="false" applyAlignment="true" applyProtection="false">
      <alignment horizontal="left" vertical="center" textRotation="0" wrapText="false" indent="0" shrinkToFit="false"/>
      <protection locked="true" hidden="false"/>
    </xf>
    <xf numFmtId="164" fontId="49" fillId="2" borderId="5" xfId="28" applyFont="true" applyBorder="true" applyAlignment="true" applyProtection="false">
      <alignment horizontal="left" vertical="center" textRotation="0" wrapText="false" indent="0" shrinkToFit="false"/>
      <protection locked="true" hidden="false"/>
    </xf>
    <xf numFmtId="164" fontId="47" fillId="0" borderId="13" xfId="28" applyFont="true" applyBorder="true" applyAlignment="true" applyProtection="false">
      <alignment horizontal="left" vertical="center" textRotation="0" wrapText="false" indent="0" shrinkToFit="false"/>
      <protection locked="true" hidden="false"/>
    </xf>
    <xf numFmtId="164" fontId="49" fillId="0" borderId="5" xfId="28" applyFont="true" applyBorder="true" applyAlignment="true" applyProtection="false">
      <alignment horizontal="left" vertical="center" textRotation="0" wrapText="false" indent="0" shrinkToFit="false"/>
      <protection locked="true" hidden="false"/>
    </xf>
    <xf numFmtId="164" fontId="8" fillId="0" borderId="0" xfId="28" applyFont="true" applyBorder="false" applyAlignment="true" applyProtection="false">
      <alignment horizontal="left" vertical="center" textRotation="0" wrapText="false" indent="0" shrinkToFit="false"/>
      <protection locked="true" hidden="false"/>
    </xf>
    <xf numFmtId="169" fontId="47" fillId="0" borderId="7" xfId="28" applyFont="true" applyBorder="true" applyAlignment="true" applyProtection="false">
      <alignment horizontal="left" vertical="center" textRotation="0" wrapText="false" indent="0" shrinkToFit="false"/>
      <protection locked="true" hidden="false"/>
    </xf>
    <xf numFmtId="169" fontId="47" fillId="0" borderId="5" xfId="0" applyFont="true" applyBorder="true" applyAlignment="true" applyProtection="false">
      <alignment horizontal="left" vertical="center" textRotation="0" wrapText="false" indent="0" shrinkToFit="false"/>
      <protection locked="true" hidden="false"/>
    </xf>
    <xf numFmtId="168" fontId="47" fillId="0" borderId="5" xfId="28" applyFont="true" applyBorder="true" applyAlignment="true" applyProtection="false">
      <alignment horizontal="left" vertical="center" textRotation="0" wrapText="false" indent="0" shrinkToFit="false"/>
      <protection locked="true" hidden="false"/>
    </xf>
    <xf numFmtId="168" fontId="47" fillId="0" borderId="7" xfId="28" applyFont="true" applyBorder="true" applyAlignment="true" applyProtection="false">
      <alignment horizontal="left" vertical="center" textRotation="0" wrapText="false" indent="0" shrinkToFit="false"/>
      <protection locked="true" hidden="false"/>
    </xf>
    <xf numFmtId="168" fontId="7" fillId="0" borderId="0" xfId="28" applyFont="true" applyBorder="false" applyAlignment="true" applyProtection="false">
      <alignment horizontal="left" vertical="center" textRotation="0" wrapText="false" indent="0" shrinkToFit="false"/>
      <protection locked="true" hidden="false"/>
    </xf>
    <xf numFmtId="168" fontId="7" fillId="0" borderId="14" xfId="28" applyFont="true" applyBorder="true" applyAlignment="true" applyProtection="false">
      <alignment horizontal="left" vertical="center" textRotation="0" wrapText="false" indent="0" shrinkToFit="false"/>
      <protection locked="true" hidden="false"/>
    </xf>
    <xf numFmtId="164" fontId="7" fillId="0" borderId="0" xfId="28" applyFont="true" applyBorder="true" applyAlignment="true" applyProtection="false">
      <alignment horizontal="left" vertical="center" textRotation="0" wrapText="false" indent="0" shrinkToFit="false"/>
      <protection locked="true" hidden="false"/>
    </xf>
    <xf numFmtId="164" fontId="43" fillId="0" borderId="0" xfId="28" applyFont="true" applyBorder="true" applyAlignment="true" applyProtection="false">
      <alignment horizontal="left" vertical="center" textRotation="0" wrapText="false" indent="0" shrinkToFit="false"/>
      <protection locked="true" hidden="false"/>
    </xf>
    <xf numFmtId="164" fontId="0" fillId="0" borderId="0" xfId="0" applyFont="true" applyBorder="true" applyAlignment="true" applyProtection="true">
      <alignment horizontal="center" vertical="center" textRotation="0" wrapText="false" indent="0" shrinkToFit="false"/>
      <protection locked="true" hidden="false"/>
    </xf>
    <xf numFmtId="164" fontId="0" fillId="3" borderId="0" xfId="0" applyFont="true" applyBorder="false" applyAlignment="false" applyProtection="true">
      <alignment horizontal="general" vertical="center" textRotation="0" wrapText="false" indent="0" shrinkToFit="false"/>
      <protection locked="true" hidden="false"/>
    </xf>
    <xf numFmtId="164" fontId="0" fillId="3" borderId="0" xfId="0" applyFont="true" applyBorder="false" applyAlignment="true" applyProtection="true">
      <alignment horizontal="center" vertical="center" textRotation="0" wrapText="false" indent="0" shrinkToFit="false"/>
      <protection locked="true" hidden="false"/>
    </xf>
    <xf numFmtId="164" fontId="4" fillId="3" borderId="15" xfId="0" applyFont="true" applyBorder="true" applyAlignment="true" applyProtection="true">
      <alignment horizontal="center" vertical="center" textRotation="0" wrapText="true" indent="0" shrinkToFit="false"/>
      <protection locked="true" hidden="false"/>
    </xf>
    <xf numFmtId="164" fontId="4" fillId="3" borderId="16" xfId="0" applyFont="true" applyBorder="true" applyAlignment="true" applyProtection="true">
      <alignment horizontal="center" vertical="center" textRotation="0" wrapText="true" indent="0" shrinkToFit="false"/>
      <protection locked="true" hidden="false"/>
    </xf>
    <xf numFmtId="164" fontId="0" fillId="3" borderId="0" xfId="0" applyFont="true" applyBorder="true" applyAlignment="true" applyProtection="true">
      <alignment horizontal="center" vertical="center" textRotation="0" wrapText="true" indent="0" shrinkToFit="false"/>
      <protection locked="true" hidden="false"/>
    </xf>
    <xf numFmtId="164" fontId="4" fillId="3" borderId="0" xfId="0" applyFont="true" applyBorder="false" applyAlignment="true" applyProtection="true">
      <alignment horizontal="center" vertical="center" textRotation="0" wrapText="true" indent="0" shrinkToFit="false"/>
      <protection locked="true" hidden="false"/>
    </xf>
    <xf numFmtId="164" fontId="0" fillId="3" borderId="0" xfId="0" applyFont="true" applyBorder="false" applyAlignment="true" applyProtection="true">
      <alignment horizontal="center" vertical="center" textRotation="0" wrapText="true" indent="0" shrinkToFit="false"/>
      <protection locked="true" hidden="false"/>
    </xf>
    <xf numFmtId="164" fontId="4" fillId="3" borderId="0" xfId="0"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0" fillId="0" borderId="5" xfId="0" applyFont="true" applyBorder="true" applyAlignment="true" applyProtection="true">
      <alignment horizontal="left" vertical="center" textRotation="0" wrapText="false" indent="0" shrinkToFit="false"/>
      <protection locked="false" hidden="false"/>
    </xf>
    <xf numFmtId="164" fontId="4" fillId="0" borderId="5" xfId="0" applyFont="true" applyBorder="true" applyAlignment="true" applyProtection="true">
      <alignment horizontal="left" vertical="center" textRotation="0" wrapText="false" indent="0" shrinkToFit="false"/>
      <protection locked="false" hidden="false"/>
    </xf>
    <xf numFmtId="164" fontId="0" fillId="3" borderId="0" xfId="0" applyFont="true" applyBorder="true" applyAlignment="true" applyProtection="true">
      <alignment horizontal="center" vertical="center" textRotation="0" wrapText="false" indent="0" shrinkToFit="false"/>
      <protection locked="false" hidden="false"/>
    </xf>
    <xf numFmtId="164" fontId="4" fillId="3" borderId="0" xfId="0" applyFont="true" applyBorder="false" applyAlignment="true" applyProtection="true">
      <alignment horizontal="center" vertical="center" textRotation="0" wrapText="false" indent="0" shrinkToFit="false"/>
      <protection locked="true" hidden="false"/>
    </xf>
    <xf numFmtId="164" fontId="0" fillId="3" borderId="0" xfId="0" applyFont="true" applyBorder="false" applyAlignment="true" applyProtection="true">
      <alignment horizontal="center" vertical="center" textRotation="0" wrapText="false" indent="0" shrinkToFit="false"/>
      <protection locked="false" hidden="false"/>
    </xf>
    <xf numFmtId="164" fontId="4" fillId="3" borderId="0" xfId="0" applyFont="true" applyBorder="true" applyAlignment="true" applyProtection="true">
      <alignment horizontal="center" vertical="center" textRotation="0" wrapText="false" indent="0" shrinkToFit="false"/>
      <protection locked="false" hidden="false"/>
    </xf>
    <xf numFmtId="164" fontId="0" fillId="3" borderId="0" xfId="0" applyFont="true" applyBorder="true" applyAlignment="true" applyProtection="true">
      <alignment horizontal="left" vertical="center" textRotation="0" wrapText="false" indent="0" shrinkToFit="false"/>
      <protection locked="true" hidden="false"/>
    </xf>
    <xf numFmtId="167" fontId="0" fillId="3" borderId="0" xfId="0" applyFont="true" applyBorder="false" applyAlignment="true" applyProtection="true">
      <alignment horizontal="left" vertical="center" textRotation="0" wrapText="false" indent="0" shrinkToFit="false"/>
      <protection locked="true" hidden="false"/>
    </xf>
    <xf numFmtId="164" fontId="0" fillId="3" borderId="0" xfId="0" applyFont="true" applyBorder="true" applyAlignment="true" applyProtection="true">
      <alignment horizontal="center" vertical="center" textRotation="0" wrapText="false" indent="0" shrinkToFit="false"/>
      <protection locked="true" hidden="false"/>
    </xf>
    <xf numFmtId="164" fontId="0" fillId="0" borderId="0" xfId="0" applyFont="false" applyBorder="false" applyAlignment="true" applyProtection="true">
      <alignment horizontal="left" vertical="center" textRotation="0" wrapText="false" indent="0" shrinkToFit="false"/>
      <protection locked="false" hidden="false"/>
    </xf>
    <xf numFmtId="164" fontId="51" fillId="0" borderId="0" xfId="0" applyFont="true" applyBorder="false" applyAlignment="true" applyProtection="true">
      <alignment horizontal="left" vertical="center" textRotation="0" wrapText="false" indent="0" shrinkToFit="false"/>
      <protection locked="false" hidden="false"/>
    </xf>
    <xf numFmtId="164" fontId="52" fillId="3" borderId="17" xfId="0" applyFont="true" applyBorder="true" applyAlignment="true" applyProtection="true">
      <alignment horizontal="left" vertical="center" textRotation="0" wrapText="false" indent="0" shrinkToFit="false"/>
      <protection locked="false" hidden="false"/>
    </xf>
    <xf numFmtId="164" fontId="0" fillId="3" borderId="18" xfId="0" applyFont="false" applyBorder="true" applyAlignment="true" applyProtection="true">
      <alignment horizontal="left" vertical="center" textRotation="0" wrapText="false" indent="0" shrinkToFit="false"/>
      <protection locked="false" hidden="false"/>
    </xf>
    <xf numFmtId="164" fontId="0" fillId="3" borderId="19" xfId="0" applyFont="false" applyBorder="true" applyAlignment="true" applyProtection="true">
      <alignment horizontal="left" vertical="center" textRotation="0" wrapText="false" indent="0" shrinkToFit="false"/>
      <protection locked="false" hidden="false"/>
    </xf>
    <xf numFmtId="164" fontId="52" fillId="3" borderId="17" xfId="0" applyFont="true" applyBorder="true" applyAlignment="true" applyProtection="true">
      <alignment horizontal="left" vertical="center" textRotation="0" wrapText="false" indent="0" shrinkToFit="false"/>
      <protection locked="true" hidden="false"/>
    </xf>
    <xf numFmtId="164" fontId="51" fillId="3" borderId="0" xfId="0" applyFont="true" applyBorder="false" applyAlignment="true" applyProtection="true">
      <alignment horizontal="left" vertical="center" textRotation="0" wrapText="false" indent="0" shrinkToFit="false"/>
      <protection locked="true" hidden="false"/>
    </xf>
    <xf numFmtId="164" fontId="0" fillId="3" borderId="0" xfId="0" applyFont="false" applyBorder="false" applyAlignment="true" applyProtection="true">
      <alignment horizontal="left" vertical="center" textRotation="0" wrapText="false" indent="0" shrinkToFit="false"/>
      <protection locked="true" hidden="false"/>
    </xf>
    <xf numFmtId="164" fontId="0" fillId="3" borderId="20" xfId="0" applyFont="false" applyBorder="true" applyAlignment="true" applyProtection="true">
      <alignment horizontal="left" vertical="center" textRotation="0" wrapText="false" indent="0" shrinkToFit="false"/>
      <protection locked="false" hidden="false"/>
    </xf>
    <xf numFmtId="164" fontId="0" fillId="3" borderId="0" xfId="0" applyFont="false" applyBorder="true" applyAlignment="true" applyProtection="true">
      <alignment horizontal="left" vertical="center" textRotation="0" wrapText="false" indent="0" shrinkToFit="false"/>
      <protection locked="false" hidden="false"/>
    </xf>
    <xf numFmtId="164" fontId="0" fillId="3" borderId="21" xfId="0" applyFont="false" applyBorder="true" applyAlignment="true" applyProtection="true">
      <alignment horizontal="left" vertical="center" textRotation="0" wrapText="false" indent="0" shrinkToFit="false"/>
      <protection locked="false" hidden="false"/>
    </xf>
    <xf numFmtId="164" fontId="51" fillId="3" borderId="9" xfId="0" applyFont="true" applyBorder="true" applyAlignment="true" applyProtection="true">
      <alignment horizontal="left" vertical="center" textRotation="0" wrapText="false" indent="0" shrinkToFit="false"/>
      <protection locked="true" hidden="false"/>
    </xf>
    <xf numFmtId="164" fontId="0" fillId="3" borderId="22" xfId="0" applyFont="true" applyBorder="true" applyAlignment="true" applyProtection="true">
      <alignment horizontal="left" vertical="center" textRotation="0" wrapText="false" indent="0" shrinkToFit="false"/>
      <protection locked="true" hidden="false"/>
    </xf>
    <xf numFmtId="168" fontId="0" fillId="0" borderId="5" xfId="0" applyFont="false" applyBorder="true" applyAlignment="true" applyProtection="true">
      <alignment horizontal="left" vertical="center" textRotation="0" wrapText="false" indent="0" shrinkToFit="false"/>
      <protection locked="false" hidden="false"/>
    </xf>
    <xf numFmtId="164" fontId="0" fillId="3" borderId="5" xfId="0" applyFont="false" applyBorder="true" applyAlignment="true" applyProtection="true">
      <alignment horizontal="left" vertical="center" textRotation="0" wrapText="false" indent="0" shrinkToFit="false"/>
      <protection locked="true" hidden="false"/>
    </xf>
    <xf numFmtId="164" fontId="51" fillId="3" borderId="5" xfId="0" applyFont="true" applyBorder="true" applyAlignment="true" applyProtection="true">
      <alignment horizontal="left" vertical="center" textRotation="0" wrapText="false" indent="0" shrinkToFit="false"/>
      <protection locked="true" hidden="false"/>
    </xf>
    <xf numFmtId="164" fontId="0" fillId="3" borderId="5" xfId="0" applyFont="true" applyBorder="true" applyAlignment="true" applyProtection="true">
      <alignment horizontal="left" vertical="center" textRotation="0" wrapText="false" indent="0" shrinkToFit="false"/>
      <protection locked="true" hidden="false"/>
    </xf>
    <xf numFmtId="164" fontId="0" fillId="0" borderId="22" xfId="0" applyFont="false" applyBorder="true" applyAlignment="true" applyProtection="true">
      <alignment horizontal="left" vertical="center" textRotation="0" wrapText="false" indent="0" shrinkToFit="false"/>
      <protection locked="false" hidden="false"/>
    </xf>
    <xf numFmtId="172" fontId="0" fillId="3" borderId="5" xfId="0" applyFont="false" applyBorder="true" applyAlignment="true" applyProtection="true">
      <alignment horizontal="left" vertical="center" textRotation="0" wrapText="false" indent="0" shrinkToFit="false"/>
      <protection locked="true" hidden="false"/>
    </xf>
    <xf numFmtId="173" fontId="0" fillId="0" borderId="5" xfId="19" applyFont="true" applyBorder="true" applyAlignment="true" applyProtection="true">
      <alignment horizontal="left" vertical="center" textRotation="0" wrapText="false" indent="0" shrinkToFit="false"/>
      <protection locked="false" hidden="false"/>
    </xf>
    <xf numFmtId="164" fontId="0" fillId="3" borderId="23" xfId="0" applyFont="false" applyBorder="true" applyAlignment="true" applyProtection="true">
      <alignment horizontal="left" vertical="center" textRotation="0" wrapText="false" indent="0" shrinkToFit="false"/>
      <protection locked="true" hidden="false"/>
    </xf>
    <xf numFmtId="164" fontId="0" fillId="0" borderId="5" xfId="0" applyFont="false" applyBorder="true" applyAlignment="true" applyProtection="true">
      <alignment horizontal="left" vertical="center" textRotation="0" wrapText="false" indent="0" shrinkToFit="false"/>
      <protection locked="false" hidden="false"/>
    </xf>
    <xf numFmtId="164" fontId="0" fillId="0" borderId="5" xfId="0" applyFont="false" applyBorder="true" applyAlignment="true" applyProtection="true">
      <alignment horizontal="left" vertical="center" textRotation="0" wrapText="false" indent="0" shrinkToFit="false"/>
      <protection locked="false" hidden="false"/>
    </xf>
    <xf numFmtId="172" fontId="0" fillId="3" borderId="23" xfId="0" applyFont="false" applyBorder="true" applyAlignment="true" applyProtection="true">
      <alignment horizontal="left" vertical="center" textRotation="0" wrapText="false" indent="0" shrinkToFit="false"/>
      <protection locked="true" hidden="false"/>
    </xf>
    <xf numFmtId="164" fontId="0" fillId="3" borderId="5" xfId="0" applyFont="false" applyBorder="true" applyAlignment="true" applyProtection="true">
      <alignment horizontal="left" vertical="center" textRotation="0" wrapText="false" indent="0" shrinkToFit="false"/>
      <protection locked="false" hidden="false"/>
    </xf>
    <xf numFmtId="164" fontId="0" fillId="3" borderId="24" xfId="0" applyFont="true" applyBorder="true" applyAlignment="true" applyProtection="true">
      <alignment horizontal="left" vertical="center" textRotation="0" wrapText="false" indent="0" shrinkToFit="false"/>
      <protection locked="true" hidden="false"/>
    </xf>
    <xf numFmtId="167" fontId="0" fillId="3" borderId="25" xfId="0" applyFont="false" applyBorder="true" applyAlignment="true" applyProtection="true">
      <alignment horizontal="left" vertical="center" textRotation="0" wrapText="false" indent="0" shrinkToFit="false"/>
      <protection locked="true" hidden="false"/>
    </xf>
    <xf numFmtId="164" fontId="0" fillId="3" borderId="26" xfId="0" applyFont="false" applyBorder="true" applyAlignment="true" applyProtection="true">
      <alignment horizontal="left" vertical="center" textRotation="0" wrapText="false" indent="0" shrinkToFit="false"/>
      <protection locked="false" hidden="false"/>
    </xf>
    <xf numFmtId="164" fontId="0" fillId="3" borderId="27" xfId="0" applyFont="false" applyBorder="true" applyAlignment="true" applyProtection="true">
      <alignment horizontal="left" vertical="center" textRotation="0" wrapText="false" indent="0" shrinkToFit="false"/>
      <protection locked="false" hidden="false"/>
    </xf>
    <xf numFmtId="164" fontId="52" fillId="3" borderId="28" xfId="0" applyFont="true" applyBorder="true" applyAlignment="true" applyProtection="true">
      <alignment horizontal="left" vertical="center" textRotation="0" wrapText="false" indent="0" shrinkToFit="false"/>
      <protection locked="true" hidden="false"/>
    </xf>
    <xf numFmtId="164" fontId="0" fillId="3" borderId="29" xfId="0" applyFont="false" applyBorder="true" applyAlignment="true" applyProtection="true">
      <alignment horizontal="left" vertical="center" textRotation="0" wrapText="false" indent="0" shrinkToFit="false"/>
      <protection locked="true" hidden="false"/>
    </xf>
    <xf numFmtId="164" fontId="0" fillId="3" borderId="30" xfId="0" applyFont="false" applyBorder="true" applyAlignment="true" applyProtection="true">
      <alignment horizontal="left" vertical="center" textRotation="0" wrapText="false" indent="0" shrinkToFit="false"/>
      <protection locked="true" hidden="false"/>
    </xf>
    <xf numFmtId="164" fontId="0" fillId="0" borderId="29" xfId="0" applyFont="false" applyBorder="true" applyAlignment="true" applyProtection="true">
      <alignment horizontal="left" vertical="center" textRotation="0" wrapText="false" indent="0" shrinkToFit="false"/>
      <protection locked="false" hidden="false"/>
    </xf>
    <xf numFmtId="164" fontId="51" fillId="0" borderId="29" xfId="0" applyFont="true" applyBorder="true" applyAlignment="true" applyProtection="true">
      <alignment horizontal="left" vertical="center" textRotation="0" wrapText="false" indent="0" shrinkToFit="false"/>
      <protection locked="false" hidden="false"/>
    </xf>
    <xf numFmtId="164" fontId="51" fillId="3" borderId="22" xfId="0" applyFont="true" applyBorder="true" applyAlignment="true" applyProtection="true">
      <alignment horizontal="left" vertical="center" textRotation="0" wrapText="false" indent="0" shrinkToFit="false"/>
      <protection locked="true" hidden="false"/>
    </xf>
    <xf numFmtId="164" fontId="51" fillId="3" borderId="5" xfId="0" applyFont="true" applyBorder="true" applyAlignment="true" applyProtection="true">
      <alignment horizontal="left" vertical="center" textRotation="0" wrapText="false" indent="0" shrinkToFit="false"/>
      <protection locked="true" hidden="false"/>
    </xf>
    <xf numFmtId="164" fontId="51" fillId="3" borderId="23" xfId="0" applyFont="true" applyBorder="true" applyAlignment="true" applyProtection="true">
      <alignment horizontal="left" vertical="center" textRotation="0" wrapText="false" indent="0" shrinkToFit="false"/>
      <protection locked="true" hidden="false"/>
    </xf>
    <xf numFmtId="164" fontId="51" fillId="0" borderId="5" xfId="0" applyFont="true" applyBorder="true" applyAlignment="true" applyProtection="true">
      <alignment horizontal="left" vertical="center" textRotation="0" wrapText="false" indent="0" shrinkToFit="false"/>
      <protection locked="false" hidden="false"/>
    </xf>
    <xf numFmtId="166" fontId="51" fillId="0" borderId="5" xfId="0" applyFont="true" applyBorder="true" applyAlignment="true" applyProtection="true">
      <alignment horizontal="left" vertical="center" textRotation="0" wrapText="false" indent="0" shrinkToFit="false"/>
      <protection locked="false" hidden="false"/>
    </xf>
    <xf numFmtId="164" fontId="51" fillId="3" borderId="20" xfId="0" applyFont="true" applyBorder="true" applyAlignment="true" applyProtection="true">
      <alignment horizontal="left" vertical="center" textRotation="0" wrapText="false" indent="0" shrinkToFit="false"/>
      <protection locked="true" hidden="false"/>
    </xf>
    <xf numFmtId="164" fontId="51" fillId="3" borderId="0" xfId="0" applyFont="true" applyBorder="true" applyAlignment="true" applyProtection="true">
      <alignment horizontal="left" vertical="center" textRotation="0" wrapText="false" indent="0" shrinkToFit="false"/>
      <protection locked="true" hidden="false"/>
    </xf>
    <xf numFmtId="164" fontId="51" fillId="3" borderId="21" xfId="0" applyFont="true" applyBorder="true" applyAlignment="true" applyProtection="true">
      <alignment horizontal="left" vertical="center" textRotation="0" wrapText="false" indent="0" shrinkToFit="false"/>
      <protection locked="true" hidden="false"/>
    </xf>
    <xf numFmtId="164" fontId="51" fillId="3" borderId="20" xfId="0" applyFont="true" applyBorder="true" applyAlignment="true" applyProtection="true">
      <alignment horizontal="left" vertical="bottom" textRotation="0" wrapText="false" indent="0" shrinkToFit="false"/>
      <protection locked="true" hidden="false"/>
    </xf>
    <xf numFmtId="164" fontId="51" fillId="3" borderId="0" xfId="0" applyFont="true" applyBorder="true" applyAlignment="true" applyProtection="true">
      <alignment horizontal="left" vertical="bottom" textRotation="0" wrapText="false" indent="0" shrinkToFit="false"/>
      <protection locked="true" hidden="false"/>
    </xf>
    <xf numFmtId="164" fontId="51" fillId="3" borderId="21" xfId="0" applyFont="true" applyBorder="true" applyAlignment="true" applyProtection="true">
      <alignment horizontal="left" vertical="bottom" textRotation="0" wrapText="false" indent="0" shrinkToFit="false"/>
      <protection locked="true" hidden="false"/>
    </xf>
    <xf numFmtId="164" fontId="51" fillId="3" borderId="22" xfId="0" applyFont="true" applyBorder="true" applyAlignment="true" applyProtection="true">
      <alignment horizontal="left" vertical="bottom" textRotation="0" wrapText="false" indent="0" shrinkToFit="false"/>
      <protection locked="true" hidden="false"/>
    </xf>
    <xf numFmtId="164" fontId="51" fillId="7" borderId="5" xfId="0" applyFont="true" applyBorder="true" applyAlignment="true" applyProtection="true">
      <alignment horizontal="left" vertical="bottom" textRotation="0" wrapText="false" indent="0" shrinkToFit="false"/>
      <protection locked="true" hidden="false"/>
    </xf>
    <xf numFmtId="164" fontId="51" fillId="3" borderId="5" xfId="0" applyFont="true" applyBorder="true" applyAlignment="true" applyProtection="true">
      <alignment horizontal="left" vertical="bottom" textRotation="0" wrapText="false" indent="0" shrinkToFit="false"/>
      <protection locked="true" hidden="false"/>
    </xf>
    <xf numFmtId="164" fontId="51" fillId="3" borderId="7" xfId="0" applyFont="true" applyBorder="true" applyAlignment="true" applyProtection="true">
      <alignment horizontal="left" vertical="bottom" textRotation="0" wrapText="false" indent="0" shrinkToFit="false"/>
      <protection locked="true" hidden="false"/>
    </xf>
    <xf numFmtId="164" fontId="51" fillId="3" borderId="10" xfId="0" applyFont="true" applyBorder="true" applyAlignment="true" applyProtection="true">
      <alignment horizontal="left" vertical="bottom" textRotation="0" wrapText="false" indent="0" shrinkToFit="false"/>
      <protection locked="true" hidden="false"/>
    </xf>
    <xf numFmtId="164" fontId="51" fillId="3" borderId="31" xfId="0" applyFont="true" applyBorder="true" applyAlignment="true" applyProtection="true">
      <alignment horizontal="left" vertical="bottom" textRotation="0" wrapText="false" indent="0" shrinkToFit="false"/>
      <protection locked="true" hidden="false"/>
    </xf>
    <xf numFmtId="166" fontId="51" fillId="3" borderId="5" xfId="0" applyFont="true" applyBorder="true" applyAlignment="true" applyProtection="true">
      <alignment horizontal="left" vertical="bottom" textRotation="0" wrapText="false" indent="0" shrinkToFit="false"/>
      <protection locked="true" hidden="false"/>
    </xf>
    <xf numFmtId="164" fontId="51" fillId="3" borderId="24" xfId="0" applyFont="true" applyBorder="true" applyAlignment="true" applyProtection="true">
      <alignment horizontal="left" vertical="bottom" textRotation="0" wrapText="false" indent="0" shrinkToFit="false"/>
      <protection locked="true" hidden="false"/>
    </xf>
    <xf numFmtId="164" fontId="51" fillId="7" borderId="25" xfId="0" applyFont="true" applyBorder="true" applyAlignment="true" applyProtection="true">
      <alignment horizontal="left" vertical="bottom" textRotation="0" wrapText="false" indent="0" shrinkToFit="false"/>
      <protection locked="true" hidden="false"/>
    </xf>
    <xf numFmtId="164" fontId="51" fillId="3" borderId="25" xfId="0" applyFont="true" applyBorder="true" applyAlignment="true" applyProtection="true">
      <alignment horizontal="left" vertical="bottom" textRotation="0" wrapText="false" indent="0" shrinkToFit="false"/>
      <protection locked="true" hidden="false"/>
    </xf>
    <xf numFmtId="164" fontId="51" fillId="3" borderId="26" xfId="0" applyFont="true" applyBorder="true" applyAlignment="true" applyProtection="true">
      <alignment horizontal="left" vertical="bottom" textRotation="0" wrapText="false" indent="0" shrinkToFit="false"/>
      <protection locked="true" hidden="false"/>
    </xf>
    <xf numFmtId="164" fontId="51" fillId="3" borderId="27" xfId="0" applyFont="true" applyBorder="true" applyAlignment="true" applyProtection="true">
      <alignment horizontal="left" vertical="bottom" textRotation="0" wrapText="false" indent="0" shrinkToFit="false"/>
      <protection locked="true" hidden="false"/>
    </xf>
    <xf numFmtId="164" fontId="53" fillId="0" borderId="0" xfId="0" applyFont="true" applyBorder="false" applyAlignment="true" applyProtection="true">
      <alignment horizontal="general" vertical="center" textRotation="0" wrapText="true" indent="0" shrinkToFit="false"/>
      <protection locked="true" hidden="false"/>
    </xf>
    <xf numFmtId="164" fontId="53" fillId="0" borderId="0" xfId="0" applyFont="true" applyBorder="false" applyAlignment="true" applyProtection="true">
      <alignment horizontal="center" vertical="center" textRotation="0" wrapText="true" indent="0" shrinkToFit="false"/>
      <protection locked="true" hidden="false"/>
    </xf>
    <xf numFmtId="164" fontId="53" fillId="0" borderId="0" xfId="0" applyFont="true" applyBorder="false" applyAlignment="true" applyProtection="true">
      <alignment horizontal="general" vertical="center" textRotation="0" wrapText="true" indent="0" shrinkToFit="false"/>
      <protection locked="false" hidden="false"/>
    </xf>
    <xf numFmtId="174" fontId="53" fillId="0" borderId="32" xfId="0" applyFont="true" applyBorder="true" applyAlignment="true" applyProtection="true">
      <alignment horizontal="center" vertical="center" textRotation="0" wrapText="true" indent="0" shrinkToFit="false"/>
      <protection locked="false" hidden="false"/>
    </xf>
    <xf numFmtId="174" fontId="53" fillId="0" borderId="0" xfId="0" applyFont="true" applyBorder="false" applyAlignment="true" applyProtection="true">
      <alignment horizontal="center" vertical="center" textRotation="0" wrapText="true" indent="0" shrinkToFit="false"/>
      <protection locked="false" hidden="false"/>
    </xf>
    <xf numFmtId="164" fontId="53" fillId="0" borderId="0" xfId="0" applyFont="true" applyBorder="false" applyAlignment="true" applyProtection="true">
      <alignment horizontal="center" vertical="center" textRotation="0" wrapText="true" indent="0" shrinkToFit="false"/>
      <protection locked="false" hidden="false"/>
    </xf>
    <xf numFmtId="164" fontId="29" fillId="3" borderId="33" xfId="0" applyFont="true" applyBorder="true" applyAlignment="true" applyProtection="true">
      <alignment horizontal="general" vertical="center" textRotation="0" wrapText="true" indent="0" shrinkToFit="false"/>
      <protection locked="true" hidden="false"/>
    </xf>
    <xf numFmtId="167" fontId="30" fillId="3" borderId="34" xfId="0" applyFont="true" applyBorder="true" applyAlignment="true" applyProtection="true">
      <alignment horizontal="left" vertical="center" textRotation="0" wrapText="true" indent="0" shrinkToFit="false"/>
      <protection locked="true" hidden="false"/>
    </xf>
    <xf numFmtId="164" fontId="53" fillId="3" borderId="0" xfId="0" applyFont="true" applyBorder="true" applyAlignment="true" applyProtection="true">
      <alignment horizontal="general" vertical="center" textRotation="0" wrapText="true" indent="0" shrinkToFit="false"/>
      <protection locked="false" hidden="false"/>
    </xf>
    <xf numFmtId="164" fontId="53" fillId="3" borderId="32" xfId="0" applyFont="true" applyBorder="true" applyAlignment="true" applyProtection="true">
      <alignment horizontal="general" vertical="center" textRotation="0" wrapText="true" indent="0" shrinkToFit="false"/>
      <protection locked="true" hidden="false"/>
    </xf>
    <xf numFmtId="174" fontId="53" fillId="3" borderId="0" xfId="0" applyFont="true" applyBorder="false" applyAlignment="true" applyProtection="true">
      <alignment horizontal="center" vertical="center" textRotation="0" wrapText="true" indent="0" shrinkToFit="false"/>
      <protection locked="true" hidden="false"/>
    </xf>
    <xf numFmtId="164" fontId="53" fillId="3" borderId="0" xfId="0" applyFont="true" applyBorder="false" applyAlignment="true" applyProtection="true">
      <alignment horizontal="general" vertical="center" textRotation="0" wrapText="true" indent="0" shrinkToFit="false"/>
      <protection locked="true" hidden="false"/>
    </xf>
    <xf numFmtId="164" fontId="53" fillId="3" borderId="0" xfId="0" applyFont="true" applyBorder="false" applyAlignment="true" applyProtection="true">
      <alignment horizontal="center" vertical="center" textRotation="0" wrapText="true" indent="0" shrinkToFit="false"/>
      <protection locked="true" hidden="false"/>
    </xf>
    <xf numFmtId="167" fontId="30" fillId="0" borderId="0" xfId="0" applyFont="true" applyBorder="false" applyAlignment="true" applyProtection="true">
      <alignment horizontal="general" vertical="center" textRotation="0" wrapText="false" indent="0" shrinkToFit="false"/>
      <protection locked="true" hidden="false"/>
    </xf>
    <xf numFmtId="164" fontId="29" fillId="3" borderId="0" xfId="0" applyFont="true" applyBorder="true" applyAlignment="true" applyProtection="true">
      <alignment horizontal="general" vertical="center" textRotation="0" wrapText="true" indent="0" shrinkToFit="false"/>
      <protection locked="true" hidden="false"/>
    </xf>
    <xf numFmtId="164" fontId="53" fillId="0" borderId="0" xfId="0" applyFont="true" applyBorder="true" applyAlignment="true" applyProtection="true">
      <alignment horizontal="general" vertical="center" textRotation="0" wrapText="false" indent="0" shrinkToFit="false"/>
      <protection locked="false" hidden="false"/>
    </xf>
    <xf numFmtId="164" fontId="53" fillId="0" borderId="0" xfId="0" applyFont="true" applyBorder="true" applyAlignment="true" applyProtection="true">
      <alignment horizontal="general" vertical="center" textRotation="0" wrapText="true" indent="0" shrinkToFit="false"/>
      <protection locked="true" hidden="false"/>
    </xf>
    <xf numFmtId="164" fontId="53" fillId="5" borderId="0" xfId="0" applyFont="true" applyBorder="true" applyAlignment="true" applyProtection="true">
      <alignment horizontal="general" vertical="center" textRotation="0" wrapText="true" indent="0" shrinkToFit="false"/>
      <protection locked="true" hidden="false"/>
    </xf>
    <xf numFmtId="164" fontId="53" fillId="5" borderId="0" xfId="0" applyFont="true" applyBorder="true" applyAlignment="true" applyProtection="true">
      <alignment horizontal="center" vertical="center" textRotation="0" wrapText="true" indent="0" shrinkToFit="false"/>
      <protection locked="false" hidden="false"/>
    </xf>
    <xf numFmtId="164" fontId="53" fillId="5" borderId="0" xfId="0" applyFont="true" applyBorder="true" applyAlignment="true" applyProtection="true">
      <alignment horizontal="general" vertical="center" textRotation="0" wrapText="true" indent="0" shrinkToFit="false"/>
      <protection locked="false" hidden="false"/>
    </xf>
    <xf numFmtId="164" fontId="29" fillId="3" borderId="5" xfId="0" applyFont="true" applyBorder="true" applyAlignment="true" applyProtection="true">
      <alignment horizontal="left" vertical="center" textRotation="0" wrapText="false" indent="0" shrinkToFit="false"/>
      <protection locked="true" hidden="false"/>
    </xf>
    <xf numFmtId="168" fontId="53" fillId="0" borderId="11" xfId="0" applyFont="true" applyBorder="true" applyAlignment="true" applyProtection="true">
      <alignment horizontal="left" vertical="center" textRotation="0" wrapText="false" indent="0" shrinkToFit="false"/>
      <protection locked="false" hidden="false"/>
    </xf>
    <xf numFmtId="164" fontId="29" fillId="8" borderId="5" xfId="0" applyFont="true" applyBorder="true" applyAlignment="true" applyProtection="true">
      <alignment horizontal="general" vertical="center" textRotation="0" wrapText="true" indent="0" shrinkToFit="false"/>
      <protection locked="true" hidden="false"/>
    </xf>
    <xf numFmtId="164" fontId="29" fillId="3" borderId="1" xfId="0" applyFont="true" applyBorder="true" applyAlignment="true" applyProtection="true">
      <alignment horizontal="left" vertical="center" textRotation="0" wrapText="false" indent="0" shrinkToFit="false"/>
      <protection locked="true" hidden="false"/>
    </xf>
    <xf numFmtId="168" fontId="53" fillId="2" borderId="1" xfId="0" applyFont="true" applyBorder="true" applyAlignment="true" applyProtection="true">
      <alignment horizontal="center" vertical="center" textRotation="0" wrapText="false" indent="0" shrinkToFit="false"/>
      <protection locked="false" hidden="false"/>
    </xf>
    <xf numFmtId="167" fontId="30" fillId="3" borderId="1" xfId="0" applyFont="true" applyBorder="true" applyAlignment="true" applyProtection="true">
      <alignment horizontal="right" vertical="center" textRotation="0" wrapText="false" indent="0" shrinkToFit="true"/>
      <protection locked="true" hidden="false"/>
    </xf>
    <xf numFmtId="167" fontId="30" fillId="3" borderId="1" xfId="0" applyFont="true" applyBorder="true" applyAlignment="true" applyProtection="true">
      <alignment horizontal="right" vertical="center" textRotation="0" wrapText="false" indent="0" shrinkToFit="true"/>
      <protection locked="true" hidden="false"/>
    </xf>
    <xf numFmtId="164" fontId="53" fillId="3" borderId="0" xfId="0" applyFont="true" applyBorder="false" applyAlignment="true" applyProtection="true">
      <alignment horizontal="general" vertical="center" textRotation="0" wrapText="true" indent="0" shrinkToFit="false"/>
      <protection locked="false" hidden="false"/>
    </xf>
    <xf numFmtId="167" fontId="30" fillId="3" borderId="32" xfId="0" applyFont="true" applyBorder="true" applyAlignment="true" applyProtection="true">
      <alignment horizontal="left" vertical="center" textRotation="0" wrapText="false" indent="0" shrinkToFit="false"/>
      <protection locked="true" hidden="false"/>
    </xf>
    <xf numFmtId="164" fontId="29" fillId="3" borderId="35" xfId="0" applyFont="true" applyBorder="true" applyAlignment="true" applyProtection="true">
      <alignment horizontal="general" vertical="center" textRotation="0" wrapText="true" indent="0" shrinkToFit="false"/>
      <protection locked="true" hidden="false"/>
    </xf>
    <xf numFmtId="164" fontId="53" fillId="5" borderId="36" xfId="0" applyFont="true" applyBorder="true" applyAlignment="true" applyProtection="true">
      <alignment horizontal="general" vertical="center" textRotation="0" wrapText="true" indent="0" shrinkToFit="false"/>
      <protection locked="false" hidden="false"/>
    </xf>
    <xf numFmtId="164" fontId="53" fillId="5" borderId="9" xfId="0" applyFont="true" applyBorder="true" applyAlignment="true" applyProtection="true">
      <alignment horizontal="general" vertical="center" textRotation="0" wrapText="true" indent="0" shrinkToFit="false"/>
      <protection locked="true" hidden="false"/>
    </xf>
    <xf numFmtId="164" fontId="53" fillId="5" borderId="37" xfId="0" applyFont="true" applyBorder="true" applyAlignment="true" applyProtection="true">
      <alignment horizontal="general" vertical="center" textRotation="0" wrapText="true" indent="0" shrinkToFit="false"/>
      <protection locked="true" hidden="false"/>
    </xf>
    <xf numFmtId="164" fontId="53" fillId="5" borderId="0" xfId="0" applyFont="true" applyBorder="false" applyAlignment="true" applyProtection="true">
      <alignment horizontal="general" vertical="center" textRotation="0" wrapText="true" indent="0" shrinkToFit="false"/>
      <protection locked="false" hidden="false"/>
    </xf>
    <xf numFmtId="164" fontId="29" fillId="3" borderId="38" xfId="0" applyFont="true" applyBorder="true" applyAlignment="true" applyProtection="true">
      <alignment horizontal="general" vertical="center" textRotation="0" wrapText="true" indent="0" shrinkToFit="false"/>
      <protection locked="true" hidden="false"/>
    </xf>
    <xf numFmtId="164" fontId="53" fillId="5" borderId="7" xfId="0" applyFont="true" applyBorder="true" applyAlignment="true" applyProtection="true">
      <alignment horizontal="general" vertical="center" textRotation="0" wrapText="false" indent="0" shrinkToFit="false"/>
      <protection locked="false" hidden="false"/>
    </xf>
    <xf numFmtId="164" fontId="53" fillId="5" borderId="10" xfId="0" applyFont="true" applyBorder="true" applyAlignment="true" applyProtection="true">
      <alignment horizontal="general" vertical="center" textRotation="0" wrapText="true" indent="0" shrinkToFit="false"/>
      <protection locked="true" hidden="false"/>
    </xf>
    <xf numFmtId="164" fontId="53" fillId="5" borderId="39" xfId="0" applyFont="true" applyBorder="true" applyAlignment="true" applyProtection="true">
      <alignment horizontal="general" vertical="center" textRotation="0" wrapText="true" indent="0" shrinkToFit="false"/>
      <protection locked="true" hidden="false"/>
    </xf>
    <xf numFmtId="167" fontId="30" fillId="3" borderId="32" xfId="0" applyFont="true" applyBorder="true" applyAlignment="true" applyProtection="true">
      <alignment horizontal="center" vertical="center" textRotation="0" wrapText="true" indent="0" shrinkToFit="false"/>
      <protection locked="false" hidden="false"/>
    </xf>
    <xf numFmtId="174" fontId="53" fillId="3" borderId="0" xfId="0" applyFont="true" applyBorder="false" applyAlignment="true" applyProtection="true">
      <alignment horizontal="center" vertical="center" textRotation="0" wrapText="true" indent="0" shrinkToFit="false"/>
      <protection locked="false" hidden="false"/>
    </xf>
    <xf numFmtId="164" fontId="53" fillId="3" borderId="0" xfId="0" applyFont="true" applyBorder="false" applyAlignment="true" applyProtection="true">
      <alignment horizontal="center" vertical="center" textRotation="0" wrapText="true" indent="0" shrinkToFit="false"/>
      <protection locked="false" hidden="false"/>
    </xf>
    <xf numFmtId="164" fontId="53" fillId="5" borderId="7" xfId="0" applyFont="true" applyBorder="true" applyAlignment="true" applyProtection="true">
      <alignment horizontal="general" vertical="center" textRotation="0" wrapText="true" indent="0" shrinkToFit="false"/>
      <protection locked="false" hidden="false"/>
    </xf>
    <xf numFmtId="174" fontId="53" fillId="3" borderId="32" xfId="0" applyFont="true" applyBorder="true" applyAlignment="true" applyProtection="true">
      <alignment horizontal="center" vertical="center" textRotation="0" wrapText="true" indent="0" shrinkToFit="false"/>
      <protection locked="false" hidden="false"/>
    </xf>
    <xf numFmtId="164" fontId="29" fillId="8" borderId="38" xfId="0" applyFont="true" applyBorder="true" applyAlignment="true" applyProtection="true">
      <alignment horizontal="general" vertical="center" textRotation="0" wrapText="true" indent="0" shrinkToFit="false"/>
      <protection locked="true" hidden="false"/>
    </xf>
    <xf numFmtId="164" fontId="53" fillId="2" borderId="7" xfId="0" applyFont="true" applyBorder="true" applyAlignment="true" applyProtection="true">
      <alignment horizontal="left" vertical="center" textRotation="0" wrapText="true" indent="0" shrinkToFit="false"/>
      <protection locked="false" hidden="false"/>
    </xf>
    <xf numFmtId="164" fontId="53" fillId="2" borderId="10" xfId="0" applyFont="true" applyBorder="true" applyAlignment="true" applyProtection="true">
      <alignment horizontal="general" vertical="center" textRotation="0" wrapText="true" indent="0" shrinkToFit="false"/>
      <protection locked="true" hidden="false"/>
    </xf>
    <xf numFmtId="164" fontId="29" fillId="8" borderId="1" xfId="0" applyFont="true" applyBorder="true" applyAlignment="true" applyProtection="true">
      <alignment horizontal="center" vertical="center" textRotation="0" wrapText="true" indent="0" shrinkToFit="false"/>
      <protection locked="true" hidden="false"/>
    </xf>
    <xf numFmtId="164" fontId="53" fillId="2" borderId="11" xfId="0" applyFont="true" applyBorder="true" applyAlignment="true" applyProtection="true">
      <alignment horizontal="left" vertical="center" textRotation="0" wrapText="false" indent="0" shrinkToFit="false"/>
      <protection locked="false" hidden="false"/>
    </xf>
    <xf numFmtId="164" fontId="53" fillId="2" borderId="39" xfId="0" applyFont="true" applyBorder="true" applyAlignment="true" applyProtection="true">
      <alignment horizontal="general" vertical="center" textRotation="0" wrapText="true" indent="0" shrinkToFit="false"/>
      <protection locked="true" hidden="false"/>
    </xf>
    <xf numFmtId="164" fontId="53" fillId="3" borderId="32" xfId="0" applyFont="true" applyBorder="true" applyAlignment="true" applyProtection="true">
      <alignment horizontal="left" vertical="center" textRotation="0" wrapText="false" indent="0" shrinkToFit="false"/>
      <protection locked="false" hidden="false"/>
    </xf>
    <xf numFmtId="164" fontId="29" fillId="8" borderId="40" xfId="0" applyFont="true" applyBorder="true" applyAlignment="true" applyProtection="true">
      <alignment horizontal="general" vertical="center" textRotation="0" wrapText="true" indent="0" shrinkToFit="false"/>
      <protection locked="true" hidden="false"/>
    </xf>
    <xf numFmtId="164" fontId="53" fillId="2" borderId="40" xfId="0" applyFont="true" applyBorder="true" applyAlignment="true" applyProtection="true">
      <alignment horizontal="left" vertical="center" textRotation="0" wrapText="false" indent="0" shrinkToFit="false"/>
      <protection locked="false" hidden="false"/>
    </xf>
    <xf numFmtId="164" fontId="53" fillId="2" borderId="41" xfId="0" applyFont="true" applyBorder="true" applyAlignment="true" applyProtection="true">
      <alignment horizontal="general" vertical="center" textRotation="0" wrapText="true" indent="0" shrinkToFit="false"/>
      <protection locked="true" hidden="false"/>
    </xf>
    <xf numFmtId="164" fontId="53" fillId="2" borderId="42" xfId="0" applyFont="true" applyBorder="true" applyAlignment="true" applyProtection="true">
      <alignment horizontal="general" vertical="center" textRotation="0" wrapText="true" indent="0" shrinkToFit="false"/>
      <protection locked="true" hidden="false"/>
    </xf>
    <xf numFmtId="164" fontId="53" fillId="5" borderId="2" xfId="0" applyFont="true" applyBorder="true" applyAlignment="true" applyProtection="true">
      <alignment horizontal="general" vertical="center" textRotation="0" wrapText="true" indent="0" shrinkToFit="false"/>
      <protection locked="false" hidden="false"/>
    </xf>
    <xf numFmtId="164" fontId="29" fillId="8" borderId="6" xfId="0" applyFont="true" applyBorder="true" applyAlignment="true" applyProtection="true">
      <alignment horizontal="left" vertical="center" textRotation="0" wrapText="false" indent="0" shrinkToFit="false"/>
      <protection locked="true" hidden="false"/>
    </xf>
    <xf numFmtId="164" fontId="53" fillId="2" borderId="37" xfId="0" applyFont="true" applyBorder="true" applyAlignment="true" applyProtection="true">
      <alignment horizontal="center" vertical="center" textRotation="0" wrapText="true" indent="0" shrinkToFit="false"/>
      <protection locked="false" hidden="false"/>
    </xf>
    <xf numFmtId="164" fontId="53" fillId="5" borderId="9" xfId="0" applyFont="true" applyBorder="true" applyAlignment="true" applyProtection="true">
      <alignment horizontal="general" vertical="center" textRotation="0" wrapText="true" indent="0" shrinkToFit="false"/>
      <protection locked="false" hidden="false"/>
    </xf>
    <xf numFmtId="174" fontId="29" fillId="3" borderId="6" xfId="0" applyFont="true" applyBorder="true" applyAlignment="true" applyProtection="true">
      <alignment horizontal="left" vertical="center" textRotation="0" wrapText="true" indent="0" shrinkToFit="false"/>
      <protection locked="true" hidden="false"/>
    </xf>
    <xf numFmtId="174" fontId="54" fillId="5" borderId="35" xfId="0" applyFont="true" applyBorder="true" applyAlignment="true" applyProtection="true">
      <alignment horizontal="left" vertical="center" textRotation="0" wrapText="false" indent="0" shrinkToFit="false"/>
      <protection locked="false" hidden="false"/>
    </xf>
    <xf numFmtId="164" fontId="53" fillId="5" borderId="9" xfId="0" applyFont="true" applyBorder="true" applyAlignment="true" applyProtection="true">
      <alignment horizontal="center" vertical="center" textRotation="0" wrapText="true" indent="0" shrinkToFit="false"/>
      <protection locked="true" hidden="false"/>
    </xf>
    <xf numFmtId="164" fontId="29" fillId="8" borderId="38" xfId="0" applyFont="true" applyBorder="true" applyAlignment="true" applyProtection="true">
      <alignment horizontal="left" vertical="center" textRotation="0" wrapText="false" indent="0" shrinkToFit="false"/>
      <protection locked="true" hidden="false"/>
    </xf>
    <xf numFmtId="164" fontId="53" fillId="2" borderId="11" xfId="0" applyFont="true" applyBorder="true" applyAlignment="true" applyProtection="true">
      <alignment horizontal="center" vertical="center" textRotation="0" wrapText="true" indent="0" shrinkToFit="false"/>
      <protection locked="false" hidden="false"/>
    </xf>
    <xf numFmtId="164" fontId="53" fillId="5" borderId="10" xfId="0" applyFont="true" applyBorder="true" applyAlignment="true" applyProtection="true">
      <alignment horizontal="general" vertical="center" textRotation="0" wrapText="true" indent="0" shrinkToFit="false"/>
      <protection locked="false" hidden="false"/>
    </xf>
    <xf numFmtId="164" fontId="53" fillId="5" borderId="8" xfId="0" applyFont="true" applyBorder="true" applyAlignment="true" applyProtection="true">
      <alignment horizontal="general" vertical="center" textRotation="0" wrapText="true" indent="0" shrinkToFit="false"/>
      <protection locked="true" hidden="false"/>
    </xf>
    <xf numFmtId="164" fontId="53" fillId="3" borderId="15" xfId="0" applyFont="true" applyBorder="true" applyAlignment="true" applyProtection="true">
      <alignment horizontal="general" vertical="center" textRotation="0" wrapText="true" indent="0" shrinkToFit="false"/>
      <protection locked="false" hidden="false"/>
    </xf>
    <xf numFmtId="174" fontId="53" fillId="3" borderId="0" xfId="0" applyFont="true" applyBorder="true" applyAlignment="true" applyProtection="true">
      <alignment horizontal="center" vertical="center" textRotation="0" wrapText="true" indent="0" shrinkToFit="false"/>
      <protection locked="false" hidden="false"/>
    </xf>
    <xf numFmtId="174" fontId="29" fillId="8" borderId="11" xfId="0" applyFont="true" applyBorder="true" applyAlignment="true" applyProtection="true">
      <alignment horizontal="left" vertical="center" textRotation="0" wrapText="true" indent="0" shrinkToFit="false"/>
      <protection locked="true" hidden="false"/>
    </xf>
    <xf numFmtId="164" fontId="29" fillId="3" borderId="5" xfId="0" applyFont="true" applyBorder="true" applyAlignment="true" applyProtection="true">
      <alignment horizontal="general" vertical="center" textRotation="0" wrapText="true" indent="0" shrinkToFit="false"/>
      <protection locked="true" hidden="false"/>
    </xf>
    <xf numFmtId="174" fontId="29" fillId="3" borderId="5" xfId="0" applyFont="true" applyBorder="true" applyAlignment="true" applyProtection="true">
      <alignment horizontal="center" vertical="center" textRotation="0" wrapText="true" indent="0" shrinkToFit="false"/>
      <protection locked="true" hidden="false"/>
    </xf>
    <xf numFmtId="164" fontId="29" fillId="3" borderId="5" xfId="0" applyFont="true" applyBorder="true" applyAlignment="true" applyProtection="true">
      <alignment horizontal="center" vertical="center" textRotation="0" wrapText="true" indent="0" shrinkToFit="false"/>
      <protection locked="false" hidden="false"/>
    </xf>
    <xf numFmtId="174" fontId="53" fillId="3" borderId="16" xfId="0" applyFont="true" applyBorder="true" applyAlignment="true" applyProtection="true">
      <alignment horizontal="center" vertical="center" textRotation="0" wrapText="true" indent="0" shrinkToFit="false"/>
      <protection locked="false" hidden="false"/>
    </xf>
    <xf numFmtId="164" fontId="53" fillId="2" borderId="11" xfId="0" applyFont="true" applyBorder="true" applyAlignment="true" applyProtection="true">
      <alignment horizontal="left" vertical="center" textRotation="0" wrapText="true" indent="0" shrinkToFit="false"/>
      <protection locked="false" hidden="false"/>
    </xf>
    <xf numFmtId="164" fontId="29" fillId="8" borderId="9" xfId="0" applyFont="true" applyBorder="true" applyAlignment="true" applyProtection="true">
      <alignment horizontal="general" vertical="center" textRotation="0" wrapText="true" indent="0" shrinkToFit="false"/>
      <protection locked="true" hidden="false"/>
    </xf>
    <xf numFmtId="169" fontId="53" fillId="0" borderId="5" xfId="0" applyFont="true" applyBorder="true" applyAlignment="true" applyProtection="true">
      <alignment horizontal="center" vertical="center" textRotation="0" wrapText="false" indent="0" shrinkToFit="true"/>
      <protection locked="false" hidden="false"/>
    </xf>
    <xf numFmtId="164" fontId="53" fillId="3" borderId="16" xfId="0" applyFont="true" applyBorder="true" applyAlignment="true" applyProtection="true">
      <alignment horizontal="left" vertical="center" textRotation="0" wrapText="false" indent="0" shrinkToFit="false"/>
      <protection locked="true" hidden="false"/>
    </xf>
    <xf numFmtId="175" fontId="30" fillId="2" borderId="5" xfId="22" applyFont="true" applyBorder="true" applyAlignment="true" applyProtection="true">
      <alignment horizontal="center" vertical="center" textRotation="0" wrapText="false" indent="0" shrinkToFit="false"/>
      <protection locked="false" hidden="false"/>
    </xf>
    <xf numFmtId="175" fontId="53" fillId="3" borderId="16" xfId="0" applyFont="true" applyBorder="true" applyAlignment="true" applyProtection="true">
      <alignment horizontal="center" vertical="center" textRotation="0" wrapText="true" indent="0" shrinkToFit="false"/>
      <protection locked="false" hidden="false"/>
    </xf>
    <xf numFmtId="164" fontId="53" fillId="3" borderId="6" xfId="0" applyFont="true" applyBorder="true" applyAlignment="true" applyProtection="true">
      <alignment horizontal="left" vertical="center" textRotation="0" wrapText="false" indent="0" shrinkToFit="false"/>
      <protection locked="true" hidden="false"/>
    </xf>
    <xf numFmtId="164" fontId="29" fillId="3" borderId="9" xfId="0" applyFont="true" applyBorder="true" applyAlignment="true" applyProtection="true">
      <alignment horizontal="general" vertical="center" textRotation="0" wrapText="true" indent="0" shrinkToFit="false"/>
      <protection locked="true" hidden="false"/>
    </xf>
    <xf numFmtId="176" fontId="30" fillId="3" borderId="5" xfId="0" applyFont="true" applyBorder="true" applyAlignment="true" applyProtection="true">
      <alignment horizontal="center" vertical="center" textRotation="0" wrapText="true" indent="0" shrinkToFit="false"/>
      <protection locked="true" hidden="false"/>
    </xf>
    <xf numFmtId="176" fontId="53" fillId="3" borderId="16" xfId="0" applyFont="true" applyBorder="true" applyAlignment="true" applyProtection="true">
      <alignment horizontal="center" vertical="center" textRotation="0" wrapText="true" indent="0" shrinkToFit="false"/>
      <protection locked="false" hidden="false"/>
    </xf>
    <xf numFmtId="164" fontId="53" fillId="3" borderId="0" xfId="0" applyFont="true" applyBorder="false" applyAlignment="true" applyProtection="true">
      <alignment horizontal="center" vertical="center" textRotation="0" wrapText="true" indent="0" shrinkToFit="false"/>
      <protection locked="false" hidden="false"/>
    </xf>
    <xf numFmtId="164" fontId="53" fillId="3" borderId="0" xfId="0" applyFont="true" applyBorder="false" applyAlignment="true" applyProtection="true">
      <alignment horizontal="general" vertical="center" textRotation="0" wrapText="true" indent="0" shrinkToFit="false"/>
      <protection locked="false" hidden="false"/>
    </xf>
    <xf numFmtId="174" fontId="54" fillId="0" borderId="6" xfId="0" applyFont="true" applyBorder="true" applyAlignment="true" applyProtection="true">
      <alignment horizontal="left" vertical="center" textRotation="0" wrapText="false" indent="0" shrinkToFit="false"/>
      <protection locked="false" hidden="false"/>
    </xf>
    <xf numFmtId="174" fontId="29" fillId="3" borderId="16" xfId="0" applyFont="true" applyBorder="true" applyAlignment="true" applyProtection="true">
      <alignment horizontal="left" vertical="center" textRotation="0" wrapText="true" indent="0" shrinkToFit="false"/>
      <protection locked="true" hidden="false"/>
    </xf>
    <xf numFmtId="164" fontId="54" fillId="0" borderId="5" xfId="0" applyFont="true" applyBorder="true" applyAlignment="true" applyProtection="true">
      <alignment horizontal="left" vertical="center" textRotation="0" wrapText="false" indent="0" shrinkToFit="false"/>
      <protection locked="false" hidden="false"/>
    </xf>
    <xf numFmtId="176" fontId="53" fillId="3" borderId="32" xfId="0" applyFont="true" applyBorder="true" applyAlignment="true" applyProtection="true">
      <alignment horizontal="center" vertical="center" textRotation="0" wrapText="true" indent="0" shrinkToFit="false"/>
      <protection locked="false" hidden="false"/>
    </xf>
    <xf numFmtId="164" fontId="29" fillId="3" borderId="11" xfId="0" applyFont="true" applyBorder="true" applyAlignment="true" applyProtection="true">
      <alignment horizontal="left" vertical="center" textRotation="0" wrapText="false" indent="0" shrinkToFit="false"/>
      <protection locked="true" hidden="false"/>
    </xf>
    <xf numFmtId="167" fontId="30" fillId="3" borderId="5" xfId="0" applyFont="true" applyBorder="true" applyAlignment="true" applyProtection="true">
      <alignment horizontal="center" vertical="center" textRotation="0" wrapText="true" indent="0" shrinkToFit="false"/>
      <protection locked="true" hidden="false"/>
    </xf>
    <xf numFmtId="164" fontId="29" fillId="3" borderId="5" xfId="0" applyFont="true" applyBorder="true" applyAlignment="true" applyProtection="true">
      <alignment horizontal="left" vertical="center" textRotation="0" wrapText="true" indent="0" shrinkToFit="false"/>
      <protection locked="true" hidden="false"/>
    </xf>
    <xf numFmtId="174" fontId="55" fillId="5" borderId="5" xfId="0" applyFont="true" applyBorder="true" applyAlignment="true" applyProtection="true">
      <alignment horizontal="left" vertical="center" textRotation="0" wrapText="false" indent="0" shrinkToFit="false"/>
      <protection locked="false" hidden="false"/>
    </xf>
    <xf numFmtId="176" fontId="53" fillId="3" borderId="32" xfId="0" applyFont="true" applyBorder="true" applyAlignment="true" applyProtection="true">
      <alignment horizontal="left" vertical="center" textRotation="0" wrapText="false" indent="0" shrinkToFit="false"/>
      <protection locked="false" hidden="false"/>
    </xf>
    <xf numFmtId="164" fontId="29" fillId="2" borderId="43" xfId="0" applyFont="true" applyBorder="true" applyAlignment="true" applyProtection="true">
      <alignment horizontal="left" vertical="center" textRotation="0" wrapText="true" indent="0" shrinkToFit="false"/>
      <protection locked="false" hidden="false"/>
    </xf>
    <xf numFmtId="167" fontId="30" fillId="3" borderId="1" xfId="0" applyFont="true" applyBorder="true" applyAlignment="true" applyProtection="true">
      <alignment horizontal="center" vertical="center" textRotation="0" wrapText="true" indent="0" shrinkToFit="false"/>
      <protection locked="true" hidden="false"/>
    </xf>
    <xf numFmtId="164" fontId="29" fillId="3" borderId="1" xfId="0" applyFont="true" applyBorder="true" applyAlignment="true" applyProtection="true">
      <alignment horizontal="left" vertical="center" textRotation="0" wrapText="true" indent="0" shrinkToFit="false"/>
      <protection locked="true" hidden="false"/>
    </xf>
    <xf numFmtId="174" fontId="55" fillId="5" borderId="1" xfId="0" applyFont="true" applyBorder="true" applyAlignment="true" applyProtection="true">
      <alignment horizontal="left" vertical="center" textRotation="0" wrapText="false" indent="0" shrinkToFit="false"/>
      <protection locked="false" hidden="false"/>
    </xf>
    <xf numFmtId="164" fontId="29" fillId="3" borderId="6" xfId="0" applyFont="true" applyBorder="true" applyAlignment="true" applyProtection="true">
      <alignment horizontal="left" vertical="center" textRotation="0" wrapText="true" indent="0" shrinkToFit="false"/>
      <protection locked="true" hidden="false"/>
    </xf>
    <xf numFmtId="164" fontId="29" fillId="3" borderId="16" xfId="0" applyFont="true" applyBorder="true" applyAlignment="true" applyProtection="true">
      <alignment horizontal="general" vertical="center" textRotation="0" wrapText="false" indent="0" shrinkToFit="false"/>
      <protection locked="true" hidden="false"/>
    </xf>
    <xf numFmtId="164" fontId="53" fillId="2" borderId="16" xfId="0" applyFont="true" applyBorder="true" applyAlignment="true" applyProtection="true">
      <alignment horizontal="center" vertical="center" textRotation="0" wrapText="true" indent="0" shrinkToFit="false"/>
      <protection locked="false" hidden="false"/>
    </xf>
    <xf numFmtId="164" fontId="29" fillId="3" borderId="44" xfId="0" applyFont="true" applyBorder="true" applyAlignment="true" applyProtection="true">
      <alignment horizontal="center" vertical="center" textRotation="0" wrapText="true" indent="0" shrinkToFit="false"/>
      <protection locked="true" hidden="false"/>
    </xf>
    <xf numFmtId="164" fontId="53" fillId="2" borderId="44" xfId="0" applyFont="true" applyBorder="true" applyAlignment="true" applyProtection="true">
      <alignment horizontal="center" vertical="center" textRotation="0" wrapText="true" indent="0" shrinkToFit="false"/>
      <protection locked="false" hidden="false"/>
    </xf>
    <xf numFmtId="167" fontId="57" fillId="3" borderId="44" xfId="0" applyFont="true" applyBorder="true" applyAlignment="true" applyProtection="true">
      <alignment horizontal="general" vertical="center" textRotation="0" wrapText="true" indent="0" shrinkToFit="false"/>
      <protection locked="true" hidden="false"/>
    </xf>
    <xf numFmtId="164" fontId="53" fillId="2" borderId="45" xfId="0" applyFont="true" applyBorder="true" applyAlignment="true" applyProtection="true">
      <alignment horizontal="center" vertical="center" textRotation="0" wrapText="true" indent="0" shrinkToFit="false"/>
      <protection locked="false" hidden="false"/>
    </xf>
    <xf numFmtId="164" fontId="29" fillId="3" borderId="7" xfId="0" applyFont="true" applyBorder="true" applyAlignment="true" applyProtection="true">
      <alignment horizontal="general" vertical="center" textRotation="0" wrapText="true" indent="0" shrinkToFit="false"/>
      <protection locked="true" hidden="false"/>
    </xf>
    <xf numFmtId="164" fontId="29" fillId="3" borderId="46" xfId="0" applyFont="true" applyBorder="true" applyAlignment="true" applyProtection="true">
      <alignment horizontal="general" vertical="center" textRotation="0" wrapText="false" indent="0" shrinkToFit="false"/>
      <protection locked="true" hidden="false"/>
    </xf>
    <xf numFmtId="164" fontId="29" fillId="3" borderId="47" xfId="0" applyFont="true" applyBorder="true" applyAlignment="true" applyProtection="true">
      <alignment horizontal="general" vertical="center" textRotation="0" wrapText="false" indent="0" shrinkToFit="false"/>
      <protection locked="true" hidden="false"/>
    </xf>
    <xf numFmtId="164" fontId="29" fillId="3" borderId="48" xfId="0" applyFont="true" applyBorder="true" applyAlignment="true" applyProtection="true">
      <alignment horizontal="left" vertical="center" textRotation="0" wrapText="false" indent="0" shrinkToFit="false"/>
      <protection locked="true" hidden="false"/>
    </xf>
    <xf numFmtId="164" fontId="29" fillId="3" borderId="32" xfId="0" applyFont="true" applyBorder="true" applyAlignment="true" applyProtection="true">
      <alignment horizontal="center" vertical="center" textRotation="0" wrapText="true" indent="0" shrinkToFit="false"/>
      <protection locked="true" hidden="false"/>
    </xf>
    <xf numFmtId="167" fontId="30" fillId="3" borderId="0" xfId="0" applyFont="true" applyBorder="true" applyAlignment="true" applyProtection="true">
      <alignment horizontal="general" vertical="center" textRotation="0" wrapText="false" indent="0" shrinkToFit="false"/>
      <protection locked="true" hidden="false"/>
    </xf>
    <xf numFmtId="164" fontId="53" fillId="3" borderId="0" xfId="0" applyFont="true" applyBorder="false" applyAlignment="true" applyProtection="true">
      <alignment horizontal="general" vertical="center" textRotation="0" wrapText="true" indent="0" shrinkToFit="false"/>
      <protection locked="true" hidden="false"/>
    </xf>
    <xf numFmtId="164" fontId="53" fillId="3" borderId="0" xfId="0" applyFont="true" applyBorder="false" applyAlignment="true" applyProtection="true">
      <alignment horizontal="center" vertical="center" textRotation="0" wrapText="true" indent="0" shrinkToFit="false"/>
      <protection locked="true" hidden="false"/>
    </xf>
    <xf numFmtId="164" fontId="29" fillId="2" borderId="22" xfId="0" applyFont="true" applyBorder="true" applyAlignment="true" applyProtection="true">
      <alignment horizontal="general" vertical="center" textRotation="0" wrapText="true" indent="0" shrinkToFit="false"/>
      <protection locked="false" hidden="false"/>
    </xf>
    <xf numFmtId="164" fontId="29" fillId="2" borderId="23" xfId="0" applyFont="true" applyBorder="true" applyAlignment="true" applyProtection="true">
      <alignment horizontal="general" vertical="center" textRotation="0" wrapText="true" indent="0" shrinkToFit="false"/>
      <protection locked="false" hidden="false"/>
    </xf>
    <xf numFmtId="164" fontId="55" fillId="0" borderId="22" xfId="0" applyFont="true" applyBorder="true" applyAlignment="true" applyProtection="true">
      <alignment horizontal="general" vertical="center" textRotation="0" wrapText="true" indent="0" shrinkToFit="false"/>
      <protection locked="false" hidden="false"/>
    </xf>
    <xf numFmtId="164" fontId="29" fillId="2" borderId="7" xfId="0" applyFont="true" applyBorder="true" applyAlignment="true" applyProtection="true">
      <alignment horizontal="general" vertical="center" textRotation="0" wrapText="true" indent="0" shrinkToFit="false"/>
      <protection locked="false" hidden="false"/>
    </xf>
    <xf numFmtId="164" fontId="53" fillId="0" borderId="49" xfId="0" applyFont="true" applyBorder="true" applyAlignment="true" applyProtection="true">
      <alignment horizontal="left" vertical="center" textRotation="0" wrapText="true" indent="0" shrinkToFit="false"/>
      <protection locked="false" hidden="false"/>
    </xf>
    <xf numFmtId="164" fontId="29" fillId="2" borderId="22" xfId="0" applyFont="true" applyBorder="true" applyAlignment="true" applyProtection="true">
      <alignment horizontal="general" vertical="center" textRotation="0" wrapText="true" indent="0" shrinkToFit="true"/>
      <protection locked="false" hidden="false"/>
    </xf>
    <xf numFmtId="164" fontId="29" fillId="3" borderId="20" xfId="0" applyFont="true" applyBorder="true" applyAlignment="true" applyProtection="true">
      <alignment horizontal="general" vertical="center" textRotation="0" wrapText="true" indent="0" shrinkToFit="false"/>
      <protection locked="true" hidden="false"/>
    </xf>
    <xf numFmtId="164" fontId="29" fillId="3" borderId="22" xfId="0" applyFont="true" applyBorder="true" applyAlignment="true" applyProtection="true">
      <alignment horizontal="general" vertical="center" textRotation="0" wrapText="true" indent="0" shrinkToFit="false"/>
      <protection locked="true" hidden="false"/>
    </xf>
    <xf numFmtId="169" fontId="54" fillId="0" borderId="23" xfId="0" applyFont="true" applyBorder="true" applyAlignment="true" applyProtection="true">
      <alignment horizontal="general" vertical="center" textRotation="0" wrapText="false" indent="0" shrinkToFit="true"/>
      <protection locked="false" hidden="false"/>
    </xf>
    <xf numFmtId="164" fontId="29" fillId="3" borderId="17" xfId="0" applyFont="true" applyBorder="true" applyAlignment="true" applyProtection="true">
      <alignment horizontal="general" vertical="center" textRotation="0" wrapText="true" indent="0" shrinkToFit="false"/>
      <protection locked="true" hidden="false"/>
    </xf>
    <xf numFmtId="169" fontId="54" fillId="0" borderId="50" xfId="0" applyFont="true" applyBorder="true" applyAlignment="true" applyProtection="true">
      <alignment horizontal="general" vertical="center" textRotation="0" wrapText="false" indent="0" shrinkToFit="true"/>
      <protection locked="false" hidden="false"/>
    </xf>
    <xf numFmtId="164" fontId="53" fillId="3" borderId="32" xfId="0" applyFont="true" applyBorder="true" applyAlignment="true" applyProtection="true">
      <alignment horizontal="center" vertical="center" textRotation="0" wrapText="true" indent="0" shrinkToFit="false"/>
      <protection locked="false" hidden="false"/>
    </xf>
    <xf numFmtId="164" fontId="53" fillId="3" borderId="0" xfId="0" applyFont="true" applyBorder="true" applyAlignment="true" applyProtection="true">
      <alignment horizontal="general" vertical="center" textRotation="0" wrapText="false" indent="0" shrinkToFit="false"/>
      <protection locked="false" hidden="false"/>
    </xf>
    <xf numFmtId="164" fontId="54" fillId="0" borderId="23" xfId="0" applyFont="true" applyBorder="true" applyAlignment="true" applyProtection="true">
      <alignment horizontal="general" vertical="center" textRotation="0" wrapText="true" indent="0" shrinkToFit="false"/>
      <protection locked="false" hidden="false"/>
    </xf>
    <xf numFmtId="164" fontId="54" fillId="0" borderId="31" xfId="0" applyFont="true" applyBorder="true" applyAlignment="true" applyProtection="true">
      <alignment horizontal="general" vertical="center" textRotation="0" wrapText="true" indent="0" shrinkToFit="false"/>
      <protection locked="false" hidden="false"/>
    </xf>
    <xf numFmtId="164" fontId="53" fillId="3" borderId="51" xfId="0" applyFont="true" applyBorder="true" applyAlignment="true" applyProtection="true">
      <alignment horizontal="general" vertical="center" textRotation="0" wrapText="true" indent="0" shrinkToFit="false"/>
      <protection locked="true" hidden="false"/>
    </xf>
    <xf numFmtId="164" fontId="29" fillId="3" borderId="52" xfId="0" applyFont="true" applyBorder="true" applyAlignment="true" applyProtection="true">
      <alignment horizontal="general" vertical="center" textRotation="0" wrapText="true" indent="0" shrinkToFit="false"/>
      <protection locked="true" hidden="false"/>
    </xf>
    <xf numFmtId="164" fontId="54" fillId="0" borderId="53" xfId="0" applyFont="true" applyBorder="true" applyAlignment="true" applyProtection="true">
      <alignment horizontal="general" vertical="center" textRotation="0" wrapText="true" indent="0" shrinkToFit="false"/>
      <protection locked="false" hidden="false"/>
    </xf>
    <xf numFmtId="164" fontId="29" fillId="3" borderId="51" xfId="0" applyFont="true" applyBorder="true" applyAlignment="true" applyProtection="true">
      <alignment horizontal="general" vertical="center" textRotation="0" wrapText="true" indent="0" shrinkToFit="false"/>
      <protection locked="true" hidden="false"/>
    </xf>
    <xf numFmtId="164" fontId="54" fillId="0" borderId="54" xfId="0" applyFont="true" applyBorder="true" applyAlignment="true" applyProtection="true">
      <alignment horizontal="general" vertical="center" textRotation="0" wrapText="true" indent="0" shrinkToFit="false"/>
      <protection locked="false" hidden="false"/>
    </xf>
    <xf numFmtId="164" fontId="29" fillId="3" borderId="6" xfId="0" applyFont="true" applyBorder="true" applyAlignment="true" applyProtection="true">
      <alignment horizontal="left" vertical="center" textRotation="0" wrapText="false" indent="0" shrinkToFit="false"/>
      <protection locked="true" hidden="false"/>
    </xf>
    <xf numFmtId="164" fontId="53" fillId="2" borderId="35" xfId="0" applyFont="true" applyBorder="true" applyAlignment="true" applyProtection="true">
      <alignment horizontal="general" vertical="center" textRotation="0" wrapText="false" indent="0" shrinkToFit="false"/>
      <protection locked="false" hidden="false"/>
    </xf>
    <xf numFmtId="164" fontId="53" fillId="2" borderId="37" xfId="0" applyFont="true" applyBorder="true" applyAlignment="true" applyProtection="true">
      <alignment horizontal="general" vertical="center" textRotation="0" wrapText="true" indent="0" shrinkToFit="false"/>
      <protection locked="true" hidden="false"/>
    </xf>
    <xf numFmtId="164" fontId="53" fillId="2" borderId="37" xfId="0" applyFont="true" applyBorder="true" applyAlignment="true" applyProtection="true">
      <alignment horizontal="left" vertical="center" textRotation="0" wrapText="false" indent="0" shrinkToFit="false"/>
      <protection locked="false" hidden="false"/>
    </xf>
    <xf numFmtId="164" fontId="53" fillId="0" borderId="6" xfId="0" applyFont="true" applyBorder="true" applyAlignment="true" applyProtection="true">
      <alignment horizontal="left" vertical="center" textRotation="0" wrapText="true" indent="0" shrinkToFit="false"/>
      <protection locked="false" hidden="false"/>
    </xf>
    <xf numFmtId="164" fontId="53" fillId="2" borderId="7" xfId="0" applyFont="true" applyBorder="true" applyAlignment="true" applyProtection="true">
      <alignment horizontal="general" vertical="center" textRotation="0" wrapText="false" indent="0" shrinkToFit="false"/>
      <protection locked="false" hidden="false"/>
    </xf>
    <xf numFmtId="164" fontId="53" fillId="2" borderId="8" xfId="0" applyFont="true" applyBorder="true" applyAlignment="true" applyProtection="true">
      <alignment horizontal="general" vertical="center" textRotation="0" wrapText="false" indent="0" shrinkToFit="false"/>
      <protection locked="true" hidden="false"/>
    </xf>
    <xf numFmtId="164" fontId="53" fillId="0" borderId="5" xfId="0" applyFont="true" applyBorder="true" applyAlignment="true" applyProtection="true">
      <alignment horizontal="left" vertical="center" textRotation="0" wrapText="true" indent="0" shrinkToFit="false"/>
      <protection locked="false" hidden="false"/>
    </xf>
    <xf numFmtId="164" fontId="29" fillId="3" borderId="39" xfId="0" applyFont="true" applyBorder="true" applyAlignment="true" applyProtection="true">
      <alignment horizontal="left" vertical="center" textRotation="0" wrapText="false" indent="0" shrinkToFit="false"/>
      <protection locked="true" hidden="false"/>
    </xf>
    <xf numFmtId="164" fontId="53" fillId="2" borderId="8" xfId="0" applyFont="true" applyBorder="true" applyAlignment="true" applyProtection="true">
      <alignment horizontal="center" vertical="center" textRotation="0" wrapText="true" indent="0" shrinkToFit="false"/>
      <protection locked="false" hidden="false"/>
    </xf>
    <xf numFmtId="167" fontId="30" fillId="3" borderId="7" xfId="0" applyFont="true" applyBorder="true" applyAlignment="true" applyProtection="true">
      <alignment horizontal="left" vertical="center" textRotation="0" wrapText="false" indent="0" shrinkToFit="false"/>
      <protection locked="true" hidden="false"/>
    </xf>
    <xf numFmtId="164" fontId="53" fillId="3" borderId="8" xfId="0" applyFont="true" applyBorder="true" applyAlignment="true" applyProtection="true">
      <alignment horizontal="general" vertical="center" textRotation="0" wrapText="true" indent="0" shrinkToFit="false"/>
      <protection locked="true" hidden="false"/>
    </xf>
    <xf numFmtId="164" fontId="53" fillId="0" borderId="5" xfId="0" applyFont="true" applyBorder="true" applyAlignment="true" applyProtection="true">
      <alignment horizontal="left" vertical="center" textRotation="0" wrapText="false" indent="0" shrinkToFit="false"/>
      <protection locked="false" hidden="false"/>
    </xf>
    <xf numFmtId="164" fontId="53" fillId="2" borderId="39" xfId="0" applyFont="true" applyBorder="true" applyAlignment="true" applyProtection="true">
      <alignment horizontal="center" vertical="center" textRotation="0" wrapText="true" indent="0" shrinkToFit="false"/>
      <protection locked="false" hidden="false"/>
    </xf>
    <xf numFmtId="167" fontId="30" fillId="3" borderId="38" xfId="0" applyFont="true" applyBorder="true" applyAlignment="true" applyProtection="true">
      <alignment horizontal="left" vertical="center" textRotation="0" wrapText="false" indent="0" shrinkToFit="false"/>
      <protection locked="true" hidden="false"/>
    </xf>
    <xf numFmtId="164" fontId="53" fillId="3" borderId="39" xfId="0" applyFont="true" applyBorder="true" applyAlignment="true" applyProtection="true">
      <alignment horizontal="general" vertical="center" textRotation="0" wrapText="true" indent="0" shrinkToFit="false"/>
      <protection locked="true" hidden="false"/>
    </xf>
    <xf numFmtId="164" fontId="53" fillId="0" borderId="11" xfId="0" applyFont="true" applyBorder="true" applyAlignment="true" applyProtection="true">
      <alignment horizontal="left" vertical="center" textRotation="0" wrapText="false" indent="0" shrinkToFit="false"/>
      <protection locked="false" hidden="false"/>
    </xf>
    <xf numFmtId="164" fontId="58" fillId="2" borderId="5" xfId="0" applyFont="true" applyBorder="true" applyAlignment="true" applyProtection="true">
      <alignment horizontal="center" vertical="center" textRotation="0" wrapText="true" indent="0" shrinkToFit="false"/>
      <protection locked="false" hidden="false"/>
    </xf>
    <xf numFmtId="164" fontId="29" fillId="3" borderId="5" xfId="0" applyFont="true" applyBorder="true" applyAlignment="true" applyProtection="true">
      <alignment horizontal="center" vertical="center" textRotation="0" wrapText="true" indent="0" shrinkToFit="false"/>
      <protection locked="true" hidden="false"/>
    </xf>
    <xf numFmtId="164" fontId="53" fillId="3" borderId="11" xfId="0" applyFont="true" applyBorder="true" applyAlignment="true" applyProtection="true">
      <alignment horizontal="general" vertical="center" textRotation="0" wrapText="true" indent="0" shrinkToFit="false"/>
      <protection locked="true" hidden="false"/>
    </xf>
    <xf numFmtId="164" fontId="29" fillId="3" borderId="5" xfId="0" applyFont="true" applyBorder="true" applyAlignment="true" applyProtection="true">
      <alignment horizontal="center" vertical="center" textRotation="0" wrapText="true" indent="0" shrinkToFit="false"/>
      <protection locked="true" hidden="false"/>
    </xf>
    <xf numFmtId="167" fontId="30" fillId="3" borderId="5" xfId="0" applyFont="true" applyBorder="true" applyAlignment="true" applyProtection="true">
      <alignment horizontal="center" vertical="center" textRotation="0" wrapText="true" indent="0" shrinkToFit="false"/>
      <protection locked="true" hidden="false"/>
    </xf>
    <xf numFmtId="167" fontId="30" fillId="3" borderId="5" xfId="0" applyFont="true" applyBorder="true" applyAlignment="true" applyProtection="true">
      <alignment horizontal="general" vertical="center" textRotation="0" wrapText="false" indent="0" shrinkToFit="false"/>
      <protection locked="true" hidden="false"/>
    </xf>
    <xf numFmtId="164" fontId="53" fillId="3" borderId="32" xfId="0" applyFont="true" applyBorder="true" applyAlignment="true" applyProtection="true">
      <alignment horizontal="general" vertical="center" textRotation="0" wrapText="true" indent="0" shrinkToFit="false"/>
      <protection locked="true" hidden="false"/>
    </xf>
    <xf numFmtId="164" fontId="29" fillId="3" borderId="5" xfId="0" applyFont="true" applyBorder="true" applyAlignment="true" applyProtection="true">
      <alignment horizontal="center" vertical="center" textRotation="0" wrapText="true" indent="0" shrinkToFit="false"/>
      <protection locked="false" hidden="false"/>
    </xf>
    <xf numFmtId="164" fontId="29" fillId="8" borderId="16" xfId="0" applyFont="true" applyBorder="true" applyAlignment="true" applyProtection="true">
      <alignment horizontal="general" vertical="center" textRotation="0" wrapText="true" indent="0" shrinkToFit="false"/>
      <protection locked="true" hidden="false"/>
    </xf>
    <xf numFmtId="164" fontId="53" fillId="2" borderId="5" xfId="0" applyFont="true" applyBorder="true" applyAlignment="true" applyProtection="true">
      <alignment horizontal="center" vertical="center" textRotation="0" wrapText="true" indent="0" shrinkToFit="false"/>
      <protection locked="false" hidden="false"/>
    </xf>
    <xf numFmtId="164" fontId="29" fillId="8" borderId="1" xfId="0" applyFont="true" applyBorder="true" applyAlignment="true" applyProtection="true">
      <alignment horizontal="general" vertical="center" textRotation="0" wrapText="true" indent="0" shrinkToFit="false"/>
      <protection locked="true" hidden="false"/>
    </xf>
    <xf numFmtId="164" fontId="53" fillId="2" borderId="1" xfId="0" applyFont="true" applyBorder="true" applyAlignment="true" applyProtection="true">
      <alignment horizontal="center" vertical="center" textRotation="0" wrapText="true" indent="0" shrinkToFit="false"/>
      <protection locked="false" hidden="false"/>
    </xf>
    <xf numFmtId="164" fontId="59" fillId="3" borderId="55" xfId="0" applyFont="true" applyBorder="true" applyAlignment="true" applyProtection="true">
      <alignment horizontal="general" vertical="center" textRotation="0" wrapText="false" indent="0" shrinkToFit="false"/>
      <protection locked="true" hidden="false"/>
    </xf>
    <xf numFmtId="164" fontId="60" fillId="3" borderId="55" xfId="0" applyFont="true" applyBorder="true" applyAlignment="true" applyProtection="true">
      <alignment horizontal="general" vertical="center" textRotation="0" wrapText="true" indent="0" shrinkToFit="false"/>
      <protection locked="true" hidden="false"/>
    </xf>
    <xf numFmtId="164" fontId="60" fillId="3" borderId="55" xfId="0" applyFont="true" applyBorder="true" applyAlignment="true" applyProtection="true">
      <alignment horizontal="general" vertical="center" textRotation="0" wrapText="true" indent="0" shrinkToFit="false"/>
      <protection locked="false" hidden="false"/>
    </xf>
    <xf numFmtId="164" fontId="60" fillId="3" borderId="56" xfId="0" applyFont="true" applyBorder="true" applyAlignment="true" applyProtection="true">
      <alignment horizontal="general" vertical="center" textRotation="0" wrapText="true" indent="0" shrinkToFit="false"/>
      <protection locked="false" hidden="false"/>
    </xf>
    <xf numFmtId="164" fontId="60" fillId="3" borderId="55" xfId="0" applyFont="true" applyBorder="true" applyAlignment="true" applyProtection="true">
      <alignment horizontal="center" vertical="center" textRotation="0" wrapText="true" indent="0" shrinkToFit="false"/>
      <protection locked="false" hidden="false"/>
    </xf>
    <xf numFmtId="164" fontId="60" fillId="0" borderId="55" xfId="0" applyFont="true" applyBorder="true" applyAlignment="true" applyProtection="true">
      <alignment horizontal="general" vertical="center" textRotation="0" wrapText="true" indent="0" shrinkToFit="false"/>
      <protection locked="false" hidden="false"/>
    </xf>
    <xf numFmtId="164" fontId="60" fillId="0" borderId="55" xfId="0" applyFont="true" applyBorder="true" applyAlignment="true" applyProtection="true">
      <alignment horizontal="general" vertical="center" textRotation="0" wrapText="true" indent="0" shrinkToFit="false"/>
      <protection locked="true" hidden="false"/>
    </xf>
    <xf numFmtId="164" fontId="53" fillId="3" borderId="0" xfId="0" applyFont="true" applyBorder="true" applyAlignment="true" applyProtection="true">
      <alignment horizontal="center" vertical="center" textRotation="0" wrapText="true" indent="0" shrinkToFit="false"/>
      <protection locked="true" hidden="false"/>
    </xf>
    <xf numFmtId="164" fontId="61" fillId="3" borderId="7" xfId="0" applyFont="true" applyBorder="true" applyAlignment="true" applyProtection="true">
      <alignment horizontal="general" vertical="center" textRotation="0" wrapText="false" indent="0" shrinkToFit="false"/>
      <protection locked="true" hidden="false"/>
    </xf>
    <xf numFmtId="164" fontId="53" fillId="3" borderId="10" xfId="0" applyFont="true" applyBorder="true" applyAlignment="true" applyProtection="true">
      <alignment horizontal="general" vertical="center" textRotation="0" wrapText="true" indent="0" shrinkToFit="false"/>
      <protection locked="true" hidden="false"/>
    </xf>
    <xf numFmtId="174" fontId="29" fillId="3" borderId="7" xfId="0" applyFont="true" applyBorder="true" applyAlignment="true" applyProtection="true">
      <alignment horizontal="center" vertical="center" textRotation="0" wrapText="true" indent="0" shrinkToFit="false"/>
      <protection locked="false" hidden="false"/>
    </xf>
    <xf numFmtId="174" fontId="29" fillId="3" borderId="5" xfId="0" applyFont="true" applyBorder="true" applyAlignment="true" applyProtection="true">
      <alignment horizontal="center" vertical="center" textRotation="0" wrapText="true" indent="0" shrinkToFit="false"/>
      <protection locked="false" hidden="false"/>
    </xf>
    <xf numFmtId="164" fontId="29" fillId="3" borderId="5" xfId="0" applyFont="true" applyBorder="true" applyAlignment="true" applyProtection="true">
      <alignment horizontal="general" vertical="center" textRotation="0" wrapText="true" indent="0" shrinkToFit="false"/>
      <protection locked="false" hidden="false"/>
    </xf>
    <xf numFmtId="164" fontId="53" fillId="0" borderId="5" xfId="0" applyFont="true" applyBorder="true" applyAlignment="true" applyProtection="true">
      <alignment horizontal="general" vertical="center" textRotation="0" wrapText="true" indent="0" shrinkToFit="false"/>
      <protection locked="false" hidden="false"/>
    </xf>
    <xf numFmtId="164" fontId="53" fillId="0" borderId="5" xfId="0" applyFont="true" applyBorder="true" applyAlignment="true" applyProtection="true">
      <alignment horizontal="center" vertical="center" textRotation="0" wrapText="true" indent="0" shrinkToFit="false"/>
      <protection locked="false" hidden="false"/>
    </xf>
    <xf numFmtId="164" fontId="53" fillId="0" borderId="7" xfId="0" applyFont="true" applyBorder="true" applyAlignment="true" applyProtection="true">
      <alignment horizontal="center" vertical="center" textRotation="0" wrapText="true" indent="0" shrinkToFit="false"/>
      <protection locked="false" hidden="false"/>
    </xf>
    <xf numFmtId="174" fontId="53" fillId="0" borderId="5" xfId="0" applyFont="true" applyBorder="true" applyAlignment="true" applyProtection="true">
      <alignment horizontal="center" vertical="center" textRotation="0" wrapText="true" indent="0" shrinkToFit="false"/>
      <protection locked="false" hidden="false"/>
    </xf>
    <xf numFmtId="174" fontId="53" fillId="0" borderId="7" xfId="0" applyFont="true" applyBorder="true" applyAlignment="true" applyProtection="true">
      <alignment horizontal="general" vertical="center" textRotation="0" wrapText="true" indent="0" shrinkToFit="false"/>
      <protection locked="false" hidden="false"/>
    </xf>
    <xf numFmtId="164" fontId="0" fillId="0" borderId="0" xfId="0" applyFont="true" applyBorder="false" applyAlignment="true" applyProtection="true">
      <alignment horizontal="center" vertical="center" textRotation="0" wrapText="true" indent="0" shrinkToFit="false"/>
      <protection locked="true" hidden="false"/>
    </xf>
    <xf numFmtId="164" fontId="43" fillId="3" borderId="0" xfId="0" applyFont="true" applyBorder="false" applyAlignment="true" applyProtection="true">
      <alignment horizontal="left" vertical="center" textRotation="0" wrapText="false" indent="0" shrinkToFit="false"/>
      <protection locked="true" hidden="false"/>
    </xf>
    <xf numFmtId="164" fontId="49" fillId="3" borderId="0" xfId="0" applyFont="true" applyBorder="false" applyAlignment="true" applyProtection="true">
      <alignment horizontal="left" vertical="center" textRotation="0" wrapText="false" indent="0" shrinkToFit="false"/>
      <protection locked="true" hidden="false"/>
    </xf>
    <xf numFmtId="164" fontId="53" fillId="3" borderId="0" xfId="0" applyFont="true" applyBorder="true" applyAlignment="true" applyProtection="true">
      <alignment horizontal="center" vertical="center" textRotation="0" wrapText="false" indent="0" shrinkToFit="false"/>
      <protection locked="true" hidden="false"/>
    </xf>
    <xf numFmtId="164" fontId="29" fillId="3" borderId="38" xfId="0" applyFont="true" applyBorder="true" applyAlignment="true" applyProtection="true">
      <alignment horizontal="center" vertical="center" textRotation="0" wrapText="true" indent="0" shrinkToFit="false"/>
      <protection locked="true" hidden="false"/>
    </xf>
    <xf numFmtId="164" fontId="29" fillId="3" borderId="5" xfId="0" applyFont="true" applyBorder="true" applyAlignment="true" applyProtection="true">
      <alignment horizontal="left" vertical="center" textRotation="0" wrapText="true" indent="0" shrinkToFit="false"/>
      <protection locked="false" hidden="false"/>
    </xf>
    <xf numFmtId="176" fontId="53" fillId="0" borderId="5" xfId="0" applyFont="true" applyBorder="true" applyAlignment="true" applyProtection="true">
      <alignment horizontal="center" vertical="center" textRotation="0" wrapText="true" indent="0" shrinkToFit="false"/>
      <protection locked="false" hidden="false"/>
    </xf>
    <xf numFmtId="164" fontId="29" fillId="2" borderId="5" xfId="0" applyFont="true" applyBorder="true" applyAlignment="true" applyProtection="true">
      <alignment horizontal="center" vertical="center" textRotation="0" wrapText="true" indent="0" shrinkToFit="false"/>
      <protection locked="false" hidden="false"/>
    </xf>
    <xf numFmtId="164" fontId="53" fillId="5" borderId="7" xfId="0" applyFont="true" applyBorder="true" applyAlignment="true" applyProtection="true">
      <alignment horizontal="center" vertical="center" textRotation="0" wrapText="true" indent="0" shrinkToFit="false"/>
      <protection locked="false" hidden="false"/>
    </xf>
    <xf numFmtId="170" fontId="53" fillId="0" borderId="5" xfId="0" applyFont="true" applyBorder="true" applyAlignment="true" applyProtection="true">
      <alignment horizontal="center" vertical="center" textRotation="0" wrapText="true" indent="0" shrinkToFit="false"/>
      <protection locked="false" hidden="false"/>
    </xf>
    <xf numFmtId="164" fontId="67" fillId="3" borderId="35" xfId="0" applyFont="true" applyBorder="true" applyAlignment="true" applyProtection="true">
      <alignment horizontal="left" vertical="center" textRotation="0" wrapText="false" indent="0" shrinkToFit="false"/>
      <protection locked="true" hidden="false"/>
    </xf>
    <xf numFmtId="176" fontId="53" fillId="3" borderId="0" xfId="0" applyFont="true" applyBorder="true" applyAlignment="true" applyProtection="true">
      <alignment horizontal="center" vertical="center" textRotation="0" wrapText="true" indent="0" shrinkToFit="false"/>
      <protection locked="true" hidden="false"/>
    </xf>
    <xf numFmtId="176" fontId="67" fillId="3" borderId="0" xfId="0" applyFont="true" applyBorder="true" applyAlignment="true" applyProtection="true">
      <alignment horizontal="center" vertical="center" textRotation="0" wrapText="true" indent="0" shrinkToFit="false"/>
      <protection locked="true" hidden="false"/>
    </xf>
    <xf numFmtId="170" fontId="53" fillId="3" borderId="0" xfId="0" applyFont="true" applyBorder="false" applyAlignment="true" applyProtection="true">
      <alignment horizontal="center" vertical="center" textRotation="0" wrapText="true" indent="0" shrinkToFit="false"/>
      <protection locked="true" hidden="false"/>
    </xf>
    <xf numFmtId="164" fontId="53" fillId="0" borderId="0" xfId="0" applyFont="true" applyBorder="false" applyAlignment="true" applyProtection="true">
      <alignment horizontal="center" vertical="center" textRotation="0" wrapText="true" indent="0" shrinkToFit="false"/>
      <protection locked="true" hidden="false"/>
    </xf>
    <xf numFmtId="164" fontId="29" fillId="3" borderId="7" xfId="0" applyFont="true" applyBorder="true" applyAlignment="true" applyProtection="true">
      <alignment horizontal="left" vertical="center" textRotation="0" wrapText="false" indent="0" shrinkToFit="false"/>
      <protection locked="true" hidden="false"/>
    </xf>
    <xf numFmtId="164" fontId="53" fillId="3" borderId="10" xfId="0" applyFont="true" applyBorder="true" applyAlignment="true" applyProtection="true">
      <alignment horizontal="center" vertical="center" textRotation="0" wrapText="true" indent="0" shrinkToFit="false"/>
      <protection locked="true" hidden="false"/>
    </xf>
    <xf numFmtId="164" fontId="53" fillId="3" borderId="8" xfId="0" applyFont="true" applyBorder="true" applyAlignment="true" applyProtection="true">
      <alignment horizontal="center" vertical="center" textRotation="0" wrapText="true" indent="0" shrinkToFit="false"/>
      <protection locked="true" hidden="false"/>
    </xf>
    <xf numFmtId="170" fontId="53" fillId="3" borderId="5" xfId="0" applyFont="true" applyBorder="true" applyAlignment="true" applyProtection="true">
      <alignment horizontal="center" vertical="center" textRotation="0" wrapText="true" indent="0" shrinkToFit="false"/>
      <protection locked="true" hidden="false"/>
    </xf>
    <xf numFmtId="164" fontId="53" fillId="3" borderId="7" xfId="0" applyFont="true" applyBorder="true" applyAlignment="true" applyProtection="true">
      <alignment horizontal="center" vertical="center" textRotation="0" wrapText="true" indent="0" shrinkToFit="false"/>
      <protection locked="true" hidden="false"/>
    </xf>
    <xf numFmtId="164" fontId="53" fillId="3" borderId="57" xfId="0" applyFont="true" applyBorder="true" applyAlignment="true" applyProtection="true">
      <alignment horizontal="center" vertical="center" textRotation="0" wrapText="true" indent="0" shrinkToFit="false"/>
      <protection locked="true" hidden="false"/>
    </xf>
    <xf numFmtId="170" fontId="30" fillId="3" borderId="58" xfId="0" applyFont="true" applyBorder="true" applyAlignment="true" applyProtection="true">
      <alignment horizontal="center" vertical="center" textRotation="0" wrapText="true" indent="0" shrinkToFit="false"/>
      <protection locked="true" hidden="false"/>
    </xf>
    <xf numFmtId="170" fontId="30" fillId="3" borderId="59" xfId="0" applyFont="true" applyBorder="true" applyAlignment="true" applyProtection="true">
      <alignment horizontal="center" vertical="center" textRotation="0" wrapText="true" indent="0" shrinkToFit="false"/>
      <protection locked="true" hidden="false"/>
    </xf>
    <xf numFmtId="170" fontId="53" fillId="3" borderId="10" xfId="0" applyFont="true" applyBorder="true" applyAlignment="true" applyProtection="true">
      <alignment horizontal="center" vertical="center" textRotation="0" wrapText="true" indent="0" shrinkToFit="false"/>
      <protection locked="true" hidden="false"/>
    </xf>
    <xf numFmtId="170" fontId="53" fillId="3" borderId="8" xfId="0" applyFont="true" applyBorder="true" applyAlignment="true" applyProtection="true">
      <alignment horizontal="center" vertical="center" textRotation="0" wrapText="true" indent="0" shrinkToFit="false"/>
      <protection locked="true" hidden="false"/>
    </xf>
    <xf numFmtId="170" fontId="30" fillId="3" borderId="11" xfId="0" applyFont="true" applyBorder="true" applyAlignment="true" applyProtection="true">
      <alignment horizontal="center" vertical="center" textRotation="0" wrapText="true" indent="0" shrinkToFit="false"/>
      <protection locked="true" hidden="false"/>
    </xf>
    <xf numFmtId="170" fontId="53" fillId="3" borderId="7" xfId="0" applyFont="true" applyBorder="true" applyAlignment="true" applyProtection="true">
      <alignment horizontal="center" vertical="center" textRotation="0" wrapText="true" indent="0" shrinkToFit="false"/>
      <protection locked="true" hidden="false"/>
    </xf>
    <xf numFmtId="170" fontId="30" fillId="3" borderId="22" xfId="0" applyFont="true" applyBorder="true" applyAlignment="true" applyProtection="true">
      <alignment horizontal="center" vertical="center" textRotation="0" wrapText="true" indent="0" shrinkToFit="false"/>
      <protection locked="true" hidden="false"/>
    </xf>
    <xf numFmtId="170" fontId="30" fillId="3" borderId="23" xfId="0" applyFont="true" applyBorder="true" applyAlignment="true" applyProtection="true">
      <alignment horizontal="center" vertical="center" textRotation="0" wrapText="true" indent="0" shrinkToFit="false"/>
      <protection locked="true" hidden="false"/>
    </xf>
    <xf numFmtId="170" fontId="53" fillId="0" borderId="0" xfId="0" applyFont="true" applyBorder="false" applyAlignment="true" applyProtection="true">
      <alignment horizontal="center" vertical="center" textRotation="0" wrapText="true" indent="0" shrinkToFit="false"/>
      <protection locked="true" hidden="false"/>
    </xf>
    <xf numFmtId="164" fontId="29" fillId="3" borderId="38" xfId="0" applyFont="true" applyBorder="true" applyAlignment="true" applyProtection="true">
      <alignment horizontal="left" vertical="center" textRotation="0" wrapText="false" indent="0" shrinkToFit="false"/>
      <protection locked="true" hidden="false"/>
    </xf>
    <xf numFmtId="164" fontId="53" fillId="3" borderId="60" xfId="0" applyFont="true" applyBorder="true" applyAlignment="true" applyProtection="true">
      <alignment horizontal="center" vertical="center" textRotation="0" wrapText="true" indent="0" shrinkToFit="false"/>
      <protection locked="true" hidden="false"/>
    </xf>
    <xf numFmtId="164" fontId="29" fillId="3" borderId="60" xfId="0" applyFont="true" applyBorder="true" applyAlignment="true" applyProtection="true">
      <alignment horizontal="center" vertical="center" textRotation="0" wrapText="true" indent="0" shrinkToFit="false"/>
      <protection locked="true" hidden="false"/>
    </xf>
    <xf numFmtId="164" fontId="29" fillId="3" borderId="11" xfId="0" applyFont="true" applyBorder="true" applyAlignment="true" applyProtection="true">
      <alignment horizontal="center" vertical="center" textRotation="0" wrapText="true" indent="0" shrinkToFit="false"/>
      <protection locked="true" hidden="false"/>
    </xf>
    <xf numFmtId="164" fontId="29" fillId="3" borderId="0" xfId="0" applyFont="true" applyBorder="true" applyAlignment="true" applyProtection="true">
      <alignment horizontal="center" vertical="center" textRotation="0" wrapText="true" indent="0" shrinkToFit="false"/>
      <protection locked="true" hidden="false"/>
    </xf>
    <xf numFmtId="164" fontId="29" fillId="3" borderId="10" xfId="0" applyFont="true" applyBorder="true" applyAlignment="true" applyProtection="true">
      <alignment horizontal="center" vertical="center" textRotation="0" wrapText="true" indent="0" shrinkToFit="false"/>
      <protection locked="true" hidden="false"/>
    </xf>
    <xf numFmtId="164" fontId="53" fillId="3" borderId="60" xfId="0" applyFont="true" applyBorder="true" applyAlignment="true" applyProtection="true">
      <alignment horizontal="center" vertical="center" textRotation="0" wrapText="false" indent="0" shrinkToFit="false"/>
      <protection locked="true" hidden="false"/>
    </xf>
    <xf numFmtId="164" fontId="53" fillId="3" borderId="61" xfId="0" applyFont="true" applyBorder="true" applyAlignment="true" applyProtection="true">
      <alignment horizontal="center" vertical="center" textRotation="0" wrapText="true" indent="0" shrinkToFit="false"/>
      <protection locked="true" hidden="false"/>
    </xf>
    <xf numFmtId="164" fontId="53" fillId="3" borderId="32" xfId="0" applyFont="true" applyBorder="true" applyAlignment="true" applyProtection="true">
      <alignment horizontal="center" vertical="center" textRotation="0" wrapText="false" indent="0" shrinkToFit="false"/>
      <protection locked="true" hidden="false"/>
    </xf>
    <xf numFmtId="164" fontId="29" fillId="3" borderId="38" xfId="0" applyFont="true" applyBorder="true" applyAlignment="true" applyProtection="true">
      <alignment horizontal="center" vertical="center" textRotation="0" wrapText="false" indent="0" shrinkToFit="false"/>
      <protection locked="true" hidden="false"/>
    </xf>
    <xf numFmtId="176" fontId="29" fillId="3" borderId="7" xfId="0" applyFont="true" applyBorder="true" applyAlignment="true" applyProtection="true">
      <alignment horizontal="left" vertical="center" textRotation="0" wrapText="false" indent="0" shrinkToFit="false"/>
      <protection locked="true" hidden="false"/>
    </xf>
    <xf numFmtId="164" fontId="67" fillId="3" borderId="10" xfId="0" applyFont="true" applyBorder="true" applyAlignment="true" applyProtection="true">
      <alignment horizontal="center" vertical="center" textRotation="0" wrapText="false" indent="0" shrinkToFit="false"/>
      <protection locked="true" hidden="false"/>
    </xf>
    <xf numFmtId="164" fontId="53" fillId="3" borderId="10" xfId="0" applyFont="true" applyBorder="true" applyAlignment="true" applyProtection="true">
      <alignment horizontal="center" vertical="center" textRotation="0" wrapText="false" indent="0" shrinkToFit="false"/>
      <protection locked="true" hidden="false"/>
    </xf>
    <xf numFmtId="176" fontId="53" fillId="3" borderId="10" xfId="0" applyFont="true" applyBorder="true" applyAlignment="true" applyProtection="true">
      <alignment horizontal="center" vertical="center" textRotation="0" wrapText="false" indent="0" shrinkToFit="false"/>
      <protection locked="true" hidden="false"/>
    </xf>
    <xf numFmtId="176" fontId="53" fillId="3" borderId="8" xfId="0" applyFont="true" applyBorder="true" applyAlignment="true" applyProtection="true">
      <alignment horizontal="center" vertical="center" textRotation="0" wrapText="false" indent="0" shrinkToFit="false"/>
      <protection locked="true" hidden="false"/>
    </xf>
    <xf numFmtId="164" fontId="29" fillId="3" borderId="10" xfId="0" applyFont="true" applyBorder="true" applyAlignment="true" applyProtection="true">
      <alignment horizontal="left" vertical="center" textRotation="0" wrapText="false" indent="0" shrinkToFit="false"/>
      <protection locked="true" hidden="false"/>
    </xf>
    <xf numFmtId="164" fontId="67" fillId="3" borderId="60" xfId="0" applyFont="true" applyBorder="true" applyAlignment="true" applyProtection="true">
      <alignment horizontal="center" vertical="center" textRotation="0" wrapText="false" indent="0" shrinkToFit="false"/>
      <protection locked="true" hidden="false"/>
    </xf>
    <xf numFmtId="164" fontId="29" fillId="3" borderId="16" xfId="0" applyFont="true" applyBorder="true" applyAlignment="true" applyProtection="true">
      <alignment horizontal="center" vertical="center" textRotation="0" wrapText="false" indent="0" shrinkToFit="false"/>
      <protection locked="true" hidden="false"/>
    </xf>
    <xf numFmtId="164" fontId="29" fillId="3" borderId="32" xfId="0" applyFont="true" applyBorder="true" applyAlignment="true" applyProtection="true">
      <alignment horizontal="center" vertical="center" textRotation="0" wrapText="false" indent="0" shrinkToFit="false"/>
      <protection locked="true" hidden="false"/>
    </xf>
    <xf numFmtId="164" fontId="29" fillId="3" borderId="7" xfId="0" applyFont="true" applyBorder="true" applyAlignment="true" applyProtection="true">
      <alignment horizontal="center" vertical="center" textRotation="0" wrapText="false" indent="0" shrinkToFit="false"/>
      <protection locked="true" hidden="false"/>
    </xf>
    <xf numFmtId="164" fontId="53" fillId="3" borderId="31" xfId="0" applyFont="true" applyBorder="true" applyAlignment="true" applyProtection="true">
      <alignment horizontal="center" vertical="center" textRotation="0" wrapText="false" indent="0" shrinkToFit="false"/>
      <protection locked="true" hidden="false"/>
    </xf>
    <xf numFmtId="164" fontId="53" fillId="0" borderId="0" xfId="0" applyFont="true" applyBorder="false" applyAlignment="true" applyProtection="true">
      <alignment horizontal="center" vertical="center" textRotation="0" wrapText="false" indent="0" shrinkToFit="false"/>
      <protection locked="true" hidden="false"/>
    </xf>
    <xf numFmtId="176" fontId="29" fillId="3" borderId="0" xfId="0" applyFont="true" applyBorder="true" applyAlignment="true" applyProtection="true">
      <alignment horizontal="center" vertical="center" textRotation="0" wrapText="false" indent="0" shrinkToFit="false"/>
      <protection locked="true" hidden="false"/>
    </xf>
    <xf numFmtId="164" fontId="53" fillId="2" borderId="35" xfId="0" applyFont="true" applyBorder="true" applyAlignment="true" applyProtection="true">
      <alignment horizontal="left" vertical="center" textRotation="0" wrapText="false" indent="0" shrinkToFit="false"/>
      <protection locked="false" hidden="false"/>
    </xf>
    <xf numFmtId="164" fontId="67" fillId="3" borderId="10" xfId="0" applyFont="true" applyBorder="true" applyAlignment="true" applyProtection="true">
      <alignment horizontal="left" vertical="center" textRotation="0" wrapText="false" indent="0" shrinkToFit="false"/>
      <protection locked="true" hidden="false"/>
    </xf>
    <xf numFmtId="164" fontId="53" fillId="3" borderId="8" xfId="0" applyFont="true" applyBorder="true" applyAlignment="true" applyProtection="true">
      <alignment horizontal="left" vertical="center" textRotation="0" wrapText="false" indent="0" shrinkToFit="false"/>
      <protection locked="true" hidden="false"/>
    </xf>
    <xf numFmtId="164" fontId="53" fillId="3" borderId="37" xfId="0" applyFont="true" applyBorder="true" applyAlignment="true" applyProtection="true">
      <alignment horizontal="left" vertical="center" textRotation="0" wrapText="false" indent="0" shrinkToFit="false"/>
      <protection locked="true" hidden="false"/>
    </xf>
    <xf numFmtId="164" fontId="53" fillId="3" borderId="15" xfId="0" applyFont="true" applyBorder="true" applyAlignment="true" applyProtection="true">
      <alignment horizontal="center" vertical="center" textRotation="0" wrapText="false" indent="0" shrinkToFit="false"/>
      <protection locked="true" hidden="false"/>
    </xf>
    <xf numFmtId="164" fontId="29" fillId="3" borderId="15" xfId="0" applyFont="true" applyBorder="true" applyAlignment="true" applyProtection="true">
      <alignment horizontal="center" vertical="center" textRotation="0" wrapText="false" indent="0" shrinkToFit="false"/>
      <protection locked="true" hidden="false"/>
    </xf>
    <xf numFmtId="176" fontId="29" fillId="3" borderId="35" xfId="0" applyFont="true" applyBorder="true" applyAlignment="true" applyProtection="true">
      <alignment horizontal="center" vertical="center" textRotation="0" wrapText="false" indent="0" shrinkToFit="false"/>
      <protection locked="true" hidden="false"/>
    </xf>
    <xf numFmtId="164" fontId="67" fillId="3" borderId="9" xfId="0" applyFont="true" applyBorder="true" applyAlignment="true" applyProtection="true">
      <alignment horizontal="center" vertical="center" textRotation="0" wrapText="false" indent="0" shrinkToFit="false"/>
      <protection locked="true" hidden="false"/>
    </xf>
    <xf numFmtId="164" fontId="53" fillId="3" borderId="9" xfId="0" applyFont="true" applyBorder="true" applyAlignment="true" applyProtection="true">
      <alignment horizontal="center" vertical="center" textRotation="0" wrapText="false" indent="0" shrinkToFit="false"/>
      <protection locked="true" hidden="false"/>
    </xf>
    <xf numFmtId="176" fontId="53" fillId="3" borderId="37" xfId="0" applyFont="true" applyBorder="true" applyAlignment="true" applyProtection="true">
      <alignment horizontal="center" vertical="center" textRotation="0" wrapText="false" indent="0" shrinkToFit="false"/>
      <protection locked="true" hidden="false"/>
    </xf>
    <xf numFmtId="164" fontId="53" fillId="2" borderId="7" xfId="0" applyFont="true" applyBorder="true" applyAlignment="true" applyProtection="true">
      <alignment horizontal="left" vertical="center" textRotation="0" wrapText="false" indent="0" shrinkToFit="false"/>
      <protection locked="false" hidden="false"/>
    </xf>
    <xf numFmtId="164" fontId="53" fillId="3" borderId="8" xfId="0" applyFont="true" applyBorder="true" applyAlignment="true" applyProtection="true">
      <alignment horizontal="right" vertical="center" textRotation="0" wrapText="false" indent="0" shrinkToFit="false"/>
      <protection locked="true" hidden="false"/>
    </xf>
    <xf numFmtId="176" fontId="29" fillId="3" borderId="15" xfId="0" applyFont="true" applyBorder="true" applyAlignment="true" applyProtection="true">
      <alignment horizontal="center" vertical="center" textRotation="0" wrapText="false" indent="0" shrinkToFit="false"/>
      <protection locked="true" hidden="false"/>
    </xf>
    <xf numFmtId="167" fontId="30" fillId="3" borderId="37" xfId="0" applyFont="true" applyBorder="true" applyAlignment="true" applyProtection="true">
      <alignment horizontal="center" vertical="center" textRotation="0" wrapText="false" indent="0" shrinkToFit="false"/>
      <protection locked="true" hidden="false"/>
    </xf>
    <xf numFmtId="167" fontId="30" fillId="3" borderId="6" xfId="0" applyFont="true" applyBorder="true" applyAlignment="true" applyProtection="true">
      <alignment horizontal="center" vertical="center" textRotation="0" wrapText="false" indent="0" shrinkToFit="false"/>
      <protection locked="true" hidden="false"/>
    </xf>
    <xf numFmtId="164" fontId="29" fillId="3" borderId="11" xfId="0" applyFont="true" applyBorder="true" applyAlignment="true" applyProtection="true">
      <alignment horizontal="center" vertical="center" textRotation="0" wrapText="false" indent="0" shrinkToFit="false"/>
      <protection locked="true" hidden="false"/>
    </xf>
    <xf numFmtId="167" fontId="30" fillId="3" borderId="62" xfId="0" applyFont="true" applyBorder="true" applyAlignment="true" applyProtection="true">
      <alignment horizontal="center" vertical="center" textRotation="0" wrapText="false" indent="0" shrinkToFit="false"/>
      <protection locked="true" hidden="false"/>
    </xf>
    <xf numFmtId="164" fontId="53" fillId="2" borderId="10" xfId="0" applyFont="true" applyBorder="true" applyAlignment="true" applyProtection="true">
      <alignment horizontal="left" vertical="center" textRotation="0" wrapText="false" indent="0" shrinkToFit="false"/>
      <protection locked="false" hidden="false"/>
    </xf>
    <xf numFmtId="164" fontId="67" fillId="3" borderId="8" xfId="0" applyFont="true" applyBorder="true" applyAlignment="true" applyProtection="true">
      <alignment horizontal="left" vertical="center" textRotation="0" wrapText="false" indent="0" shrinkToFit="false"/>
      <protection locked="true" hidden="false"/>
    </xf>
    <xf numFmtId="164" fontId="68" fillId="3" borderId="7" xfId="0" applyFont="true" applyBorder="true" applyAlignment="true" applyProtection="true">
      <alignment horizontal="left" vertical="center" textRotation="0" wrapText="false" indent="0" shrinkToFit="false"/>
      <protection locked="true" hidden="false"/>
    </xf>
    <xf numFmtId="164" fontId="53" fillId="3" borderId="8" xfId="0" applyFont="true" applyBorder="true" applyAlignment="true" applyProtection="true">
      <alignment horizontal="center" vertical="center" textRotation="0" wrapText="false" indent="0" shrinkToFit="false"/>
      <protection locked="true" hidden="false"/>
    </xf>
    <xf numFmtId="164" fontId="69" fillId="3" borderId="8" xfId="0" applyFont="true" applyBorder="true" applyAlignment="true" applyProtection="true">
      <alignment horizontal="right" vertical="center" textRotation="0" wrapText="false" indent="0" shrinkToFit="false"/>
      <protection locked="true" hidden="false"/>
    </xf>
    <xf numFmtId="167" fontId="30" fillId="3" borderId="5" xfId="0" applyFont="true" applyBorder="true" applyAlignment="true" applyProtection="true">
      <alignment horizontal="center" vertical="center" textRotation="0" wrapText="false" indent="0" shrinkToFit="false"/>
      <protection locked="true" hidden="false"/>
    </xf>
    <xf numFmtId="167" fontId="30" fillId="3" borderId="63" xfId="0" applyFont="true" applyBorder="true" applyAlignment="true" applyProtection="true">
      <alignment horizontal="center" vertical="center" textRotation="0" wrapText="false" indent="0" shrinkToFit="false"/>
      <protection locked="true" hidden="false"/>
    </xf>
    <xf numFmtId="164" fontId="53" fillId="3" borderId="35" xfId="0" applyFont="true" applyBorder="true" applyAlignment="true" applyProtection="true">
      <alignment horizontal="center" vertical="center" textRotation="0" wrapText="true" indent="0" shrinkToFit="false"/>
      <protection locked="true" hidden="false"/>
    </xf>
    <xf numFmtId="164" fontId="53" fillId="3" borderId="6" xfId="0" applyFont="true" applyBorder="true" applyAlignment="true" applyProtection="true">
      <alignment horizontal="center" vertical="center" textRotation="0" wrapText="true" indent="0" shrinkToFit="false"/>
      <protection locked="true" hidden="false"/>
    </xf>
    <xf numFmtId="176" fontId="53" fillId="3" borderId="37" xfId="0" applyFont="true" applyBorder="true" applyAlignment="true" applyProtection="true">
      <alignment horizontal="center" vertical="center" textRotation="0" wrapText="true" indent="0" shrinkToFit="false"/>
      <protection locked="true" hidden="false"/>
    </xf>
    <xf numFmtId="164" fontId="29" fillId="3" borderId="8" xfId="0" applyFont="true" applyBorder="true" applyAlignment="true" applyProtection="true">
      <alignment horizontal="center" vertical="center" textRotation="0" wrapText="true" indent="0" shrinkToFit="false"/>
      <protection locked="true" hidden="false"/>
    </xf>
    <xf numFmtId="164" fontId="29" fillId="3" borderId="7" xfId="0" applyFont="true" applyBorder="true" applyAlignment="true" applyProtection="true">
      <alignment horizontal="center" vertical="center" textRotation="0" wrapText="true" indent="0" shrinkToFit="false"/>
      <protection locked="true" hidden="false"/>
    </xf>
    <xf numFmtId="176" fontId="53" fillId="3" borderId="6" xfId="0" applyFont="true" applyBorder="true" applyAlignment="true" applyProtection="true">
      <alignment horizontal="center" vertical="center" textRotation="0" wrapText="true" indent="0" shrinkToFit="false"/>
      <protection locked="true" hidden="false"/>
    </xf>
    <xf numFmtId="164" fontId="29" fillId="3" borderId="6" xfId="0" applyFont="true" applyBorder="true" applyAlignment="true" applyProtection="true">
      <alignment horizontal="center" vertical="center" textRotation="0" wrapText="true" indent="0" shrinkToFit="false"/>
      <protection locked="true" hidden="false"/>
    </xf>
    <xf numFmtId="164" fontId="29" fillId="3" borderId="35" xfId="0" applyFont="true" applyBorder="true" applyAlignment="true" applyProtection="true">
      <alignment horizontal="center" vertical="center" textRotation="0" wrapText="true" indent="0" shrinkToFit="false"/>
      <protection locked="true" hidden="false"/>
    </xf>
    <xf numFmtId="176" fontId="53" fillId="3" borderId="35" xfId="0" applyFont="true" applyBorder="true" applyAlignment="true" applyProtection="true">
      <alignment horizontal="center" vertical="center" textRotation="0" wrapText="true" indent="0" shrinkToFit="false"/>
      <protection locked="true" hidden="false"/>
    </xf>
    <xf numFmtId="164" fontId="53" fillId="3" borderId="16" xfId="0" applyFont="true" applyBorder="true" applyAlignment="true" applyProtection="true">
      <alignment horizontal="center" vertical="center" textRotation="0" wrapText="true" indent="0" shrinkToFit="false"/>
      <protection locked="true" hidden="false"/>
    </xf>
    <xf numFmtId="164" fontId="53" fillId="3" borderId="15" xfId="0" applyFont="true" applyBorder="true" applyAlignment="true" applyProtection="true">
      <alignment horizontal="center" vertical="center" textRotation="0" wrapText="true" indent="0" shrinkToFit="false"/>
      <protection locked="true" hidden="false"/>
    </xf>
    <xf numFmtId="176" fontId="30" fillId="3" borderId="5" xfId="0" applyFont="true" applyBorder="true" applyAlignment="true" applyProtection="true">
      <alignment horizontal="center" vertical="center" textRotation="0" wrapText="false" indent="0" shrinkToFit="false"/>
      <protection locked="true" hidden="false"/>
    </xf>
    <xf numFmtId="164" fontId="53" fillId="2" borderId="6" xfId="0" applyFont="true" applyBorder="true" applyAlignment="true" applyProtection="true">
      <alignment horizontal="center" vertical="center" textRotation="0" wrapText="true" indent="0" shrinkToFit="false"/>
      <protection locked="false" hidden="false"/>
    </xf>
    <xf numFmtId="170" fontId="53" fillId="0" borderId="6" xfId="0" applyFont="true" applyBorder="true" applyAlignment="true" applyProtection="true">
      <alignment horizontal="center" vertical="center" textRotation="0" wrapText="true" indent="0" shrinkToFit="false"/>
      <protection locked="false" hidden="false"/>
    </xf>
    <xf numFmtId="170" fontId="30" fillId="3" borderId="6" xfId="0" applyFont="true" applyBorder="true" applyAlignment="true" applyProtection="true">
      <alignment horizontal="center" vertical="center" textRotation="0" wrapText="true" indent="0" shrinkToFit="false"/>
      <protection locked="true" hidden="false"/>
    </xf>
    <xf numFmtId="170" fontId="30" fillId="0" borderId="5" xfId="0" applyFont="true" applyBorder="true" applyAlignment="true" applyProtection="true">
      <alignment horizontal="general" vertical="center" textRotation="0" wrapText="true" indent="0" shrinkToFit="false"/>
      <protection locked="false" hidden="false"/>
    </xf>
    <xf numFmtId="170" fontId="53" fillId="0" borderId="5" xfId="0" applyFont="true" applyBorder="true" applyAlignment="true" applyProtection="true">
      <alignment horizontal="center" vertical="center" textRotation="0" wrapText="true" indent="0" shrinkToFit="false"/>
      <protection locked="false" hidden="false"/>
    </xf>
    <xf numFmtId="170" fontId="53" fillId="0" borderId="6" xfId="0" applyFont="true" applyBorder="true" applyAlignment="true" applyProtection="true">
      <alignment horizontal="center" vertical="center" textRotation="0" wrapText="true" indent="0" shrinkToFit="false"/>
      <protection locked="false" hidden="false"/>
    </xf>
    <xf numFmtId="164" fontId="53" fillId="0" borderId="35" xfId="0" applyFont="true" applyBorder="true" applyAlignment="true" applyProtection="true">
      <alignment horizontal="center" vertical="center" textRotation="0" wrapText="true" indent="0" shrinkToFit="false"/>
      <protection locked="false" hidden="false"/>
    </xf>
    <xf numFmtId="164" fontId="0" fillId="0" borderId="5" xfId="0" applyFont="true" applyBorder="true" applyAlignment="true" applyProtection="true">
      <alignment horizontal="center" vertical="center" textRotation="0" wrapText="true" indent="0" shrinkToFit="false"/>
      <protection locked="false" hidden="false"/>
    </xf>
    <xf numFmtId="164" fontId="0" fillId="0" borderId="6" xfId="0" applyFont="true" applyBorder="true" applyAlignment="true" applyProtection="true">
      <alignment horizontal="center" vertical="center" textRotation="0" wrapText="true" indent="0" shrinkToFit="false"/>
      <protection locked="false" hidden="false"/>
    </xf>
    <xf numFmtId="164" fontId="0" fillId="2" borderId="6" xfId="0" applyFont="true" applyBorder="true" applyAlignment="true" applyProtection="true">
      <alignment horizontal="center" vertical="center" textRotation="0" wrapText="true" indent="0" shrinkToFit="false"/>
      <protection locked="false" hidden="false"/>
    </xf>
    <xf numFmtId="170" fontId="38" fillId="3" borderId="5" xfId="0" applyFont="true" applyBorder="true" applyAlignment="true" applyProtection="true">
      <alignment horizontal="center" vertical="center" textRotation="0" wrapText="true" indent="0" shrinkToFit="false"/>
      <protection locked="true" hidden="false"/>
    </xf>
    <xf numFmtId="170" fontId="0" fillId="0" borderId="6" xfId="0" applyFont="true" applyBorder="true" applyAlignment="true" applyProtection="true">
      <alignment horizontal="center" vertical="center" textRotation="0" wrapText="true" indent="0" shrinkToFit="false"/>
      <protection locked="false" hidden="false"/>
    </xf>
    <xf numFmtId="170" fontId="38" fillId="3" borderId="6" xfId="0" applyFont="true" applyBorder="true" applyAlignment="true" applyProtection="true">
      <alignment horizontal="center" vertical="center" textRotation="0" wrapText="true" indent="0" shrinkToFit="false"/>
      <protection locked="true" hidden="false"/>
    </xf>
    <xf numFmtId="170" fontId="38" fillId="3" borderId="11" xfId="0" applyFont="true" applyBorder="true" applyAlignment="true" applyProtection="true">
      <alignment horizontal="center" vertical="center" textRotation="0" wrapText="true" indent="0" shrinkToFit="false"/>
      <protection locked="true" hidden="false"/>
    </xf>
    <xf numFmtId="170" fontId="0" fillId="0" borderId="5" xfId="0" applyFont="true" applyBorder="true" applyAlignment="true" applyProtection="true">
      <alignment horizontal="general" vertical="center" textRotation="0" wrapText="true" indent="0" shrinkToFit="false"/>
      <protection locked="false" hidden="false"/>
    </xf>
    <xf numFmtId="170" fontId="0" fillId="0" borderId="5" xfId="0" applyFont="true" applyBorder="true" applyAlignment="true" applyProtection="true">
      <alignment horizontal="center" vertical="center" textRotation="0" wrapText="true" indent="0" shrinkToFit="false"/>
      <protection locked="false" hidden="false"/>
    </xf>
    <xf numFmtId="170" fontId="0" fillId="0" borderId="6" xfId="0" applyFont="true" applyBorder="true" applyAlignment="true" applyProtection="true">
      <alignment horizontal="center" vertical="center" textRotation="0" wrapText="true" indent="0" shrinkToFit="false"/>
      <protection locked="false" hidden="false"/>
    </xf>
    <xf numFmtId="164" fontId="0" fillId="0" borderId="35" xfId="0" applyFont="true" applyBorder="true" applyAlignment="true" applyProtection="true">
      <alignment horizontal="center" vertical="center" textRotation="0" wrapText="true" indent="0" shrinkToFit="false"/>
      <protection locked="false" hidden="false"/>
    </xf>
    <xf numFmtId="167" fontId="38" fillId="3" borderId="5" xfId="0" applyFont="true" applyBorder="true" applyAlignment="true" applyProtection="true">
      <alignment horizontal="center" vertical="center" textRotation="0" wrapText="true" indent="0" shrinkToFit="false"/>
      <protection locked="true" hidden="false"/>
    </xf>
    <xf numFmtId="167" fontId="38" fillId="3" borderId="8" xfId="0" applyFont="true" applyBorder="true" applyAlignment="true" applyProtection="true">
      <alignment horizontal="center" vertical="center" textRotation="0" wrapText="true" indent="0" shrinkToFit="false"/>
      <protection locked="true" hidden="false"/>
    </xf>
    <xf numFmtId="170" fontId="38" fillId="3" borderId="23" xfId="0" applyFont="true" applyBorder="true" applyAlignment="true" applyProtection="true">
      <alignment horizontal="center" vertical="center" textRotation="0" wrapText="true" indent="0" shrinkToFit="false"/>
      <protection locked="true" hidden="false"/>
    </xf>
    <xf numFmtId="170" fontId="0" fillId="0" borderId="5" xfId="0" applyFont="true" applyBorder="true" applyAlignment="true" applyProtection="true">
      <alignment horizontal="center" vertical="center" textRotation="0" wrapText="true" indent="0" shrinkToFit="false"/>
      <protection locked="false" hidden="false"/>
    </xf>
    <xf numFmtId="164" fontId="0" fillId="0" borderId="5" xfId="0" applyFont="true" applyBorder="true" applyAlignment="true" applyProtection="true">
      <alignment horizontal="general" vertical="center" textRotation="0" wrapText="true" indent="0" shrinkToFit="false"/>
      <protection locked="false" hidden="false"/>
    </xf>
    <xf numFmtId="164" fontId="0" fillId="0" borderId="7" xfId="0" applyFont="true" applyBorder="true" applyAlignment="true" applyProtection="true">
      <alignment horizontal="center" vertical="center" textRotation="0" wrapText="true" indent="0" shrinkToFit="false"/>
      <protection locked="false" hidden="false"/>
    </xf>
    <xf numFmtId="164" fontId="0" fillId="0" borderId="0" xfId="0" applyFont="true" applyBorder="true" applyAlignment="true" applyProtection="true">
      <alignment horizontal="center" vertical="center" textRotation="0" wrapText="true" indent="0" shrinkToFit="false"/>
      <protection locked="true" hidden="false"/>
    </xf>
    <xf numFmtId="170" fontId="0" fillId="0" borderId="0" xfId="0" applyFont="true" applyBorder="true" applyAlignment="true" applyProtection="true">
      <alignment horizontal="center" vertical="center" textRotation="0" wrapText="true" indent="0" shrinkToFit="false"/>
      <protection locked="true" hidden="false"/>
    </xf>
    <xf numFmtId="164" fontId="70" fillId="0" borderId="0" xfId="0" applyFont="true" applyBorder="false" applyAlignment="true" applyProtection="true">
      <alignment horizontal="center" vertical="center" textRotation="0" wrapText="true" indent="0" shrinkToFit="false"/>
      <protection locked="true" hidden="false"/>
    </xf>
    <xf numFmtId="164" fontId="70"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center" textRotation="0" wrapText="false" indent="0" shrinkToFit="false"/>
      <protection locked="false" hidden="false"/>
    </xf>
    <xf numFmtId="164" fontId="43" fillId="3" borderId="0" xfId="0" applyFont="true" applyBorder="false" applyAlignment="false" applyProtection="true">
      <alignment horizontal="general" vertical="center" textRotation="0" wrapText="false" indent="0" shrinkToFit="false"/>
      <protection locked="true" hidden="false"/>
    </xf>
    <xf numFmtId="164" fontId="0" fillId="3" borderId="0" xfId="0" applyFont="true" applyBorder="false" applyAlignment="false" applyProtection="true">
      <alignment horizontal="general" vertical="center" textRotation="0" wrapText="false" indent="0" shrinkToFit="false"/>
      <protection locked="false" hidden="false"/>
    </xf>
    <xf numFmtId="164" fontId="72" fillId="3" borderId="5" xfId="0" applyFont="true" applyBorder="true" applyAlignment="true" applyProtection="true">
      <alignment horizontal="center" vertical="center" textRotation="0" wrapText="false" indent="0" shrinkToFit="false"/>
      <protection locked="true" hidden="false"/>
    </xf>
    <xf numFmtId="170" fontId="73" fillId="3" borderId="5" xfId="22" applyFont="true" applyBorder="true" applyAlignment="true" applyProtection="true">
      <alignment horizontal="center" vertical="center" textRotation="0" wrapText="false" indent="0" shrinkToFit="false"/>
      <protection locked="true" hidden="false"/>
    </xf>
    <xf numFmtId="164" fontId="0" fillId="5" borderId="0" xfId="0" applyFont="true" applyBorder="false" applyAlignment="false" applyProtection="true">
      <alignment horizontal="general" vertical="center" textRotation="0" wrapText="false" indent="0" shrinkToFit="false"/>
      <protection locked="false" hidden="false"/>
    </xf>
    <xf numFmtId="164" fontId="0" fillId="3" borderId="47" xfId="0" applyFont="true" applyBorder="true" applyAlignment="false" applyProtection="true">
      <alignment horizontal="general" vertical="center" textRotation="0" wrapText="false" indent="0" shrinkToFit="false"/>
      <protection locked="true" hidden="false"/>
    </xf>
    <xf numFmtId="164" fontId="0" fillId="3" borderId="64" xfId="0" applyFont="true" applyBorder="true" applyAlignment="false" applyProtection="true">
      <alignment horizontal="general" vertical="center" textRotation="0" wrapText="false" indent="0" shrinkToFit="false"/>
      <protection locked="true" hidden="false"/>
    </xf>
    <xf numFmtId="164" fontId="72" fillId="3" borderId="50" xfId="0" applyFont="true" applyBorder="true" applyAlignment="true" applyProtection="true">
      <alignment horizontal="center" vertical="center" textRotation="0" wrapText="false" indent="0" shrinkToFit="false"/>
      <protection locked="true" hidden="false"/>
    </xf>
    <xf numFmtId="164" fontId="0" fillId="5" borderId="0" xfId="0" applyFont="true" applyBorder="false" applyAlignment="true" applyProtection="true">
      <alignment horizontal="center" vertical="center" textRotation="0" wrapText="false" indent="0" shrinkToFit="false"/>
      <protection locked="false" hidden="false"/>
    </xf>
    <xf numFmtId="164" fontId="72" fillId="3" borderId="11" xfId="0" applyFont="true" applyBorder="true" applyAlignment="true" applyProtection="true">
      <alignment horizontal="center" vertical="center" textRotation="0" wrapText="false" indent="0" shrinkToFit="false"/>
      <protection locked="true" hidden="false"/>
    </xf>
    <xf numFmtId="167" fontId="28" fillId="3" borderId="11" xfId="0" applyFont="true" applyBorder="true" applyAlignment="true" applyProtection="true">
      <alignment horizontal="general" vertical="center" textRotation="0" wrapText="false" indent="0" shrinkToFit="false"/>
      <protection locked="true" hidden="false"/>
    </xf>
    <xf numFmtId="164" fontId="0" fillId="3" borderId="65" xfId="0" applyFont="true" applyBorder="true" applyAlignment="false" applyProtection="true">
      <alignment horizontal="general" vertical="center" textRotation="0" wrapText="false" indent="0" shrinkToFit="false"/>
      <protection locked="true" hidden="false"/>
    </xf>
    <xf numFmtId="164" fontId="4" fillId="3" borderId="5" xfId="0" applyFont="true" applyBorder="true" applyAlignment="false" applyProtection="true">
      <alignment horizontal="general" vertical="center" textRotation="0" wrapText="false" indent="0" shrinkToFit="false"/>
      <protection locked="true" hidden="false"/>
    </xf>
    <xf numFmtId="167" fontId="38" fillId="3" borderId="23" xfId="0" applyFont="true" applyBorder="true" applyAlignment="true" applyProtection="true">
      <alignment horizontal="center" vertical="center" textRotation="0" wrapText="false" indent="0" shrinkToFit="false"/>
      <protection locked="true" hidden="false"/>
    </xf>
    <xf numFmtId="164" fontId="74" fillId="3" borderId="57" xfId="0" applyFont="true" applyBorder="true" applyAlignment="true" applyProtection="true">
      <alignment horizontal="center" vertical="center" textRotation="0" wrapText="false" indent="0" shrinkToFit="false"/>
      <protection locked="true" hidden="false"/>
    </xf>
    <xf numFmtId="164" fontId="72" fillId="3" borderId="58" xfId="0" applyFont="true" applyBorder="true" applyAlignment="true" applyProtection="true">
      <alignment horizontal="center" vertical="center" textRotation="0" wrapText="false" indent="0" shrinkToFit="false"/>
      <protection locked="true" hidden="false"/>
    </xf>
    <xf numFmtId="170" fontId="73" fillId="3" borderId="59" xfId="22" applyFont="true" applyBorder="true" applyAlignment="true" applyProtection="true">
      <alignment horizontal="center" vertical="center" textRotation="0" wrapText="false" indent="0" shrinkToFit="false"/>
      <protection locked="true" hidden="false"/>
    </xf>
    <xf numFmtId="164" fontId="4" fillId="3" borderId="66" xfId="0" applyFont="true" applyBorder="true" applyAlignment="false" applyProtection="true">
      <alignment horizontal="general" vertical="center" textRotation="0" wrapText="false" indent="0" shrinkToFit="false"/>
      <protection locked="true" hidden="false"/>
    </xf>
    <xf numFmtId="164" fontId="38" fillId="3" borderId="65" xfId="0" applyFont="true" applyBorder="true" applyAlignment="true" applyProtection="true">
      <alignment horizontal="general" vertical="center" textRotation="0" wrapText="false" indent="0" shrinkToFit="false"/>
      <protection locked="true" hidden="false"/>
    </xf>
    <xf numFmtId="164" fontId="4" fillId="3" borderId="5" xfId="0" applyFont="true" applyBorder="true" applyAlignment="true" applyProtection="true">
      <alignment horizontal="center" vertical="center" textRotation="0" wrapText="false" indent="0" shrinkToFit="false"/>
      <protection locked="true" hidden="false"/>
    </xf>
    <xf numFmtId="167" fontId="38" fillId="3" borderId="5" xfId="0" applyFont="true" applyBorder="true" applyAlignment="true" applyProtection="true">
      <alignment horizontal="general" vertical="center" textRotation="0" wrapText="false" indent="0" shrinkToFit="false"/>
      <protection locked="true" hidden="false"/>
    </xf>
    <xf numFmtId="170" fontId="38" fillId="3" borderId="23" xfId="0" applyFont="true" applyBorder="true" applyAlignment="true" applyProtection="true">
      <alignment horizontal="general" vertical="center" textRotation="0" wrapText="false" indent="0" shrinkToFit="false"/>
      <protection locked="true" hidden="false"/>
    </xf>
    <xf numFmtId="164" fontId="0" fillId="3" borderId="67" xfId="0" applyFont="true" applyBorder="true" applyAlignment="true" applyProtection="true">
      <alignment horizontal="general" vertical="center" textRotation="0" wrapText="false" indent="0" shrinkToFit="false"/>
      <protection locked="true" hidden="false"/>
    </xf>
    <xf numFmtId="164" fontId="4" fillId="3" borderId="68" xfId="0" applyFont="true" applyBorder="true" applyAlignment="false" applyProtection="true">
      <alignment horizontal="general" vertical="center" textRotation="0" wrapText="false" indent="0" shrinkToFit="false"/>
      <protection locked="true" hidden="false"/>
    </xf>
    <xf numFmtId="164" fontId="4" fillId="3" borderId="11" xfId="0" applyFont="true" applyBorder="true" applyAlignment="false" applyProtection="true">
      <alignment horizontal="general" vertical="center" textRotation="0" wrapText="false" indent="0" shrinkToFit="false"/>
      <protection locked="true" hidden="false"/>
    </xf>
    <xf numFmtId="167" fontId="38" fillId="3" borderId="63" xfId="0" applyFont="true" applyBorder="true" applyAlignment="true" applyProtection="true">
      <alignment horizontal="center" vertical="center" textRotation="0" wrapText="false" indent="0" shrinkToFit="false"/>
      <protection locked="true" hidden="false"/>
    </xf>
    <xf numFmtId="164" fontId="0" fillId="3" borderId="57" xfId="0" applyFont="true" applyBorder="true" applyAlignment="true" applyProtection="true">
      <alignment horizontal="center" vertical="center" textRotation="0" wrapText="false" indent="0" shrinkToFit="false"/>
      <protection locked="true" hidden="false"/>
    </xf>
    <xf numFmtId="170" fontId="72" fillId="3" borderId="59" xfId="22" applyFont="true" applyBorder="true" applyAlignment="true" applyProtection="true">
      <alignment horizontal="center" vertical="center" textRotation="0" wrapText="false" indent="0" shrinkToFit="false"/>
      <protection locked="true" hidden="false"/>
    </xf>
    <xf numFmtId="164" fontId="4" fillId="3" borderId="69" xfId="0" applyFont="true" applyBorder="true" applyAlignment="false" applyProtection="true">
      <alignment horizontal="general" vertical="center" textRotation="0" wrapText="false" indent="0" shrinkToFit="false"/>
      <protection locked="true" hidden="false"/>
    </xf>
    <xf numFmtId="164" fontId="0" fillId="3" borderId="70" xfId="0" applyFont="true" applyBorder="true" applyAlignment="false" applyProtection="true">
      <alignment horizontal="general" vertical="center" textRotation="0" wrapText="false" indent="0" shrinkToFit="false"/>
      <protection locked="true" hidden="false"/>
    </xf>
    <xf numFmtId="164" fontId="0" fillId="0" borderId="71" xfId="0" applyFont="true" applyBorder="true" applyAlignment="true" applyProtection="true">
      <alignment horizontal="center" vertical="center" textRotation="0" wrapText="false" indent="0" shrinkToFit="false"/>
      <protection locked="false" hidden="false"/>
    </xf>
    <xf numFmtId="164" fontId="4" fillId="3" borderId="11" xfId="0" applyFont="true" applyBorder="true" applyAlignment="true" applyProtection="true">
      <alignment horizontal="general" vertical="center" textRotation="0" wrapText="false" indent="0" shrinkToFit="false"/>
      <protection locked="true" hidden="false"/>
    </xf>
    <xf numFmtId="164" fontId="4" fillId="3" borderId="5" xfId="0" applyFont="true" applyBorder="true" applyAlignment="true" applyProtection="true">
      <alignment horizontal="general" vertical="center" textRotation="0" wrapText="false" indent="0" shrinkToFit="false"/>
      <protection locked="true" hidden="false"/>
    </xf>
    <xf numFmtId="167" fontId="38" fillId="3" borderId="23" xfId="0" applyFont="true" applyBorder="true" applyAlignment="true" applyProtection="true">
      <alignment horizontal="general" vertical="center" textRotation="0" wrapText="false" indent="0" shrinkToFit="false"/>
      <protection locked="true" hidden="false"/>
    </xf>
    <xf numFmtId="164" fontId="0" fillId="5" borderId="0" xfId="0" applyFont="true" applyBorder="true" applyAlignment="false" applyProtection="true">
      <alignment horizontal="general" vertical="center" textRotation="0" wrapText="false" indent="0" shrinkToFit="false"/>
      <protection locked="false" hidden="false"/>
    </xf>
    <xf numFmtId="164" fontId="0" fillId="3" borderId="68" xfId="0" applyFont="true" applyBorder="true" applyAlignment="true" applyProtection="true">
      <alignment horizontal="general" vertical="center" textRotation="0" wrapText="false" indent="0" shrinkToFit="false"/>
      <protection locked="true" hidden="false"/>
    </xf>
    <xf numFmtId="164" fontId="0" fillId="3" borderId="16" xfId="0" applyFont="true" applyBorder="true" applyAlignment="true" applyProtection="true">
      <alignment horizontal="general" vertical="center" textRotation="0" wrapText="false" indent="0" shrinkToFit="false"/>
      <protection locked="true" hidden="false"/>
    </xf>
    <xf numFmtId="164" fontId="38" fillId="0" borderId="23" xfId="0" applyFont="true" applyBorder="true" applyAlignment="true" applyProtection="true">
      <alignment horizontal="general" vertical="center" textRotation="0" wrapText="false" indent="0" shrinkToFit="false"/>
      <protection locked="false" hidden="false"/>
    </xf>
    <xf numFmtId="167" fontId="38" fillId="3" borderId="63" xfId="0" applyFont="true" applyBorder="true" applyAlignment="true" applyProtection="true">
      <alignment horizontal="general" vertical="center" textRotation="0" wrapText="false" indent="0" shrinkToFit="false"/>
      <protection locked="true" hidden="false"/>
    </xf>
    <xf numFmtId="164" fontId="72" fillId="3" borderId="47" xfId="0" applyFont="true" applyBorder="true" applyAlignment="false" applyProtection="true">
      <alignment horizontal="general" vertical="center" textRotation="0" wrapText="false" indent="0" shrinkToFit="false"/>
      <protection locked="true" hidden="false"/>
    </xf>
    <xf numFmtId="164" fontId="0" fillId="3" borderId="50" xfId="0" applyFont="true" applyBorder="true" applyAlignment="false" applyProtection="true">
      <alignment horizontal="general" vertical="center" textRotation="0" wrapText="false" indent="0" shrinkToFit="false"/>
      <protection locked="true" hidden="false"/>
    </xf>
    <xf numFmtId="164" fontId="72" fillId="3" borderId="48" xfId="0" applyFont="true" applyBorder="true" applyAlignment="true" applyProtection="true">
      <alignment horizontal="center" vertical="center" textRotation="0" wrapText="false" indent="0" shrinkToFit="false"/>
      <protection locked="true" hidden="false"/>
    </xf>
    <xf numFmtId="164" fontId="38" fillId="3" borderId="17" xfId="0" applyFont="true" applyBorder="true" applyAlignment="true" applyProtection="true">
      <alignment horizontal="general" vertical="center" textRotation="0" wrapText="false" indent="0" shrinkToFit="false"/>
      <protection locked="true" hidden="false"/>
    </xf>
    <xf numFmtId="164" fontId="4" fillId="3" borderId="72" xfId="0" applyFont="true" applyBorder="true" applyAlignment="false" applyProtection="true">
      <alignment horizontal="general" vertical="center" textRotation="0" wrapText="false" indent="0" shrinkToFit="false"/>
      <protection locked="true" hidden="false"/>
    </xf>
    <xf numFmtId="164" fontId="4" fillId="3" borderId="18" xfId="0" applyFont="true" applyBorder="true" applyAlignment="true" applyProtection="true">
      <alignment horizontal="general" vertical="center" textRotation="0" wrapText="false" indent="0" shrinkToFit="false"/>
      <protection locked="true" hidden="false"/>
    </xf>
    <xf numFmtId="164" fontId="72" fillId="3" borderId="72" xfId="0" applyFont="true" applyBorder="true" applyAlignment="true" applyProtection="true">
      <alignment horizontal="center" vertical="center" textRotation="0" wrapText="false" indent="0" shrinkToFit="false"/>
      <protection locked="true" hidden="false"/>
    </xf>
    <xf numFmtId="170" fontId="73" fillId="3" borderId="73" xfId="22" applyFont="true" applyBorder="true" applyAlignment="true" applyProtection="true">
      <alignment horizontal="center" vertical="center" textRotation="0" wrapText="false" indent="0" shrinkToFit="false"/>
      <protection locked="true" hidden="false"/>
    </xf>
    <xf numFmtId="170" fontId="73" fillId="3" borderId="64" xfId="22" applyFont="true" applyBorder="true" applyAlignment="true" applyProtection="true">
      <alignment horizontal="center" vertical="center" textRotation="0" wrapText="false" indent="0" shrinkToFit="false"/>
      <protection locked="true" hidden="false"/>
    </xf>
    <xf numFmtId="170" fontId="73" fillId="3" borderId="50" xfId="22" applyFont="true" applyBorder="true" applyAlignment="true" applyProtection="true">
      <alignment horizontal="center" vertical="center" textRotation="0" wrapText="false" indent="0" shrinkToFit="false"/>
      <protection locked="true" hidden="false"/>
    </xf>
    <xf numFmtId="164" fontId="72" fillId="3" borderId="74" xfId="0" applyFont="true" applyBorder="true" applyAlignment="true" applyProtection="true">
      <alignment horizontal="right" vertical="center" textRotation="0" wrapText="false" indent="0" shrinkToFit="false"/>
      <protection locked="true" hidden="false"/>
    </xf>
    <xf numFmtId="176" fontId="72" fillId="2" borderId="23" xfId="0" applyFont="true" applyBorder="true" applyAlignment="true" applyProtection="true">
      <alignment horizontal="center" vertical="center" textRotation="0" wrapText="false" indent="0" shrinkToFit="false"/>
      <protection locked="false" hidden="false"/>
    </xf>
    <xf numFmtId="164" fontId="4" fillId="3" borderId="46" xfId="0" applyFont="true" applyBorder="true" applyAlignment="true" applyProtection="true">
      <alignment horizontal="center" vertical="center" textRotation="0" wrapText="false" indent="0" shrinkToFit="false"/>
      <protection locked="true" hidden="false"/>
    </xf>
    <xf numFmtId="164" fontId="4" fillId="3" borderId="7" xfId="0" applyFont="true" applyBorder="true" applyAlignment="false" applyProtection="true">
      <alignment horizontal="general" vertical="center" textRotation="0" wrapText="false" indent="0" shrinkToFit="false"/>
      <protection locked="true" hidden="false"/>
    </xf>
    <xf numFmtId="164" fontId="0" fillId="3" borderId="8" xfId="0" applyFont="true" applyBorder="true" applyAlignment="false" applyProtection="true">
      <alignment horizontal="general" vertical="center" textRotation="0" wrapText="false" indent="0" shrinkToFit="false"/>
      <protection locked="true" hidden="false"/>
    </xf>
    <xf numFmtId="164" fontId="0" fillId="3" borderId="6" xfId="0" applyFont="true" applyBorder="true" applyAlignment="true" applyProtection="true">
      <alignment horizontal="general" vertical="center" textRotation="0" wrapText="false" indent="0" shrinkToFit="false"/>
      <protection locked="true" hidden="false"/>
    </xf>
    <xf numFmtId="164" fontId="0" fillId="3" borderId="0" xfId="0" applyFont="true" applyBorder="true" applyAlignment="true" applyProtection="true">
      <alignment horizontal="general" vertical="center" textRotation="0" wrapText="false" indent="0" shrinkToFit="false"/>
      <protection locked="true" hidden="false"/>
    </xf>
    <xf numFmtId="164" fontId="74" fillId="3" borderId="6" xfId="0" applyFont="true" applyBorder="true" applyAlignment="true" applyProtection="true">
      <alignment horizontal="center" vertical="center" textRotation="0" wrapText="false" indent="0" shrinkToFit="false"/>
      <protection locked="true" hidden="false"/>
    </xf>
    <xf numFmtId="170" fontId="65" fillId="3" borderId="6" xfId="22" applyFont="true" applyBorder="true" applyAlignment="true" applyProtection="true">
      <alignment horizontal="center" vertical="center" textRotation="0" wrapText="false" indent="0" shrinkToFit="false"/>
      <protection locked="true" hidden="false"/>
    </xf>
    <xf numFmtId="164" fontId="4" fillId="3" borderId="37" xfId="0" applyFont="true" applyBorder="true" applyAlignment="true" applyProtection="true">
      <alignment horizontal="center" vertical="center" textRotation="0" wrapText="false" indent="0" shrinkToFit="false"/>
      <protection locked="true" hidden="false"/>
    </xf>
    <xf numFmtId="164" fontId="4" fillId="3" borderId="62" xfId="0" applyFont="true" applyBorder="true" applyAlignment="true" applyProtection="true">
      <alignment horizontal="center" vertical="center" textRotation="0" wrapText="false" indent="0" shrinkToFit="false"/>
      <protection locked="true" hidden="false"/>
    </xf>
    <xf numFmtId="164" fontId="4" fillId="3" borderId="22" xfId="0" applyFont="true" applyBorder="true" applyAlignment="true" applyProtection="true">
      <alignment horizontal="center" vertical="center" textRotation="0" wrapText="false" indent="0" shrinkToFit="false"/>
      <protection locked="true" hidden="false"/>
    </xf>
    <xf numFmtId="176" fontId="4" fillId="3" borderId="23" xfId="0" applyFont="true" applyBorder="true" applyAlignment="true" applyProtection="true">
      <alignment horizontal="center" vertical="center" textRotation="0" wrapText="false" indent="0" shrinkToFit="false"/>
      <protection locked="true" hidden="false"/>
    </xf>
    <xf numFmtId="164" fontId="4" fillId="3" borderId="5" xfId="0" applyFont="true" applyBorder="true" applyAlignment="true" applyProtection="true">
      <alignment horizontal="left" vertical="center" textRotation="0" wrapText="false" indent="0" shrinkToFit="false"/>
      <protection locked="true" hidden="false"/>
    </xf>
    <xf numFmtId="164" fontId="4" fillId="3" borderId="23" xfId="0" applyFont="true" applyBorder="true" applyAlignment="true" applyProtection="true">
      <alignment horizontal="center" vertical="center" textRotation="0" wrapText="false" indent="0" shrinkToFit="false"/>
      <protection locked="true" hidden="false"/>
    </xf>
    <xf numFmtId="164" fontId="0" fillId="3" borderId="20" xfId="0" applyFont="true" applyBorder="true" applyAlignment="false" applyProtection="true">
      <alignment horizontal="general" vertical="center" textRotation="0" wrapText="false" indent="0" shrinkToFit="false"/>
      <protection locked="true" hidden="false"/>
    </xf>
    <xf numFmtId="175" fontId="29" fillId="0" borderId="5" xfId="22" applyFont="true" applyBorder="true" applyAlignment="true" applyProtection="true">
      <alignment horizontal="general" vertical="center" textRotation="0" wrapText="false" indent="0" shrinkToFit="false"/>
      <protection locked="false" hidden="true"/>
    </xf>
    <xf numFmtId="170" fontId="38" fillId="3" borderId="5" xfId="0" applyFont="true" applyBorder="true" applyAlignment="true" applyProtection="true">
      <alignment horizontal="general" vertical="center" textRotation="0" wrapText="false" indent="0" shrinkToFit="false"/>
      <protection locked="true" hidden="false"/>
    </xf>
    <xf numFmtId="167" fontId="30" fillId="0" borderId="8" xfId="0" applyFont="true" applyBorder="true" applyAlignment="false" applyProtection="true">
      <alignment horizontal="general" vertical="center" textRotation="0" wrapText="false" indent="0" shrinkToFit="false"/>
      <protection locked="false" hidden="false"/>
    </xf>
    <xf numFmtId="164" fontId="53" fillId="0" borderId="23" xfId="0" applyFont="true" applyBorder="true" applyAlignment="false" applyProtection="true">
      <alignment horizontal="general" vertical="center" textRotation="0" wrapText="false" indent="0" shrinkToFit="false"/>
      <protection locked="false" hidden="false"/>
    </xf>
    <xf numFmtId="167" fontId="38" fillId="3" borderId="22" xfId="0" applyFont="true" applyBorder="true" applyAlignment="true" applyProtection="true">
      <alignment horizontal="general" vertical="center" textRotation="0" wrapText="false" indent="0" shrinkToFit="false"/>
      <protection locked="true" hidden="false"/>
    </xf>
    <xf numFmtId="167" fontId="38" fillId="3" borderId="22" xfId="0" applyFont="true" applyBorder="true" applyAlignment="false" applyProtection="true">
      <alignment horizontal="general" vertical="center" textRotation="0" wrapText="false" indent="0" shrinkToFit="false"/>
      <protection locked="true" hidden="false"/>
    </xf>
    <xf numFmtId="167" fontId="38" fillId="3" borderId="23" xfId="0" applyFont="true" applyBorder="true" applyAlignment="false" applyProtection="true">
      <alignment horizontal="general" vertical="center" textRotation="0" wrapText="false" indent="0" shrinkToFit="false"/>
      <protection locked="true" hidden="false"/>
    </xf>
    <xf numFmtId="164" fontId="0" fillId="0" borderId="22" xfId="0" applyFont="true" applyBorder="true" applyAlignment="false" applyProtection="true">
      <alignment horizontal="general" vertical="center" textRotation="0" wrapText="false" indent="0" shrinkToFit="false"/>
      <protection locked="false" hidden="false"/>
    </xf>
    <xf numFmtId="164" fontId="0" fillId="0" borderId="5" xfId="0" applyFont="true" applyBorder="true" applyAlignment="false" applyProtection="true">
      <alignment horizontal="general" vertical="center" textRotation="0" wrapText="false" indent="0" shrinkToFit="false"/>
      <protection locked="false" hidden="false"/>
    </xf>
    <xf numFmtId="170" fontId="38" fillId="3" borderId="5" xfId="0" applyFont="true" applyBorder="true" applyAlignment="false" applyProtection="true">
      <alignment horizontal="general" vertical="center" textRotation="0" wrapText="false" indent="0" shrinkToFit="false"/>
      <protection locked="true" hidden="false"/>
    </xf>
    <xf numFmtId="164" fontId="0" fillId="3" borderId="20" xfId="0" applyFont="true" applyBorder="true" applyAlignment="true" applyProtection="true">
      <alignment horizontal="general" vertical="center" textRotation="0" wrapText="false" indent="0" shrinkToFit="false"/>
      <protection locked="true" hidden="false"/>
    </xf>
    <xf numFmtId="175" fontId="4" fillId="0" borderId="5" xfId="22" applyFont="true" applyBorder="true" applyAlignment="true" applyProtection="true">
      <alignment horizontal="general" vertical="center" textRotation="0" wrapText="false" indent="0" shrinkToFit="false"/>
      <protection locked="false" hidden="false"/>
    </xf>
    <xf numFmtId="164" fontId="0" fillId="0" borderId="39" xfId="0" applyFont="true" applyBorder="true" applyAlignment="false" applyProtection="true">
      <alignment horizontal="general" vertical="center" textRotation="0" wrapText="false" indent="0" shrinkToFit="false"/>
      <protection locked="false" hidden="false"/>
    </xf>
    <xf numFmtId="164" fontId="0" fillId="0" borderId="63" xfId="0" applyFont="true" applyBorder="true" applyAlignment="false" applyProtection="true">
      <alignment horizontal="general" vertical="center" textRotation="0" wrapText="false" indent="0" shrinkToFit="false"/>
      <protection locked="false" hidden="false"/>
    </xf>
    <xf numFmtId="175" fontId="4" fillId="0" borderId="8" xfId="22" applyFont="true" applyBorder="true" applyAlignment="true" applyProtection="true">
      <alignment horizontal="general" vertical="center" textRotation="0" wrapText="false" indent="0" shrinkToFit="false"/>
      <protection locked="false" hidden="false"/>
    </xf>
    <xf numFmtId="167" fontId="38" fillId="3" borderId="63" xfId="0" applyFont="true" applyBorder="true" applyAlignment="false" applyProtection="true">
      <alignment horizontal="general" vertical="center" textRotation="0" wrapText="false" indent="0" shrinkToFit="false"/>
      <protection locked="true" hidden="false"/>
    </xf>
    <xf numFmtId="164" fontId="0" fillId="0" borderId="65" xfId="0" applyFont="true" applyBorder="true" applyAlignment="false" applyProtection="true">
      <alignment horizontal="general" vertical="center" textRotation="0" wrapText="false" indent="0" shrinkToFit="false"/>
      <protection locked="false" hidden="false"/>
    </xf>
    <xf numFmtId="164" fontId="0" fillId="0" borderId="11" xfId="0" applyFont="true" applyBorder="true" applyAlignment="false" applyProtection="true">
      <alignment horizontal="general" vertical="center" textRotation="0" wrapText="false" indent="0" shrinkToFit="false"/>
      <protection locked="false" hidden="false"/>
    </xf>
    <xf numFmtId="164" fontId="72" fillId="3" borderId="8" xfId="0" applyFont="true" applyBorder="true" applyAlignment="true" applyProtection="true">
      <alignment horizontal="left" vertical="center" textRotation="0" wrapText="false" indent="0" shrinkToFit="false"/>
      <protection locked="true" hidden="false"/>
    </xf>
    <xf numFmtId="170" fontId="28" fillId="3" borderId="5" xfId="0" applyFont="true" applyBorder="true" applyAlignment="true" applyProtection="true">
      <alignment horizontal="general" vertical="center" textRotation="0" wrapText="false" indent="0" shrinkToFit="false"/>
      <protection locked="true" hidden="false"/>
    </xf>
    <xf numFmtId="170" fontId="28" fillId="3" borderId="5" xfId="0" applyFont="true" applyBorder="true" applyAlignment="true" applyProtection="true">
      <alignment horizontal="center" vertical="center" textRotation="0" wrapText="false" indent="0" shrinkToFit="false"/>
      <protection locked="true" hidden="false"/>
    </xf>
    <xf numFmtId="170" fontId="28" fillId="3" borderId="23" xfId="0" applyFont="true" applyBorder="true" applyAlignment="true" applyProtection="true">
      <alignment horizontal="general" vertical="center" textRotation="0" wrapText="false" indent="0" shrinkToFit="false"/>
      <protection locked="true" hidden="false"/>
    </xf>
    <xf numFmtId="170" fontId="28" fillId="3" borderId="24" xfId="0" applyFont="true" applyBorder="true" applyAlignment="true" applyProtection="true">
      <alignment horizontal="general" vertical="center" textRotation="0" wrapText="false" indent="0" shrinkToFit="false"/>
      <protection locked="true" hidden="false"/>
    </xf>
    <xf numFmtId="170" fontId="28" fillId="3" borderId="45" xfId="0" applyFont="true" applyBorder="true" applyAlignment="true" applyProtection="true">
      <alignment horizontal="general" vertical="center" textRotation="0" wrapText="false" indent="0" shrinkToFit="false"/>
      <protection locked="true" hidden="false"/>
    </xf>
    <xf numFmtId="167" fontId="28" fillId="3" borderId="24" xfId="0" applyFont="true" applyBorder="true" applyAlignment="false" applyProtection="true">
      <alignment horizontal="general" vertical="center" textRotation="0" wrapText="false" indent="0" shrinkToFit="false"/>
      <protection locked="true" hidden="false"/>
    </xf>
    <xf numFmtId="167" fontId="28" fillId="3" borderId="25" xfId="0" applyFont="true" applyBorder="true" applyAlignment="false" applyProtection="true">
      <alignment horizontal="general" vertical="center" textRotation="0" wrapText="false" indent="0" shrinkToFit="false"/>
      <protection locked="true" hidden="false"/>
    </xf>
    <xf numFmtId="167" fontId="28" fillId="3" borderId="71" xfId="0" applyFont="true" applyBorder="true" applyAlignment="false" applyProtection="true">
      <alignment horizontal="general" vertical="center" textRotation="0" wrapText="false" indent="0" shrinkToFit="false"/>
      <protection locked="true" hidden="false"/>
    </xf>
    <xf numFmtId="167" fontId="38" fillId="3" borderId="71" xfId="0" applyFont="true" applyBorder="true" applyAlignment="false" applyProtection="true">
      <alignment horizontal="general" vertical="center" textRotation="0" wrapText="false" indent="0" shrinkToFit="false"/>
      <protection locked="true" hidden="false"/>
    </xf>
    <xf numFmtId="167" fontId="38" fillId="3" borderId="5" xfId="0" applyFont="true" applyBorder="true" applyAlignment="true" applyProtection="true">
      <alignment horizontal="right" vertical="center" textRotation="0" wrapText="true" indent="0" shrinkToFit="false"/>
      <protection locked="true" hidden="false"/>
    </xf>
    <xf numFmtId="164" fontId="4" fillId="3" borderId="8" xfId="0" applyFont="true" applyBorder="true" applyAlignment="true" applyProtection="true">
      <alignment horizontal="general" vertical="center" textRotation="0" wrapText="false" indent="0" shrinkToFit="false"/>
      <protection locked="true" hidden="false"/>
    </xf>
    <xf numFmtId="167" fontId="38" fillId="3" borderId="31" xfId="0" applyFont="true" applyBorder="true" applyAlignment="false" applyProtection="true">
      <alignment horizontal="general" vertical="center" textRotation="0" wrapText="false" indent="0" shrinkToFit="false"/>
      <protection locked="true" hidden="false"/>
    </xf>
    <xf numFmtId="164" fontId="4" fillId="3" borderId="8" xfId="0" applyFont="true" applyBorder="true" applyAlignment="true" applyProtection="true">
      <alignment horizontal="left" vertical="center" textRotation="0" wrapText="false" indent="0" shrinkToFit="false"/>
      <protection locked="true" hidden="false"/>
    </xf>
    <xf numFmtId="167" fontId="38" fillId="3" borderId="39" xfId="0" applyFont="true" applyBorder="true" applyAlignment="false" applyProtection="true">
      <alignment horizontal="general" vertical="center" textRotation="0" wrapText="false" indent="0" shrinkToFit="false"/>
      <protection locked="true" hidden="false"/>
    </xf>
    <xf numFmtId="164" fontId="72" fillId="3" borderId="39" xfId="0" applyFont="true" applyBorder="true" applyAlignment="true" applyProtection="true">
      <alignment horizontal="left" vertical="center" textRotation="0" wrapText="false" indent="0" shrinkToFit="false"/>
      <protection locked="true" hidden="false"/>
    </xf>
    <xf numFmtId="164" fontId="0" fillId="3" borderId="75" xfId="0" applyFont="true" applyBorder="true" applyAlignment="true" applyProtection="true">
      <alignment horizontal="general" vertical="center" textRotation="0" wrapText="false" indent="0" shrinkToFit="false"/>
      <protection locked="true" hidden="false"/>
    </xf>
    <xf numFmtId="164" fontId="0" fillId="3" borderId="76" xfId="0" applyFont="true" applyBorder="true" applyAlignment="false" applyProtection="true">
      <alignment horizontal="general" vertical="center" textRotation="0" wrapText="false" indent="0" shrinkToFit="false"/>
      <protection locked="true" hidden="false"/>
    </xf>
    <xf numFmtId="164" fontId="72" fillId="3" borderId="25" xfId="0" applyFont="true" applyBorder="true" applyAlignment="true" applyProtection="true">
      <alignment horizontal="general" vertical="center" textRotation="0" wrapText="false" indent="0" shrinkToFit="false"/>
      <protection locked="true" hidden="false"/>
    </xf>
    <xf numFmtId="176" fontId="28" fillId="3" borderId="70" xfId="0" applyFont="true" applyBorder="true" applyAlignment="true" applyProtection="true">
      <alignment horizontal="general" vertical="center" textRotation="0" wrapText="false" indent="0" shrinkToFit="false"/>
      <protection locked="true" hidden="false"/>
    </xf>
    <xf numFmtId="176" fontId="28" fillId="3" borderId="25" xfId="0" applyFont="true" applyBorder="true" applyAlignment="true" applyProtection="true">
      <alignment horizontal="general" vertical="center" textRotation="0" wrapText="false" indent="0" shrinkToFit="false"/>
      <protection locked="true" hidden="false"/>
    </xf>
    <xf numFmtId="176" fontId="28" fillId="3" borderId="71" xfId="0" applyFont="true" applyBorder="true" applyAlignment="true" applyProtection="true">
      <alignment horizontal="general" vertical="center" textRotation="0" wrapText="false" indent="0" shrinkToFit="false"/>
      <protection locked="true" hidden="false"/>
    </xf>
    <xf numFmtId="164" fontId="0" fillId="3" borderId="6" xfId="0" applyFont="true" applyBorder="true" applyAlignment="false" applyProtection="true">
      <alignment horizontal="general" vertical="center" textRotation="0" wrapText="false" indent="0" shrinkToFit="false"/>
      <protection locked="true" hidden="false"/>
    </xf>
    <xf numFmtId="164" fontId="4" fillId="3" borderId="6" xfId="0" applyFont="true" applyBorder="true" applyAlignment="false" applyProtection="true">
      <alignment horizontal="general" vertical="center" textRotation="0" wrapText="false" indent="0" shrinkToFit="false"/>
      <protection locked="true" hidden="false"/>
    </xf>
    <xf numFmtId="176" fontId="38" fillId="3" borderId="6" xfId="0" applyFont="true" applyBorder="true" applyAlignment="false" applyProtection="true">
      <alignment horizontal="general" vertical="center" textRotation="0" wrapText="false" indent="0" shrinkToFit="false"/>
      <protection locked="true" hidden="false"/>
    </xf>
    <xf numFmtId="170" fontId="0" fillId="0" borderId="0" xfId="0" applyFont="true" applyBorder="false" applyAlignment="false" applyProtection="true">
      <alignment horizontal="general" vertical="center" textRotation="0" wrapText="false" indent="0" shrinkToFit="false"/>
      <protection locked="false" hidden="false"/>
    </xf>
    <xf numFmtId="176" fontId="53" fillId="0" borderId="0" xfId="0" applyFont="true" applyBorder="false" applyAlignment="true" applyProtection="true">
      <alignment horizontal="general" vertical="center" textRotation="0" wrapText="false" indent="0" shrinkToFit="false"/>
      <protection locked="true" hidden="false"/>
    </xf>
    <xf numFmtId="164" fontId="53" fillId="0" borderId="0" xfId="0" applyFont="true" applyBorder="false" applyAlignment="true" applyProtection="true">
      <alignment horizontal="general" vertical="center" textRotation="0" wrapText="false" indent="0" shrinkToFit="false"/>
      <protection locked="false" hidden="false"/>
    </xf>
    <xf numFmtId="164" fontId="43" fillId="3" borderId="0" xfId="0" applyFont="true" applyBorder="false" applyAlignment="true" applyProtection="true">
      <alignment horizontal="general" vertical="center" textRotation="0" wrapText="true" indent="0" shrinkToFit="false"/>
      <protection locked="true" hidden="false"/>
    </xf>
    <xf numFmtId="164" fontId="53" fillId="3" borderId="0" xfId="0" applyFont="true" applyBorder="false" applyAlignment="true" applyProtection="true">
      <alignment horizontal="general" vertical="center" textRotation="0" wrapText="false" indent="0" shrinkToFit="false"/>
      <protection locked="true" hidden="false"/>
    </xf>
    <xf numFmtId="164" fontId="53" fillId="3" borderId="0" xfId="0" applyFont="true" applyBorder="false" applyAlignment="true" applyProtection="true">
      <alignment horizontal="general" vertical="center" textRotation="0" wrapText="false" indent="0" shrinkToFit="false"/>
      <protection locked="false" hidden="false"/>
    </xf>
    <xf numFmtId="176" fontId="53" fillId="3" borderId="0" xfId="0" applyFont="true" applyBorder="false" applyAlignment="true" applyProtection="true">
      <alignment horizontal="general" vertical="center" textRotation="0" wrapText="false" indent="0" shrinkToFit="false"/>
      <protection locked="false" hidden="false"/>
    </xf>
    <xf numFmtId="164" fontId="53" fillId="3" borderId="0" xfId="0" applyFont="true" applyBorder="false" applyAlignment="true" applyProtection="true">
      <alignment horizontal="center" vertical="center" textRotation="0" wrapText="false" indent="0" shrinkToFit="false"/>
      <protection locked="false" hidden="false"/>
    </xf>
    <xf numFmtId="164" fontId="53" fillId="5" borderId="0" xfId="0" applyFont="true" applyBorder="false" applyAlignment="true" applyProtection="true">
      <alignment horizontal="general" vertical="center" textRotation="0" wrapText="false" indent="0" shrinkToFit="false"/>
      <protection locked="false" hidden="false"/>
    </xf>
    <xf numFmtId="164" fontId="72" fillId="3" borderId="33" xfId="0" applyFont="true" applyBorder="true" applyAlignment="true" applyProtection="true">
      <alignment horizontal="general" vertical="center" textRotation="0" wrapText="true" indent="0" shrinkToFit="false"/>
      <protection locked="true" hidden="false"/>
    </xf>
    <xf numFmtId="168" fontId="38" fillId="3" borderId="34" xfId="0" applyFont="true" applyBorder="true" applyAlignment="true" applyProtection="true">
      <alignment horizontal="center" vertical="center" textRotation="0" wrapText="false" indent="0" shrinkToFit="false"/>
      <protection locked="true" hidden="false"/>
    </xf>
    <xf numFmtId="164" fontId="0" fillId="3" borderId="0" xfId="0" applyFont="true" applyBorder="false" applyAlignment="true" applyProtection="true">
      <alignment horizontal="general" vertical="center" textRotation="0" wrapText="false" indent="0" shrinkToFit="false"/>
      <protection locked="false" hidden="false"/>
    </xf>
    <xf numFmtId="176" fontId="0" fillId="3" borderId="0" xfId="0" applyFont="true" applyBorder="false" applyAlignment="true" applyProtection="true">
      <alignment horizontal="general" vertical="center" textRotation="0" wrapText="false" indent="0" shrinkToFit="false"/>
      <protection locked="false" hidden="false"/>
    </xf>
    <xf numFmtId="164" fontId="0" fillId="5" borderId="0" xfId="0" applyFont="true" applyBorder="false" applyAlignment="true" applyProtection="true">
      <alignment horizontal="general" vertical="center" textRotation="0" wrapText="false" indent="0" shrinkToFit="false"/>
      <protection locked="false" hidden="false"/>
    </xf>
    <xf numFmtId="164" fontId="0" fillId="0" borderId="0" xfId="0" applyFont="true" applyBorder="false" applyAlignment="true" applyProtection="true">
      <alignment horizontal="general" vertical="center" textRotation="0" wrapText="false" indent="0" shrinkToFit="false"/>
      <protection locked="false" hidden="false"/>
    </xf>
    <xf numFmtId="164" fontId="0" fillId="0" borderId="0" xfId="0" applyFont="true" applyBorder="false" applyAlignment="true" applyProtection="true">
      <alignment horizontal="general" vertical="center" textRotation="0" wrapText="false" indent="0" shrinkToFit="false"/>
      <protection locked="true" hidden="false"/>
    </xf>
    <xf numFmtId="164" fontId="0" fillId="3" borderId="0" xfId="0" applyFont="true" applyBorder="false" applyAlignment="true" applyProtection="true">
      <alignment horizontal="general" vertical="center" textRotation="0" wrapText="true" indent="0" shrinkToFit="false"/>
      <protection locked="true" hidden="false"/>
    </xf>
    <xf numFmtId="164" fontId="0" fillId="3" borderId="0" xfId="0" applyFont="true" applyBorder="false" applyAlignment="true" applyProtection="true">
      <alignment horizontal="general" vertical="center" textRotation="0" wrapText="false" indent="0" shrinkToFit="false"/>
      <protection locked="true" hidden="false"/>
    </xf>
    <xf numFmtId="164" fontId="72" fillId="3" borderId="48" xfId="0" applyFont="true" applyBorder="true" applyAlignment="true" applyProtection="true">
      <alignment horizontal="general" vertical="center" textRotation="0" wrapText="true" indent="0" shrinkToFit="false"/>
      <protection locked="true" hidden="false"/>
    </xf>
    <xf numFmtId="164" fontId="0" fillId="3" borderId="77" xfId="0" applyFont="true" applyBorder="true" applyAlignment="true" applyProtection="true">
      <alignment horizontal="general" vertical="center" textRotation="0" wrapText="false" indent="0" shrinkToFit="false"/>
      <protection locked="true" hidden="false"/>
    </xf>
    <xf numFmtId="164" fontId="0" fillId="3" borderId="78" xfId="0" applyFont="true" applyBorder="true" applyAlignment="true" applyProtection="true">
      <alignment horizontal="general" vertical="center" textRotation="0" wrapText="false" indent="0" shrinkToFit="false"/>
      <protection locked="true" hidden="false"/>
    </xf>
    <xf numFmtId="176" fontId="0" fillId="3" borderId="78" xfId="0" applyFont="true" applyBorder="true" applyAlignment="true" applyProtection="true">
      <alignment horizontal="general" vertical="center" textRotation="0" wrapText="false" indent="0" shrinkToFit="false"/>
      <protection locked="true" hidden="false"/>
    </xf>
    <xf numFmtId="164" fontId="4" fillId="3" borderId="78" xfId="0" applyFont="true" applyBorder="true" applyAlignment="true" applyProtection="true">
      <alignment horizontal="general" vertical="center" textRotation="0" wrapText="false" indent="0" shrinkToFit="false"/>
      <protection locked="true" hidden="false"/>
    </xf>
    <xf numFmtId="164" fontId="0" fillId="3" borderId="79" xfId="0" applyFont="true" applyBorder="true" applyAlignment="true" applyProtection="true">
      <alignment horizontal="general" vertical="center" textRotation="0" wrapText="false" indent="0" shrinkToFit="false"/>
      <protection locked="true" hidden="false"/>
    </xf>
    <xf numFmtId="164" fontId="0" fillId="3" borderId="77" xfId="0" applyFont="true" applyBorder="true" applyAlignment="true" applyProtection="true">
      <alignment horizontal="center" vertical="center" textRotation="0" wrapText="false" indent="0" shrinkToFit="false"/>
      <protection locked="true" hidden="false"/>
    </xf>
    <xf numFmtId="164" fontId="0" fillId="3" borderId="78" xfId="0" applyFont="true" applyBorder="true" applyAlignment="true" applyProtection="true">
      <alignment horizontal="center" vertical="center" textRotation="0" wrapText="false" indent="0" shrinkToFit="false"/>
      <protection locked="true" hidden="false"/>
    </xf>
    <xf numFmtId="167" fontId="30" fillId="3" borderId="80" xfId="0" applyFont="true" applyBorder="true" applyAlignment="true" applyProtection="true">
      <alignment horizontal="center" vertical="center" textRotation="0" wrapText="false" indent="0" shrinkToFit="false"/>
      <protection locked="true" hidden="false"/>
    </xf>
    <xf numFmtId="164" fontId="4" fillId="3" borderId="77" xfId="0" applyFont="true" applyBorder="true" applyAlignment="true" applyProtection="true">
      <alignment horizontal="general" vertical="center" textRotation="0" wrapText="false" indent="0" shrinkToFit="false"/>
      <protection locked="true" hidden="false"/>
    </xf>
    <xf numFmtId="164" fontId="4" fillId="3" borderId="17" xfId="0" applyFont="true" applyBorder="true" applyAlignment="true" applyProtection="true">
      <alignment horizontal="general" vertical="center" textRotation="0" wrapText="false" indent="0" shrinkToFit="false"/>
      <protection locked="true" hidden="false"/>
    </xf>
    <xf numFmtId="164" fontId="0" fillId="3" borderId="19" xfId="0" applyFont="true" applyBorder="true" applyAlignment="true" applyProtection="true">
      <alignment horizontal="general" vertical="center" textRotation="0" wrapText="false" indent="0" shrinkToFit="false"/>
      <protection locked="true" hidden="false"/>
    </xf>
    <xf numFmtId="164" fontId="4" fillId="3" borderId="57" xfId="22" applyFont="true" applyBorder="true" applyAlignment="true" applyProtection="true">
      <alignment horizontal="general" vertical="center" textRotation="0" wrapText="true" indent="0" shrinkToFit="false"/>
      <protection locked="true" hidden="false"/>
    </xf>
    <xf numFmtId="164" fontId="4" fillId="3" borderId="58" xfId="22" applyFont="true" applyBorder="true" applyAlignment="true" applyProtection="true">
      <alignment horizontal="general" vertical="center" textRotation="0" wrapText="true" indent="0" shrinkToFit="false"/>
      <protection locked="true" hidden="false"/>
    </xf>
    <xf numFmtId="164" fontId="4" fillId="3" borderId="81" xfId="22" applyFont="true" applyBorder="true" applyAlignment="true" applyProtection="true">
      <alignment horizontal="general" vertical="center" textRotation="0" wrapText="true" indent="0" shrinkToFit="false"/>
      <protection locked="true" hidden="false"/>
    </xf>
    <xf numFmtId="177" fontId="65" fillId="3" borderId="57" xfId="22" applyFont="true" applyBorder="true" applyAlignment="true" applyProtection="true">
      <alignment horizontal="center" vertical="center" textRotation="0" wrapText="true" indent="0" shrinkToFit="false"/>
      <protection locked="true" hidden="false"/>
    </xf>
    <xf numFmtId="164" fontId="4" fillId="3" borderId="58" xfId="0" applyFont="true" applyBorder="true" applyAlignment="true" applyProtection="true">
      <alignment horizontal="center" vertical="center" textRotation="0" wrapText="true" indent="0" shrinkToFit="false"/>
      <protection locked="true" hidden="false"/>
    </xf>
    <xf numFmtId="176" fontId="4" fillId="3" borderId="58" xfId="0" applyFont="true" applyBorder="true" applyAlignment="true" applyProtection="true">
      <alignment horizontal="center" vertical="center" textRotation="0" wrapText="true" indent="0" shrinkToFit="false"/>
      <protection locked="true" hidden="false"/>
    </xf>
    <xf numFmtId="164" fontId="4" fillId="3" borderId="59" xfId="0" applyFont="true" applyBorder="true" applyAlignment="true" applyProtection="true">
      <alignment horizontal="center" vertical="center" textRotation="0" wrapText="true" indent="0" shrinkToFit="false"/>
      <protection locked="true" hidden="false"/>
    </xf>
    <xf numFmtId="175" fontId="4" fillId="3" borderId="57" xfId="22" applyFont="true" applyBorder="true" applyAlignment="true" applyProtection="true">
      <alignment horizontal="center" vertical="center" textRotation="0" wrapText="true" indent="0" shrinkToFit="false"/>
      <protection locked="true" hidden="false"/>
    </xf>
    <xf numFmtId="164" fontId="4" fillId="3" borderId="58" xfId="22" applyFont="true" applyBorder="true" applyAlignment="true" applyProtection="true">
      <alignment horizontal="center" vertical="center" textRotation="0" wrapText="true" indent="0" shrinkToFit="false"/>
      <protection locked="true" hidden="false"/>
    </xf>
    <xf numFmtId="176" fontId="4" fillId="3" borderId="58" xfId="22" applyFont="true" applyBorder="true" applyAlignment="true" applyProtection="true">
      <alignment horizontal="center" vertical="center" textRotation="0" wrapText="true" indent="0" shrinkToFit="false"/>
      <protection locked="true" hidden="false"/>
    </xf>
    <xf numFmtId="164" fontId="4" fillId="2" borderId="58" xfId="22" applyFont="true" applyBorder="true" applyAlignment="true" applyProtection="true">
      <alignment horizontal="center" vertical="center" textRotation="0" wrapText="true" indent="0" shrinkToFit="false"/>
      <protection locked="false" hidden="false"/>
    </xf>
    <xf numFmtId="164" fontId="4" fillId="3" borderId="81" xfId="22" applyFont="true" applyBorder="true" applyAlignment="true" applyProtection="true">
      <alignment horizontal="center" vertical="center" textRotation="0" wrapText="true" indent="0" shrinkToFit="false"/>
      <protection locked="true" hidden="false"/>
    </xf>
    <xf numFmtId="164" fontId="4" fillId="3" borderId="73" xfId="0" applyFont="true" applyBorder="true" applyAlignment="true" applyProtection="true">
      <alignment horizontal="center" vertical="center" textRotation="0" wrapText="true" indent="0" shrinkToFit="false"/>
      <protection locked="true" hidden="false"/>
    </xf>
    <xf numFmtId="164" fontId="4" fillId="3" borderId="57" xfId="22" applyFont="true" applyBorder="true" applyAlignment="true" applyProtection="true">
      <alignment horizontal="center" vertical="center" textRotation="0" wrapText="true" indent="0" shrinkToFit="false"/>
      <protection locked="true" hidden="false"/>
    </xf>
    <xf numFmtId="164" fontId="4" fillId="3" borderId="18" xfId="22" applyFont="true" applyBorder="true" applyAlignment="true" applyProtection="true">
      <alignment horizontal="center" vertical="center" textRotation="0" wrapText="true" indent="0" shrinkToFit="false"/>
      <protection locked="true" hidden="false"/>
    </xf>
    <xf numFmtId="164" fontId="4" fillId="3" borderId="82" xfId="22" applyFont="true" applyBorder="true" applyAlignment="true" applyProtection="true">
      <alignment horizontal="center" vertical="center" textRotation="0" wrapText="true" indent="0" shrinkToFit="false"/>
      <protection locked="true" hidden="false"/>
    </xf>
    <xf numFmtId="164" fontId="4" fillId="3" borderId="57" xfId="0" applyFont="true" applyBorder="true" applyAlignment="true" applyProtection="true">
      <alignment horizontal="center" vertical="center" textRotation="0" wrapText="true" indent="0" shrinkToFit="false"/>
      <protection locked="true" hidden="false"/>
    </xf>
    <xf numFmtId="164" fontId="0" fillId="3" borderId="81" xfId="0" applyFont="true" applyBorder="true" applyAlignment="true" applyProtection="true">
      <alignment horizontal="center" vertical="center" textRotation="0" wrapText="true" indent="0" shrinkToFit="false"/>
      <protection locked="true" hidden="false"/>
    </xf>
    <xf numFmtId="164" fontId="4" fillId="3" borderId="83" xfId="0" applyFont="true" applyBorder="true" applyAlignment="true" applyProtection="true">
      <alignment horizontal="center" vertical="center" textRotation="0" wrapText="true" indent="0" shrinkToFit="false"/>
      <protection locked="true" hidden="false"/>
    </xf>
    <xf numFmtId="164" fontId="4" fillId="3" borderId="81" xfId="0" applyFont="true" applyBorder="true" applyAlignment="true" applyProtection="true">
      <alignment horizontal="center" vertical="center" textRotation="0" wrapText="true" indent="0" shrinkToFit="false"/>
      <protection locked="true" hidden="false"/>
    </xf>
    <xf numFmtId="164" fontId="4" fillId="3" borderId="8" xfId="0" applyFont="true" applyBorder="true" applyAlignment="true" applyProtection="true">
      <alignment horizontal="center" vertical="center" textRotation="0" wrapText="true" indent="0" shrinkToFit="false"/>
      <protection locked="false" hidden="false"/>
    </xf>
    <xf numFmtId="164" fontId="4" fillId="3" borderId="5" xfId="0" applyFont="true" applyBorder="true" applyAlignment="true" applyProtection="true">
      <alignment horizontal="general" vertical="center" textRotation="0" wrapText="true" indent="0" shrinkToFit="false"/>
      <protection locked="true" hidden="false"/>
    </xf>
    <xf numFmtId="164" fontId="4" fillId="3" borderId="5" xfId="0" applyFont="true" applyBorder="true" applyAlignment="true" applyProtection="true">
      <alignment horizontal="right" vertical="center" textRotation="0" wrapText="true" indent="0" shrinkToFit="false"/>
      <protection locked="true" hidden="false"/>
    </xf>
    <xf numFmtId="164" fontId="4" fillId="3" borderId="5" xfId="22" applyFont="true" applyBorder="true" applyAlignment="true" applyProtection="true">
      <alignment horizontal="center" vertical="center" textRotation="0" wrapText="true" indent="0" shrinkToFit="false"/>
      <protection locked="true" hidden="false"/>
    </xf>
    <xf numFmtId="164" fontId="0" fillId="0" borderId="0" xfId="0" applyFont="true" applyBorder="false" applyAlignment="true" applyProtection="true">
      <alignment horizontal="general" vertical="center" textRotation="0" wrapText="true" indent="0" shrinkToFit="false"/>
      <protection locked="true" hidden="false"/>
    </xf>
    <xf numFmtId="175" fontId="30" fillId="3" borderId="22" xfId="22" applyFont="true" applyBorder="true" applyAlignment="true" applyProtection="true">
      <alignment horizontal="left" vertical="center" textRotation="0" wrapText="false" indent="0" shrinkToFit="false"/>
      <protection locked="true" hidden="false"/>
    </xf>
    <xf numFmtId="175" fontId="38" fillId="3" borderId="5" xfId="22" applyFont="true" applyBorder="true" applyAlignment="true" applyProtection="true">
      <alignment horizontal="general" vertical="center" textRotation="0" wrapText="false" indent="0" shrinkToFit="false"/>
      <protection locked="true" hidden="false"/>
    </xf>
    <xf numFmtId="175" fontId="4" fillId="2" borderId="7" xfId="22" applyFont="true" applyBorder="true" applyAlignment="true" applyProtection="true">
      <alignment horizontal="general" vertical="center" textRotation="0" wrapText="false" indent="0" shrinkToFit="false"/>
      <protection locked="false" hidden="false"/>
    </xf>
    <xf numFmtId="175" fontId="30" fillId="3" borderId="22" xfId="22" applyFont="true" applyBorder="true" applyAlignment="true" applyProtection="true">
      <alignment horizontal="center" vertical="center" textRotation="0" wrapText="false" indent="0" shrinkToFit="false"/>
      <protection locked="true" hidden="false"/>
    </xf>
    <xf numFmtId="169" fontId="30" fillId="3" borderId="5" xfId="0" applyFont="true" applyBorder="true" applyAlignment="true" applyProtection="true">
      <alignment horizontal="center" vertical="center" textRotation="0" wrapText="false" indent="0" shrinkToFit="false"/>
      <protection locked="true" hidden="false"/>
    </xf>
    <xf numFmtId="176" fontId="75" fillId="3" borderId="5" xfId="22" applyFont="true" applyBorder="true" applyAlignment="true" applyProtection="true">
      <alignment horizontal="center" vertical="center" textRotation="0" wrapText="false" indent="0" shrinkToFit="false"/>
      <protection locked="true" hidden="false"/>
    </xf>
    <xf numFmtId="177" fontId="75" fillId="3" borderId="5" xfId="22" applyFont="true" applyBorder="true" applyAlignment="true" applyProtection="true">
      <alignment horizontal="center" vertical="center" textRotation="0" wrapText="false" indent="0" shrinkToFit="false"/>
      <protection locked="true" hidden="false"/>
    </xf>
    <xf numFmtId="178" fontId="30" fillId="0" borderId="5" xfId="0" applyFont="true" applyBorder="true" applyAlignment="true" applyProtection="true">
      <alignment horizontal="center" vertical="center" textRotation="0" wrapText="false" indent="0" shrinkToFit="false"/>
      <protection locked="false" hidden="false"/>
    </xf>
    <xf numFmtId="178" fontId="38" fillId="0" borderId="5" xfId="0" applyFont="true" applyBorder="true" applyAlignment="true" applyProtection="true">
      <alignment horizontal="center" vertical="center" textRotation="0" wrapText="false" indent="0" shrinkToFit="false"/>
      <protection locked="false" hidden="false"/>
    </xf>
    <xf numFmtId="176" fontId="30" fillId="3" borderId="22" xfId="22" applyFont="true" applyBorder="true" applyAlignment="true" applyProtection="true">
      <alignment horizontal="center" vertical="center" textRotation="0" wrapText="false" indent="0" shrinkToFit="false"/>
      <protection locked="true" hidden="false"/>
    </xf>
    <xf numFmtId="175" fontId="30" fillId="0" borderId="5" xfId="22" applyFont="true" applyBorder="true" applyAlignment="true" applyProtection="true">
      <alignment horizontal="center" vertical="center" textRotation="0" wrapText="false" indent="0" shrinkToFit="false"/>
      <protection locked="false" hidden="false"/>
    </xf>
    <xf numFmtId="167" fontId="38" fillId="3" borderId="5" xfId="22" applyFont="true" applyBorder="true" applyAlignment="true" applyProtection="true">
      <alignment horizontal="center" vertical="center" textRotation="0" wrapText="false" indent="0" shrinkToFit="false"/>
      <protection locked="true" hidden="false"/>
    </xf>
    <xf numFmtId="173" fontId="30" fillId="0" borderId="5" xfId="22" applyFont="true" applyBorder="true" applyAlignment="true" applyProtection="true">
      <alignment horizontal="center" vertical="center" textRotation="0" wrapText="false" indent="0" shrinkToFit="false"/>
      <protection locked="false" hidden="false"/>
    </xf>
    <xf numFmtId="167" fontId="38" fillId="3" borderId="7" xfId="0" applyFont="true" applyBorder="true" applyAlignment="true" applyProtection="true">
      <alignment horizontal="center" vertical="center" textRotation="0" wrapText="false" indent="0" shrinkToFit="false"/>
      <protection locked="true" hidden="false"/>
    </xf>
    <xf numFmtId="166" fontId="30" fillId="0" borderId="7" xfId="0" applyFont="true" applyBorder="true" applyAlignment="true" applyProtection="true">
      <alignment horizontal="center" vertical="center" textRotation="0" wrapText="false" indent="0" shrinkToFit="false"/>
      <protection locked="false" hidden="false"/>
    </xf>
    <xf numFmtId="176" fontId="38" fillId="3" borderId="22" xfId="22" applyFont="true" applyBorder="true" applyAlignment="true" applyProtection="true">
      <alignment horizontal="center" vertical="center" textRotation="0" wrapText="false" indent="0" shrinkToFit="false"/>
      <protection locked="true" hidden="false"/>
    </xf>
    <xf numFmtId="176" fontId="38" fillId="3" borderId="5" xfId="0" applyFont="true" applyBorder="true" applyAlignment="true" applyProtection="true">
      <alignment horizontal="center" vertical="center" textRotation="0" wrapText="false" indent="0" shrinkToFit="false"/>
      <protection locked="true" hidden="false"/>
    </xf>
    <xf numFmtId="167" fontId="38" fillId="3" borderId="23" xfId="22" applyFont="true" applyBorder="true" applyAlignment="true" applyProtection="true">
      <alignment horizontal="center" vertical="center" textRotation="0" wrapText="false" indent="0" shrinkToFit="false"/>
      <protection locked="true" hidden="false"/>
    </xf>
    <xf numFmtId="176" fontId="0" fillId="0" borderId="22" xfId="0" applyFont="true" applyBorder="true" applyAlignment="true" applyProtection="true">
      <alignment horizontal="center" vertical="center" textRotation="0" wrapText="false" indent="0" shrinkToFit="false"/>
      <protection locked="false" hidden="false"/>
    </xf>
    <xf numFmtId="178" fontId="0" fillId="0" borderId="5" xfId="0" applyFont="true" applyBorder="true" applyAlignment="true" applyProtection="true">
      <alignment horizontal="general" vertical="center" textRotation="0" wrapText="false" indent="0" shrinkToFit="false"/>
      <protection locked="false" hidden="false"/>
    </xf>
    <xf numFmtId="178" fontId="0" fillId="3" borderId="7" xfId="0" applyFont="true" applyBorder="true" applyAlignment="true" applyProtection="true">
      <alignment horizontal="center" vertical="center" textRotation="0" wrapText="false" indent="0" shrinkToFit="false"/>
      <protection locked="true" hidden="false"/>
    </xf>
    <xf numFmtId="178" fontId="0" fillId="0" borderId="23" xfId="0" applyFont="true" applyBorder="true" applyAlignment="true" applyProtection="true">
      <alignment horizontal="general" vertical="center" textRotation="0" wrapText="false" indent="0" shrinkToFit="false"/>
      <protection locked="false" hidden="false"/>
    </xf>
    <xf numFmtId="164" fontId="0" fillId="0" borderId="8" xfId="0" applyFont="true" applyBorder="true" applyAlignment="true" applyProtection="true">
      <alignment horizontal="general" vertical="center" textRotation="0" wrapText="false" indent="0" shrinkToFit="false"/>
      <protection locked="false" hidden="false"/>
    </xf>
    <xf numFmtId="178" fontId="0" fillId="0" borderId="7" xfId="0" applyFont="true" applyBorder="true" applyAlignment="true" applyProtection="true">
      <alignment horizontal="general" vertical="center" textRotation="0" wrapText="false" indent="0" shrinkToFit="false"/>
      <protection locked="false" hidden="false"/>
    </xf>
    <xf numFmtId="164" fontId="0" fillId="0" borderId="5" xfId="0" applyFont="true" applyBorder="true" applyAlignment="true" applyProtection="true">
      <alignment horizontal="center" vertical="center" textRotation="0" wrapText="false" indent="0" shrinkToFit="false"/>
      <protection locked="false" hidden="false"/>
    </xf>
    <xf numFmtId="164" fontId="0" fillId="0" borderId="22" xfId="0" applyFont="true" applyBorder="true" applyAlignment="true" applyProtection="true">
      <alignment horizontal="center" vertical="center" textRotation="0" wrapText="false" indent="0" shrinkToFit="false"/>
      <protection locked="false" hidden="false"/>
    </xf>
    <xf numFmtId="164" fontId="0" fillId="2" borderId="8" xfId="0" applyFont="true" applyBorder="true" applyAlignment="true" applyProtection="true">
      <alignment horizontal="center" vertical="center" textRotation="0" wrapText="false" indent="0" shrinkToFit="false"/>
      <protection locked="false" hidden="false"/>
    </xf>
    <xf numFmtId="164" fontId="0" fillId="0" borderId="5" xfId="0" applyFont="true" applyBorder="true" applyAlignment="true" applyProtection="true">
      <alignment horizontal="center" vertical="center" textRotation="0" wrapText="false" indent="0" shrinkToFit="false"/>
      <protection locked="false" hidden="false"/>
    </xf>
    <xf numFmtId="173" fontId="0" fillId="0" borderId="5" xfId="0" applyFont="true" applyBorder="true" applyAlignment="true" applyProtection="true">
      <alignment horizontal="center" vertical="center" textRotation="0" wrapText="false" indent="0" shrinkToFit="false"/>
      <protection locked="false" hidden="false"/>
    </xf>
    <xf numFmtId="179" fontId="0" fillId="0" borderId="5" xfId="0" applyFont="true" applyBorder="true" applyAlignment="true" applyProtection="true">
      <alignment horizontal="center" vertical="center" textRotation="0" wrapText="false" indent="0" shrinkToFit="false"/>
      <protection locked="false" hidden="false"/>
    </xf>
    <xf numFmtId="178" fontId="0" fillId="0" borderId="23" xfId="0" applyFont="true" applyBorder="true" applyAlignment="true" applyProtection="true">
      <alignment horizontal="center" vertical="center" textRotation="0" wrapText="false" indent="0" shrinkToFit="false"/>
      <protection locked="false" hidden="false"/>
    </xf>
    <xf numFmtId="167" fontId="38" fillId="3" borderId="5" xfId="0" applyFont="true" applyBorder="true" applyAlignment="true" applyProtection="true">
      <alignment horizontal="center" vertical="center" textRotation="0" wrapText="false" indent="0" shrinkToFit="false"/>
      <protection locked="true" hidden="false"/>
    </xf>
    <xf numFmtId="167" fontId="38" fillId="3" borderId="5" xfId="0" applyFont="true" applyBorder="true" applyAlignment="true" applyProtection="true">
      <alignment horizontal="right" vertical="center" textRotation="0" wrapText="false" indent="0" shrinkToFit="false"/>
      <protection locked="true" hidden="false"/>
    </xf>
    <xf numFmtId="176" fontId="53" fillId="0" borderId="22" xfId="0" applyFont="true" applyBorder="true" applyAlignment="true" applyProtection="true">
      <alignment horizontal="center" vertical="center" textRotation="0" wrapText="false" indent="0" shrinkToFit="false"/>
      <protection locked="false" hidden="false"/>
    </xf>
    <xf numFmtId="178" fontId="53" fillId="0" borderId="5" xfId="0" applyFont="true" applyBorder="true" applyAlignment="true" applyProtection="true">
      <alignment horizontal="general" vertical="center" textRotation="0" wrapText="false" indent="0" shrinkToFit="false"/>
      <protection locked="false" hidden="false"/>
    </xf>
    <xf numFmtId="164" fontId="53" fillId="0" borderId="22" xfId="0" applyFont="true" applyBorder="true" applyAlignment="true" applyProtection="true">
      <alignment horizontal="center" vertical="center" textRotation="0" wrapText="false" indent="0" shrinkToFit="false"/>
      <protection locked="false" hidden="false"/>
    </xf>
    <xf numFmtId="173" fontId="53" fillId="0" borderId="5" xfId="0" applyFont="true" applyBorder="true" applyAlignment="true" applyProtection="true">
      <alignment horizontal="center" vertical="center" textRotation="0" wrapText="false" indent="0" shrinkToFit="false"/>
      <protection locked="false" hidden="false"/>
    </xf>
    <xf numFmtId="179" fontId="53" fillId="0" borderId="5" xfId="0" applyFont="true" applyBorder="true" applyAlignment="true" applyProtection="true">
      <alignment horizontal="center" vertical="center" textRotation="0" wrapText="false" indent="0" shrinkToFit="false"/>
      <protection locked="false" hidden="false"/>
    </xf>
    <xf numFmtId="178" fontId="53" fillId="0" borderId="23" xfId="0" applyFont="true" applyBorder="true" applyAlignment="true" applyProtection="true">
      <alignment horizontal="center" vertical="center" textRotation="0" wrapText="false" indent="0" shrinkToFit="false"/>
      <protection locked="false" hidden="false"/>
    </xf>
    <xf numFmtId="166" fontId="0" fillId="0" borderId="7" xfId="0" applyFont="true" applyBorder="true" applyAlignment="true" applyProtection="true">
      <alignment horizontal="center" vertical="center" textRotation="0" wrapText="false" indent="0" shrinkToFit="false"/>
      <protection locked="false" hidden="false"/>
    </xf>
    <xf numFmtId="175" fontId="4" fillId="0" borderId="5" xfId="22" applyFont="true" applyBorder="true" applyAlignment="true" applyProtection="true">
      <alignment horizontal="center" vertical="center" textRotation="0" wrapText="false" indent="0" shrinkToFit="false"/>
      <protection locked="false" hidden="false"/>
    </xf>
    <xf numFmtId="164" fontId="0" fillId="0" borderId="8" xfId="0" applyFont="true" applyBorder="true" applyAlignment="true" applyProtection="true">
      <alignment horizontal="center" vertical="center" textRotation="0" wrapText="false" indent="0" shrinkToFit="false"/>
      <protection locked="false" hidden="false"/>
    </xf>
    <xf numFmtId="173" fontId="0" fillId="0" borderId="5" xfId="0" applyFont="true" applyBorder="true" applyAlignment="true" applyProtection="true">
      <alignment horizontal="center" vertical="center" textRotation="0" wrapText="false" indent="0" shrinkToFit="false"/>
      <protection locked="false" hidden="false"/>
    </xf>
    <xf numFmtId="179" fontId="0" fillId="0" borderId="5" xfId="0" applyFont="true" applyBorder="true" applyAlignment="true" applyProtection="true">
      <alignment horizontal="center" vertical="center" textRotation="0" wrapText="false" indent="0" shrinkToFit="false"/>
      <protection locked="false" hidden="false"/>
    </xf>
    <xf numFmtId="178" fontId="0" fillId="0" borderId="23" xfId="0" applyFont="true" applyBorder="true" applyAlignment="true" applyProtection="true">
      <alignment horizontal="center" vertical="center" textRotation="0" wrapText="false" indent="0" shrinkToFit="false"/>
      <protection locked="false" hidden="false"/>
    </xf>
    <xf numFmtId="173" fontId="4" fillId="0" borderId="5" xfId="22" applyFont="true" applyBorder="true" applyAlignment="true" applyProtection="true">
      <alignment horizontal="center" vertical="center" textRotation="0" wrapText="false" indent="0" shrinkToFit="false"/>
      <protection locked="false" hidden="false"/>
    </xf>
    <xf numFmtId="176" fontId="0" fillId="0" borderId="22" xfId="0" applyFont="true" applyBorder="true" applyAlignment="true" applyProtection="true">
      <alignment horizontal="general" vertical="center" textRotation="0" wrapText="false" indent="0" shrinkToFit="false"/>
      <protection locked="false" hidden="false"/>
    </xf>
    <xf numFmtId="175" fontId="4" fillId="3" borderId="22" xfId="22" applyFont="true" applyBorder="true" applyAlignment="true" applyProtection="true">
      <alignment horizontal="left" vertical="center" textRotation="0" wrapText="true" indent="0" shrinkToFit="false"/>
      <protection locked="false" hidden="false"/>
    </xf>
    <xf numFmtId="175" fontId="4" fillId="3" borderId="5" xfId="22" applyFont="true" applyBorder="true" applyAlignment="true" applyProtection="true">
      <alignment horizontal="general" vertical="center" textRotation="0" wrapText="false" indent="0" shrinkToFit="false"/>
      <protection locked="true" hidden="false"/>
    </xf>
    <xf numFmtId="175" fontId="4" fillId="3" borderId="7" xfId="22" applyFont="true" applyBorder="true" applyAlignment="true" applyProtection="true">
      <alignment horizontal="general" vertical="center" textRotation="0" wrapText="false" indent="0" shrinkToFit="false"/>
      <protection locked="true" hidden="false"/>
    </xf>
    <xf numFmtId="178" fontId="70" fillId="3" borderId="5" xfId="0" applyFont="true" applyBorder="true" applyAlignment="true" applyProtection="true">
      <alignment horizontal="center" vertical="center" textRotation="0" wrapText="false" indent="0" shrinkToFit="false"/>
      <protection locked="false" hidden="false"/>
    </xf>
    <xf numFmtId="166" fontId="0" fillId="3" borderId="7" xfId="0" applyFont="true" applyBorder="true" applyAlignment="true" applyProtection="true">
      <alignment horizontal="center" vertical="center" textRotation="0" wrapText="false" indent="0" shrinkToFit="false"/>
      <protection locked="true" hidden="false"/>
    </xf>
    <xf numFmtId="178" fontId="0" fillId="3" borderId="5" xfId="0" applyFont="true" applyBorder="true" applyAlignment="true" applyProtection="true">
      <alignment horizontal="general" vertical="center" textRotation="0" wrapText="false" indent="0" shrinkToFit="false"/>
      <protection locked="true" hidden="false"/>
    </xf>
    <xf numFmtId="178" fontId="0" fillId="3" borderId="7" xfId="0" applyFont="true" applyBorder="true" applyAlignment="true" applyProtection="true">
      <alignment horizontal="general" vertical="center" textRotation="0" wrapText="false" indent="0" shrinkToFit="false"/>
      <protection locked="true" hidden="false"/>
    </xf>
    <xf numFmtId="178" fontId="0" fillId="3" borderId="23" xfId="0" applyFont="true" applyBorder="true" applyAlignment="true" applyProtection="true">
      <alignment horizontal="general" vertical="center" textRotation="0" wrapText="false" indent="0" shrinkToFit="false"/>
      <protection locked="true" hidden="false"/>
    </xf>
    <xf numFmtId="178" fontId="0" fillId="3" borderId="5" xfId="0" applyFont="true" applyBorder="true" applyAlignment="true" applyProtection="true">
      <alignment horizontal="center" vertical="center" textRotation="0" wrapText="false" indent="0" shrinkToFit="false"/>
      <protection locked="true" hidden="false"/>
    </xf>
    <xf numFmtId="164" fontId="0" fillId="3" borderId="8" xfId="0" applyFont="true" applyBorder="true" applyAlignment="true" applyProtection="true">
      <alignment horizontal="center" vertical="center" textRotation="0" wrapText="false" indent="0" shrinkToFit="false"/>
      <protection locked="true" hidden="false"/>
    </xf>
    <xf numFmtId="164" fontId="0" fillId="3" borderId="5" xfId="0" applyFont="true" applyBorder="true" applyAlignment="true" applyProtection="true">
      <alignment horizontal="center" vertical="center" textRotation="0" wrapText="false" indent="0" shrinkToFit="false"/>
      <protection locked="true" hidden="false"/>
    </xf>
    <xf numFmtId="173" fontId="0" fillId="3" borderId="5" xfId="0" applyFont="true" applyBorder="true" applyAlignment="true" applyProtection="true">
      <alignment horizontal="center" vertical="center" textRotation="0" wrapText="false" indent="0" shrinkToFit="false"/>
      <protection locked="true" hidden="false"/>
    </xf>
    <xf numFmtId="179" fontId="0" fillId="3" borderId="5" xfId="0" applyFont="true" applyBorder="true" applyAlignment="true" applyProtection="true">
      <alignment horizontal="center" vertical="center" textRotation="0" wrapText="false" indent="0" shrinkToFit="false"/>
      <protection locked="true" hidden="false"/>
    </xf>
    <xf numFmtId="178" fontId="0" fillId="3" borderId="23" xfId="0" applyFont="true" applyBorder="true" applyAlignment="true" applyProtection="true">
      <alignment horizontal="center" vertical="center" textRotation="0" wrapText="false" indent="0" shrinkToFit="false"/>
      <protection locked="true" hidden="false"/>
    </xf>
    <xf numFmtId="175" fontId="4" fillId="3" borderId="5" xfId="22" applyFont="true" applyBorder="true" applyAlignment="true" applyProtection="true">
      <alignment horizontal="center" vertical="center" textRotation="0" wrapText="false" indent="0" shrinkToFit="false"/>
      <protection locked="true" hidden="false"/>
    </xf>
    <xf numFmtId="173" fontId="4" fillId="3" borderId="5" xfId="22" applyFont="true" applyBorder="true" applyAlignment="true" applyProtection="true">
      <alignment horizontal="center" vertical="center" textRotation="0" wrapText="false" indent="0" shrinkToFit="false"/>
      <protection locked="true" hidden="false"/>
    </xf>
    <xf numFmtId="164" fontId="72" fillId="3" borderId="24" xfId="22" applyFont="true" applyBorder="true" applyAlignment="true" applyProtection="true">
      <alignment horizontal="general" vertical="center" textRotation="0" wrapText="true" indent="0" shrinkToFit="false"/>
      <protection locked="true" hidden="false"/>
    </xf>
    <xf numFmtId="164" fontId="72" fillId="3" borderId="25" xfId="22" applyFont="true" applyBorder="true" applyAlignment="true" applyProtection="true">
      <alignment horizontal="general" vertical="center" textRotation="0" wrapText="false" indent="0" shrinkToFit="false"/>
      <protection locked="true" hidden="false"/>
    </xf>
    <xf numFmtId="164" fontId="72" fillId="3" borderId="76" xfId="22" applyFont="true" applyBorder="true" applyAlignment="true" applyProtection="true">
      <alignment horizontal="general" vertical="center" textRotation="0" wrapText="false" indent="0" shrinkToFit="false"/>
      <protection locked="true" hidden="false"/>
    </xf>
    <xf numFmtId="164" fontId="72" fillId="3" borderId="24" xfId="22" applyFont="true" applyBorder="true" applyAlignment="true" applyProtection="true">
      <alignment horizontal="general" vertical="center" textRotation="0" wrapText="false" indent="0" shrinkToFit="false"/>
      <protection locked="true" hidden="false"/>
    </xf>
    <xf numFmtId="167" fontId="28" fillId="3" borderId="25" xfId="22" applyFont="true" applyBorder="true" applyAlignment="true" applyProtection="true">
      <alignment horizontal="center" vertical="center" textRotation="0" wrapText="false" indent="0" shrinkToFit="false"/>
      <protection locked="true" hidden="false"/>
    </xf>
    <xf numFmtId="178" fontId="28" fillId="3" borderId="25" xfId="22" applyFont="true" applyBorder="true" applyAlignment="true" applyProtection="true">
      <alignment horizontal="general" vertical="center" textRotation="0" wrapText="false" indent="0" shrinkToFit="false"/>
      <protection locked="true" hidden="false"/>
    </xf>
    <xf numFmtId="164" fontId="72" fillId="3" borderId="71" xfId="22" applyFont="true" applyBorder="true" applyAlignment="true" applyProtection="true">
      <alignment horizontal="general" vertical="center" textRotation="0" wrapText="false" indent="0" shrinkToFit="false"/>
      <protection locked="true" hidden="false"/>
    </xf>
    <xf numFmtId="170" fontId="38" fillId="3" borderId="24" xfId="0" applyFont="true" applyBorder="true" applyAlignment="true" applyProtection="true">
      <alignment horizontal="center" vertical="center" textRotation="0" wrapText="false" indent="0" shrinkToFit="false"/>
      <protection locked="true" hidden="false"/>
    </xf>
    <xf numFmtId="167" fontId="38" fillId="3" borderId="25" xfId="22" applyFont="true" applyBorder="true" applyAlignment="true" applyProtection="true">
      <alignment horizontal="center" vertical="center" textRotation="0" wrapText="false" indent="0" shrinkToFit="false"/>
      <protection locked="true" hidden="false"/>
    </xf>
    <xf numFmtId="173" fontId="38" fillId="3" borderId="25" xfId="22" applyFont="true" applyBorder="true" applyAlignment="true" applyProtection="true">
      <alignment horizontal="center" vertical="center" textRotation="0" wrapText="false" indent="0" shrinkToFit="false"/>
      <protection locked="true" hidden="false"/>
    </xf>
    <xf numFmtId="166" fontId="38" fillId="3" borderId="76" xfId="0" applyFont="true" applyBorder="true" applyAlignment="true" applyProtection="true">
      <alignment horizontal="center" vertical="center" textRotation="0" wrapText="false" indent="0" shrinkToFit="false"/>
      <protection locked="true" hidden="false"/>
    </xf>
    <xf numFmtId="176" fontId="38" fillId="3" borderId="24" xfId="22" applyFont="true" applyBorder="true" applyAlignment="true" applyProtection="true">
      <alignment horizontal="center" vertical="center" textRotation="0" wrapText="false" indent="0" shrinkToFit="false"/>
      <protection locked="true" hidden="false"/>
    </xf>
    <xf numFmtId="176" fontId="38" fillId="3" borderId="70" xfId="22" applyFont="true" applyBorder="true" applyAlignment="true" applyProtection="true">
      <alignment horizontal="center" vertical="center" textRotation="0" wrapText="false" indent="0" shrinkToFit="false"/>
      <protection locked="true" hidden="false"/>
    </xf>
    <xf numFmtId="167" fontId="38" fillId="3" borderId="84" xfId="22" applyFont="true" applyBorder="true" applyAlignment="true" applyProtection="true">
      <alignment horizontal="center" vertical="center" textRotation="0" wrapText="false" indent="0" shrinkToFit="false"/>
      <protection locked="true" hidden="false"/>
    </xf>
    <xf numFmtId="164" fontId="0" fillId="3" borderId="24" xfId="0" applyFont="true" applyBorder="true" applyAlignment="true" applyProtection="true">
      <alignment horizontal="general" vertical="center" textRotation="0" wrapText="false" indent="0" shrinkToFit="false"/>
      <protection locked="true" hidden="false"/>
    </xf>
    <xf numFmtId="164" fontId="0" fillId="3" borderId="25" xfId="0" applyFont="true" applyBorder="true" applyAlignment="true" applyProtection="true">
      <alignment horizontal="general" vertical="center" textRotation="0" wrapText="false" indent="0" shrinkToFit="false"/>
      <protection locked="true" hidden="false"/>
    </xf>
    <xf numFmtId="164" fontId="0" fillId="3" borderId="76" xfId="0" applyFont="true" applyBorder="true" applyAlignment="true" applyProtection="true">
      <alignment horizontal="general" vertical="center" textRotation="0" wrapText="false" indent="0" shrinkToFit="false"/>
      <protection locked="true" hidden="false"/>
    </xf>
    <xf numFmtId="164" fontId="0" fillId="3" borderId="71" xfId="0" applyFont="true" applyBorder="true" applyAlignment="true" applyProtection="true">
      <alignment horizontal="general" vertical="center" textRotation="0" wrapText="false" indent="0" shrinkToFit="false"/>
      <protection locked="true" hidden="false"/>
    </xf>
    <xf numFmtId="164" fontId="0" fillId="3" borderId="70" xfId="0" applyFont="true" applyBorder="true" applyAlignment="true" applyProtection="true">
      <alignment horizontal="general" vertical="center" textRotation="0" wrapText="false" indent="0" shrinkToFit="false"/>
      <protection locked="true" hidden="false"/>
    </xf>
    <xf numFmtId="164" fontId="60" fillId="3" borderId="0" xfId="0" applyFont="true" applyBorder="false" applyAlignment="true" applyProtection="true">
      <alignment horizontal="general" vertical="center" textRotation="0" wrapText="true" indent="0" shrinkToFit="false"/>
      <protection locked="true" hidden="false"/>
    </xf>
    <xf numFmtId="164" fontId="53" fillId="5" borderId="0" xfId="0" applyFont="true" applyBorder="false" applyAlignment="true" applyProtection="true">
      <alignment horizontal="general" vertical="center" textRotation="0" wrapText="false" indent="0" shrinkToFit="false"/>
      <protection locked="true" hidden="false"/>
    </xf>
    <xf numFmtId="176" fontId="53" fillId="5" borderId="0" xfId="0" applyFont="true" applyBorder="false" applyAlignment="true" applyProtection="true">
      <alignment horizontal="general" vertical="center" textRotation="0" wrapText="false" indent="0" shrinkToFit="false"/>
      <protection locked="false" hidden="false"/>
    </xf>
    <xf numFmtId="164" fontId="53" fillId="5" borderId="0" xfId="0" applyFont="true" applyBorder="false" applyAlignment="true" applyProtection="true">
      <alignment horizontal="center" vertical="center" textRotation="0" wrapText="false" indent="0" shrinkToFit="false"/>
      <protection locked="false" hidden="false"/>
    </xf>
    <xf numFmtId="164" fontId="0" fillId="5" borderId="0" xfId="0" applyFont="true" applyBorder="false" applyAlignment="true" applyProtection="true">
      <alignment horizontal="general" vertical="center" textRotation="0" wrapText="false" indent="0" shrinkToFit="false"/>
      <protection locked="true" hidden="false"/>
    </xf>
    <xf numFmtId="176" fontId="0" fillId="5" borderId="0" xfId="0" applyFont="true" applyBorder="false" applyAlignment="true" applyProtection="true">
      <alignment horizontal="general" vertical="center" textRotation="0" wrapText="false" indent="0" shrinkToFit="false"/>
      <protection locked="false" hidden="false"/>
    </xf>
    <xf numFmtId="170" fontId="65" fillId="3" borderId="57" xfId="22" applyFont="true" applyBorder="true" applyAlignment="true" applyProtection="true">
      <alignment horizontal="general" vertical="center" textRotation="0" wrapText="true" indent="0" shrinkToFit="false"/>
      <protection locked="true" hidden="false"/>
    </xf>
    <xf numFmtId="170" fontId="75" fillId="0" borderId="59" xfId="22" applyFont="true" applyBorder="true" applyAlignment="true" applyProtection="true">
      <alignment horizontal="center" vertical="center" textRotation="0" wrapText="false" indent="0" shrinkToFit="false"/>
      <protection locked="false" hidden="false"/>
    </xf>
    <xf numFmtId="164" fontId="76" fillId="5" borderId="0" xfId="0" applyFont="true" applyBorder="false" applyAlignment="true" applyProtection="true">
      <alignment horizontal="general" vertical="center" textRotation="0" wrapText="false" indent="0" shrinkToFit="false"/>
      <protection locked="true" hidden="false"/>
    </xf>
    <xf numFmtId="170" fontId="65" fillId="3" borderId="22" xfId="22" applyFont="true" applyBorder="true" applyAlignment="true" applyProtection="true">
      <alignment horizontal="general" vertical="center" textRotation="0" wrapText="true" indent="0" shrinkToFit="false"/>
      <protection locked="true" hidden="false"/>
    </xf>
    <xf numFmtId="170" fontId="38" fillId="0" borderId="23" xfId="22" applyFont="true" applyBorder="true" applyAlignment="true" applyProtection="true">
      <alignment horizontal="center" vertical="center" textRotation="0" wrapText="false" indent="0" shrinkToFit="false"/>
      <protection locked="false" hidden="false"/>
    </xf>
    <xf numFmtId="170" fontId="4" fillId="3" borderId="22" xfId="22" applyFont="true" applyBorder="true" applyAlignment="true" applyProtection="true">
      <alignment horizontal="general" vertical="center" textRotation="0" wrapText="true" indent="0" shrinkToFit="false"/>
      <protection locked="true" hidden="false"/>
    </xf>
    <xf numFmtId="170" fontId="75" fillId="3" borderId="23" xfId="22" applyFont="true" applyBorder="true" applyAlignment="true" applyProtection="true">
      <alignment horizontal="center" vertical="center" textRotation="0" wrapText="false" indent="0" shrinkToFit="false"/>
      <protection locked="true" hidden="false"/>
    </xf>
    <xf numFmtId="170" fontId="65" fillId="3" borderId="24" xfId="22" applyFont="true" applyBorder="true" applyAlignment="true" applyProtection="true">
      <alignment horizontal="general" vertical="center" textRotation="0" wrapText="true" indent="0" shrinkToFit="false"/>
      <protection locked="true" hidden="false"/>
    </xf>
    <xf numFmtId="170" fontId="75" fillId="3" borderId="71" xfId="22" applyFont="true" applyBorder="true" applyAlignment="true" applyProtection="true">
      <alignment horizontal="center" vertical="center" textRotation="0" wrapText="false" indent="0" shrinkToFit="false"/>
      <protection locked="true" hidden="false"/>
    </xf>
    <xf numFmtId="164" fontId="4" fillId="3" borderId="85" xfId="0" applyFont="true" applyBorder="true" applyAlignment="true" applyProtection="true">
      <alignment horizontal="center" vertical="center" textRotation="0" wrapText="false" indent="0" shrinkToFit="false"/>
      <protection locked="true" hidden="false"/>
    </xf>
    <xf numFmtId="164" fontId="4" fillId="5" borderId="34" xfId="0" applyFont="true" applyBorder="true" applyAlignment="true" applyProtection="true">
      <alignment horizontal="center" vertical="center" textRotation="0" wrapText="false" indent="0" shrinkToFit="false"/>
      <protection locked="false" hidden="false"/>
    </xf>
    <xf numFmtId="164" fontId="4" fillId="3" borderId="57" xfId="0" applyFont="true" applyBorder="true" applyAlignment="true" applyProtection="true">
      <alignment horizontal="general" vertical="center" textRotation="0" wrapText="true" indent="0" shrinkToFit="false"/>
      <protection locked="true" hidden="false"/>
    </xf>
    <xf numFmtId="164" fontId="77" fillId="0" borderId="59" xfId="22" applyFont="true" applyBorder="true" applyAlignment="true" applyProtection="true">
      <alignment horizontal="center" vertical="center" textRotation="0" wrapText="false" indent="0" shrinkToFit="false"/>
      <protection locked="false" hidden="false"/>
    </xf>
    <xf numFmtId="164" fontId="78" fillId="5" borderId="0" xfId="0" applyFont="true" applyBorder="false" applyAlignment="true" applyProtection="true">
      <alignment horizontal="left" vertical="center" textRotation="0" wrapText="false" indent="0" shrinkToFit="false"/>
      <protection locked="true" hidden="false"/>
    </xf>
    <xf numFmtId="176" fontId="0" fillId="5" borderId="0" xfId="0" applyFont="true" applyBorder="false" applyAlignment="true" applyProtection="true">
      <alignment horizontal="center" vertical="center" textRotation="0" wrapText="false" indent="0" shrinkToFit="false"/>
      <protection locked="false" hidden="false"/>
    </xf>
    <xf numFmtId="164" fontId="53" fillId="0" borderId="0" xfId="0" applyFont="true" applyBorder="false" applyAlignment="true" applyProtection="true">
      <alignment horizontal="general" vertical="center" textRotation="0" wrapText="false" indent="0" shrinkToFit="false"/>
      <protection locked="false" hidden="false"/>
    </xf>
    <xf numFmtId="164" fontId="53" fillId="0" borderId="0" xfId="0" applyFont="true" applyBorder="false" applyAlignment="true" applyProtection="true">
      <alignment horizontal="general" vertical="center" textRotation="0" wrapText="false" indent="0" shrinkToFit="false"/>
      <protection locked="true" hidden="false"/>
    </xf>
    <xf numFmtId="164" fontId="4" fillId="3" borderId="22" xfId="0" applyFont="true" applyBorder="true" applyAlignment="true" applyProtection="true">
      <alignment horizontal="general" vertical="center" textRotation="0" wrapText="true" indent="0" shrinkToFit="false"/>
      <protection locked="true" hidden="false"/>
    </xf>
    <xf numFmtId="164" fontId="77" fillId="0" borderId="23" xfId="22" applyFont="true" applyBorder="true" applyAlignment="true" applyProtection="true">
      <alignment horizontal="center" vertical="center" textRotation="0" wrapText="false" indent="0" shrinkToFit="false"/>
      <protection locked="false" hidden="false"/>
    </xf>
    <xf numFmtId="164" fontId="70" fillId="5" borderId="0" xfId="0" applyFont="true" applyBorder="false" applyAlignment="true" applyProtection="true">
      <alignment horizontal="center" vertical="center" textRotation="0" wrapText="false" indent="0" shrinkToFit="false"/>
      <protection locked="false" hidden="false"/>
    </xf>
    <xf numFmtId="164" fontId="4" fillId="3" borderId="24" xfId="0" applyFont="true" applyBorder="true" applyAlignment="true" applyProtection="true">
      <alignment horizontal="general" vertical="center" textRotation="0" wrapText="true" indent="0" shrinkToFit="false"/>
      <protection locked="true" hidden="false"/>
    </xf>
    <xf numFmtId="164" fontId="77" fillId="0" borderId="71" xfId="22" applyFont="true" applyBorder="true" applyAlignment="true" applyProtection="true">
      <alignment horizontal="center" vertical="center" textRotation="0" wrapText="false" indent="0" shrinkToFit="false"/>
      <protection locked="false" hidden="false"/>
    </xf>
    <xf numFmtId="164" fontId="76" fillId="5" borderId="0" xfId="0" applyFont="true" applyBorder="false" applyAlignment="true" applyProtection="true">
      <alignment horizontal="left" vertical="center" textRotation="0" wrapText="false" indent="0" shrinkToFit="false"/>
      <protection locked="true" hidden="false"/>
    </xf>
    <xf numFmtId="164" fontId="4" fillId="3" borderId="66" xfId="0" applyFont="true" applyBorder="true" applyAlignment="true" applyProtection="true">
      <alignment horizontal="general" vertical="center" textRotation="0" wrapText="true" indent="0" shrinkToFit="false"/>
      <protection locked="true" hidden="false"/>
    </xf>
    <xf numFmtId="164" fontId="77" fillId="0" borderId="62" xfId="22" applyFont="true" applyBorder="true" applyAlignment="true" applyProtection="true">
      <alignment horizontal="center" vertical="center" textRotation="0" wrapText="false" indent="0" shrinkToFit="false"/>
      <protection locked="false" hidden="false"/>
    </xf>
    <xf numFmtId="167" fontId="75" fillId="3" borderId="23" xfId="22" applyFont="true" applyBorder="true" applyAlignment="true" applyProtection="true">
      <alignment horizontal="center" vertical="center" textRotation="0" wrapText="false" indent="0" shrinkToFit="false"/>
      <protection locked="true" hidden="false"/>
    </xf>
    <xf numFmtId="164" fontId="70" fillId="5" borderId="0" xfId="0" applyFont="true" applyBorder="false" applyAlignment="true" applyProtection="true">
      <alignment horizontal="left" vertical="center" textRotation="0" wrapText="false" indent="0" shrinkToFit="false"/>
      <protection locked="false" hidden="false"/>
    </xf>
    <xf numFmtId="164" fontId="4" fillId="3" borderId="65" xfId="0" applyFont="true" applyBorder="true" applyAlignment="true" applyProtection="true">
      <alignment horizontal="general" vertical="center" textRotation="0" wrapText="true" indent="0" shrinkToFit="false"/>
      <protection locked="true" hidden="false"/>
    </xf>
    <xf numFmtId="164" fontId="77" fillId="0" borderId="63" xfId="22" applyFont="true" applyBorder="true" applyAlignment="true" applyProtection="true">
      <alignment horizontal="center" vertical="center" textRotation="0" wrapText="false" indent="0" shrinkToFit="false"/>
      <protection locked="false" hidden="false"/>
    </xf>
    <xf numFmtId="178" fontId="30" fillId="0" borderId="59" xfId="0" applyFont="true" applyBorder="true" applyAlignment="true" applyProtection="true">
      <alignment horizontal="center" vertical="center" textRotation="0" wrapText="false" indent="0" shrinkToFit="false"/>
      <protection locked="false" hidden="false"/>
    </xf>
    <xf numFmtId="164" fontId="68" fillId="5" borderId="0" xfId="0" applyFont="true" applyBorder="false" applyAlignment="true" applyProtection="true">
      <alignment horizontal="general" vertical="center" textRotation="0" wrapText="false" indent="0" shrinkToFit="false"/>
      <protection locked="true" hidden="false"/>
    </xf>
    <xf numFmtId="178" fontId="30" fillId="0" borderId="23" xfId="0" applyFont="true" applyBorder="true" applyAlignment="true" applyProtection="true">
      <alignment horizontal="center" vertical="center" textRotation="0" wrapText="false" indent="0" shrinkToFit="false"/>
      <protection locked="false" hidden="false"/>
    </xf>
    <xf numFmtId="176" fontId="76" fillId="5" borderId="0" xfId="0" applyFont="true" applyBorder="false" applyAlignment="true" applyProtection="true">
      <alignment horizontal="general" vertical="center" textRotation="0" wrapText="false" indent="0" shrinkToFit="false"/>
      <protection locked="false" hidden="false"/>
    </xf>
    <xf numFmtId="178" fontId="30" fillId="0" borderId="71" xfId="0" applyFont="true" applyBorder="true" applyAlignment="true" applyProtection="true">
      <alignment horizontal="center" vertical="center" textRotation="0" wrapText="false" indent="0" shrinkToFit="false"/>
      <protection locked="false" hidden="false"/>
    </xf>
    <xf numFmtId="178" fontId="30" fillId="0" borderId="62" xfId="0" applyFont="true" applyBorder="true" applyAlignment="true" applyProtection="true">
      <alignment horizontal="center" vertical="center" textRotation="0" wrapText="false" indent="0" shrinkToFit="false"/>
      <protection locked="false" hidden="false"/>
    </xf>
    <xf numFmtId="178" fontId="30" fillId="3" borderId="63" xfId="0" applyFont="true" applyBorder="true" applyAlignment="true" applyProtection="true">
      <alignment horizontal="center" vertical="center" textRotation="0" wrapText="false" indent="0" shrinkToFit="false"/>
      <protection locked="true" hidden="false"/>
    </xf>
    <xf numFmtId="164" fontId="67" fillId="5" borderId="0" xfId="0" applyFont="true" applyBorder="false" applyAlignment="true" applyProtection="true">
      <alignment horizontal="general" vertical="center" textRotation="0" wrapText="false" indent="0" shrinkToFit="false"/>
      <protection locked="false" hidden="false"/>
    </xf>
    <xf numFmtId="164" fontId="0" fillId="2" borderId="65" xfId="0" applyFont="true" applyBorder="true" applyAlignment="true" applyProtection="true">
      <alignment horizontal="general" vertical="center" textRotation="0" wrapText="true" indent="0" shrinkToFit="false"/>
      <protection locked="false" hidden="false"/>
    </xf>
    <xf numFmtId="173" fontId="30" fillId="4" borderId="63" xfId="0" applyFont="true" applyBorder="true" applyAlignment="true" applyProtection="true">
      <alignment horizontal="center" vertical="center" textRotation="0" wrapText="false" indent="0" shrinkToFit="false"/>
      <protection locked="true" hidden="false"/>
    </xf>
    <xf numFmtId="173" fontId="57" fillId="0" borderId="22" xfId="0" applyFont="true" applyBorder="true" applyAlignment="true" applyProtection="true">
      <alignment horizontal="general" vertical="center" textRotation="0" wrapText="false" indent="0" shrinkToFit="false"/>
      <protection locked="false" hidden="false"/>
    </xf>
    <xf numFmtId="173" fontId="38" fillId="3" borderId="59" xfId="0" applyFont="true" applyBorder="true" applyAlignment="true" applyProtection="true">
      <alignment horizontal="center" vertical="center" textRotation="0" wrapText="false" indent="0" shrinkToFit="false"/>
      <protection locked="true" hidden="false"/>
    </xf>
    <xf numFmtId="164" fontId="4" fillId="3" borderId="65" xfId="0" applyFont="true" applyBorder="true" applyAlignment="true" applyProtection="true">
      <alignment horizontal="left" vertical="center" textRotation="0" wrapText="true" indent="0" shrinkToFit="false"/>
      <protection locked="true" hidden="false"/>
    </xf>
    <xf numFmtId="173" fontId="38" fillId="0" borderId="63" xfId="0" applyFont="true" applyBorder="true" applyAlignment="true" applyProtection="true">
      <alignment horizontal="center" vertical="center" textRotation="0" wrapText="false" indent="0" shrinkToFit="false"/>
      <protection locked="false" hidden="false"/>
    </xf>
    <xf numFmtId="178" fontId="38" fillId="5" borderId="0" xfId="0" applyFont="true" applyBorder="false" applyAlignment="true" applyProtection="true">
      <alignment horizontal="center" vertical="center" textRotation="0" wrapText="false" indent="0" shrinkToFit="false"/>
      <protection locked="true" hidden="false"/>
    </xf>
    <xf numFmtId="179" fontId="38" fillId="3" borderId="63" xfId="0" applyFont="true" applyBorder="true" applyAlignment="true" applyProtection="true">
      <alignment horizontal="center" vertical="center" textRotation="0" wrapText="false" indent="0" shrinkToFit="false"/>
      <protection locked="true" hidden="false"/>
    </xf>
    <xf numFmtId="164" fontId="4" fillId="3" borderId="65" xfId="0" applyFont="true" applyBorder="true" applyAlignment="true" applyProtection="true">
      <alignment horizontal="right" vertical="center" textRotation="0" wrapText="true" indent="0" shrinkToFit="false"/>
      <protection locked="true" hidden="false"/>
    </xf>
    <xf numFmtId="173" fontId="38" fillId="2" borderId="63" xfId="0" applyFont="true" applyBorder="true" applyAlignment="true" applyProtection="true">
      <alignment horizontal="center" vertical="center" textRotation="0" wrapText="false" indent="0" shrinkToFit="false"/>
      <protection locked="false" hidden="false"/>
    </xf>
    <xf numFmtId="164" fontId="4" fillId="3" borderId="24" xfId="0" applyFont="true" applyBorder="true" applyAlignment="true" applyProtection="true">
      <alignment horizontal="right" vertical="center" textRotation="0" wrapText="true" indent="0" shrinkToFit="false"/>
      <protection locked="true" hidden="false"/>
    </xf>
    <xf numFmtId="173" fontId="0" fillId="0" borderId="71" xfId="0" applyFont="true" applyBorder="true" applyAlignment="true" applyProtection="true">
      <alignment horizontal="center" vertical="center" textRotation="0" wrapText="false" indent="0" shrinkToFit="false"/>
      <protection locked="false" hidden="false"/>
    </xf>
    <xf numFmtId="164" fontId="4" fillId="3" borderId="68" xfId="0" applyFont="true" applyBorder="true" applyAlignment="true" applyProtection="true">
      <alignment horizontal="general" vertical="center" textRotation="0" wrapText="true" indent="0" shrinkToFit="false"/>
      <protection locked="true" hidden="false"/>
    </xf>
    <xf numFmtId="166" fontId="38" fillId="0" borderId="86" xfId="0" applyFont="true" applyBorder="true" applyAlignment="true" applyProtection="true">
      <alignment horizontal="center" vertical="center" textRotation="0" wrapText="false" indent="0" shrinkToFit="false"/>
      <protection locked="false" hidden="false"/>
    </xf>
    <xf numFmtId="164" fontId="4" fillId="3" borderId="87" xfId="0" applyFont="true" applyBorder="true" applyAlignment="true" applyProtection="true">
      <alignment horizontal="general" vertical="center" textRotation="0" wrapText="true" indent="0" shrinkToFit="false"/>
      <protection locked="true" hidden="false"/>
    </xf>
    <xf numFmtId="173" fontId="38" fillId="3" borderId="82" xfId="0" applyFont="true" applyBorder="true" applyAlignment="true" applyProtection="true">
      <alignment horizontal="center" vertical="center" textRotation="0" wrapText="false" indent="0" shrinkToFit="false"/>
      <protection locked="true" hidden="false"/>
    </xf>
    <xf numFmtId="173" fontId="38" fillId="3" borderId="71" xfId="0" applyFont="true" applyBorder="true" applyAlignment="true" applyProtection="true">
      <alignment horizontal="center" vertical="center" textRotation="0" wrapText="false" indent="0" shrinkToFit="false"/>
      <protection locked="true" hidden="false"/>
    </xf>
    <xf numFmtId="180" fontId="38" fillId="3" borderId="82" xfId="0" applyFont="true" applyBorder="true" applyAlignment="true" applyProtection="true">
      <alignment horizontal="center" vertical="center" textRotation="0" wrapText="false" indent="0" shrinkToFit="false"/>
      <protection locked="true" hidden="false"/>
    </xf>
    <xf numFmtId="164" fontId="0" fillId="2" borderId="23" xfId="0" applyFont="true" applyBorder="true" applyAlignment="true" applyProtection="true">
      <alignment horizontal="center" vertical="center" textRotation="0" wrapText="false" indent="0" shrinkToFit="false"/>
      <protection locked="false" hidden="false"/>
    </xf>
    <xf numFmtId="164" fontId="4" fillId="5" borderId="0" xfId="0" applyFont="true" applyBorder="false" applyAlignment="true" applyProtection="true">
      <alignment horizontal="center" vertical="center" textRotation="0" wrapText="false" indent="0" shrinkToFit="false"/>
      <protection locked="false" hidden="false"/>
    </xf>
    <xf numFmtId="164" fontId="4" fillId="0" borderId="22" xfId="0" applyFont="true" applyBorder="true" applyAlignment="true" applyProtection="true">
      <alignment horizontal="right" vertical="center" textRotation="0" wrapText="true" indent="0" shrinkToFit="false"/>
      <protection locked="false" hidden="false"/>
    </xf>
    <xf numFmtId="164" fontId="0" fillId="0" borderId="23" xfId="0" applyFont="true" applyBorder="true" applyAlignment="true" applyProtection="true">
      <alignment horizontal="center" vertical="center" textRotation="0" wrapText="false" indent="0" shrinkToFit="false"/>
      <protection locked="false" hidden="false"/>
    </xf>
    <xf numFmtId="164" fontId="0" fillId="5" borderId="0" xfId="0" applyFont="true" applyBorder="true" applyAlignment="true" applyProtection="true">
      <alignment horizontal="general" vertical="center" textRotation="0" wrapText="false" indent="0" shrinkToFit="false"/>
      <protection locked="false" hidden="false"/>
    </xf>
    <xf numFmtId="164" fontId="4" fillId="0" borderId="24" xfId="0" applyFont="true" applyBorder="true" applyAlignment="true" applyProtection="true">
      <alignment horizontal="right" vertical="center" textRotation="0" wrapText="true" indent="0" shrinkToFit="false"/>
      <protection locked="false" hidden="false"/>
    </xf>
    <xf numFmtId="164" fontId="0" fillId="0" borderId="71" xfId="0" applyFont="true" applyBorder="true" applyAlignment="true" applyProtection="true">
      <alignment horizontal="general" vertical="center" textRotation="0" wrapText="false" indent="0" shrinkToFit="false"/>
      <protection locked="false" hidden="false"/>
    </xf>
    <xf numFmtId="176" fontId="53" fillId="0" borderId="0" xfId="0" applyFont="true" applyBorder="false" applyAlignment="true" applyProtection="true">
      <alignment horizontal="general" vertical="center" textRotation="0" wrapText="false" indent="0" shrinkToFit="false"/>
      <protection locked="false" hidden="false"/>
    </xf>
    <xf numFmtId="164" fontId="53" fillId="0" borderId="0" xfId="0" applyFont="true" applyBorder="false" applyAlignment="true" applyProtection="true">
      <alignment horizontal="center" vertical="center" textRotation="0" wrapText="false" indent="0" shrinkToFit="false"/>
      <protection locked="false" hidden="false"/>
    </xf>
    <xf numFmtId="164" fontId="0" fillId="0" borderId="0" xfId="0" applyFont="true" applyBorder="false" applyAlignment="true" applyProtection="true">
      <alignment horizontal="general" vertical="center" textRotation="0" wrapText="true" indent="0" shrinkToFit="false"/>
      <protection locked="false" hidden="false"/>
    </xf>
    <xf numFmtId="164" fontId="0" fillId="0" borderId="0" xfId="0" applyFont="true" applyBorder="false" applyAlignment="true" applyProtection="true">
      <alignment horizontal="general" vertical="center" textRotation="0" wrapText="true" indent="0" shrinkToFit="false"/>
      <protection locked="false" hidden="false"/>
    </xf>
    <xf numFmtId="164" fontId="0" fillId="5" borderId="0" xfId="0" applyFont="true" applyBorder="false" applyAlignment="true" applyProtection="true">
      <alignment horizontal="general" vertical="center" textRotation="0" wrapText="true" indent="0" shrinkToFit="false"/>
      <protection locked="false" hidden="false"/>
    </xf>
    <xf numFmtId="164" fontId="0" fillId="5" borderId="0" xfId="0" applyFont="true" applyBorder="false" applyAlignment="true" applyProtection="true">
      <alignment horizontal="general" vertical="center" textRotation="0" wrapText="true" indent="0" shrinkToFit="false"/>
      <protection locked="false" hidden="false"/>
    </xf>
    <xf numFmtId="164" fontId="0" fillId="5" borderId="0" xfId="0" applyFont="true" applyBorder="false" applyAlignment="true" applyProtection="true">
      <alignment horizontal="general" vertical="center" textRotation="0" wrapText="false" indent="0" shrinkToFit="false"/>
      <protection locked="false" hidden="false"/>
    </xf>
    <xf numFmtId="164" fontId="52" fillId="3" borderId="88" xfId="0" applyFont="true" applyBorder="true" applyAlignment="true" applyProtection="true">
      <alignment horizontal="general" vertical="center" textRotation="0" wrapText="false" indent="0" shrinkToFit="false"/>
      <protection locked="true" hidden="false"/>
    </xf>
    <xf numFmtId="164" fontId="82" fillId="5" borderId="89" xfId="0" applyFont="true" applyBorder="true" applyAlignment="true" applyProtection="true">
      <alignment horizontal="general" vertical="center" textRotation="0" wrapText="true" indent="0" shrinkToFit="false"/>
      <protection locked="false" hidden="false"/>
    </xf>
    <xf numFmtId="164" fontId="82" fillId="5" borderId="89" xfId="0" applyFont="true" applyBorder="true" applyAlignment="true" applyProtection="true">
      <alignment horizontal="general" vertical="center" textRotation="0" wrapText="true" indent="0" shrinkToFit="false"/>
      <protection locked="false" hidden="false"/>
    </xf>
    <xf numFmtId="164" fontId="82" fillId="5" borderId="90" xfId="0" applyFont="true" applyBorder="true" applyAlignment="true" applyProtection="true">
      <alignment horizontal="general" vertical="center" textRotation="0" wrapText="true" indent="0" shrinkToFit="false"/>
      <protection locked="false" hidden="false"/>
    </xf>
    <xf numFmtId="164" fontId="32" fillId="5" borderId="0" xfId="0" applyFont="true" applyBorder="false" applyAlignment="true" applyProtection="true">
      <alignment horizontal="general" vertical="center" textRotation="0" wrapText="false" indent="0" shrinkToFit="false"/>
      <protection locked="false" hidden="false"/>
    </xf>
    <xf numFmtId="164" fontId="32" fillId="5" borderId="0" xfId="0" applyFont="true" applyBorder="false" applyAlignment="true" applyProtection="true">
      <alignment horizontal="general" vertical="center" textRotation="0" wrapText="false" indent="0" shrinkToFit="false"/>
      <protection locked="false" hidden="false"/>
    </xf>
    <xf numFmtId="164" fontId="32" fillId="0" borderId="0" xfId="0" applyFont="true" applyBorder="false" applyAlignment="true" applyProtection="true">
      <alignment horizontal="general" vertical="center" textRotation="0" wrapText="false" indent="0" shrinkToFit="false"/>
      <protection locked="false" hidden="false"/>
    </xf>
    <xf numFmtId="164" fontId="60" fillId="3" borderId="77" xfId="0" applyFont="true" applyBorder="true" applyAlignment="true" applyProtection="true">
      <alignment horizontal="general" vertical="center" textRotation="0" wrapText="true" indent="0" shrinkToFit="false"/>
      <protection locked="true" hidden="false"/>
    </xf>
    <xf numFmtId="164" fontId="60" fillId="3" borderId="85" xfId="0" applyFont="true" applyBorder="true" applyAlignment="true" applyProtection="true">
      <alignment horizontal="general" vertical="center" textRotation="0" wrapText="true" indent="0" shrinkToFit="false"/>
      <protection locked="true" hidden="false"/>
    </xf>
    <xf numFmtId="164" fontId="61" fillId="3" borderId="79" xfId="0" applyFont="true" applyBorder="true" applyAlignment="true" applyProtection="true">
      <alignment horizontal="general" vertical="center" textRotation="0" wrapText="false" indent="0" shrinkToFit="false"/>
      <protection locked="true" hidden="false"/>
    </xf>
    <xf numFmtId="164" fontId="60" fillId="3" borderId="0" xfId="0" applyFont="true" applyBorder="true" applyAlignment="true" applyProtection="true">
      <alignment horizontal="general" vertical="center" textRotation="0" wrapText="true" indent="0" shrinkToFit="false"/>
      <protection locked="true" hidden="false"/>
    </xf>
    <xf numFmtId="164" fontId="53" fillId="3" borderId="78" xfId="0" applyFont="true" applyBorder="true" applyAlignment="true" applyProtection="true">
      <alignment horizontal="general" vertical="center" textRotation="0" wrapText="false" indent="0" shrinkToFit="false"/>
      <protection locked="true" hidden="false"/>
    </xf>
    <xf numFmtId="164" fontId="61" fillId="3" borderId="87" xfId="0" applyFont="true" applyBorder="true" applyAlignment="true" applyProtection="true">
      <alignment horizontal="general" vertical="center" textRotation="0" wrapText="true" indent="0" shrinkToFit="false"/>
      <protection locked="true" hidden="false"/>
    </xf>
    <xf numFmtId="164" fontId="29" fillId="3" borderId="58" xfId="0" applyFont="true" applyBorder="true" applyAlignment="true" applyProtection="true">
      <alignment horizontal="general" vertical="center" textRotation="0" wrapText="true" indent="0" shrinkToFit="false"/>
      <protection locked="true" hidden="false"/>
    </xf>
    <xf numFmtId="174" fontId="55" fillId="0" borderId="59" xfId="0" applyFont="true" applyBorder="true" applyAlignment="true" applyProtection="true">
      <alignment horizontal="general" vertical="center" textRotation="0" wrapText="true" indent="0" shrinkToFit="false"/>
      <protection locked="false" hidden="false"/>
    </xf>
    <xf numFmtId="174" fontId="53" fillId="3" borderId="0" xfId="0" applyFont="true" applyBorder="true" applyAlignment="true" applyProtection="true">
      <alignment horizontal="general" vertical="center" textRotation="0" wrapText="true" indent="0" shrinkToFit="false"/>
      <protection locked="false" hidden="false"/>
    </xf>
    <xf numFmtId="164" fontId="61" fillId="3" borderId="68" xfId="0" applyFont="true" applyBorder="true" applyAlignment="true" applyProtection="true">
      <alignment horizontal="general" vertical="center" textRotation="0" wrapText="true" indent="0" shrinkToFit="false"/>
      <protection locked="true" hidden="false"/>
    </xf>
    <xf numFmtId="164" fontId="29" fillId="3" borderId="37" xfId="0" applyFont="true" applyBorder="true" applyAlignment="true" applyProtection="true">
      <alignment horizontal="general" vertical="center" textRotation="0" wrapText="true" indent="0" shrinkToFit="false"/>
      <protection locked="true" hidden="false"/>
    </xf>
    <xf numFmtId="164" fontId="55" fillId="0" borderId="62" xfId="0" applyFont="true" applyBorder="true" applyAlignment="true" applyProtection="true">
      <alignment horizontal="general" vertical="center" textRotation="0" wrapText="true" indent="0" shrinkToFit="false"/>
      <protection locked="false" hidden="false"/>
    </xf>
    <xf numFmtId="174" fontId="55" fillId="0" borderId="23" xfId="0" applyFont="true" applyBorder="true" applyAlignment="true" applyProtection="true">
      <alignment horizontal="general" vertical="center" textRotation="0" wrapText="true" indent="0" shrinkToFit="false"/>
      <protection locked="false" hidden="false"/>
    </xf>
    <xf numFmtId="174" fontId="53" fillId="3" borderId="68" xfId="0" applyFont="true" applyBorder="true" applyAlignment="true" applyProtection="true">
      <alignment horizontal="general" vertical="center" textRotation="0" wrapText="true" indent="0" shrinkToFit="false"/>
      <protection locked="true" hidden="false"/>
    </xf>
    <xf numFmtId="164" fontId="29" fillId="3" borderId="8" xfId="0" applyFont="true" applyBorder="true" applyAlignment="true" applyProtection="true">
      <alignment horizontal="general" vertical="center" textRotation="0" wrapText="true" indent="0" shrinkToFit="false"/>
      <protection locked="true" hidden="false"/>
    </xf>
    <xf numFmtId="164" fontId="55" fillId="0" borderId="23" xfId="0" applyFont="true" applyBorder="true" applyAlignment="true" applyProtection="true">
      <alignment horizontal="general" vertical="center" textRotation="0" wrapText="true" indent="0" shrinkToFit="false"/>
      <protection locked="false" hidden="false"/>
    </xf>
    <xf numFmtId="174" fontId="53" fillId="3" borderId="67" xfId="0" applyFont="true" applyBorder="true" applyAlignment="true" applyProtection="true">
      <alignment horizontal="general" vertical="center" textRotation="0" wrapText="true" indent="0" shrinkToFit="false"/>
      <protection locked="true" hidden="false"/>
    </xf>
    <xf numFmtId="164" fontId="29" fillId="3" borderId="70" xfId="0" applyFont="true" applyBorder="true" applyAlignment="true" applyProtection="true">
      <alignment horizontal="general" vertical="center" textRotation="0" wrapText="true" indent="0" shrinkToFit="false"/>
      <protection locked="true" hidden="false"/>
    </xf>
    <xf numFmtId="164" fontId="55" fillId="0" borderId="71" xfId="0" applyFont="true" applyBorder="true" applyAlignment="true" applyProtection="true">
      <alignment horizontal="general" vertical="center" textRotation="0" wrapText="true" indent="0" shrinkToFit="false"/>
      <protection locked="false" hidden="false"/>
    </xf>
    <xf numFmtId="164" fontId="60" fillId="3" borderId="67" xfId="0" applyFont="true" applyBorder="true" applyAlignment="true" applyProtection="true">
      <alignment horizontal="general" vertical="center" textRotation="0" wrapText="true" indent="0" shrinkToFit="false"/>
      <protection locked="true" hidden="false"/>
    </xf>
    <xf numFmtId="164" fontId="29" fillId="3" borderId="25" xfId="0" applyFont="true" applyBorder="true" applyAlignment="true" applyProtection="true">
      <alignment horizontal="general" vertical="center" textRotation="0" wrapText="true" indent="0" shrinkToFit="false"/>
      <protection locked="true" hidden="false"/>
    </xf>
    <xf numFmtId="164" fontId="54" fillId="0" borderId="71" xfId="0" applyFont="true" applyBorder="true" applyAlignment="true" applyProtection="true">
      <alignment horizontal="general" vertical="center" textRotation="0" wrapText="false" indent="0" shrinkToFit="false"/>
      <protection locked="false" hidden="false"/>
    </xf>
    <xf numFmtId="164" fontId="0" fillId="5" borderId="0" xfId="0" applyFont="true" applyBorder="true" applyAlignment="true" applyProtection="true">
      <alignment horizontal="general" vertical="center" textRotation="0" wrapText="true" indent="0" shrinkToFit="false"/>
      <protection locked="false" hidden="false"/>
    </xf>
    <xf numFmtId="164" fontId="0" fillId="5" borderId="0" xfId="0" applyFont="true" applyBorder="true" applyAlignment="true" applyProtection="true">
      <alignment horizontal="general" vertical="center" textRotation="0" wrapText="true" indent="0" shrinkToFit="false"/>
      <protection locked="false" hidden="false"/>
    </xf>
    <xf numFmtId="174" fontId="0" fillId="5" borderId="0" xfId="0" applyFont="true" applyBorder="true" applyAlignment="true" applyProtection="true">
      <alignment horizontal="general" vertical="center" textRotation="0" wrapText="true" indent="0" shrinkToFit="false"/>
      <protection locked="false" hidden="false"/>
    </xf>
    <xf numFmtId="164" fontId="0" fillId="0" borderId="0" xfId="0" applyFont="true" applyBorder="false" applyAlignment="true" applyProtection="true">
      <alignment horizontal="general" vertical="center" textRotation="0" wrapText="false" indent="0" shrinkToFit="false"/>
      <protection locked="false" hidden="false"/>
    </xf>
    <xf numFmtId="164" fontId="60" fillId="3" borderId="0" xfId="0" applyFont="true" applyBorder="true" applyAlignment="true" applyProtection="true">
      <alignment horizontal="general" vertical="center" textRotation="0" wrapText="true" indent="0" shrinkToFit="false"/>
      <protection locked="false" hidden="false"/>
    </xf>
    <xf numFmtId="164" fontId="53" fillId="3" borderId="0" xfId="0" applyFont="true" applyBorder="true" applyAlignment="true" applyProtection="true">
      <alignment horizontal="general" vertical="center" textRotation="0" wrapText="true" indent="0" shrinkToFit="false"/>
      <protection locked="false" hidden="false"/>
    </xf>
    <xf numFmtId="164" fontId="83" fillId="3" borderId="0" xfId="0" applyFont="true" applyBorder="true" applyAlignment="true" applyProtection="true">
      <alignment horizontal="general" vertical="center" textRotation="0" wrapText="false" indent="0" shrinkToFit="false"/>
      <protection locked="true" hidden="false"/>
    </xf>
    <xf numFmtId="164" fontId="82" fillId="5" borderId="0" xfId="0" applyFont="true" applyBorder="true" applyAlignment="true" applyProtection="true">
      <alignment horizontal="general" vertical="center" textRotation="0" wrapText="true" indent="0" shrinkToFit="false"/>
      <protection locked="false" hidden="false"/>
    </xf>
    <xf numFmtId="164" fontId="82" fillId="5" borderId="0" xfId="0" applyFont="true" applyBorder="true" applyAlignment="true" applyProtection="true">
      <alignment horizontal="general" vertical="center" textRotation="0" wrapText="true" indent="0" shrinkToFit="false"/>
      <protection locked="false" hidden="false"/>
    </xf>
    <xf numFmtId="164" fontId="82" fillId="5" borderId="15" xfId="0" applyFont="true" applyBorder="true" applyAlignment="true" applyProtection="true">
      <alignment horizontal="general" vertical="center" textRotation="0" wrapText="true" indent="0" shrinkToFit="false"/>
      <protection locked="false" hidden="false"/>
    </xf>
    <xf numFmtId="164" fontId="32" fillId="5" borderId="0" xfId="0" applyFont="true" applyBorder="false" applyAlignment="true" applyProtection="true">
      <alignment horizontal="general" vertical="center" textRotation="0" wrapText="true" indent="0" shrinkToFit="false"/>
      <protection locked="false" hidden="false"/>
    </xf>
    <xf numFmtId="164" fontId="32" fillId="5" borderId="0" xfId="0" applyFont="true" applyBorder="false" applyAlignment="true" applyProtection="true">
      <alignment horizontal="general" vertical="center" textRotation="0" wrapText="true" indent="0" shrinkToFit="false"/>
      <protection locked="false" hidden="false"/>
    </xf>
    <xf numFmtId="164" fontId="52" fillId="3" borderId="91" xfId="0" applyFont="true" applyBorder="true" applyAlignment="true" applyProtection="true">
      <alignment horizontal="general" vertical="center" textRotation="0" wrapText="false" indent="0" shrinkToFit="false"/>
      <protection locked="true" hidden="false"/>
    </xf>
    <xf numFmtId="164" fontId="60" fillId="3" borderId="17" xfId="0" applyFont="true" applyBorder="true" applyAlignment="true" applyProtection="true">
      <alignment horizontal="general" vertical="center" textRotation="0" wrapText="true" indent="0" shrinkToFit="false"/>
      <protection locked="true" hidden="false"/>
    </xf>
    <xf numFmtId="164" fontId="61" fillId="3" borderId="19" xfId="0" applyFont="true" applyBorder="true" applyAlignment="true" applyProtection="true">
      <alignment horizontal="general" vertical="center" textRotation="0" wrapText="true" indent="0" shrinkToFit="false"/>
      <protection locked="true" hidden="false"/>
    </xf>
    <xf numFmtId="164" fontId="60" fillId="3" borderId="80" xfId="0" applyFont="true" applyBorder="true" applyAlignment="true" applyProtection="true">
      <alignment horizontal="general" vertical="center" textRotation="0" wrapText="true" indent="0" shrinkToFit="false"/>
      <protection locked="true" hidden="false"/>
    </xf>
    <xf numFmtId="164" fontId="61" fillId="3" borderId="48" xfId="0" applyFont="true" applyBorder="true" applyAlignment="true" applyProtection="true">
      <alignment horizontal="general" vertical="center" textRotation="0" wrapText="true" indent="0" shrinkToFit="false"/>
      <protection locked="true" hidden="false"/>
    </xf>
    <xf numFmtId="164" fontId="29" fillId="3" borderId="57" xfId="0" applyFont="true" applyBorder="true" applyAlignment="true" applyProtection="true">
      <alignment horizontal="general" vertical="center" textRotation="0" wrapText="true" indent="0" shrinkToFit="false"/>
      <protection locked="true" hidden="false"/>
    </xf>
    <xf numFmtId="174" fontId="30" fillId="3" borderId="82" xfId="0" applyFont="true" applyBorder="true" applyAlignment="true" applyProtection="true">
      <alignment horizontal="general" vertical="center" textRotation="0" wrapText="true" indent="0" shrinkToFit="false"/>
      <protection locked="true" hidden="false"/>
    </xf>
    <xf numFmtId="174" fontId="61" fillId="3" borderId="48" xfId="0" applyFont="true" applyBorder="true" applyAlignment="true" applyProtection="true">
      <alignment horizontal="general" vertical="center" textRotation="0" wrapText="true" indent="0" shrinkToFit="false"/>
      <protection locked="true" hidden="false"/>
    </xf>
    <xf numFmtId="167" fontId="30" fillId="3" borderId="59" xfId="0" applyFont="true" applyBorder="true" applyAlignment="true" applyProtection="true">
      <alignment horizontal="general" vertical="center" textRotation="0" wrapText="true" indent="0" shrinkToFit="false"/>
      <protection locked="true" hidden="false"/>
    </xf>
    <xf numFmtId="164" fontId="60" fillId="3" borderId="92" xfId="0" applyFont="true" applyBorder="true" applyAlignment="true" applyProtection="true">
      <alignment horizontal="general" vertical="center" textRotation="0" wrapText="true" indent="0" shrinkToFit="false"/>
      <protection locked="true" hidden="false"/>
    </xf>
    <xf numFmtId="164" fontId="29" fillId="3" borderId="66" xfId="0" applyFont="true" applyBorder="true" applyAlignment="true" applyProtection="true">
      <alignment horizontal="general" vertical="center" textRotation="0" wrapText="true" indent="0" shrinkToFit="false"/>
      <protection locked="true" hidden="false"/>
    </xf>
    <xf numFmtId="174" fontId="30" fillId="3" borderId="23" xfId="0" applyFont="true" applyBorder="true" applyAlignment="true" applyProtection="true">
      <alignment horizontal="general" vertical="center" textRotation="0" wrapText="true" indent="0" shrinkToFit="false"/>
      <protection locked="true" hidden="false"/>
    </xf>
    <xf numFmtId="174" fontId="60" fillId="3" borderId="92" xfId="0" applyFont="true" applyBorder="true" applyAlignment="true" applyProtection="true">
      <alignment horizontal="general" vertical="center" textRotation="0" wrapText="true" indent="0" shrinkToFit="false"/>
      <protection locked="true" hidden="false"/>
    </xf>
    <xf numFmtId="167" fontId="30" fillId="3" borderId="23" xfId="0" applyFont="true" applyBorder="true" applyAlignment="true" applyProtection="true">
      <alignment horizontal="general" vertical="center" textRotation="0" wrapText="true" indent="0" shrinkToFit="false"/>
      <protection locked="true" hidden="false"/>
    </xf>
    <xf numFmtId="164" fontId="53" fillId="0" borderId="23" xfId="0" applyFont="true" applyBorder="true" applyAlignment="true" applyProtection="true">
      <alignment horizontal="general" vertical="center" textRotation="0" wrapText="true" indent="0" shrinkToFit="false"/>
      <protection locked="false" hidden="false"/>
    </xf>
    <xf numFmtId="164" fontId="53" fillId="2" borderId="23" xfId="0" applyFont="true" applyBorder="true" applyAlignment="true" applyProtection="true">
      <alignment horizontal="general" vertical="center" textRotation="0" wrapText="true" indent="0" shrinkToFit="false"/>
      <protection locked="false" hidden="false"/>
    </xf>
    <xf numFmtId="174" fontId="60" fillId="3" borderId="93" xfId="0" applyFont="true" applyBorder="true" applyAlignment="true" applyProtection="true">
      <alignment horizontal="general" vertical="center" textRotation="0" wrapText="true" indent="0" shrinkToFit="false"/>
      <protection locked="true" hidden="false"/>
    </xf>
    <xf numFmtId="164" fontId="29" fillId="3" borderId="24" xfId="0" applyFont="true" applyBorder="true" applyAlignment="true" applyProtection="true">
      <alignment horizontal="general" vertical="center" textRotation="0" wrapText="true" indent="0" shrinkToFit="false"/>
      <protection locked="true" hidden="false"/>
    </xf>
    <xf numFmtId="164" fontId="53" fillId="0" borderId="71" xfId="0" applyFont="true" applyBorder="true" applyAlignment="true" applyProtection="true">
      <alignment horizontal="general" vertical="center" textRotation="0" wrapText="true" indent="0" shrinkToFit="false"/>
      <protection locked="false" hidden="false"/>
    </xf>
    <xf numFmtId="164" fontId="60" fillId="3" borderId="93" xfId="0" applyFont="true" applyBorder="true" applyAlignment="true" applyProtection="true">
      <alignment horizontal="general" vertical="center" textRotation="0" wrapText="true" indent="0" shrinkToFit="false"/>
      <protection locked="true" hidden="false"/>
    </xf>
    <xf numFmtId="167" fontId="30" fillId="3" borderId="71" xfId="0" applyFont="true" applyBorder="true" applyAlignment="true" applyProtection="true">
      <alignment horizontal="general" vertical="center" textRotation="0" wrapText="true" indent="0" shrinkToFit="false"/>
      <protection locked="true" hidden="false"/>
    </xf>
    <xf numFmtId="164" fontId="4" fillId="0" borderId="0" xfId="35" applyFont="false" applyBorder="false" applyAlignment="true" applyProtection="true">
      <alignment horizontal="left" vertical="bottom" textRotation="0" wrapText="false" indent="0" shrinkToFit="false"/>
      <protection locked="false" hidden="false"/>
    </xf>
    <xf numFmtId="164" fontId="84" fillId="3" borderId="5" xfId="35" applyFont="true" applyBorder="true" applyAlignment="true" applyProtection="true">
      <alignment horizontal="left" vertical="center" textRotation="0" wrapText="true" indent="0" shrinkToFit="false"/>
      <protection locked="true" hidden="false"/>
    </xf>
    <xf numFmtId="164" fontId="84" fillId="5" borderId="0" xfId="35" applyFont="true" applyBorder="true" applyAlignment="true" applyProtection="true">
      <alignment horizontal="left" vertical="center" textRotation="0" wrapText="true" indent="0" shrinkToFit="false"/>
      <protection locked="false" hidden="false"/>
    </xf>
    <xf numFmtId="164" fontId="4" fillId="5" borderId="0" xfId="35" applyFont="false" applyBorder="true" applyAlignment="true" applyProtection="true">
      <alignment horizontal="left" vertical="bottom" textRotation="0" wrapText="false" indent="0" shrinkToFit="false"/>
      <protection locked="false" hidden="false"/>
    </xf>
    <xf numFmtId="164" fontId="4" fillId="5" borderId="0" xfId="35" applyFont="false" applyBorder="false" applyAlignment="true" applyProtection="true">
      <alignment horizontal="left" vertical="bottom" textRotation="0" wrapText="false" indent="0" shrinkToFit="false"/>
      <protection locked="false" hidden="false"/>
    </xf>
    <xf numFmtId="168" fontId="84" fillId="3" borderId="5" xfId="35" applyFont="true" applyBorder="true" applyAlignment="true" applyProtection="true">
      <alignment horizontal="left" vertical="center" textRotation="0" wrapText="true" indent="0" shrinkToFit="false"/>
      <protection locked="true" hidden="false"/>
    </xf>
    <xf numFmtId="164" fontId="84" fillId="0" borderId="5" xfId="35" applyFont="true" applyBorder="true" applyAlignment="true" applyProtection="true">
      <alignment horizontal="left" vertical="center" textRotation="0" wrapText="true" indent="0" shrinkToFit="false"/>
      <protection locked="false" hidden="false"/>
    </xf>
    <xf numFmtId="164" fontId="84" fillId="5" borderId="5" xfId="35" applyFont="true" applyBorder="true" applyAlignment="true" applyProtection="true">
      <alignment horizontal="left" vertical="center" textRotation="0" wrapText="true" indent="0" shrinkToFit="false"/>
      <protection locked="false" hidden="false"/>
    </xf>
    <xf numFmtId="164" fontId="4" fillId="3" borderId="5" xfId="35" applyFont="true" applyBorder="true" applyAlignment="true" applyProtection="true">
      <alignment horizontal="left" vertical="bottom" textRotation="0" wrapText="false" indent="0" shrinkToFit="false"/>
      <protection locked="true" hidden="false"/>
    </xf>
    <xf numFmtId="166" fontId="4" fillId="5" borderId="5" xfId="35" applyFont="false" applyBorder="true" applyAlignment="true" applyProtection="true">
      <alignment horizontal="left" vertical="bottom" textRotation="0" wrapText="false" indent="0" shrinkToFit="false"/>
      <protection locked="false" hidden="false"/>
    </xf>
    <xf numFmtId="164" fontId="4" fillId="3" borderId="5" xfId="35" applyFont="true" applyBorder="true" applyAlignment="true" applyProtection="true">
      <alignment horizontal="left" vertical="center" textRotation="0" wrapText="false" indent="0" shrinkToFit="false"/>
      <protection locked="true" hidden="false"/>
    </xf>
    <xf numFmtId="164" fontId="84" fillId="3" borderId="11" xfId="35" applyFont="true" applyBorder="true" applyAlignment="true" applyProtection="true">
      <alignment horizontal="left" vertical="center" textRotation="0" wrapText="true" indent="0" shrinkToFit="false"/>
      <protection locked="true" hidden="false"/>
    </xf>
    <xf numFmtId="164" fontId="0" fillId="0" borderId="5" xfId="35" applyFont="true" applyBorder="true" applyAlignment="true" applyProtection="true">
      <alignment horizontal="left" vertical="bottom" textRotation="0" wrapText="false" indent="0" shrinkToFit="false"/>
      <protection locked="false" hidden="false"/>
    </xf>
    <xf numFmtId="167" fontId="84" fillId="0" borderId="11" xfId="35" applyFont="true" applyBorder="true" applyAlignment="true" applyProtection="true">
      <alignment horizontal="left" vertical="center" textRotation="0" wrapText="true" indent="0" shrinkToFit="false"/>
      <protection locked="false" hidden="false"/>
    </xf>
    <xf numFmtId="164" fontId="4" fillId="0" borderId="5" xfId="35" applyFont="false" applyBorder="true" applyAlignment="true" applyProtection="true">
      <alignment horizontal="left" vertical="bottom" textRotation="0" wrapText="false" indent="0" shrinkToFit="false"/>
      <protection locked="false" hidden="false"/>
    </xf>
    <xf numFmtId="164" fontId="84" fillId="0" borderId="5" xfId="35" applyFont="true" applyBorder="true" applyAlignment="true" applyProtection="true">
      <alignment horizontal="left" vertical="center" textRotation="0" wrapText="true" indent="0" shrinkToFit="false"/>
      <protection locked="false" hidden="false"/>
    </xf>
    <xf numFmtId="164" fontId="53" fillId="0" borderId="0" xfId="0" applyFont="true" applyBorder="false" applyAlignment="false" applyProtection="true">
      <alignment horizontal="general" vertical="center" textRotation="0" wrapText="false" indent="0" shrinkToFit="false"/>
      <protection locked="true" hidden="false"/>
    </xf>
    <xf numFmtId="164" fontId="53" fillId="5" borderId="0" xfId="0" applyFont="true" applyBorder="false" applyAlignment="false" applyProtection="true">
      <alignment horizontal="general" vertical="center" textRotation="0" wrapText="false" indent="0" shrinkToFit="false"/>
      <protection locked="false" hidden="false"/>
    </xf>
    <xf numFmtId="164" fontId="53" fillId="5" borderId="0" xfId="0" applyFont="true" applyBorder="false" applyAlignment="false" applyProtection="true">
      <alignment horizontal="general" vertical="center" textRotation="0" wrapText="false" indent="0" shrinkToFit="false"/>
      <protection locked="true" hidden="false"/>
    </xf>
    <xf numFmtId="164" fontId="53" fillId="3" borderId="0" xfId="0" applyFont="true" applyBorder="false" applyAlignment="false" applyProtection="true">
      <alignment horizontal="general" vertical="center" textRotation="0" wrapText="false" indent="0" shrinkToFit="false"/>
      <protection locked="true" hidden="false"/>
    </xf>
    <xf numFmtId="164" fontId="53" fillId="2" borderId="0" xfId="0" applyFont="true" applyBorder="false" applyAlignment="false" applyProtection="true">
      <alignment horizontal="general" vertical="center" textRotation="0" wrapText="false" indent="0" shrinkToFit="false"/>
      <protection locked="false" hidden="false"/>
    </xf>
    <xf numFmtId="164" fontId="7" fillId="3" borderId="11" xfId="0" applyFont="true" applyBorder="true" applyAlignment="false" applyProtection="true">
      <alignment horizontal="general" vertical="center" textRotation="0" wrapText="false" indent="0" shrinkToFit="false"/>
      <protection locked="true" hidden="false"/>
    </xf>
    <xf numFmtId="164" fontId="31" fillId="2" borderId="11" xfId="0" applyFont="true" applyBorder="true" applyAlignment="true" applyProtection="true">
      <alignment horizontal="center" vertical="center" textRotation="0" wrapText="true" indent="0" shrinkToFit="false"/>
      <protection locked="false" hidden="false"/>
    </xf>
    <xf numFmtId="167" fontId="27" fillId="3" borderId="11" xfId="0" applyFont="true" applyBorder="true" applyAlignment="false" applyProtection="true">
      <alignment horizontal="general" vertical="center" textRotation="0" wrapText="false" indent="0" shrinkToFit="false"/>
      <protection locked="true" hidden="false"/>
    </xf>
    <xf numFmtId="164" fontId="31" fillId="2" borderId="11" xfId="0" applyFont="true" applyBorder="true" applyAlignment="true" applyProtection="true">
      <alignment horizontal="center" vertical="center" textRotation="0" wrapText="false" indent="0" shrinkToFit="false"/>
      <protection locked="false" hidden="false"/>
    </xf>
    <xf numFmtId="167" fontId="79" fillId="3" borderId="80" xfId="0" applyFont="true" applyBorder="true" applyAlignment="true" applyProtection="true">
      <alignment horizontal="center" vertical="center" textRotation="0" wrapText="false" indent="0" shrinkToFit="false"/>
      <protection locked="true" hidden="false"/>
    </xf>
    <xf numFmtId="164" fontId="29" fillId="3" borderId="94" xfId="0" applyFont="true" applyBorder="true" applyAlignment="true" applyProtection="true">
      <alignment horizontal="center" vertical="center" textRotation="0" wrapText="false" indent="0" shrinkToFit="false"/>
      <protection locked="true" hidden="false"/>
    </xf>
    <xf numFmtId="164" fontId="4" fillId="3" borderId="11" xfId="0" applyFont="true" applyBorder="true" applyAlignment="true" applyProtection="true">
      <alignment horizontal="general" vertical="center" textRotation="0" wrapText="true" indent="0" shrinkToFit="false"/>
      <protection locked="true" hidden="false"/>
    </xf>
    <xf numFmtId="164" fontId="4" fillId="3" borderId="11" xfId="0" applyFont="true" applyBorder="true" applyAlignment="true" applyProtection="true">
      <alignment horizontal="center" vertical="center" textRotation="0" wrapText="true" indent="0" shrinkToFit="false"/>
      <protection locked="true" hidden="false"/>
    </xf>
    <xf numFmtId="164" fontId="0" fillId="2" borderId="11" xfId="0" applyFont="true" applyBorder="true" applyAlignment="true" applyProtection="true">
      <alignment horizontal="center" vertical="center" textRotation="0" wrapText="false" indent="0" shrinkToFit="false"/>
      <protection locked="false" hidden="false"/>
    </xf>
    <xf numFmtId="167" fontId="30" fillId="3" borderId="5" xfId="0" applyFont="true" applyBorder="true" applyAlignment="false" applyProtection="true">
      <alignment horizontal="general" vertical="center" textRotation="0" wrapText="false" indent="0" shrinkToFit="false"/>
      <protection locked="true" hidden="false"/>
    </xf>
    <xf numFmtId="164" fontId="4" fillId="3" borderId="5" xfId="0" applyFont="true" applyBorder="true" applyAlignment="true" applyProtection="true">
      <alignment horizontal="left" vertical="center" textRotation="0" wrapText="true" indent="0" shrinkToFit="false"/>
      <protection locked="true" hidden="false"/>
    </xf>
    <xf numFmtId="164" fontId="38" fillId="3" borderId="5" xfId="0" applyFont="true" applyBorder="true" applyAlignment="true" applyProtection="true">
      <alignment horizontal="center" vertical="center" textRotation="0" wrapText="true" indent="0" shrinkToFit="false"/>
      <protection locked="true" hidden="false"/>
    </xf>
    <xf numFmtId="164" fontId="30" fillId="3" borderId="7" xfId="0" applyFont="true" applyBorder="true" applyAlignment="true" applyProtection="true">
      <alignment horizontal="general" vertical="center" textRotation="0" wrapText="false" indent="0" shrinkToFit="false"/>
      <protection locked="true" hidden="false"/>
    </xf>
    <xf numFmtId="164" fontId="38" fillId="0" borderId="5" xfId="0" applyFont="true" applyBorder="true" applyAlignment="true" applyProtection="true">
      <alignment horizontal="center" vertical="center" textRotation="0" wrapText="false" indent="0" shrinkToFit="false"/>
      <protection locked="false" hidden="false"/>
    </xf>
    <xf numFmtId="167" fontId="38" fillId="0" borderId="5" xfId="0" applyFont="true" applyBorder="true" applyAlignment="true" applyProtection="true">
      <alignment horizontal="center" vertical="center" textRotation="0" wrapText="false" indent="0" shrinkToFit="false"/>
      <protection locked="false" hidden="false"/>
    </xf>
    <xf numFmtId="164" fontId="72" fillId="3" borderId="7" xfId="0" applyFont="true" applyBorder="true" applyAlignment="true" applyProtection="true">
      <alignment horizontal="right" vertical="center" textRotation="0" wrapText="false" indent="0" shrinkToFit="false"/>
      <protection locked="true" hidden="false"/>
    </xf>
    <xf numFmtId="167" fontId="38" fillId="3" borderId="6" xfId="0" applyFont="true" applyBorder="true" applyAlignment="true" applyProtection="true">
      <alignment horizontal="center" vertical="center" textRotation="0" wrapText="false" indent="0" shrinkToFit="false"/>
      <protection locked="true" hidden="false"/>
    </xf>
    <xf numFmtId="164" fontId="53" fillId="3" borderId="0" xfId="0" applyFont="true" applyBorder="false" applyAlignment="false" applyProtection="true">
      <alignment horizontal="general" vertical="center" textRotation="0" wrapText="false" indent="0" shrinkToFit="false"/>
      <protection locked="false" hidden="false"/>
    </xf>
    <xf numFmtId="164" fontId="72" fillId="3" borderId="32" xfId="0" applyFont="true" applyBorder="true" applyAlignment="true" applyProtection="true">
      <alignment horizontal="right" vertical="center" textRotation="0" wrapText="false" indent="0" shrinkToFit="false"/>
      <protection locked="true" hidden="false"/>
    </xf>
    <xf numFmtId="176" fontId="38" fillId="3" borderId="11" xfId="0" applyFont="true" applyBorder="true" applyAlignment="true" applyProtection="true">
      <alignment horizontal="center" vertical="center" textRotation="0" wrapText="false" indent="0" shrinkToFit="false"/>
      <protection locked="true" hidden="false"/>
    </xf>
    <xf numFmtId="164" fontId="68" fillId="3" borderId="32" xfId="0" applyFont="true" applyBorder="true" applyAlignment="true" applyProtection="true">
      <alignment horizontal="left" vertical="center" textRotation="0" wrapText="true" indent="0" shrinkToFit="false"/>
      <protection locked="true" hidden="false"/>
    </xf>
    <xf numFmtId="164" fontId="72" fillId="3" borderId="17" xfId="0" applyFont="true" applyBorder="true" applyAlignment="true" applyProtection="true">
      <alignment horizontal="general" vertical="center" textRotation="0" wrapText="false" indent="0" shrinkToFit="false"/>
      <protection locked="true" hidden="false"/>
    </xf>
    <xf numFmtId="164" fontId="4" fillId="3" borderId="58" xfId="0" applyFont="true" applyBorder="true" applyAlignment="true" applyProtection="true">
      <alignment horizontal="general" vertical="center" textRotation="0" wrapText="false" indent="0" shrinkToFit="false"/>
      <protection locked="true" hidden="false"/>
    </xf>
    <xf numFmtId="167" fontId="38" fillId="3" borderId="58" xfId="0" applyFont="true" applyBorder="true" applyAlignment="true" applyProtection="true">
      <alignment horizontal="center" vertical="center" textRotation="0" wrapText="false" indent="0" shrinkToFit="false"/>
      <protection locked="true" hidden="false"/>
    </xf>
    <xf numFmtId="167" fontId="38" fillId="3" borderId="59" xfId="0" applyFont="true" applyBorder="true" applyAlignment="true" applyProtection="true">
      <alignment horizontal="center" vertical="center" textRotation="0" wrapText="false" indent="0" shrinkToFit="false"/>
      <protection locked="true" hidden="false"/>
    </xf>
    <xf numFmtId="167" fontId="38" fillId="3" borderId="81" xfId="0" applyFont="true" applyBorder="true" applyAlignment="true" applyProtection="true">
      <alignment horizontal="right" vertical="center" textRotation="0" wrapText="false" indent="0" shrinkToFit="false"/>
      <protection locked="true" hidden="false"/>
    </xf>
    <xf numFmtId="164" fontId="29" fillId="3" borderId="50" xfId="0" applyFont="true" applyBorder="true" applyAlignment="true" applyProtection="true">
      <alignment horizontal="general" vertical="center" textRotation="0" wrapText="false" indent="0" shrinkToFit="false"/>
      <protection locked="true" hidden="false"/>
    </xf>
    <xf numFmtId="164" fontId="74" fillId="3" borderId="20" xfId="0" applyFont="true" applyBorder="true" applyAlignment="true" applyProtection="true">
      <alignment horizontal="general" vertical="center" textRotation="0" wrapText="false" indent="0" shrinkToFit="false"/>
      <protection locked="true" hidden="false"/>
    </xf>
    <xf numFmtId="167" fontId="38" fillId="3" borderId="7" xfId="0" applyFont="true" applyBorder="true" applyAlignment="true" applyProtection="true">
      <alignment horizontal="right" vertical="center" textRotation="0" wrapText="false" indent="0" shrinkToFit="false"/>
      <protection locked="true" hidden="false"/>
    </xf>
    <xf numFmtId="164" fontId="29" fillId="3" borderId="31" xfId="0" applyFont="true" applyBorder="true" applyAlignment="true" applyProtection="true">
      <alignment horizontal="general" vertical="center" textRotation="0" wrapText="false" indent="0" shrinkToFit="false"/>
      <protection locked="true" hidden="false"/>
    </xf>
    <xf numFmtId="164" fontId="74" fillId="3" borderId="75" xfId="0" applyFont="true" applyBorder="true" applyAlignment="true" applyProtection="true">
      <alignment horizontal="general" vertical="center" textRotation="0" wrapText="false" indent="0" shrinkToFit="false"/>
      <protection locked="true" hidden="false"/>
    </xf>
    <xf numFmtId="164" fontId="4" fillId="3" borderId="25" xfId="0" applyFont="true" applyBorder="true" applyAlignment="false" applyProtection="true">
      <alignment horizontal="general" vertical="center" textRotation="0" wrapText="false" indent="0" shrinkToFit="false"/>
      <protection locked="true" hidden="false"/>
    </xf>
    <xf numFmtId="167" fontId="38" fillId="3" borderId="25" xfId="0" applyFont="true" applyBorder="true" applyAlignment="true" applyProtection="true">
      <alignment horizontal="center" vertical="center" textRotation="0" wrapText="false" indent="0" shrinkToFit="false"/>
      <protection locked="true" hidden="false"/>
    </xf>
    <xf numFmtId="167" fontId="38" fillId="3" borderId="71" xfId="0" applyFont="true" applyBorder="true" applyAlignment="true" applyProtection="true">
      <alignment horizontal="center" vertical="center" textRotation="0" wrapText="false" indent="0" shrinkToFit="false"/>
      <protection locked="true" hidden="false"/>
    </xf>
    <xf numFmtId="167" fontId="38" fillId="3" borderId="76" xfId="0" applyFont="true" applyBorder="true" applyAlignment="true" applyProtection="true">
      <alignment horizontal="right" vertical="center" textRotation="0" wrapText="false" indent="0" shrinkToFit="false"/>
      <protection locked="true" hidden="false"/>
    </xf>
    <xf numFmtId="164" fontId="29" fillId="3" borderId="84" xfId="0" applyFont="true" applyBorder="true" applyAlignment="true" applyProtection="true">
      <alignment horizontal="general" vertical="center" textRotation="0" wrapText="false" indent="0" shrinkToFit="false"/>
      <protection locked="true" hidden="false"/>
    </xf>
    <xf numFmtId="164" fontId="0" fillId="3" borderId="95" xfId="0" applyFont="true" applyBorder="true" applyAlignment="false" applyProtection="true">
      <alignment horizontal="general" vertical="center" textRotation="0" wrapText="false" indent="0" shrinkToFit="false"/>
      <protection locked="true" hidden="false"/>
    </xf>
    <xf numFmtId="164" fontId="0" fillId="3" borderId="85" xfId="0" applyFont="true" applyBorder="true" applyAlignment="false" applyProtection="true">
      <alignment horizontal="general" vertical="center" textRotation="0" wrapText="false" indent="0" shrinkToFit="false"/>
      <protection locked="true" hidden="false"/>
    </xf>
    <xf numFmtId="178" fontId="88" fillId="3" borderId="79" xfId="0" applyFont="true" applyBorder="true" applyAlignment="true" applyProtection="true">
      <alignment horizontal="center" vertical="center" textRotation="0" wrapText="false" indent="0" shrinkToFit="false"/>
      <protection locked="true" hidden="false"/>
    </xf>
    <xf numFmtId="164" fontId="72" fillId="3" borderId="57" xfId="0" applyFont="true" applyBorder="true" applyAlignment="true" applyProtection="true">
      <alignment horizontal="left" vertical="center" textRotation="0" wrapText="true" indent="0" shrinkToFit="false"/>
      <protection locked="true" hidden="false"/>
    </xf>
    <xf numFmtId="164" fontId="0" fillId="3" borderId="50" xfId="0" applyFont="true" applyBorder="true" applyAlignment="true" applyProtection="true">
      <alignment horizontal="center" vertical="center" textRotation="0" wrapText="false" indent="0" shrinkToFit="false"/>
      <protection locked="true" hidden="false"/>
    </xf>
    <xf numFmtId="167" fontId="38" fillId="3" borderId="35" xfId="0" applyFont="true" applyBorder="true" applyAlignment="true" applyProtection="true">
      <alignment horizontal="right" vertical="center" textRotation="0" wrapText="false" indent="0" shrinkToFit="false"/>
      <protection locked="true" hidden="false"/>
    </xf>
    <xf numFmtId="164" fontId="0" fillId="3" borderId="31" xfId="0" applyFont="true" applyBorder="true" applyAlignment="true" applyProtection="true">
      <alignment horizontal="center" vertical="center" textRotation="0" wrapText="false" indent="0" shrinkToFit="false"/>
      <protection locked="true" hidden="false"/>
    </xf>
    <xf numFmtId="164" fontId="76" fillId="0" borderId="22" xfId="0" applyFont="true" applyBorder="true" applyAlignment="true" applyProtection="true">
      <alignment horizontal="center" vertical="center" textRotation="0" wrapText="false" indent="0" shrinkToFit="false"/>
      <protection locked="false" hidden="false"/>
    </xf>
    <xf numFmtId="164" fontId="76" fillId="0" borderId="5" xfId="0" applyFont="true" applyBorder="true" applyAlignment="true" applyProtection="true">
      <alignment horizontal="center" vertical="center" textRotation="0" wrapText="false" indent="0" shrinkToFit="false"/>
      <protection locked="false" hidden="false"/>
    </xf>
    <xf numFmtId="164" fontId="76" fillId="0" borderId="23" xfId="0" applyFont="true" applyBorder="true" applyAlignment="true" applyProtection="true">
      <alignment horizontal="center" vertical="center" textRotation="0" wrapText="false" indent="0" shrinkToFit="false"/>
      <protection locked="false" hidden="false"/>
    </xf>
    <xf numFmtId="164" fontId="68" fillId="3" borderId="0" xfId="0" applyFont="true" applyBorder="false" applyAlignment="true" applyProtection="true">
      <alignment horizontal="left" vertical="center" textRotation="0" wrapText="false" indent="0" shrinkToFit="false"/>
      <protection locked="true" hidden="false"/>
    </xf>
    <xf numFmtId="164" fontId="49" fillId="3" borderId="96" xfId="0" applyFont="true" applyBorder="true" applyAlignment="true" applyProtection="true">
      <alignment horizontal="left" vertical="bottom" textRotation="0" wrapText="false" indent="0" shrinkToFit="false"/>
      <protection locked="true" hidden="false"/>
    </xf>
    <xf numFmtId="164" fontId="89" fillId="3" borderId="96" xfId="0" applyFont="true" applyBorder="true" applyAlignment="true" applyProtection="true">
      <alignment horizontal="left" vertical="bottom" textRotation="0" wrapText="false" indent="0" shrinkToFit="false"/>
      <protection locked="true" hidden="false"/>
    </xf>
    <xf numFmtId="164" fontId="49" fillId="3" borderId="96" xfId="0" applyFont="true" applyBorder="true" applyAlignment="true" applyProtection="true">
      <alignment horizontal="right" vertical="bottom" textRotation="0" wrapText="false" indent="0" shrinkToFit="false"/>
      <protection locked="true" hidden="false"/>
    </xf>
    <xf numFmtId="164" fontId="49" fillId="9" borderId="96" xfId="0" applyFont="true" applyBorder="true" applyAlignment="true" applyProtection="true">
      <alignment horizontal="right" vertical="bottom" textRotation="0" wrapText="false" indent="0" shrinkToFit="false"/>
      <protection locked="false" hidden="false"/>
    </xf>
    <xf numFmtId="164" fontId="89" fillId="5" borderId="96" xfId="0" applyFont="true" applyBorder="true" applyAlignment="true" applyProtection="true">
      <alignment horizontal="general" vertical="bottom" textRotation="0" wrapText="false" indent="0" shrinkToFit="false"/>
      <protection locked="false" hidden="false"/>
    </xf>
    <xf numFmtId="164" fontId="89" fillId="5" borderId="96" xfId="0" applyFont="true" applyBorder="true" applyAlignment="true" applyProtection="true">
      <alignment horizontal="general" vertical="bottom" textRotation="0" wrapText="false" indent="0" shrinkToFit="false"/>
      <protection locked="true" hidden="false"/>
    </xf>
    <xf numFmtId="164" fontId="89" fillId="0" borderId="96" xfId="0" applyFont="true" applyBorder="true" applyAlignment="true" applyProtection="true">
      <alignment horizontal="general" vertical="bottom" textRotation="0" wrapText="false" indent="0" shrinkToFit="false"/>
      <protection locked="true" hidden="false"/>
    </xf>
    <xf numFmtId="164" fontId="72" fillId="3" borderId="17" xfId="0" applyFont="true" applyBorder="true" applyAlignment="true" applyProtection="true">
      <alignment horizontal="left" vertical="center" textRotation="0" wrapText="false" indent="0" shrinkToFit="false"/>
      <protection locked="true" hidden="false"/>
    </xf>
    <xf numFmtId="164" fontId="0" fillId="3" borderId="18" xfId="0" applyFont="true" applyBorder="true" applyAlignment="false" applyProtection="true">
      <alignment horizontal="general" vertical="center" textRotation="0" wrapText="false" indent="0" shrinkToFit="false"/>
      <protection locked="true" hidden="false"/>
    </xf>
    <xf numFmtId="167" fontId="38" fillId="3" borderId="73" xfId="0" applyFont="true" applyBorder="true" applyAlignment="true" applyProtection="true">
      <alignment horizontal="center" vertical="center" textRotation="0" wrapText="false" indent="0" shrinkToFit="false"/>
      <protection locked="true" hidden="false"/>
    </xf>
    <xf numFmtId="164" fontId="74" fillId="2" borderId="82" xfId="0" applyFont="true" applyBorder="true" applyAlignment="true" applyProtection="true">
      <alignment horizontal="right" vertical="center" textRotation="0" wrapText="false" indent="0" shrinkToFit="false"/>
      <protection locked="false" hidden="false"/>
    </xf>
    <xf numFmtId="164" fontId="72" fillId="3" borderId="22" xfId="0" applyFont="true" applyBorder="true" applyAlignment="true" applyProtection="true">
      <alignment horizontal="center" vertical="center" textRotation="0" wrapText="false" indent="0" shrinkToFit="false"/>
      <protection locked="true" hidden="false"/>
    </xf>
    <xf numFmtId="164" fontId="53" fillId="3" borderId="7" xfId="0" applyFont="true" applyBorder="true" applyAlignment="false" applyProtection="true">
      <alignment horizontal="general" vertical="center" textRotation="0" wrapText="false" indent="0" shrinkToFit="false"/>
      <protection locked="true" hidden="false"/>
    </xf>
    <xf numFmtId="164" fontId="74" fillId="2" borderId="5" xfId="0" applyFont="true" applyBorder="true" applyAlignment="true" applyProtection="true">
      <alignment horizontal="center" vertical="center" textRotation="0" wrapText="false" indent="0" shrinkToFit="false"/>
      <protection locked="false" hidden="false"/>
    </xf>
    <xf numFmtId="164" fontId="74" fillId="2" borderId="23" xfId="0" applyFont="true" applyBorder="true" applyAlignment="true" applyProtection="true">
      <alignment horizontal="center" vertical="center" textRotation="0" wrapText="false" indent="0" shrinkToFit="false"/>
      <protection locked="false" hidden="false"/>
    </xf>
    <xf numFmtId="164" fontId="29" fillId="3" borderId="83" xfId="0" applyFont="true" applyBorder="true" applyAlignment="false" applyProtection="true">
      <alignment horizontal="general" vertical="center" textRotation="0" wrapText="false" indent="0" shrinkToFit="false"/>
      <protection locked="true" hidden="false"/>
    </xf>
    <xf numFmtId="167" fontId="30" fillId="3" borderId="59" xfId="0" applyFont="true" applyBorder="true" applyAlignment="true" applyProtection="true">
      <alignment horizontal="center" vertical="center" textRotation="0" wrapText="false" indent="0" shrinkToFit="false"/>
      <protection locked="true" hidden="false"/>
    </xf>
    <xf numFmtId="164" fontId="74" fillId="3" borderId="94" xfId="0" applyFont="true" applyBorder="true" applyAlignment="true" applyProtection="true">
      <alignment horizontal="left" vertical="center" textRotation="0" wrapText="false" indent="0" shrinkToFit="false"/>
      <protection locked="true" hidden="false"/>
    </xf>
    <xf numFmtId="164" fontId="4" fillId="3" borderId="37" xfId="0" applyFont="true" applyBorder="true" applyAlignment="true" applyProtection="true">
      <alignment horizontal="right" vertical="center" textRotation="0" wrapText="false" indent="0" shrinkToFit="false"/>
      <protection locked="true" hidden="false"/>
    </xf>
    <xf numFmtId="167" fontId="28" fillId="3" borderId="35" xfId="0" applyFont="true" applyBorder="true" applyAlignment="true" applyProtection="true">
      <alignment horizontal="center" vertical="center" textRotation="0" wrapText="false" indent="0" shrinkToFit="false"/>
      <protection locked="true" hidden="false"/>
    </xf>
    <xf numFmtId="178" fontId="38" fillId="3" borderId="62" xfId="0" applyFont="true" applyBorder="true" applyAlignment="false" applyProtection="true">
      <alignment horizontal="general" vertical="center" textRotation="0" wrapText="false" indent="0" shrinkToFit="false"/>
      <protection locked="true" hidden="false"/>
    </xf>
    <xf numFmtId="164" fontId="29" fillId="3" borderId="8" xfId="0" applyFont="true" applyBorder="true" applyAlignment="false" applyProtection="true">
      <alignment horizontal="general" vertical="center" textRotation="0" wrapText="false" indent="0" shrinkToFit="false"/>
      <protection locked="true" hidden="false"/>
    </xf>
    <xf numFmtId="164" fontId="53" fillId="0" borderId="23" xfId="0" applyFont="true" applyBorder="true" applyAlignment="false" applyProtection="true">
      <alignment horizontal="general" vertical="center" textRotation="0" wrapText="false" indent="0" shrinkToFit="false"/>
      <protection locked="false" hidden="false"/>
    </xf>
    <xf numFmtId="164" fontId="74" fillId="3" borderId="69" xfId="0" applyFont="true" applyBorder="true" applyAlignment="true" applyProtection="true">
      <alignment horizontal="left" vertical="center" textRotation="0" wrapText="false" indent="0" shrinkToFit="false"/>
      <protection locked="true" hidden="false"/>
    </xf>
    <xf numFmtId="164" fontId="4" fillId="3" borderId="70" xfId="0" applyFont="true" applyBorder="true" applyAlignment="true" applyProtection="true">
      <alignment horizontal="right" vertical="center" textRotation="0" wrapText="false" indent="0" shrinkToFit="false"/>
      <protection locked="true" hidden="false"/>
    </xf>
    <xf numFmtId="167" fontId="28" fillId="3" borderId="76" xfId="0" applyFont="true" applyBorder="true" applyAlignment="true" applyProtection="true">
      <alignment horizontal="center" vertical="center" textRotation="0" wrapText="false" indent="0" shrinkToFit="false"/>
      <protection locked="true" hidden="false"/>
    </xf>
    <xf numFmtId="178" fontId="38" fillId="3" borderId="71" xfId="0" applyFont="true" applyBorder="true" applyAlignment="false" applyProtection="true">
      <alignment horizontal="general" vertical="center" textRotation="0" wrapText="false" indent="0" shrinkToFit="false"/>
      <protection locked="true" hidden="false"/>
    </xf>
    <xf numFmtId="164" fontId="29" fillId="3" borderId="70" xfId="0" applyFont="true" applyBorder="true" applyAlignment="false" applyProtection="true">
      <alignment horizontal="general" vertical="center" textRotation="0" wrapText="false" indent="0" shrinkToFit="false"/>
      <protection locked="true" hidden="false"/>
    </xf>
    <xf numFmtId="164" fontId="53" fillId="0" borderId="71" xfId="0" applyFont="true" applyBorder="true" applyAlignment="false" applyProtection="true">
      <alignment horizontal="general" vertical="center" textRotation="0" wrapText="false" indent="0" shrinkToFit="false"/>
      <protection locked="false" hidden="false"/>
    </xf>
    <xf numFmtId="164" fontId="72" fillId="3" borderId="33" xfId="0" applyFont="true" applyBorder="true" applyAlignment="true" applyProtection="true">
      <alignment horizontal="center" vertical="center" textRotation="0" wrapText="true" indent="0" shrinkToFit="false"/>
      <protection locked="true" hidden="false"/>
    </xf>
    <xf numFmtId="164" fontId="4" fillId="3" borderId="83" xfId="0" applyFont="true" applyBorder="true" applyAlignment="true" applyProtection="true">
      <alignment horizontal="left" vertical="center" textRotation="0" wrapText="false" indent="0" shrinkToFit="false"/>
      <protection locked="true" hidden="false"/>
    </xf>
    <xf numFmtId="164" fontId="74" fillId="0" borderId="59" xfId="0" applyFont="true" applyBorder="true" applyAlignment="true" applyProtection="true">
      <alignment horizontal="center" vertical="center" textRotation="0" wrapText="false" indent="0" shrinkToFit="false"/>
      <protection locked="false" hidden="false"/>
    </xf>
    <xf numFmtId="164" fontId="0" fillId="2" borderId="77" xfId="0" applyFont="true" applyBorder="true" applyAlignment="false" applyProtection="true">
      <alignment horizontal="general" vertical="center" textRotation="0" wrapText="false" indent="0" shrinkToFit="false"/>
      <protection locked="false" hidden="false"/>
    </xf>
    <xf numFmtId="164" fontId="0" fillId="3" borderId="79" xfId="0" applyFont="true" applyBorder="true" applyAlignment="false" applyProtection="true">
      <alignment horizontal="general" vertical="center" textRotation="0" wrapText="false" indent="0" shrinkToFit="false"/>
      <protection locked="true" hidden="false"/>
    </xf>
    <xf numFmtId="164" fontId="0" fillId="3" borderId="0" xfId="0" applyFont="true" applyBorder="true" applyAlignment="true" applyProtection="true">
      <alignment horizontal="left" vertical="center" textRotation="0" wrapText="false" indent="0" shrinkToFit="false"/>
      <protection locked="false" hidden="false"/>
    </xf>
    <xf numFmtId="164" fontId="74" fillId="0" borderId="23" xfId="0" applyFont="true" applyBorder="true" applyAlignment="true" applyProtection="true">
      <alignment horizontal="center" vertical="center" textRotation="0" wrapText="false" indent="0" shrinkToFit="false"/>
      <protection locked="false" hidden="false"/>
    </xf>
    <xf numFmtId="164" fontId="4" fillId="3" borderId="70" xfId="0" applyFont="true" applyBorder="true" applyAlignment="true" applyProtection="true">
      <alignment horizontal="left" vertical="center" textRotation="0" wrapText="false" indent="0" shrinkToFit="false"/>
      <protection locked="true" hidden="false"/>
    </xf>
    <xf numFmtId="164" fontId="74" fillId="0" borderId="25" xfId="0" applyFont="true" applyBorder="true" applyAlignment="true" applyProtection="true">
      <alignment horizontal="center" vertical="center" textRotation="0" wrapText="false" indent="0" shrinkToFit="false"/>
      <protection locked="false" hidden="false"/>
    </xf>
    <xf numFmtId="164" fontId="4" fillId="0" borderId="79" xfId="0" applyFont="true" applyBorder="true" applyAlignment="false" applyProtection="true">
      <alignment horizontal="general" vertical="center" textRotation="0" wrapText="false" indent="0" shrinkToFit="false"/>
      <protection locked="false" hidden="false"/>
    </xf>
    <xf numFmtId="164" fontId="72" fillId="3" borderId="20" xfId="0" applyFont="true" applyBorder="true" applyAlignment="true" applyProtection="true">
      <alignment horizontal="general" vertical="center" textRotation="0" wrapText="false" indent="0" shrinkToFit="false"/>
      <protection locked="true" hidden="false"/>
    </xf>
    <xf numFmtId="164" fontId="76" fillId="0" borderId="57" xfId="0" applyFont="true" applyBorder="true" applyAlignment="true" applyProtection="true">
      <alignment horizontal="center" vertical="center" textRotation="0" wrapText="false" indent="0" shrinkToFit="false"/>
      <protection locked="false" hidden="false"/>
    </xf>
    <xf numFmtId="164" fontId="76" fillId="0" borderId="58" xfId="0" applyFont="true" applyBorder="true" applyAlignment="true" applyProtection="true">
      <alignment horizontal="center" vertical="center" textRotation="0" wrapText="false" indent="0" shrinkToFit="false"/>
      <protection locked="false" hidden="false"/>
    </xf>
    <xf numFmtId="164" fontId="76" fillId="0" borderId="59" xfId="0" applyFont="true" applyBorder="true" applyAlignment="true" applyProtection="true">
      <alignment horizontal="center" vertical="center" textRotation="0" wrapText="false" indent="0" shrinkToFit="false"/>
      <protection locked="false" hidden="false"/>
    </xf>
    <xf numFmtId="164" fontId="30" fillId="3" borderId="20" xfId="0" applyFont="true" applyBorder="true" applyAlignment="false" applyProtection="true">
      <alignment horizontal="general" vertical="center" textRotation="0" wrapText="false" indent="0" shrinkToFit="false"/>
      <protection locked="true" hidden="false"/>
    </xf>
    <xf numFmtId="164" fontId="53" fillId="0" borderId="22" xfId="0" applyFont="true" applyBorder="true" applyAlignment="false" applyProtection="true">
      <alignment horizontal="general" vertical="center" textRotation="0" wrapText="false" indent="0" shrinkToFit="false"/>
      <protection locked="false" hidden="false"/>
    </xf>
    <xf numFmtId="164" fontId="53" fillId="0" borderId="5" xfId="0" applyFont="true" applyBorder="true" applyAlignment="false" applyProtection="true">
      <alignment horizontal="general" vertical="center" textRotation="0" wrapText="false" indent="0" shrinkToFit="false"/>
      <protection locked="false" hidden="false"/>
    </xf>
    <xf numFmtId="164" fontId="53" fillId="0" borderId="23" xfId="0" applyFont="true" applyBorder="true" applyAlignment="true" applyProtection="true">
      <alignment horizontal="center" vertical="center" textRotation="0" wrapText="false" indent="0" shrinkToFit="false"/>
      <protection locked="false" hidden="false"/>
    </xf>
    <xf numFmtId="164" fontId="29" fillId="3" borderId="20" xfId="0" applyFont="true" applyBorder="true" applyAlignment="false" applyProtection="true">
      <alignment horizontal="general" vertical="center" textRotation="0" wrapText="false" indent="0" shrinkToFit="false"/>
      <protection locked="true" hidden="false"/>
    </xf>
    <xf numFmtId="164" fontId="53" fillId="3" borderId="75" xfId="0" applyFont="true" applyBorder="true" applyAlignment="false" applyProtection="true">
      <alignment horizontal="general" vertical="center" textRotation="0" wrapText="false" indent="0" shrinkToFit="false"/>
      <protection locked="true" hidden="false"/>
    </xf>
    <xf numFmtId="164" fontId="53" fillId="0" borderId="24" xfId="0" applyFont="true" applyBorder="true" applyAlignment="false" applyProtection="true">
      <alignment horizontal="general" vertical="center" textRotation="0" wrapText="false" indent="0" shrinkToFit="false"/>
      <protection locked="false" hidden="false"/>
    </xf>
    <xf numFmtId="164" fontId="53" fillId="0" borderId="25" xfId="0" applyFont="true" applyBorder="true" applyAlignment="false" applyProtection="true">
      <alignment horizontal="general" vertical="center" textRotation="0" wrapText="false" indent="0" shrinkToFit="false"/>
      <protection locked="false" hidden="false"/>
    </xf>
    <xf numFmtId="164" fontId="67" fillId="3" borderId="0" xfId="0" applyFont="true" applyBorder="true" applyAlignment="true" applyProtection="true">
      <alignment horizontal="center" vertical="center" textRotation="0" wrapText="false" indent="0" shrinkToFit="false"/>
      <protection locked="true" hidden="false"/>
    </xf>
    <xf numFmtId="164" fontId="67" fillId="3" borderId="0" xfId="0" applyFont="true" applyBorder="false" applyAlignment="false" applyProtection="true">
      <alignment horizontal="general" vertical="center" textRotation="0" wrapText="false" indent="0" shrinkToFit="false"/>
      <protection locked="true" hidden="false"/>
    </xf>
    <xf numFmtId="164" fontId="43" fillId="3" borderId="0" xfId="0" applyFont="true" applyBorder="true" applyAlignment="true" applyProtection="true">
      <alignment horizontal="left" vertical="center" textRotation="0" wrapText="false" indent="0" shrinkToFit="false"/>
      <protection locked="true" hidden="false"/>
    </xf>
    <xf numFmtId="164" fontId="82" fillId="3" borderId="0" xfId="0" applyFont="true" applyBorder="true" applyAlignment="true" applyProtection="true">
      <alignment horizontal="left" vertical="center" textRotation="0" wrapText="false" indent="0" shrinkToFit="false"/>
      <protection locked="true" hidden="false"/>
    </xf>
    <xf numFmtId="164" fontId="32" fillId="3" borderId="0" xfId="0" applyFont="true" applyBorder="true" applyAlignment="true" applyProtection="true">
      <alignment horizontal="general" vertical="center" textRotation="0" wrapText="false" indent="0" shrinkToFit="false"/>
      <protection locked="true" hidden="false"/>
    </xf>
    <xf numFmtId="164" fontId="32" fillId="3" borderId="0" xfId="0" applyFont="true" applyBorder="true" applyAlignment="true" applyProtection="true">
      <alignment horizontal="center" vertical="center" textRotation="0" wrapText="false" indent="0" shrinkToFit="false"/>
      <protection locked="true" hidden="false"/>
    </xf>
    <xf numFmtId="164" fontId="61" fillId="3" borderId="0" xfId="0" applyFont="true" applyBorder="true" applyAlignment="true" applyProtection="true">
      <alignment horizontal="left" vertical="center" textRotation="0" wrapText="false" indent="0" shrinkToFit="false"/>
      <protection locked="true" hidden="false"/>
    </xf>
    <xf numFmtId="164" fontId="0" fillId="3" borderId="0" xfId="0" applyFont="true" applyBorder="true" applyAlignment="false" applyProtection="true">
      <alignment horizontal="general" vertical="center" textRotation="0" wrapText="false" indent="0" shrinkToFit="false"/>
      <protection locked="true" hidden="false"/>
    </xf>
    <xf numFmtId="164" fontId="61" fillId="3" borderId="11" xfId="0" applyFont="true" applyBorder="true" applyAlignment="true" applyProtection="true">
      <alignment horizontal="left" vertical="center" textRotation="0" wrapText="true" indent="0" shrinkToFit="false"/>
      <protection locked="true" hidden="false"/>
    </xf>
    <xf numFmtId="167" fontId="30" fillId="3" borderId="11" xfId="0" applyFont="true" applyBorder="true" applyAlignment="true" applyProtection="true">
      <alignment horizontal="general" vertical="center" textRotation="0" wrapText="false" indent="0" shrinkToFit="false"/>
      <protection locked="true" hidden="false"/>
    </xf>
    <xf numFmtId="164" fontId="29" fillId="3" borderId="60" xfId="0" applyFont="true" applyBorder="true" applyAlignment="true" applyProtection="true">
      <alignment horizontal="right" vertical="center" textRotation="0" wrapText="false" indent="0" shrinkToFit="false"/>
      <protection locked="true" hidden="false"/>
    </xf>
    <xf numFmtId="166" fontId="30" fillId="2" borderId="60" xfId="0" applyFont="true" applyBorder="true" applyAlignment="true" applyProtection="true">
      <alignment horizontal="center" vertical="center" textRotation="0" wrapText="false" indent="0" shrinkToFit="false"/>
      <protection locked="false" hidden="false"/>
    </xf>
    <xf numFmtId="164" fontId="29" fillId="3" borderId="39" xfId="0" applyFont="true" applyBorder="true" applyAlignment="false" applyProtection="true">
      <alignment horizontal="general" vertical="center" textRotation="0" wrapText="false" indent="0" shrinkToFit="false"/>
      <protection locked="true" hidden="false"/>
    </xf>
    <xf numFmtId="164" fontId="61" fillId="3" borderId="5" xfId="0" applyFont="true" applyBorder="true" applyAlignment="true" applyProtection="true">
      <alignment horizontal="center" vertical="center" textRotation="0" wrapText="true" indent="0" shrinkToFit="false"/>
      <protection locked="true" hidden="false"/>
    </xf>
    <xf numFmtId="164" fontId="61" fillId="3" borderId="46" xfId="0" applyFont="true" applyBorder="true" applyAlignment="true" applyProtection="true">
      <alignment horizontal="center" vertical="center" textRotation="0" wrapText="true" indent="0" shrinkToFit="false"/>
      <protection locked="true" hidden="false"/>
    </xf>
    <xf numFmtId="166" fontId="53" fillId="3" borderId="0" xfId="0" applyFont="true" applyBorder="false" applyAlignment="true" applyProtection="true">
      <alignment horizontal="center" vertical="center" textRotation="0" wrapText="false" indent="0" shrinkToFit="false"/>
      <protection locked="false" hidden="false"/>
    </xf>
    <xf numFmtId="164" fontId="61" fillId="3" borderId="5" xfId="0" applyFont="true" applyBorder="true" applyAlignment="true" applyProtection="true">
      <alignment horizontal="left" vertical="center" textRotation="0" wrapText="true" indent="0" shrinkToFit="false"/>
      <protection locked="true" hidden="false"/>
    </xf>
    <xf numFmtId="164" fontId="90" fillId="3" borderId="5" xfId="0" applyFont="true" applyBorder="true" applyAlignment="true" applyProtection="true">
      <alignment horizontal="center" vertical="center" textRotation="0" wrapText="true" indent="0" shrinkToFit="false"/>
      <protection locked="false" hidden="false"/>
    </xf>
    <xf numFmtId="164" fontId="61" fillId="3" borderId="20" xfId="0" applyFont="true" applyBorder="true" applyAlignment="true" applyProtection="true">
      <alignment horizontal="left" vertical="center" textRotation="0" wrapText="true" indent="0" shrinkToFit="false"/>
      <protection locked="true" hidden="false"/>
    </xf>
    <xf numFmtId="164" fontId="60" fillId="3" borderId="9" xfId="0" applyFont="true" applyBorder="true" applyAlignment="true" applyProtection="true">
      <alignment horizontal="left" vertical="center" textRotation="0" wrapText="true" indent="0" shrinkToFit="false"/>
      <protection locked="true" hidden="false"/>
    </xf>
    <xf numFmtId="164" fontId="60" fillId="3" borderId="37" xfId="0" applyFont="true" applyBorder="true" applyAlignment="true" applyProtection="true">
      <alignment horizontal="left" vertical="center" textRotation="0" wrapText="true" indent="0" shrinkToFit="false"/>
      <protection locked="true" hidden="false"/>
    </xf>
    <xf numFmtId="164" fontId="29" fillId="3" borderId="35" xfId="0" applyFont="true" applyBorder="true" applyAlignment="true" applyProtection="true">
      <alignment horizontal="left" vertical="center" textRotation="0" wrapText="false" indent="0" shrinkToFit="false"/>
      <protection locked="true" hidden="false"/>
    </xf>
    <xf numFmtId="166" fontId="29" fillId="3" borderId="23" xfId="0" applyFont="true" applyBorder="true" applyAlignment="true" applyProtection="true">
      <alignment horizontal="left" vertical="center" textRotation="0" wrapText="false" indent="0" shrinkToFit="false"/>
      <protection locked="true" hidden="false"/>
    </xf>
    <xf numFmtId="166" fontId="53" fillId="3" borderId="0" xfId="0" applyFont="true" applyBorder="false" applyAlignment="true" applyProtection="true">
      <alignment horizontal="left" vertical="center" textRotation="0" wrapText="false" indent="0" shrinkToFit="false"/>
      <protection locked="false" hidden="false"/>
    </xf>
    <xf numFmtId="171" fontId="91" fillId="3" borderId="5" xfId="0" applyFont="true" applyBorder="true" applyAlignment="true" applyProtection="true">
      <alignment horizontal="center" vertical="center" textRotation="0" wrapText="true" indent="0" shrinkToFit="false"/>
      <protection locked="true" hidden="false"/>
    </xf>
    <xf numFmtId="164" fontId="30" fillId="3" borderId="65" xfId="0" applyFont="true" applyBorder="true" applyAlignment="true" applyProtection="true">
      <alignment horizontal="left" vertical="center" textRotation="0" wrapText="true" indent="0" shrinkToFit="false"/>
      <protection locked="true" hidden="false"/>
    </xf>
    <xf numFmtId="173" fontId="30" fillId="3" borderId="6" xfId="0" applyFont="true" applyBorder="true" applyAlignment="true" applyProtection="true">
      <alignment horizontal="left" vertical="center" textRotation="0" wrapText="false" indent="0" shrinkToFit="false"/>
      <protection locked="true" hidden="false"/>
    </xf>
    <xf numFmtId="164" fontId="68" fillId="0" borderId="23" xfId="0" applyFont="true" applyBorder="true" applyAlignment="true" applyProtection="true">
      <alignment horizontal="left" vertical="center" textRotation="0" wrapText="true" indent="0" shrinkToFit="false"/>
      <protection locked="false" hidden="false"/>
    </xf>
    <xf numFmtId="164" fontId="53" fillId="2" borderId="8" xfId="0" applyFont="true" applyBorder="true" applyAlignment="true" applyProtection="true">
      <alignment horizontal="left" vertical="center" textRotation="0" wrapText="false" indent="0" shrinkToFit="false"/>
      <protection locked="false" hidden="false"/>
    </xf>
    <xf numFmtId="167" fontId="91" fillId="3" borderId="5" xfId="0" applyFont="true" applyBorder="true" applyAlignment="true" applyProtection="true">
      <alignment horizontal="center" vertical="center" textRotation="0" wrapText="true" indent="0" shrinkToFit="false"/>
      <protection locked="true" hidden="false"/>
    </xf>
    <xf numFmtId="164" fontId="29" fillId="3" borderId="65" xfId="0" applyFont="true" applyBorder="true" applyAlignment="true" applyProtection="true">
      <alignment horizontal="left" vertical="center" textRotation="0" wrapText="true" indent="0" shrinkToFit="false"/>
      <protection locked="true" hidden="false"/>
    </xf>
    <xf numFmtId="164" fontId="29" fillId="3" borderId="10" xfId="0" applyFont="true" applyBorder="true" applyAlignment="true" applyProtection="true">
      <alignment horizontal="left" vertical="center" textRotation="0" wrapText="true" indent="0" shrinkToFit="false"/>
      <protection locked="true" hidden="false"/>
    </xf>
    <xf numFmtId="164" fontId="29" fillId="3" borderId="11" xfId="0" applyFont="true" applyBorder="true" applyAlignment="true" applyProtection="true">
      <alignment horizontal="left" vertical="center" textRotation="0" wrapText="true" indent="0" shrinkToFit="false"/>
      <protection locked="true" hidden="false"/>
    </xf>
    <xf numFmtId="164" fontId="53" fillId="3" borderId="15" xfId="0" applyFont="true" applyBorder="true" applyAlignment="true" applyProtection="true">
      <alignment horizontal="left" vertical="center" textRotation="0" wrapText="false" indent="0" shrinkToFit="false"/>
      <protection locked="true" hidden="false"/>
    </xf>
    <xf numFmtId="164" fontId="53" fillId="3" borderId="23" xfId="0" applyFont="true" applyBorder="true" applyAlignment="true" applyProtection="true">
      <alignment horizontal="left" vertical="center" textRotation="0" wrapText="false" indent="0" shrinkToFit="false"/>
      <protection locked="true" hidden="false"/>
    </xf>
    <xf numFmtId="164" fontId="29" fillId="10" borderId="0" xfId="0" applyFont="true" applyBorder="false" applyAlignment="true" applyProtection="true">
      <alignment horizontal="left" vertical="center" textRotation="0" wrapText="false" indent="0" shrinkToFit="false"/>
      <protection locked="true" hidden="false"/>
    </xf>
    <xf numFmtId="173" fontId="53" fillId="10" borderId="0" xfId="0" applyFont="true" applyBorder="false" applyAlignment="true" applyProtection="true">
      <alignment horizontal="left" vertical="center" textRotation="0" wrapText="false" indent="0" shrinkToFit="false"/>
      <protection locked="true" hidden="false"/>
    </xf>
    <xf numFmtId="164" fontId="53" fillId="3" borderId="68" xfId="0" applyFont="true" applyBorder="true" applyAlignment="true" applyProtection="true">
      <alignment horizontal="left" vertical="center" textRotation="0" wrapText="true" indent="0" shrinkToFit="false"/>
      <protection locked="true" hidden="false"/>
    </xf>
    <xf numFmtId="164" fontId="53" fillId="3" borderId="32" xfId="0" applyFont="true" applyBorder="true" applyAlignment="true" applyProtection="true">
      <alignment horizontal="left" vertical="center" textRotation="0" wrapText="false" indent="0" shrinkToFit="false"/>
      <protection locked="true" hidden="false"/>
    </xf>
    <xf numFmtId="164" fontId="53" fillId="3" borderId="16" xfId="0" applyFont="true" applyBorder="true" applyAlignment="true" applyProtection="true">
      <alignment horizontal="left" vertical="center" textRotation="0" wrapText="true" indent="0" shrinkToFit="false"/>
      <protection locked="true" hidden="false"/>
    </xf>
    <xf numFmtId="164" fontId="30" fillId="10" borderId="0" xfId="0" applyFont="true" applyBorder="false" applyAlignment="true" applyProtection="true">
      <alignment horizontal="left" vertical="center" textRotation="0" wrapText="false" indent="0" shrinkToFit="false"/>
      <protection locked="true" hidden="false"/>
    </xf>
    <xf numFmtId="164" fontId="53" fillId="3" borderId="66" xfId="0" applyFont="true" applyBorder="true" applyAlignment="true" applyProtection="true">
      <alignment horizontal="left" vertical="center" textRotation="0" wrapText="true" indent="0" shrinkToFit="false"/>
      <protection locked="true" hidden="false"/>
    </xf>
    <xf numFmtId="164" fontId="29" fillId="3" borderId="22" xfId="0" applyFont="true" applyBorder="true" applyAlignment="true" applyProtection="true">
      <alignment horizontal="left" vertical="center" textRotation="0" wrapText="true" indent="0" shrinkToFit="false"/>
      <protection locked="true" hidden="false"/>
    </xf>
    <xf numFmtId="173" fontId="30" fillId="3" borderId="5" xfId="0" applyFont="true" applyBorder="true" applyAlignment="true" applyProtection="true">
      <alignment horizontal="left" vertical="center" textRotation="0" wrapText="false" indent="0" shrinkToFit="false"/>
      <protection locked="true" hidden="false"/>
    </xf>
    <xf numFmtId="164" fontId="53" fillId="3" borderId="0" xfId="0" applyFont="true" applyBorder="false" applyAlignment="true" applyProtection="true">
      <alignment horizontal="left" vertical="center" textRotation="0" wrapText="false" indent="0" shrinkToFit="false"/>
      <protection locked="false" hidden="false"/>
    </xf>
    <xf numFmtId="173" fontId="53" fillId="3" borderId="0" xfId="0" applyFont="true" applyBorder="false" applyAlignment="true" applyProtection="true">
      <alignment horizontal="center" vertical="center" textRotation="0" wrapText="false" indent="0" shrinkToFit="false"/>
      <protection locked="false" hidden="false"/>
    </xf>
    <xf numFmtId="167" fontId="93" fillId="3" borderId="5" xfId="0" applyFont="true" applyBorder="true" applyAlignment="true" applyProtection="true">
      <alignment horizontal="left" vertical="center" textRotation="0" wrapText="true" indent="0" shrinkToFit="false"/>
      <protection locked="true" hidden="false"/>
    </xf>
    <xf numFmtId="173" fontId="93" fillId="3" borderId="5" xfId="0" applyFont="true" applyBorder="true" applyAlignment="true" applyProtection="true">
      <alignment horizontal="left" vertical="center" textRotation="0" wrapText="false" indent="0" shrinkToFit="false"/>
      <protection locked="true" hidden="false"/>
    </xf>
    <xf numFmtId="164" fontId="67" fillId="3" borderId="0" xfId="0" applyFont="true" applyBorder="false" applyAlignment="true" applyProtection="true">
      <alignment horizontal="left" vertical="center" textRotation="0" wrapText="false" indent="0" shrinkToFit="false"/>
      <protection locked="false" hidden="false"/>
    </xf>
    <xf numFmtId="166" fontId="93" fillId="3" borderId="5" xfId="0" applyFont="true" applyBorder="true" applyAlignment="true" applyProtection="true">
      <alignment horizontal="left" vertical="center" textRotation="0" wrapText="false" indent="0" shrinkToFit="false"/>
      <protection locked="true" hidden="false"/>
    </xf>
    <xf numFmtId="164" fontId="30" fillId="3" borderId="22" xfId="0" applyFont="true" applyBorder="true" applyAlignment="true" applyProtection="true">
      <alignment horizontal="left" vertical="center" textRotation="0" wrapText="true" indent="0" shrinkToFit="false"/>
      <protection locked="true" hidden="false"/>
    </xf>
    <xf numFmtId="173" fontId="30" fillId="3" borderId="7" xfId="0" applyFont="true" applyBorder="true" applyAlignment="true" applyProtection="true">
      <alignment horizontal="center" vertical="center" textRotation="0" wrapText="false" indent="0" shrinkToFit="false"/>
      <protection locked="true" hidden="false"/>
    </xf>
    <xf numFmtId="167" fontId="93" fillId="3" borderId="11" xfId="0" applyFont="true" applyBorder="true" applyAlignment="true" applyProtection="true">
      <alignment horizontal="left" vertical="center" textRotation="0" wrapText="true" indent="0" shrinkToFit="false"/>
      <protection locked="true" hidden="false"/>
    </xf>
    <xf numFmtId="166" fontId="93" fillId="3" borderId="11" xfId="0" applyFont="true" applyBorder="true" applyAlignment="true" applyProtection="true">
      <alignment horizontal="left" vertical="center" textRotation="0" wrapText="false" indent="0" shrinkToFit="false"/>
      <protection locked="true" hidden="false"/>
    </xf>
    <xf numFmtId="164" fontId="53" fillId="2" borderId="8" xfId="0" applyFont="true" applyBorder="true" applyAlignment="true" applyProtection="true">
      <alignment horizontal="left" vertical="center" textRotation="0" wrapText="true" indent="0" shrinkToFit="false"/>
      <protection locked="false" hidden="false"/>
    </xf>
    <xf numFmtId="164" fontId="53" fillId="3" borderId="0" xfId="0" applyFont="true" applyBorder="true" applyAlignment="true" applyProtection="true">
      <alignment horizontal="center" vertical="center" textRotation="0" wrapText="true" indent="0" shrinkToFit="false"/>
      <protection locked="false" hidden="false"/>
    </xf>
    <xf numFmtId="167" fontId="30" fillId="3" borderId="5" xfId="0" applyFont="true" applyBorder="true" applyAlignment="true" applyProtection="true">
      <alignment horizontal="left" vertical="center" textRotation="0" wrapText="false" indent="0" shrinkToFit="false"/>
      <protection locked="true" hidden="false"/>
    </xf>
    <xf numFmtId="164" fontId="53" fillId="3" borderId="0" xfId="0" applyFont="true" applyBorder="true" applyAlignment="true" applyProtection="true">
      <alignment horizontal="left" vertical="center" textRotation="0" wrapText="true" indent="0" shrinkToFit="false"/>
      <protection locked="false" hidden="false"/>
    </xf>
    <xf numFmtId="167" fontId="30" fillId="3" borderId="5" xfId="0" applyFont="true" applyBorder="true" applyAlignment="true" applyProtection="true">
      <alignment horizontal="left" vertical="center" textRotation="0" wrapText="true" indent="0" shrinkToFit="false"/>
      <protection locked="true" hidden="false"/>
    </xf>
    <xf numFmtId="164" fontId="29" fillId="3" borderId="7" xfId="0" applyFont="true" applyBorder="true" applyAlignment="true" applyProtection="true">
      <alignment horizontal="left" vertical="center" textRotation="0" wrapText="true" indent="0" shrinkToFit="false"/>
      <protection locked="true" hidden="false"/>
    </xf>
    <xf numFmtId="164" fontId="94" fillId="3" borderId="38" xfId="0" applyFont="true" applyBorder="true" applyAlignment="true" applyProtection="true">
      <alignment horizontal="left" vertical="center" textRotation="0" wrapText="true" indent="0" shrinkToFit="false"/>
      <protection locked="true" hidden="false"/>
    </xf>
    <xf numFmtId="167" fontId="93" fillId="3" borderId="60" xfId="0" applyFont="true" applyBorder="true" applyAlignment="true" applyProtection="true">
      <alignment horizontal="left" vertical="center" textRotation="0" wrapText="true" indent="0" shrinkToFit="false"/>
      <protection locked="true" hidden="false"/>
    </xf>
    <xf numFmtId="164" fontId="94" fillId="3" borderId="39" xfId="0" applyFont="true" applyBorder="true" applyAlignment="true" applyProtection="true">
      <alignment horizontal="left" vertical="center" textRotation="0" wrapText="true" indent="0" shrinkToFit="false"/>
      <protection locked="true" hidden="false"/>
    </xf>
    <xf numFmtId="178" fontId="30" fillId="3" borderId="0" xfId="0" applyFont="true" applyBorder="false" applyAlignment="false" applyProtection="true">
      <alignment horizontal="general" vertical="center" textRotation="0" wrapText="false" indent="0" shrinkToFit="false"/>
      <protection locked="false" hidden="false"/>
    </xf>
    <xf numFmtId="164" fontId="53" fillId="3" borderId="5" xfId="0" applyFont="true" applyBorder="true" applyAlignment="true" applyProtection="true">
      <alignment horizontal="left" vertical="center" textRotation="0" wrapText="false" indent="0" shrinkToFit="false"/>
      <protection locked="true" hidden="false"/>
    </xf>
    <xf numFmtId="164" fontId="94" fillId="3" borderId="7" xfId="0" applyFont="true" applyBorder="true" applyAlignment="true" applyProtection="true">
      <alignment horizontal="left" vertical="center" textRotation="0" wrapText="true" indent="0" shrinkToFit="false"/>
      <protection locked="true" hidden="false"/>
    </xf>
    <xf numFmtId="167" fontId="93" fillId="3" borderId="10" xfId="0" applyFont="true" applyBorder="true" applyAlignment="true" applyProtection="true">
      <alignment horizontal="left" vertical="center" textRotation="0" wrapText="false" indent="0" shrinkToFit="false"/>
      <protection locked="true" hidden="false"/>
    </xf>
    <xf numFmtId="164" fontId="94" fillId="3" borderId="8" xfId="0" applyFont="true" applyBorder="true" applyAlignment="true" applyProtection="true">
      <alignment horizontal="left" vertical="center" textRotation="0" wrapText="true" indent="0" shrinkToFit="false"/>
      <protection locked="true" hidden="false"/>
    </xf>
    <xf numFmtId="164" fontId="30" fillId="3" borderId="24" xfId="0" applyFont="true" applyBorder="true" applyAlignment="true" applyProtection="true">
      <alignment horizontal="left" vertical="center" textRotation="0" wrapText="true" indent="0" shrinkToFit="false"/>
      <protection locked="true" hidden="false"/>
    </xf>
    <xf numFmtId="167" fontId="30" fillId="10" borderId="76" xfId="0" applyFont="true" applyBorder="true" applyAlignment="true" applyProtection="true">
      <alignment horizontal="left" vertical="center" textRotation="0" wrapText="false" indent="0" shrinkToFit="false"/>
      <protection locked="true" hidden="false"/>
    </xf>
    <xf numFmtId="167" fontId="30" fillId="10" borderId="25" xfId="0" applyFont="true" applyBorder="true" applyAlignment="true" applyProtection="true">
      <alignment horizontal="left" vertical="center" textRotation="0" wrapText="true" indent="0" shrinkToFit="false"/>
      <protection locked="true" hidden="false"/>
    </xf>
    <xf numFmtId="173" fontId="30" fillId="10" borderId="25" xfId="0" applyFont="true" applyBorder="true" applyAlignment="true" applyProtection="true">
      <alignment horizontal="left" vertical="center" textRotation="0" wrapText="false" indent="0" shrinkToFit="false"/>
      <protection locked="true" hidden="false"/>
    </xf>
    <xf numFmtId="164" fontId="68" fillId="0" borderId="71" xfId="0" applyFont="true" applyBorder="true" applyAlignment="true" applyProtection="true">
      <alignment horizontal="left" vertical="center" textRotation="0" wrapText="true" indent="0" shrinkToFit="false"/>
      <protection locked="false" hidden="false"/>
    </xf>
    <xf numFmtId="164" fontId="29" fillId="10" borderId="8" xfId="0" applyFont="true" applyBorder="true" applyAlignment="true" applyProtection="true">
      <alignment horizontal="left" vertical="center" textRotation="0" wrapText="true" indent="0" shrinkToFit="false"/>
      <protection locked="false" hidden="false"/>
    </xf>
    <xf numFmtId="164" fontId="29" fillId="10" borderId="0" xfId="0" applyFont="true" applyBorder="false" applyAlignment="false" applyProtection="true">
      <alignment horizontal="general" vertical="center" textRotation="0" wrapText="false" indent="0" shrinkToFit="false"/>
      <protection locked="true" hidden="false"/>
    </xf>
    <xf numFmtId="164" fontId="94" fillId="3" borderId="32" xfId="0" applyFont="true" applyBorder="true" applyAlignment="true" applyProtection="true">
      <alignment horizontal="left" vertical="center" textRotation="0" wrapText="true" indent="0" shrinkToFit="false"/>
      <protection locked="true" hidden="false"/>
    </xf>
    <xf numFmtId="167" fontId="93" fillId="3" borderId="0" xfId="0" applyFont="true" applyBorder="true" applyAlignment="true" applyProtection="true">
      <alignment horizontal="left" vertical="center" textRotation="0" wrapText="true" indent="0" shrinkToFit="false"/>
      <protection locked="true" hidden="false"/>
    </xf>
    <xf numFmtId="164" fontId="94" fillId="3" borderId="15" xfId="0" applyFont="true" applyBorder="true" applyAlignment="true" applyProtection="true">
      <alignment horizontal="left" vertical="center" textRotation="0" wrapText="true" indent="0" shrinkToFit="false"/>
      <protection locked="true" hidden="false"/>
    </xf>
    <xf numFmtId="164" fontId="53" fillId="3" borderId="0" xfId="0" applyFont="true" applyBorder="true" applyAlignment="true" applyProtection="true">
      <alignment horizontal="left" vertical="center" textRotation="0" wrapText="true" indent="0" shrinkToFit="false"/>
      <protection locked="true" hidden="false"/>
    </xf>
    <xf numFmtId="164" fontId="53" fillId="3" borderId="0" xfId="0" applyFont="true" applyBorder="true" applyAlignment="true" applyProtection="true">
      <alignment horizontal="center" vertical="center" textRotation="0" wrapText="false" indent="0" shrinkToFit="false"/>
      <protection locked="false" hidden="false"/>
    </xf>
    <xf numFmtId="164" fontId="61" fillId="3" borderId="26" xfId="0" applyFont="true" applyBorder="true" applyAlignment="true" applyProtection="true">
      <alignment horizontal="center" vertical="center" textRotation="0" wrapText="false" indent="0" shrinkToFit="false"/>
      <protection locked="true" hidden="false"/>
    </xf>
    <xf numFmtId="164" fontId="94" fillId="3" borderId="35" xfId="0" applyFont="true" applyBorder="true" applyAlignment="true" applyProtection="true">
      <alignment horizontal="left" vertical="center" textRotation="0" wrapText="true" indent="0" shrinkToFit="false"/>
      <protection locked="true" hidden="false"/>
    </xf>
    <xf numFmtId="167" fontId="93" fillId="3" borderId="9" xfId="0" applyFont="true" applyBorder="true" applyAlignment="true" applyProtection="true">
      <alignment horizontal="left" vertical="center" textRotation="0" wrapText="true" indent="0" shrinkToFit="false"/>
      <protection locked="true" hidden="false"/>
    </xf>
    <xf numFmtId="164" fontId="94" fillId="3" borderId="37" xfId="0" applyFont="true" applyBorder="true" applyAlignment="true" applyProtection="true">
      <alignment horizontal="left" vertical="center" textRotation="0" wrapText="true" indent="0" shrinkToFit="false"/>
      <protection locked="true" hidden="false"/>
    </xf>
    <xf numFmtId="164" fontId="95" fillId="3" borderId="57" xfId="0" applyFont="true" applyBorder="true" applyAlignment="true" applyProtection="true">
      <alignment horizontal="left" vertical="center" textRotation="0" wrapText="true" indent="0" shrinkToFit="false"/>
      <protection locked="true" hidden="false"/>
    </xf>
    <xf numFmtId="164" fontId="96" fillId="3" borderId="58" xfId="0" applyFont="true" applyBorder="true" applyAlignment="true" applyProtection="true">
      <alignment horizontal="left" vertical="center" textRotation="0" wrapText="true" indent="0" shrinkToFit="false"/>
      <protection locked="true" hidden="false"/>
    </xf>
    <xf numFmtId="164" fontId="95" fillId="3" borderId="58" xfId="0" applyFont="true" applyBorder="true" applyAlignment="true" applyProtection="true">
      <alignment horizontal="left" vertical="center" textRotation="0" wrapText="true" indent="0" shrinkToFit="false"/>
      <protection locked="true" hidden="false"/>
    </xf>
    <xf numFmtId="164" fontId="29" fillId="3" borderId="59" xfId="0" applyFont="true" applyBorder="true" applyAlignment="true" applyProtection="true">
      <alignment horizontal="left" vertical="center" textRotation="0" wrapText="true" indent="0" shrinkToFit="false"/>
      <protection locked="true" hidden="false"/>
    </xf>
    <xf numFmtId="174" fontId="87" fillId="3" borderId="22" xfId="0" applyFont="true" applyBorder="true" applyAlignment="true" applyProtection="true">
      <alignment horizontal="left" vertical="center" textRotation="0" wrapText="true" indent="0" shrinkToFit="false"/>
      <protection locked="true" hidden="false"/>
    </xf>
    <xf numFmtId="164" fontId="95" fillId="3" borderId="6" xfId="0" applyFont="true" applyBorder="true" applyAlignment="true" applyProtection="true">
      <alignment horizontal="left" vertical="center" textRotation="0" wrapText="true" indent="0" shrinkToFit="false"/>
      <protection locked="true" hidden="false"/>
    </xf>
    <xf numFmtId="175" fontId="97" fillId="3" borderId="6" xfId="0" applyFont="true" applyBorder="true" applyAlignment="true" applyProtection="true">
      <alignment horizontal="left" vertical="center" textRotation="0" wrapText="true" indent="0" shrinkToFit="false"/>
      <protection locked="true" hidden="false"/>
    </xf>
    <xf numFmtId="164" fontId="53" fillId="3" borderId="62" xfId="0" applyFont="true" applyBorder="true" applyAlignment="true" applyProtection="true">
      <alignment horizontal="left" vertical="center" textRotation="0" wrapText="true" indent="0" shrinkToFit="false"/>
      <protection locked="true" hidden="false"/>
    </xf>
    <xf numFmtId="164" fontId="29" fillId="3" borderId="5" xfId="0" applyFont="true" applyBorder="true" applyAlignment="true" applyProtection="false">
      <alignment horizontal="left" vertical="center" textRotation="0" wrapText="true" indent="0" shrinkToFit="false"/>
      <protection locked="true" hidden="false"/>
    </xf>
    <xf numFmtId="164" fontId="53" fillId="5" borderId="0" xfId="0" applyFont="true" applyBorder="false" applyAlignment="true" applyProtection="true">
      <alignment horizontal="left" vertical="center" textRotation="0" wrapText="false" indent="0" shrinkToFit="false"/>
      <protection locked="false" hidden="false"/>
    </xf>
    <xf numFmtId="174" fontId="29" fillId="3" borderId="22" xfId="0" applyFont="true" applyBorder="true" applyAlignment="true" applyProtection="true">
      <alignment horizontal="left" vertical="center" textRotation="0" wrapText="true" indent="0" shrinkToFit="false"/>
      <protection locked="true" hidden="false"/>
    </xf>
    <xf numFmtId="164" fontId="71" fillId="3" borderId="5" xfId="0" applyFont="true" applyBorder="true" applyAlignment="true" applyProtection="true">
      <alignment horizontal="left" vertical="center" textRotation="0" wrapText="true" indent="0" shrinkToFit="false"/>
      <protection locked="true" hidden="false"/>
    </xf>
    <xf numFmtId="175" fontId="77" fillId="3" borderId="5" xfId="0" applyFont="true" applyBorder="true" applyAlignment="true" applyProtection="true">
      <alignment horizontal="left" vertical="center" textRotation="0" wrapText="true" indent="0" shrinkToFit="false"/>
      <protection locked="true" hidden="false"/>
    </xf>
    <xf numFmtId="164" fontId="58" fillId="3" borderId="5" xfId="0" applyFont="true" applyBorder="true" applyAlignment="true" applyProtection="true">
      <alignment horizontal="left" vertical="center" textRotation="0" wrapText="true" indent="0" shrinkToFit="false"/>
      <protection locked="true" hidden="false"/>
    </xf>
    <xf numFmtId="164" fontId="53" fillId="3" borderId="23" xfId="0" applyFont="true" applyBorder="true" applyAlignment="true" applyProtection="true">
      <alignment horizontal="left" vertical="center" textRotation="0" wrapText="true" indent="0" shrinkToFit="false"/>
      <protection locked="true" hidden="false"/>
    </xf>
    <xf numFmtId="164" fontId="29" fillId="3" borderId="0" xfId="0" applyFont="true" applyBorder="false" applyAlignment="true" applyProtection="true">
      <alignment horizontal="left" vertical="center" textRotation="0" wrapText="false" indent="0" shrinkToFit="false"/>
      <protection locked="false" hidden="false"/>
    </xf>
    <xf numFmtId="175" fontId="58" fillId="0" borderId="5" xfId="0" applyFont="true" applyBorder="true" applyAlignment="true" applyProtection="true">
      <alignment horizontal="left" vertical="center" textRotation="0" wrapText="true" indent="0" shrinkToFit="false"/>
      <protection locked="false" hidden="false"/>
    </xf>
    <xf numFmtId="164" fontId="95" fillId="3" borderId="5" xfId="0" applyFont="true" applyBorder="true" applyAlignment="true" applyProtection="true">
      <alignment horizontal="left" vertical="center" textRotation="0" wrapText="true" indent="0" shrinkToFit="false"/>
      <protection locked="true" hidden="false"/>
    </xf>
    <xf numFmtId="164" fontId="96" fillId="0" borderId="5" xfId="0" applyFont="true" applyBorder="true" applyAlignment="true" applyProtection="true">
      <alignment horizontal="left" vertical="center" textRotation="0" wrapText="true" indent="0" shrinkToFit="false"/>
      <protection locked="false" hidden="false"/>
    </xf>
    <xf numFmtId="164" fontId="96" fillId="3" borderId="5" xfId="0" applyFont="true" applyBorder="true" applyAlignment="true" applyProtection="true">
      <alignment horizontal="left" vertical="center" textRotation="0" wrapText="true" indent="0" shrinkToFit="false"/>
      <protection locked="true" hidden="false"/>
    </xf>
    <xf numFmtId="164" fontId="57" fillId="3" borderId="23" xfId="0" applyFont="true" applyBorder="true" applyAlignment="true" applyProtection="true">
      <alignment horizontal="left" vertical="center" textRotation="0" wrapText="false" indent="0" shrinkToFit="false"/>
      <protection locked="true" hidden="false"/>
    </xf>
    <xf numFmtId="175" fontId="97" fillId="3" borderId="5" xfId="0" applyFont="true" applyBorder="true" applyAlignment="true" applyProtection="true">
      <alignment horizontal="left" vertical="center" textRotation="0" wrapText="true" indent="0" shrinkToFit="false"/>
      <protection locked="true" hidden="false"/>
    </xf>
    <xf numFmtId="174" fontId="87" fillId="3" borderId="24" xfId="0" applyFont="true" applyBorder="true" applyAlignment="true" applyProtection="true">
      <alignment horizontal="left" vertical="center" textRotation="0" wrapText="true" indent="0" shrinkToFit="false"/>
      <protection locked="true" hidden="false"/>
    </xf>
    <xf numFmtId="164" fontId="95" fillId="3" borderId="25" xfId="0" applyFont="true" applyBorder="true" applyAlignment="true" applyProtection="true">
      <alignment horizontal="left" vertical="center" textRotation="0" wrapText="true" indent="0" shrinkToFit="false"/>
      <protection locked="true" hidden="false"/>
    </xf>
    <xf numFmtId="175" fontId="97" fillId="3" borderId="25" xfId="0" applyFont="true" applyBorder="true" applyAlignment="true" applyProtection="true">
      <alignment horizontal="left" vertical="center" textRotation="0" wrapText="true" indent="0" shrinkToFit="false"/>
      <protection locked="true" hidden="false"/>
    </xf>
    <xf numFmtId="173" fontId="77" fillId="3" borderId="25" xfId="0" applyFont="true" applyBorder="true" applyAlignment="true" applyProtection="true">
      <alignment horizontal="left" vertical="center" textRotation="0" wrapText="true" indent="0" shrinkToFit="false"/>
      <protection locked="true" hidden="false"/>
    </xf>
    <xf numFmtId="164" fontId="53" fillId="3" borderId="71" xfId="0" applyFont="true" applyBorder="true" applyAlignment="true" applyProtection="true">
      <alignment horizontal="left" vertical="center" textRotation="0" wrapText="false" indent="0" shrinkToFit="false"/>
      <protection locked="true" hidden="false"/>
    </xf>
    <xf numFmtId="174" fontId="60" fillId="3" borderId="20" xfId="0" applyFont="true" applyBorder="true" applyAlignment="true" applyProtection="true">
      <alignment horizontal="left" vertical="center" textRotation="0" wrapText="true" indent="0" shrinkToFit="false"/>
      <protection locked="true" hidden="false"/>
    </xf>
    <xf numFmtId="164" fontId="96" fillId="3" borderId="0" xfId="0" applyFont="true" applyBorder="true" applyAlignment="true" applyProtection="true">
      <alignment horizontal="left" vertical="center" textRotation="0" wrapText="true" indent="0" shrinkToFit="false"/>
      <protection locked="true" hidden="false"/>
    </xf>
    <xf numFmtId="175" fontId="96" fillId="3" borderId="0" xfId="0" applyFont="true" applyBorder="true" applyAlignment="true" applyProtection="true">
      <alignment horizontal="center" vertical="center" textRotation="0" wrapText="true" indent="0" shrinkToFit="false"/>
      <protection locked="true" hidden="false"/>
    </xf>
    <xf numFmtId="173" fontId="58" fillId="3" borderId="0" xfId="0" applyFont="true" applyBorder="true" applyAlignment="true" applyProtection="true">
      <alignment horizontal="center" vertical="center" textRotation="0" wrapText="true" indent="0" shrinkToFit="false"/>
      <protection locked="true" hidden="false"/>
    </xf>
    <xf numFmtId="164" fontId="53" fillId="3" borderId="0" xfId="0" applyFont="true" applyBorder="true" applyAlignment="true" applyProtection="true">
      <alignment horizontal="left" vertical="center" textRotation="0" wrapText="false" indent="0" shrinkToFit="false"/>
      <protection locked="true" hidden="false"/>
    </xf>
    <xf numFmtId="178" fontId="30" fillId="3" borderId="0" xfId="0" applyFont="true" applyBorder="false" applyAlignment="true" applyProtection="true">
      <alignment horizontal="left" vertical="center" textRotation="0" wrapText="false" indent="0" shrinkToFit="false"/>
      <protection locked="true" hidden="false"/>
    </xf>
    <xf numFmtId="164" fontId="53" fillId="0" borderId="0" xfId="0" applyFont="true" applyBorder="false" applyAlignment="false" applyProtection="true">
      <alignment horizontal="general" vertical="center" textRotation="0" wrapText="false" indent="0" shrinkToFit="false"/>
      <protection locked="true" hidden="false"/>
    </xf>
    <xf numFmtId="164" fontId="95" fillId="3" borderId="20" xfId="0" applyFont="true" applyBorder="true" applyAlignment="true" applyProtection="true">
      <alignment horizontal="center" vertical="center" textRotation="0" wrapText="true" indent="0" shrinkToFit="false"/>
      <protection locked="true" hidden="false"/>
    </xf>
    <xf numFmtId="164" fontId="29" fillId="3" borderId="0" xfId="25" applyFont="true" applyBorder="true" applyAlignment="true" applyProtection="true">
      <alignment horizontal="left" vertical="center" textRotation="0" wrapText="true" indent="0" shrinkToFit="false"/>
      <protection locked="true" hidden="false"/>
    </xf>
    <xf numFmtId="164" fontId="0" fillId="5" borderId="0" xfId="0" applyFont="true" applyBorder="false" applyAlignment="false" applyProtection="true">
      <alignment horizontal="general" vertical="center" textRotation="0" wrapText="false" indent="0" shrinkToFit="false"/>
      <protection locked="true" hidden="false"/>
    </xf>
    <xf numFmtId="164" fontId="0" fillId="0" borderId="0" xfId="0" applyFont="true" applyBorder="false" applyAlignment="false" applyProtection="true">
      <alignment horizontal="general" vertical="center" textRotation="0" wrapText="false" indent="0" shrinkToFit="false"/>
      <protection locked="true" hidden="false"/>
    </xf>
    <xf numFmtId="164" fontId="29" fillId="3" borderId="81" xfId="0" applyFont="true" applyBorder="true" applyAlignment="true" applyProtection="true">
      <alignment horizontal="left" vertical="center" textRotation="0" wrapText="true" indent="0" shrinkToFit="false"/>
      <protection locked="true" hidden="false"/>
    </xf>
    <xf numFmtId="164" fontId="53" fillId="3" borderId="64" xfId="0" applyFont="true" applyBorder="true" applyAlignment="true" applyProtection="true">
      <alignment horizontal="left" vertical="center" textRotation="0" wrapText="true" indent="0" shrinkToFit="false"/>
      <protection locked="true" hidden="false"/>
    </xf>
    <xf numFmtId="164" fontId="4" fillId="3" borderId="50" xfId="25" applyFont="true" applyBorder="true" applyAlignment="true" applyProtection="true">
      <alignment horizontal="left" vertical="center" textRotation="0" wrapText="true" indent="0" shrinkToFit="false"/>
      <protection locked="true" hidden="false"/>
    </xf>
    <xf numFmtId="164" fontId="4" fillId="3" borderId="0" xfId="25" applyFont="true" applyBorder="false" applyAlignment="true" applyProtection="true">
      <alignment horizontal="general" vertical="center" textRotation="0" wrapText="true" indent="0" shrinkToFit="false"/>
      <protection locked="false" hidden="false"/>
    </xf>
    <xf numFmtId="164" fontId="53" fillId="3" borderId="10" xfId="0" applyFont="true" applyBorder="true" applyAlignment="true" applyProtection="true">
      <alignment horizontal="left" vertical="center" textRotation="0" wrapText="true" indent="0" shrinkToFit="false"/>
      <protection locked="true" hidden="false"/>
    </xf>
    <xf numFmtId="164" fontId="4" fillId="3" borderId="31" xfId="25" applyFont="true" applyBorder="true" applyAlignment="true" applyProtection="true">
      <alignment horizontal="left" vertical="center" textRotation="0" wrapText="true" indent="0" shrinkToFit="false"/>
      <protection locked="true" hidden="false"/>
    </xf>
    <xf numFmtId="174" fontId="30" fillId="3" borderId="22" xfId="0" applyFont="true" applyBorder="true" applyAlignment="true" applyProtection="true">
      <alignment horizontal="left" vertical="center" textRotation="0" wrapText="true" indent="0" shrinkToFit="false"/>
      <protection locked="true" hidden="false"/>
    </xf>
    <xf numFmtId="164" fontId="58" fillId="0" borderId="5" xfId="0" applyFont="true" applyBorder="true" applyAlignment="true" applyProtection="true">
      <alignment horizontal="left" vertical="center" textRotation="0" wrapText="true" indent="0" shrinkToFit="false"/>
      <protection locked="false" hidden="false"/>
    </xf>
    <xf numFmtId="164" fontId="4" fillId="3" borderId="5" xfId="25" applyFont="true" applyBorder="true" applyAlignment="true" applyProtection="true">
      <alignment horizontal="left" vertical="center" textRotation="0" wrapText="true" indent="0" shrinkToFit="false"/>
      <protection locked="true" hidden="false"/>
    </xf>
    <xf numFmtId="164" fontId="4" fillId="2" borderId="5" xfId="25" applyFont="true" applyBorder="true" applyAlignment="true" applyProtection="true">
      <alignment horizontal="left" vertical="center" textRotation="0" wrapText="true" indent="0" shrinkToFit="false"/>
      <protection locked="false" hidden="false"/>
    </xf>
    <xf numFmtId="175" fontId="58" fillId="0" borderId="23" xfId="0" applyFont="true" applyBorder="true" applyAlignment="true" applyProtection="true">
      <alignment horizontal="left" vertical="center" textRotation="0" wrapText="true" indent="0" shrinkToFit="false"/>
      <protection locked="false" hidden="false"/>
    </xf>
    <xf numFmtId="164" fontId="71" fillId="3" borderId="6" xfId="0" applyFont="true" applyBorder="true" applyAlignment="true" applyProtection="true">
      <alignment horizontal="left" vertical="center" textRotation="0" wrapText="true" indent="0" shrinkToFit="false"/>
      <protection locked="true" hidden="false"/>
    </xf>
    <xf numFmtId="166" fontId="38" fillId="3" borderId="0" xfId="0" applyFont="true" applyBorder="true" applyAlignment="true" applyProtection="true">
      <alignment horizontal="left" vertical="center" textRotation="0" wrapText="false" indent="0" shrinkToFit="false"/>
      <protection locked="true" hidden="false"/>
    </xf>
    <xf numFmtId="164" fontId="29" fillId="3" borderId="23" xfId="0" applyFont="true" applyBorder="true" applyAlignment="true" applyProtection="true">
      <alignment horizontal="left" vertical="center" textRotation="0" wrapText="true" indent="0" shrinkToFit="false"/>
      <protection locked="true" hidden="false"/>
    </xf>
    <xf numFmtId="173" fontId="77" fillId="3" borderId="5" xfId="0" applyFont="true" applyBorder="true" applyAlignment="true" applyProtection="true">
      <alignment horizontal="left" vertical="center" textRotation="0" wrapText="true" indent="0" shrinkToFit="false"/>
      <protection locked="true" hidden="false"/>
    </xf>
    <xf numFmtId="164" fontId="0" fillId="3" borderId="10" xfId="0" applyFont="true" applyBorder="true" applyAlignment="true" applyProtection="true">
      <alignment horizontal="left" vertical="center" textRotation="0" wrapText="false" indent="0" shrinkToFit="false"/>
      <protection locked="true" hidden="false"/>
    </xf>
    <xf numFmtId="164" fontId="53" fillId="2" borderId="10" xfId="0" applyFont="true" applyBorder="true" applyAlignment="true" applyProtection="true">
      <alignment horizontal="left" vertical="center" textRotation="0" wrapText="true" indent="0" shrinkToFit="false"/>
      <protection locked="false" hidden="false"/>
    </xf>
    <xf numFmtId="167" fontId="30" fillId="3" borderId="31" xfId="0" applyFont="true" applyBorder="true" applyAlignment="true" applyProtection="true">
      <alignment horizontal="left" vertical="center" textRotation="0" wrapText="true" indent="0" shrinkToFit="false"/>
      <protection locked="true" hidden="false"/>
    </xf>
    <xf numFmtId="181" fontId="77" fillId="3" borderId="5" xfId="0" applyFont="true" applyBorder="true" applyAlignment="true" applyProtection="true">
      <alignment horizontal="left" vertical="center" textRotation="0" wrapText="true" indent="0" shrinkToFit="false"/>
      <protection locked="true" hidden="false"/>
    </xf>
    <xf numFmtId="173" fontId="87" fillId="3" borderId="7" xfId="0" applyFont="true" applyBorder="true" applyAlignment="true" applyProtection="true">
      <alignment horizontal="left" vertical="center" textRotation="0" wrapText="true" indent="0" shrinkToFit="false"/>
      <protection locked="true" hidden="false"/>
    </xf>
    <xf numFmtId="173" fontId="29" fillId="3" borderId="23" xfId="0" applyFont="true" applyBorder="true" applyAlignment="true" applyProtection="true">
      <alignment horizontal="left" vertical="center" textRotation="0" wrapText="true" indent="0" shrinkToFit="false"/>
      <protection locked="true" hidden="false"/>
    </xf>
    <xf numFmtId="164" fontId="4" fillId="3" borderId="0" xfId="25" applyFont="true" applyBorder="false" applyAlignment="false" applyProtection="true">
      <alignment horizontal="general" vertical="bottom" textRotation="0" wrapText="false" indent="0" shrinkToFit="false"/>
      <protection locked="false" hidden="false"/>
    </xf>
    <xf numFmtId="178" fontId="97" fillId="3" borderId="5" xfId="0" applyFont="true" applyBorder="true" applyAlignment="true" applyProtection="true">
      <alignment horizontal="left" vertical="center" textRotation="0" wrapText="true" indent="0" shrinkToFit="false"/>
      <protection locked="true" hidden="false"/>
    </xf>
    <xf numFmtId="167" fontId="87" fillId="3" borderId="25" xfId="0" applyFont="true" applyBorder="true" applyAlignment="true" applyProtection="true">
      <alignment horizontal="left" vertical="center" textRotation="0" wrapText="true" indent="0" shrinkToFit="false"/>
      <protection locked="true" hidden="false"/>
    </xf>
    <xf numFmtId="164" fontId="58" fillId="3" borderId="25" xfId="0" applyFont="true" applyBorder="true" applyAlignment="true" applyProtection="true">
      <alignment horizontal="left" vertical="center" textRotation="0" wrapText="true" indent="0" shrinkToFit="false"/>
      <protection locked="true" hidden="false"/>
    </xf>
    <xf numFmtId="167" fontId="30" fillId="3" borderId="76" xfId="0" applyFont="true" applyBorder="true" applyAlignment="true" applyProtection="true">
      <alignment horizontal="left" vertical="center" textRotation="0" wrapText="false" indent="0" shrinkToFit="false"/>
      <protection locked="true" hidden="false"/>
    </xf>
    <xf numFmtId="164" fontId="53" fillId="3" borderId="97" xfId="0" applyFont="true" applyBorder="true" applyAlignment="true" applyProtection="true">
      <alignment horizontal="left" vertical="center" textRotation="0" wrapText="true" indent="0" shrinkToFit="false"/>
      <protection locked="true" hidden="false"/>
    </xf>
    <xf numFmtId="164" fontId="4" fillId="3" borderId="84" xfId="25" applyFont="true" applyBorder="true" applyAlignment="true" applyProtection="true">
      <alignment horizontal="left" vertical="center" textRotation="0" wrapText="true" indent="0" shrinkToFit="false"/>
      <protection locked="true" hidden="false"/>
    </xf>
    <xf numFmtId="164" fontId="0" fillId="3" borderId="0" xfId="0" applyFont="true" applyBorder="false" applyAlignment="true" applyProtection="true">
      <alignment horizontal="left" vertical="center" textRotation="0" wrapText="false" indent="0" shrinkToFit="false"/>
      <protection locked="true" hidden="false"/>
    </xf>
    <xf numFmtId="164" fontId="4" fillId="3" borderId="0" xfId="25" applyFont="true" applyBorder="false" applyAlignment="true" applyProtection="true">
      <alignment horizontal="left" vertical="bottom" textRotation="0" wrapText="false" indent="0" shrinkToFit="false"/>
      <protection locked="true" hidden="false"/>
    </xf>
    <xf numFmtId="164" fontId="29" fillId="3" borderId="50" xfId="25" applyFont="true" applyBorder="true" applyAlignment="true" applyProtection="true">
      <alignment horizontal="left" vertical="center" textRotation="0" wrapText="true" indent="0" shrinkToFit="false"/>
      <protection locked="true" hidden="false"/>
    </xf>
    <xf numFmtId="164" fontId="29" fillId="3" borderId="31" xfId="25" applyFont="true" applyBorder="true" applyAlignment="true" applyProtection="true">
      <alignment horizontal="left" vertical="center" textRotation="0" wrapText="true" indent="0" shrinkToFit="false"/>
      <protection locked="true" hidden="false"/>
    </xf>
    <xf numFmtId="164" fontId="58" fillId="3" borderId="7" xfId="0" applyFont="true" applyBorder="true" applyAlignment="true" applyProtection="true">
      <alignment horizontal="left" vertical="center" textRotation="0" wrapText="true" indent="0" shrinkToFit="false"/>
      <protection locked="true" hidden="false"/>
    </xf>
    <xf numFmtId="173" fontId="53" fillId="3" borderId="7" xfId="0" applyFont="true" applyBorder="true" applyAlignment="true" applyProtection="true">
      <alignment horizontal="left" vertical="center" textRotation="0" wrapText="true" indent="0" shrinkToFit="false"/>
      <protection locked="true" hidden="false"/>
    </xf>
    <xf numFmtId="173" fontId="53" fillId="3" borderId="10" xfId="0" applyFont="true" applyBorder="true" applyAlignment="true" applyProtection="true">
      <alignment horizontal="left" vertical="center" textRotation="0" wrapText="true" indent="0" shrinkToFit="false"/>
      <protection locked="true" hidden="false"/>
    </xf>
    <xf numFmtId="173" fontId="53" fillId="3" borderId="31" xfId="0" applyFont="true" applyBorder="true" applyAlignment="true" applyProtection="true">
      <alignment horizontal="left" vertical="center" textRotation="0" wrapText="true" indent="0" shrinkToFit="false"/>
      <protection locked="true" hidden="false"/>
    </xf>
    <xf numFmtId="181" fontId="58" fillId="0" borderId="5" xfId="0" applyFont="true" applyBorder="true" applyAlignment="true" applyProtection="true">
      <alignment horizontal="left" vertical="center" textRotation="0" wrapText="true" indent="0" shrinkToFit="false"/>
      <protection locked="false" hidden="false"/>
    </xf>
    <xf numFmtId="173" fontId="29" fillId="3" borderId="7" xfId="0" applyFont="true" applyBorder="true" applyAlignment="true" applyProtection="true">
      <alignment horizontal="left" vertical="center" textRotation="0" wrapText="false" indent="0" shrinkToFit="false"/>
      <protection locked="true" hidden="false"/>
    </xf>
    <xf numFmtId="173" fontId="53" fillId="2" borderId="31" xfId="0" applyFont="true" applyBorder="true" applyAlignment="true" applyProtection="true">
      <alignment horizontal="left" vertical="center" textRotation="0" wrapText="true" indent="0" shrinkToFit="false"/>
      <protection locked="false" hidden="false"/>
    </xf>
    <xf numFmtId="164" fontId="76" fillId="5" borderId="0" xfId="0" applyFont="true" applyBorder="false" applyAlignment="false" applyProtection="true">
      <alignment horizontal="general" vertical="center" textRotation="0" wrapText="false" indent="0" shrinkToFit="false"/>
      <protection locked="true" hidden="false"/>
    </xf>
    <xf numFmtId="173" fontId="29" fillId="3" borderId="5" xfId="0" applyFont="true" applyBorder="true" applyAlignment="true" applyProtection="true">
      <alignment horizontal="left" vertical="center" textRotation="0" wrapText="true" indent="0" shrinkToFit="false"/>
      <protection locked="true" hidden="false"/>
    </xf>
    <xf numFmtId="173" fontId="29" fillId="3" borderId="7" xfId="0" applyFont="true" applyBorder="true" applyAlignment="true" applyProtection="true">
      <alignment horizontal="left" vertical="center" textRotation="0" wrapText="true" indent="0" shrinkToFit="false"/>
      <protection locked="true" hidden="false"/>
    </xf>
    <xf numFmtId="164" fontId="0" fillId="0" borderId="22" xfId="0" applyFont="true" applyBorder="true" applyAlignment="false" applyProtection="true">
      <alignment horizontal="general" vertical="center" textRotation="0" wrapText="false" indent="0" shrinkToFit="false"/>
      <protection locked="false" hidden="false"/>
    </xf>
    <xf numFmtId="173" fontId="60" fillId="2" borderId="7" xfId="0" applyFont="true" applyBorder="true" applyAlignment="true" applyProtection="true">
      <alignment horizontal="left" vertical="center" textRotation="0" wrapText="true" indent="0" shrinkToFit="false"/>
      <protection locked="false" hidden="false"/>
    </xf>
    <xf numFmtId="173" fontId="68" fillId="3" borderId="23" xfId="0" applyFont="true" applyBorder="true" applyAlignment="true" applyProtection="true">
      <alignment horizontal="left" vertical="center" textRotation="0" wrapText="true" indent="0" shrinkToFit="false"/>
      <protection locked="true" hidden="false"/>
    </xf>
    <xf numFmtId="164" fontId="29" fillId="3" borderId="84" xfId="25" applyFont="true" applyBorder="true" applyAlignment="true" applyProtection="true">
      <alignment horizontal="left" vertical="center" textRotation="0" wrapText="true" indent="0" shrinkToFit="false"/>
      <protection locked="true" hidden="false"/>
    </xf>
    <xf numFmtId="164" fontId="72" fillId="3" borderId="46" xfId="0" applyFont="true" applyBorder="true" applyAlignment="true" applyProtection="true">
      <alignment horizontal="center" vertical="center" textRotation="0" wrapText="false" indent="0" shrinkToFit="false"/>
      <protection locked="true" hidden="false"/>
    </xf>
    <xf numFmtId="164" fontId="31" fillId="3" borderId="98" xfId="0" applyFont="true" applyBorder="true" applyAlignment="false" applyProtection="true">
      <alignment horizontal="general" vertical="center" textRotation="0" wrapText="false" indent="0" shrinkToFit="false"/>
      <protection locked="true" hidden="false"/>
    </xf>
    <xf numFmtId="167" fontId="27" fillId="3" borderId="5" xfId="0" applyFont="true" applyBorder="true" applyAlignment="true" applyProtection="true">
      <alignment horizontal="left" vertical="center" textRotation="0" wrapText="true" indent="0" shrinkToFit="false"/>
      <protection locked="true" hidden="false"/>
    </xf>
    <xf numFmtId="167" fontId="27" fillId="3" borderId="23" xfId="0" applyFont="true" applyBorder="true" applyAlignment="true" applyProtection="true">
      <alignment horizontal="left" vertical="center" textRotation="0" wrapText="true" indent="0" shrinkToFit="false"/>
      <protection locked="true" hidden="false"/>
    </xf>
    <xf numFmtId="164" fontId="28" fillId="3" borderId="8" xfId="0" applyFont="true" applyBorder="true" applyAlignment="true" applyProtection="true">
      <alignment horizontal="left" vertical="center" textRotation="0" wrapText="false" indent="0" shrinkToFit="false"/>
      <protection locked="true" hidden="false"/>
    </xf>
    <xf numFmtId="164" fontId="7" fillId="3" borderId="5" xfId="0" applyFont="true" applyBorder="true" applyAlignment="true" applyProtection="true">
      <alignment horizontal="general" vertical="center" textRotation="0" wrapText="true" indent="0" shrinkToFit="false"/>
      <protection locked="true" hidden="false"/>
    </xf>
    <xf numFmtId="167" fontId="28" fillId="3" borderId="23" xfId="0" applyFont="true" applyBorder="true" applyAlignment="true" applyProtection="true">
      <alignment horizontal="left" vertical="center" textRotation="0" wrapText="false" indent="0" shrinkToFit="false"/>
      <protection locked="true" hidden="false"/>
    </xf>
    <xf numFmtId="164" fontId="7" fillId="3" borderId="22" xfId="0" applyFont="true" applyBorder="true" applyAlignment="true" applyProtection="true">
      <alignment horizontal="left" vertical="center" textRotation="0" wrapText="false" indent="0" shrinkToFit="false"/>
      <protection locked="true" hidden="false"/>
    </xf>
    <xf numFmtId="164" fontId="7" fillId="3" borderId="5" xfId="0" applyFont="true" applyBorder="true" applyAlignment="true" applyProtection="true">
      <alignment horizontal="left" vertical="center" textRotation="0" wrapText="true" indent="0" shrinkToFit="false"/>
      <protection locked="true" hidden="false"/>
    </xf>
    <xf numFmtId="167" fontId="27" fillId="3" borderId="11" xfId="0" applyFont="true" applyBorder="true" applyAlignment="true" applyProtection="true">
      <alignment horizontal="left" vertical="center" textRotation="0" wrapText="true" indent="0" shrinkToFit="false"/>
      <protection locked="true" hidden="false"/>
    </xf>
    <xf numFmtId="167" fontId="27" fillId="3" borderId="63" xfId="0" applyFont="true" applyBorder="true" applyAlignment="true" applyProtection="true">
      <alignment horizontal="left" vertical="center" textRotation="0" wrapText="true" indent="0" shrinkToFit="false"/>
      <protection locked="true" hidden="false"/>
    </xf>
    <xf numFmtId="164" fontId="28" fillId="2" borderId="22" xfId="0" applyFont="true" applyBorder="true" applyAlignment="true" applyProtection="true">
      <alignment horizontal="left" vertical="center" textRotation="0" wrapText="true" indent="0" shrinkToFit="false"/>
      <protection locked="false" hidden="false"/>
    </xf>
    <xf numFmtId="164" fontId="7" fillId="3" borderId="24" xfId="0" applyFont="true" applyBorder="true" applyAlignment="true" applyProtection="true">
      <alignment horizontal="left" vertical="center" textRotation="0" wrapText="false" indent="0" shrinkToFit="false"/>
      <protection locked="true" hidden="false"/>
    </xf>
    <xf numFmtId="164" fontId="7" fillId="3" borderId="7" xfId="0" applyFont="true" applyBorder="true" applyAlignment="true" applyProtection="true">
      <alignment horizontal="left" vertical="center" textRotation="0" wrapText="true" indent="0" shrinkToFit="false"/>
      <protection locked="true" hidden="false"/>
    </xf>
    <xf numFmtId="164" fontId="31" fillId="3" borderId="31" xfId="0" applyFont="true" applyBorder="true" applyAlignment="true" applyProtection="true">
      <alignment horizontal="left" vertical="center" textRotation="0" wrapText="true" indent="0" shrinkToFit="false"/>
      <protection locked="true" hidden="false"/>
    </xf>
    <xf numFmtId="167" fontId="38" fillId="10" borderId="23" xfId="0" applyFont="true" applyBorder="true" applyAlignment="true" applyProtection="true">
      <alignment horizontal="left" vertical="center" textRotation="0" wrapText="false" indent="0" shrinkToFit="false"/>
      <protection locked="true" hidden="false"/>
    </xf>
    <xf numFmtId="164" fontId="7" fillId="3" borderId="76" xfId="0" applyFont="true" applyBorder="true" applyAlignment="true" applyProtection="true">
      <alignment horizontal="left" vertical="center" textRotation="0" wrapText="true" indent="0" shrinkToFit="false"/>
      <protection locked="true" hidden="false"/>
    </xf>
    <xf numFmtId="164" fontId="31" fillId="3" borderId="84" xfId="0" applyFont="true" applyBorder="true" applyAlignment="true" applyProtection="true">
      <alignment horizontal="left" vertical="center" textRotation="0" wrapText="true" indent="0" shrinkToFit="false"/>
      <protection locked="true" hidden="false"/>
    </xf>
    <xf numFmtId="167" fontId="38" fillId="3" borderId="23" xfId="0" applyFont="true" applyBorder="true" applyAlignment="true" applyProtection="true">
      <alignment horizontal="left" vertical="center" textRotation="0" wrapText="false" indent="0" shrinkToFit="false"/>
      <protection locked="true" hidden="false"/>
    </xf>
    <xf numFmtId="164" fontId="29" fillId="3" borderId="0" xfId="0" applyFont="true" applyBorder="false" applyAlignment="false" applyProtection="true">
      <alignment horizontal="general" vertical="center" textRotation="0" wrapText="false" indent="0" shrinkToFit="false"/>
      <protection locked="true" hidden="false"/>
    </xf>
    <xf numFmtId="164" fontId="4" fillId="3" borderId="22" xfId="0" applyFont="true" applyBorder="true" applyAlignment="true" applyProtection="true">
      <alignment horizontal="left" vertical="center" textRotation="0" wrapText="false" indent="0" shrinkToFit="false"/>
      <protection locked="true" hidden="false"/>
    </xf>
    <xf numFmtId="167" fontId="28" fillId="3" borderId="22" xfId="0" applyFont="true" applyBorder="true" applyAlignment="true" applyProtection="true">
      <alignment horizontal="left" vertical="center" textRotation="0" wrapText="false" indent="0" shrinkToFit="false"/>
      <protection locked="true" hidden="false"/>
    </xf>
    <xf numFmtId="167" fontId="87" fillId="3" borderId="23" xfId="0" applyFont="true" applyBorder="true" applyAlignment="true" applyProtection="true">
      <alignment horizontal="left" vertical="center" textRotation="0" wrapText="false" indent="0" shrinkToFit="false"/>
      <protection locked="true" hidden="false"/>
    </xf>
    <xf numFmtId="167" fontId="28" fillId="3" borderId="24" xfId="0" applyFont="true" applyBorder="true" applyAlignment="true" applyProtection="true">
      <alignment horizontal="left" vertical="center" textRotation="0" wrapText="true" indent="0" shrinkToFit="false"/>
      <protection locked="true" hidden="false"/>
    </xf>
    <xf numFmtId="164" fontId="7" fillId="3" borderId="25" xfId="0" applyFont="true" applyBorder="true" applyAlignment="true" applyProtection="true">
      <alignment horizontal="general" vertical="center" textRotation="0" wrapText="true" indent="0" shrinkToFit="false"/>
      <protection locked="true" hidden="false"/>
    </xf>
    <xf numFmtId="167" fontId="38" fillId="3" borderId="71" xfId="0" applyFont="true" applyBorder="true" applyAlignment="true" applyProtection="true">
      <alignment horizontal="left" vertical="center" textRotation="0" wrapText="false" indent="0" shrinkToFit="false"/>
      <protection locked="true" hidden="false"/>
    </xf>
    <xf numFmtId="164" fontId="29" fillId="3" borderId="18" xfId="0" applyFont="true" applyBorder="true" applyAlignment="true" applyProtection="true">
      <alignment horizontal="left" vertical="center" textRotation="0" wrapText="true" indent="0" shrinkToFit="false"/>
      <protection locked="true" hidden="false"/>
    </xf>
    <xf numFmtId="164" fontId="38" fillId="2" borderId="5" xfId="0" applyFont="true" applyBorder="true" applyAlignment="true" applyProtection="true">
      <alignment horizontal="left" vertical="center" textRotation="0" wrapText="true" indent="0" shrinkToFit="false"/>
      <protection locked="false" hidden="false"/>
    </xf>
    <xf numFmtId="164" fontId="4" fillId="2" borderId="5" xfId="0" applyFont="true" applyBorder="true" applyAlignment="true" applyProtection="true">
      <alignment horizontal="left" vertical="center" textRotation="0" wrapText="true" indent="0" shrinkToFit="false"/>
      <protection locked="false" hidden="false"/>
    </xf>
    <xf numFmtId="167" fontId="38" fillId="3" borderId="5" xfId="0" applyFont="true" applyBorder="true" applyAlignment="true" applyProtection="true">
      <alignment horizontal="left" vertical="center" textRotation="0" wrapText="true" indent="0" shrinkToFit="false"/>
      <protection locked="false" hidden="false"/>
    </xf>
    <xf numFmtId="167" fontId="28" fillId="3" borderId="5" xfId="0" applyFont="true" applyBorder="true" applyAlignment="true" applyProtection="true">
      <alignment horizontal="left" vertical="center" textRotation="0" wrapText="true" indent="0" shrinkToFit="false"/>
      <protection locked="true" hidden="false"/>
    </xf>
    <xf numFmtId="167" fontId="38" fillId="3" borderId="5" xfId="0" applyFont="true" applyBorder="true" applyAlignment="true" applyProtection="true">
      <alignment horizontal="left" vertical="center" textRotation="0" wrapText="true" indent="0" shrinkToFit="false"/>
      <protection locked="true" hidden="false"/>
    </xf>
    <xf numFmtId="164" fontId="29" fillId="3" borderId="60" xfId="0" applyFont="true" applyBorder="true" applyAlignment="true" applyProtection="true">
      <alignment horizontal="left" vertical="center" textRotation="0" wrapText="false" indent="0" shrinkToFit="false"/>
      <protection locked="true" hidden="false"/>
    </xf>
    <xf numFmtId="164" fontId="45" fillId="0" borderId="38" xfId="0" applyFont="true" applyBorder="true" applyAlignment="true" applyProtection="true">
      <alignment horizontal="left" vertical="center" textRotation="0" wrapText="false" indent="0" shrinkToFit="false"/>
      <protection locked="true" hidden="false"/>
    </xf>
    <xf numFmtId="164" fontId="53" fillId="0" borderId="60" xfId="0" applyFont="true" applyBorder="true" applyAlignment="true" applyProtection="true">
      <alignment horizontal="left" vertical="center" textRotation="0" wrapText="true" indent="0" shrinkToFit="false"/>
      <protection locked="true" hidden="false"/>
    </xf>
    <xf numFmtId="164" fontId="47" fillId="2" borderId="60" xfId="0" applyFont="true" applyBorder="true" applyAlignment="true" applyProtection="true">
      <alignment horizontal="left" vertical="center" textRotation="0" wrapText="true" indent="0" shrinkToFit="false"/>
      <protection locked="false" hidden="false"/>
    </xf>
    <xf numFmtId="164" fontId="53" fillId="5" borderId="60" xfId="0" applyFont="true" applyBorder="true" applyAlignment="true" applyProtection="true">
      <alignment horizontal="center" vertical="center" textRotation="0" wrapText="true" indent="0" shrinkToFit="false"/>
      <protection locked="true" hidden="false"/>
    </xf>
    <xf numFmtId="164" fontId="53" fillId="5" borderId="60" xfId="0" applyFont="true" applyBorder="true" applyAlignment="true" applyProtection="true">
      <alignment horizontal="center" vertical="center" textRotation="0" wrapText="false" indent="0" shrinkToFit="false"/>
      <protection locked="true" hidden="false"/>
    </xf>
    <xf numFmtId="164" fontId="53" fillId="5" borderId="39" xfId="0" applyFont="true" applyBorder="true" applyAlignment="false" applyProtection="true">
      <alignment horizontal="general" vertical="center" textRotation="0" wrapText="false" indent="0" shrinkToFit="false"/>
      <protection locked="true" hidden="false"/>
    </xf>
    <xf numFmtId="164" fontId="30" fillId="5" borderId="32" xfId="0" applyFont="true" applyBorder="true" applyAlignment="true" applyProtection="true">
      <alignment horizontal="left" vertical="center" textRotation="0" wrapText="true" indent="0" shrinkToFit="false"/>
      <protection locked="false" hidden="false"/>
    </xf>
    <xf numFmtId="164" fontId="53" fillId="5" borderId="0" xfId="0" applyFont="true" applyBorder="true" applyAlignment="true" applyProtection="true">
      <alignment horizontal="left" vertical="center" textRotation="0" wrapText="true" indent="0" shrinkToFit="false"/>
      <protection locked="false" hidden="false"/>
    </xf>
    <xf numFmtId="164" fontId="53" fillId="5" borderId="0" xfId="0" applyFont="true" applyBorder="true" applyAlignment="true" applyProtection="true">
      <alignment horizontal="center" vertical="center" textRotation="0" wrapText="false" indent="0" shrinkToFit="false"/>
      <protection locked="false" hidden="false"/>
    </xf>
    <xf numFmtId="164" fontId="53" fillId="5" borderId="15" xfId="0" applyFont="true" applyBorder="true" applyAlignment="false" applyProtection="true">
      <alignment horizontal="general" vertical="center" textRotation="0" wrapText="false" indent="0" shrinkToFit="false"/>
      <protection locked="false" hidden="false"/>
    </xf>
    <xf numFmtId="164" fontId="53" fillId="5" borderId="35" xfId="0" applyFont="true" applyBorder="true" applyAlignment="true" applyProtection="true">
      <alignment horizontal="left" vertical="center" textRotation="0" wrapText="true" indent="0" shrinkToFit="false"/>
      <protection locked="false" hidden="false"/>
    </xf>
    <xf numFmtId="164" fontId="53" fillId="5" borderId="9" xfId="0" applyFont="true" applyBorder="true" applyAlignment="true" applyProtection="true">
      <alignment horizontal="left" vertical="center" textRotation="0" wrapText="true" indent="0" shrinkToFit="false"/>
      <protection locked="false" hidden="false"/>
    </xf>
    <xf numFmtId="164" fontId="53" fillId="5" borderId="9" xfId="0" applyFont="true" applyBorder="true" applyAlignment="true" applyProtection="true">
      <alignment horizontal="center" vertical="center" textRotation="0" wrapText="true" indent="0" shrinkToFit="false"/>
      <protection locked="false" hidden="false"/>
    </xf>
    <xf numFmtId="164" fontId="53" fillId="5" borderId="9" xfId="0" applyFont="true" applyBorder="true" applyAlignment="true" applyProtection="true">
      <alignment horizontal="center" vertical="center" textRotation="0" wrapText="false" indent="0" shrinkToFit="false"/>
      <protection locked="false" hidden="false"/>
    </xf>
    <xf numFmtId="164" fontId="53" fillId="5" borderId="37" xfId="0" applyFont="true" applyBorder="true" applyAlignment="false" applyProtection="true">
      <alignment horizontal="general" vertical="center" textRotation="0" wrapText="false" indent="0" shrinkToFit="false"/>
      <protection locked="false" hidden="false"/>
    </xf>
    <xf numFmtId="164" fontId="61" fillId="5" borderId="9" xfId="0" applyFont="true" applyBorder="true" applyAlignment="true" applyProtection="true">
      <alignment horizontal="left" vertical="center" textRotation="0" wrapText="false" indent="0" shrinkToFit="false"/>
      <protection locked="false" hidden="false"/>
    </xf>
    <xf numFmtId="164" fontId="53" fillId="5" borderId="9" xfId="0" applyFont="true" applyBorder="true" applyAlignment="false" applyProtection="true">
      <alignment horizontal="general" vertical="center" textRotation="0" wrapText="false" indent="0" shrinkToFit="false"/>
      <protection locked="false" hidden="false"/>
    </xf>
    <xf numFmtId="164" fontId="53" fillId="5" borderId="9" xfId="0" applyFont="true" applyBorder="true" applyAlignment="true" applyProtection="true">
      <alignment horizontal="right" vertical="center" textRotation="0" wrapText="false" indent="0" shrinkToFit="false"/>
      <protection locked="false" hidden="false"/>
    </xf>
    <xf numFmtId="164" fontId="61" fillId="5" borderId="0" xfId="0" applyFont="true" applyBorder="false" applyAlignment="true" applyProtection="true">
      <alignment horizontal="left" vertical="center" textRotation="0" wrapText="false" indent="0" shrinkToFit="false"/>
      <protection locked="false" hidden="false"/>
    </xf>
    <xf numFmtId="164" fontId="29" fillId="5" borderId="9" xfId="0" applyFont="true" applyBorder="true" applyAlignment="true" applyProtection="true">
      <alignment horizontal="right" vertical="center" textRotation="0" wrapText="false" indent="0" shrinkToFit="false"/>
      <protection locked="false" hidden="false"/>
    </xf>
    <xf numFmtId="182" fontId="53" fillId="5" borderId="0" xfId="0" applyFont="true" applyBorder="false" applyAlignment="true" applyProtection="true">
      <alignment horizontal="general" vertical="center" textRotation="0" wrapText="true" indent="0" shrinkToFit="false"/>
      <protection locked="false" hidden="false"/>
    </xf>
    <xf numFmtId="164" fontId="60" fillId="5" borderId="0" xfId="0" applyFont="true" applyBorder="false" applyAlignment="true" applyProtection="true">
      <alignment horizontal="general" vertical="center" textRotation="0" wrapText="true" indent="0" shrinkToFit="false"/>
      <protection locked="false" hidden="false"/>
    </xf>
    <xf numFmtId="164" fontId="53" fillId="0" borderId="0" xfId="0" applyFont="true" applyBorder="false" applyAlignment="false" applyProtection="true">
      <alignment horizontal="general" vertical="center" textRotation="0" wrapText="false" indent="0" shrinkToFit="false"/>
      <protection locked="false" hidden="false"/>
    </xf>
    <xf numFmtId="164" fontId="58" fillId="5" borderId="0" xfId="0" applyFont="true" applyBorder="false" applyAlignment="true" applyProtection="true">
      <alignment horizontal="left" vertical="center" textRotation="0" wrapText="false" indent="0" shrinkToFit="false"/>
      <protection locked="false" hidden="false"/>
    </xf>
    <xf numFmtId="164" fontId="58" fillId="5" borderId="0" xfId="0" applyFont="true" applyBorder="false" applyAlignment="true" applyProtection="true">
      <alignment horizontal="general" vertical="center" textRotation="0" wrapText="false" indent="0" shrinkToFit="false"/>
      <protection locked="false" hidden="false"/>
    </xf>
    <xf numFmtId="164" fontId="58" fillId="5" borderId="0" xfId="0" applyFont="true" applyBorder="false" applyAlignment="true" applyProtection="true">
      <alignment horizontal="center" vertical="center" textRotation="0" wrapText="false" indent="0" shrinkToFit="false"/>
      <protection locked="false" hidden="false"/>
    </xf>
    <xf numFmtId="164" fontId="49" fillId="3" borderId="47" xfId="22" applyFont="true" applyBorder="true" applyAlignment="true" applyProtection="true">
      <alignment horizontal="general" vertical="center" textRotation="0" wrapText="false" indent="0" shrinkToFit="false"/>
      <protection locked="true" hidden="false"/>
    </xf>
    <xf numFmtId="174" fontId="100" fillId="2" borderId="48" xfId="0" applyFont="true" applyBorder="true" applyAlignment="true" applyProtection="true">
      <alignment horizontal="right" vertical="bottom" textRotation="0" wrapText="false" indent="0" shrinkToFit="false"/>
      <protection locked="false" hidden="false"/>
    </xf>
    <xf numFmtId="164" fontId="101" fillId="3" borderId="18" xfId="22" applyFont="true" applyBorder="true" applyAlignment="true" applyProtection="true">
      <alignment horizontal="general" vertical="center" textRotation="0" wrapText="false" indent="0" shrinkToFit="false"/>
      <protection locked="true" hidden="false"/>
    </xf>
    <xf numFmtId="174" fontId="102" fillId="3" borderId="0" xfId="22" applyFont="true" applyBorder="true" applyAlignment="true" applyProtection="true">
      <alignment horizontal="right" vertical="center" textRotation="0" wrapText="false" indent="0" shrinkToFit="false"/>
      <protection locked="true" hidden="false"/>
    </xf>
    <xf numFmtId="164" fontId="103" fillId="5" borderId="0" xfId="0" applyFont="true" applyBorder="false" applyAlignment="true" applyProtection="true">
      <alignment horizontal="general" vertical="center" textRotation="0" wrapText="false" indent="0" shrinkToFit="false"/>
      <protection locked="false" hidden="false"/>
    </xf>
    <xf numFmtId="164" fontId="101" fillId="3" borderId="5" xfId="22" applyFont="true" applyBorder="true" applyAlignment="true" applyProtection="true">
      <alignment horizontal="general" vertical="center" textRotation="0" wrapText="false" indent="0" shrinkToFit="false"/>
      <protection locked="true" hidden="false"/>
    </xf>
    <xf numFmtId="175" fontId="102" fillId="3" borderId="5" xfId="22" applyFont="true" applyBorder="true" applyAlignment="true" applyProtection="true">
      <alignment horizontal="right" vertical="center" textRotation="0" wrapText="false" indent="0" shrinkToFit="false"/>
      <protection locked="true" hidden="false"/>
    </xf>
    <xf numFmtId="164" fontId="101" fillId="3" borderId="0" xfId="22" applyFont="true" applyBorder="true" applyAlignment="true" applyProtection="true">
      <alignment horizontal="general" vertical="center" textRotation="0" wrapText="false" indent="0" shrinkToFit="false"/>
      <protection locked="true" hidden="false"/>
    </xf>
    <xf numFmtId="164" fontId="95" fillId="2" borderId="7" xfId="22" applyFont="true" applyBorder="true" applyAlignment="true" applyProtection="true">
      <alignment horizontal="general" vertical="center" textRotation="0" wrapText="false" indent="0" shrinkToFit="false"/>
      <protection locked="false" hidden="false"/>
    </xf>
    <xf numFmtId="167" fontId="102" fillId="3" borderId="7" xfId="22" applyFont="true" applyBorder="true" applyAlignment="true" applyProtection="true">
      <alignment horizontal="right" vertical="center" textRotation="0" wrapText="false" indent="0" shrinkToFit="false"/>
      <protection locked="true" hidden="false"/>
    </xf>
    <xf numFmtId="164" fontId="101" fillId="3" borderId="8" xfId="22" applyFont="true" applyBorder="true" applyAlignment="true" applyProtection="true">
      <alignment horizontal="general" vertical="center" textRotation="0" wrapText="false" indent="0" shrinkToFit="false"/>
      <protection locked="true" hidden="false"/>
    </xf>
    <xf numFmtId="164" fontId="101" fillId="2" borderId="5" xfId="22" applyFont="true" applyBorder="true" applyAlignment="true" applyProtection="true">
      <alignment horizontal="general" vertical="center" textRotation="0" wrapText="false" indent="0" shrinkToFit="false"/>
      <protection locked="false" hidden="false"/>
    </xf>
    <xf numFmtId="164" fontId="101" fillId="3" borderId="11" xfId="22" applyFont="true" applyBorder="true" applyAlignment="true" applyProtection="true">
      <alignment horizontal="general" vertical="center" textRotation="0" wrapText="false" indent="0" shrinkToFit="false"/>
      <protection locked="true" hidden="false"/>
    </xf>
    <xf numFmtId="167" fontId="102" fillId="3" borderId="11" xfId="22" applyFont="true" applyBorder="true" applyAlignment="true" applyProtection="true">
      <alignment horizontal="right" vertical="center" textRotation="0" wrapText="false" indent="0" shrinkToFit="false"/>
      <protection locked="true" hidden="false"/>
    </xf>
    <xf numFmtId="174" fontId="102" fillId="3" borderId="47" xfId="22" applyFont="true" applyBorder="true" applyAlignment="true" applyProtection="true">
      <alignment horizontal="general" vertical="bottom" textRotation="0" wrapText="false" indent="0" shrinkToFit="false"/>
      <protection locked="true" hidden="false"/>
    </xf>
    <xf numFmtId="174" fontId="101" fillId="3" borderId="64" xfId="22" applyFont="true" applyBorder="true" applyAlignment="true" applyProtection="true">
      <alignment horizontal="general" vertical="bottom" textRotation="0" wrapText="false" indent="0" shrinkToFit="false"/>
      <protection locked="true" hidden="false"/>
    </xf>
    <xf numFmtId="174" fontId="101" fillId="3" borderId="50" xfId="22" applyFont="true" applyBorder="true" applyAlignment="true" applyProtection="true">
      <alignment horizontal="general" vertical="bottom" textRotation="0" wrapText="false" indent="0" shrinkToFit="false"/>
      <protection locked="true" hidden="false"/>
    </xf>
    <xf numFmtId="164" fontId="104" fillId="5" borderId="0" xfId="0" applyFont="true" applyBorder="false" applyAlignment="true" applyProtection="true">
      <alignment horizontal="general" vertical="center" textRotation="0" wrapText="false" indent="0" shrinkToFit="false"/>
      <protection locked="false" hidden="false"/>
    </xf>
    <xf numFmtId="174" fontId="95" fillId="3" borderId="22" xfId="22" applyFont="true" applyBorder="true" applyAlignment="true" applyProtection="true">
      <alignment horizontal="left" vertical="bottom" textRotation="0" wrapText="false" indent="0" shrinkToFit="false"/>
      <protection locked="true" hidden="false"/>
    </xf>
    <xf numFmtId="164" fontId="95" fillId="3" borderId="7" xfId="22" applyFont="true" applyBorder="true" applyAlignment="true" applyProtection="true">
      <alignment horizontal="general" vertical="bottom" textRotation="0" wrapText="false" indent="0" shrinkToFit="false"/>
      <protection locked="true" hidden="false"/>
    </xf>
    <xf numFmtId="175" fontId="97" fillId="3" borderId="5" xfId="22" applyFont="true" applyBorder="true" applyAlignment="true" applyProtection="true">
      <alignment horizontal="center" vertical="bottom" textRotation="0" wrapText="false" indent="0" shrinkToFit="false"/>
      <protection locked="true" hidden="false"/>
    </xf>
    <xf numFmtId="175" fontId="95" fillId="3" borderId="5" xfId="22" applyFont="true" applyBorder="true" applyAlignment="true" applyProtection="true">
      <alignment horizontal="center" vertical="bottom" textRotation="0" wrapText="false" indent="0" shrinkToFit="false"/>
      <protection locked="true" hidden="false"/>
    </xf>
    <xf numFmtId="164" fontId="95" fillId="3" borderId="5" xfId="22" applyFont="true" applyBorder="true" applyAlignment="true" applyProtection="true">
      <alignment horizontal="center" vertical="bottom" textRotation="0" wrapText="false" indent="0" shrinkToFit="false"/>
      <protection locked="true" hidden="false"/>
    </xf>
    <xf numFmtId="164" fontId="95" fillId="3" borderId="23" xfId="22" applyFont="true" applyBorder="true" applyAlignment="true" applyProtection="true">
      <alignment horizontal="left" vertical="bottom" textRotation="0" wrapText="false" indent="0" shrinkToFit="false"/>
      <protection locked="true" hidden="false"/>
    </xf>
    <xf numFmtId="164" fontId="96" fillId="5" borderId="0" xfId="0" applyFont="true" applyBorder="false" applyAlignment="true" applyProtection="true">
      <alignment horizontal="general" vertical="center" textRotation="0" wrapText="false" indent="0" shrinkToFit="false"/>
      <protection locked="false" hidden="false"/>
    </xf>
    <xf numFmtId="174" fontId="77" fillId="3" borderId="22" xfId="22" applyFont="true" applyBorder="true" applyAlignment="true" applyProtection="true">
      <alignment horizontal="center" vertical="bottom" textRotation="0" wrapText="false" indent="0" shrinkToFit="false"/>
      <protection locked="true" hidden="false"/>
    </xf>
    <xf numFmtId="164" fontId="71" fillId="3" borderId="7" xfId="22" applyFont="true" applyBorder="true" applyAlignment="true" applyProtection="true">
      <alignment horizontal="general" vertical="bottom" textRotation="0" wrapText="false" indent="0" shrinkToFit="false"/>
      <protection locked="true" hidden="false"/>
    </xf>
    <xf numFmtId="175" fontId="71" fillId="0" borderId="5" xfId="22" applyFont="true" applyBorder="true" applyAlignment="true" applyProtection="true">
      <alignment horizontal="center" vertical="bottom" textRotation="0" wrapText="false" indent="0" shrinkToFit="false"/>
      <protection locked="false" hidden="false"/>
    </xf>
    <xf numFmtId="176" fontId="71" fillId="3" borderId="5" xfId="22" applyFont="true" applyBorder="true" applyAlignment="true" applyProtection="true">
      <alignment horizontal="center" vertical="bottom" textRotation="0" wrapText="false" indent="0" shrinkToFit="false"/>
      <protection locked="true" hidden="false"/>
    </xf>
    <xf numFmtId="164" fontId="71" fillId="3" borderId="5" xfId="22" applyFont="true" applyBorder="true" applyAlignment="true" applyProtection="true">
      <alignment horizontal="center" vertical="bottom" textRotation="0" wrapText="false" indent="0" shrinkToFit="false"/>
      <protection locked="true" hidden="false"/>
    </xf>
    <xf numFmtId="164" fontId="71" fillId="3" borderId="23" xfId="22" applyFont="true" applyBorder="true" applyAlignment="true" applyProtection="true">
      <alignment horizontal="left" vertical="bottom" textRotation="0" wrapText="false" indent="0" shrinkToFit="false"/>
      <protection locked="true" hidden="false"/>
    </xf>
    <xf numFmtId="175" fontId="77" fillId="3" borderId="5" xfId="22" applyFont="true" applyBorder="true" applyAlignment="true" applyProtection="true">
      <alignment horizontal="center" vertical="bottom" textRotation="0" wrapText="false" indent="0" shrinkToFit="false"/>
      <protection locked="true" hidden="false"/>
    </xf>
    <xf numFmtId="173" fontId="77" fillId="3" borderId="5" xfId="22" applyFont="true" applyBorder="true" applyAlignment="true" applyProtection="true">
      <alignment horizontal="center" vertical="bottom" textRotation="0" wrapText="false" indent="0" shrinkToFit="false"/>
      <protection locked="true" hidden="false"/>
    </xf>
    <xf numFmtId="175" fontId="71" fillId="3" borderId="5" xfId="22" applyFont="true" applyBorder="true" applyAlignment="true" applyProtection="true">
      <alignment horizontal="general" vertical="bottom" textRotation="0" wrapText="false" indent="0" shrinkToFit="false"/>
      <protection locked="true" hidden="false"/>
    </xf>
    <xf numFmtId="164" fontId="95" fillId="2" borderId="23" xfId="22" applyFont="true" applyBorder="true" applyAlignment="true" applyProtection="true">
      <alignment horizontal="left" vertical="center" textRotation="0" wrapText="false" indent="0" shrinkToFit="false"/>
      <protection locked="false" hidden="false"/>
    </xf>
    <xf numFmtId="164" fontId="96" fillId="0" borderId="0" xfId="0" applyFont="true" applyBorder="false" applyAlignment="true" applyProtection="true">
      <alignment horizontal="general" vertical="center" textRotation="0" wrapText="false" indent="0" shrinkToFit="false"/>
      <protection locked="false" hidden="false"/>
    </xf>
    <xf numFmtId="164" fontId="105" fillId="3" borderId="22" xfId="22" applyFont="true" applyBorder="true" applyAlignment="true" applyProtection="true">
      <alignment horizontal="right" vertical="bottom" textRotation="0" wrapText="false" indent="0" shrinkToFit="false"/>
      <protection locked="true" hidden="false"/>
    </xf>
    <xf numFmtId="164" fontId="106" fillId="3" borderId="7" xfId="22" applyFont="true" applyBorder="true" applyAlignment="true" applyProtection="true">
      <alignment horizontal="general" vertical="bottom" textRotation="0" wrapText="false" indent="0" shrinkToFit="false"/>
      <protection locked="true" hidden="false"/>
    </xf>
    <xf numFmtId="175" fontId="105" fillId="3" borderId="5" xfId="22" applyFont="true" applyBorder="true" applyAlignment="true" applyProtection="true">
      <alignment horizontal="center" vertical="bottom" textRotation="0" wrapText="false" indent="0" shrinkToFit="false"/>
      <protection locked="true" hidden="false"/>
    </xf>
    <xf numFmtId="167" fontId="105" fillId="3" borderId="5" xfId="22" applyFont="true" applyBorder="true" applyAlignment="true" applyProtection="true">
      <alignment horizontal="general" vertical="bottom" textRotation="0" wrapText="false" indent="0" shrinkToFit="false"/>
      <protection locked="true" hidden="false"/>
    </xf>
    <xf numFmtId="164" fontId="59" fillId="2" borderId="23" xfId="22" applyFont="true" applyBorder="true" applyAlignment="true" applyProtection="true">
      <alignment horizontal="right" vertical="center" textRotation="0" wrapText="false" indent="0" shrinkToFit="false"/>
      <protection locked="false" hidden="false"/>
    </xf>
    <xf numFmtId="164" fontId="83" fillId="5" borderId="8" xfId="0" applyFont="true" applyBorder="true" applyAlignment="true" applyProtection="true">
      <alignment horizontal="general" vertical="center" textRotation="0" wrapText="false" indent="0" shrinkToFit="false"/>
      <protection locked="false" hidden="false"/>
    </xf>
    <xf numFmtId="164" fontId="59" fillId="5" borderId="0" xfId="0" applyFont="true" applyBorder="false" applyAlignment="true" applyProtection="true">
      <alignment horizontal="general" vertical="center" textRotation="0" wrapText="false" indent="0" shrinkToFit="false"/>
      <protection locked="false" hidden="false"/>
    </xf>
    <xf numFmtId="164" fontId="71" fillId="3" borderId="23" xfId="22" applyFont="true" applyBorder="true" applyAlignment="true" applyProtection="true">
      <alignment horizontal="general" vertical="center" textRotation="0" wrapText="true" indent="0" shrinkToFit="false"/>
      <protection locked="true" hidden="false"/>
    </xf>
    <xf numFmtId="164" fontId="77" fillId="3" borderId="22" xfId="22" applyFont="true" applyBorder="true" applyAlignment="true" applyProtection="true">
      <alignment horizontal="left" vertical="bottom" textRotation="0" wrapText="false" indent="0" shrinkToFit="false"/>
      <protection locked="true" hidden="false"/>
    </xf>
    <xf numFmtId="164" fontId="71" fillId="3" borderId="5" xfId="22" applyFont="true" applyBorder="true" applyAlignment="true" applyProtection="true">
      <alignment horizontal="center" vertical="bottom" textRotation="0" wrapText="false" indent="0" shrinkToFit="false"/>
      <protection locked="true" hidden="false"/>
    </xf>
    <xf numFmtId="164" fontId="71" fillId="3" borderId="0" xfId="22" applyFont="true" applyBorder="true" applyAlignment="true" applyProtection="true">
      <alignment horizontal="center" vertical="bottom" textRotation="0" wrapText="false" indent="0" shrinkToFit="false"/>
      <protection locked="true" hidden="false"/>
    </xf>
    <xf numFmtId="164" fontId="58" fillId="3" borderId="5" xfId="0" applyFont="true" applyBorder="true" applyAlignment="false" applyProtection="true">
      <alignment horizontal="general" vertical="center" textRotation="0" wrapText="false" indent="0" shrinkToFit="false"/>
      <protection locked="true" hidden="false"/>
    </xf>
    <xf numFmtId="164" fontId="58" fillId="3" borderId="5" xfId="0" applyFont="true" applyBorder="true" applyAlignment="false" applyProtection="true">
      <alignment horizontal="general" vertical="center" textRotation="0" wrapText="false" indent="0" shrinkToFit="false"/>
      <protection locked="true" hidden="false"/>
    </xf>
    <xf numFmtId="167" fontId="97" fillId="3" borderId="5" xfId="22" applyFont="true" applyBorder="true" applyAlignment="true" applyProtection="true">
      <alignment horizontal="center" vertical="bottom" textRotation="0" wrapText="false" indent="0" shrinkToFit="false"/>
      <protection locked="true" hidden="false"/>
    </xf>
    <xf numFmtId="166" fontId="95" fillId="3" borderId="7" xfId="22" applyFont="true" applyBorder="true" applyAlignment="true" applyProtection="true">
      <alignment horizontal="center" vertical="bottom" textRotation="0" wrapText="false" indent="0" shrinkToFit="false"/>
      <protection locked="true" hidden="false"/>
    </xf>
    <xf numFmtId="167" fontId="97" fillId="3" borderId="5" xfId="0" applyFont="true" applyBorder="true" applyAlignment="true" applyProtection="true">
      <alignment horizontal="center" vertical="center" textRotation="0" wrapText="false" indent="0" shrinkToFit="false"/>
      <protection locked="true" hidden="false"/>
    </xf>
    <xf numFmtId="173" fontId="97" fillId="3" borderId="7" xfId="22" applyFont="true" applyBorder="true" applyAlignment="true" applyProtection="true">
      <alignment horizontal="center" vertical="bottom" textRotation="0" wrapText="false" indent="0" shrinkToFit="false"/>
      <protection locked="true" hidden="false"/>
    </xf>
    <xf numFmtId="164" fontId="95" fillId="3" borderId="23" xfId="0" applyFont="true" applyBorder="true" applyAlignment="true" applyProtection="true">
      <alignment horizontal="general" vertical="center" textRotation="0" wrapText="false" indent="0" shrinkToFit="false"/>
      <protection locked="true" hidden="false"/>
    </xf>
    <xf numFmtId="167" fontId="97" fillId="3" borderId="5" xfId="0" applyFont="true" applyBorder="true" applyAlignment="true" applyProtection="true">
      <alignment horizontal="right" vertical="center" textRotation="0" wrapText="false" indent="0" shrinkToFit="false"/>
      <protection locked="true" hidden="false"/>
    </xf>
    <xf numFmtId="164" fontId="97" fillId="3" borderId="5" xfId="0" applyFont="true" applyBorder="true" applyAlignment="true" applyProtection="true">
      <alignment horizontal="left" vertical="center" textRotation="0" wrapText="false" indent="0" shrinkToFit="false"/>
      <protection locked="true" hidden="false"/>
    </xf>
    <xf numFmtId="180" fontId="97" fillId="3" borderId="5" xfId="0" applyFont="true" applyBorder="true" applyAlignment="true" applyProtection="true">
      <alignment horizontal="center" vertical="center" textRotation="0" wrapText="false" indent="0" shrinkToFit="false"/>
      <protection locked="true" hidden="false"/>
    </xf>
    <xf numFmtId="173" fontId="97" fillId="3" borderId="7" xfId="22" applyFont="true" applyBorder="true" applyAlignment="true" applyProtection="true">
      <alignment horizontal="center" vertical="center" textRotation="0" wrapText="false" indent="0" shrinkToFit="false"/>
      <protection locked="true" hidden="false"/>
    </xf>
    <xf numFmtId="164" fontId="77" fillId="3" borderId="22" xfId="0" applyFont="true" applyBorder="true" applyAlignment="true" applyProtection="true">
      <alignment horizontal="center" vertical="center" textRotation="0" wrapText="false" indent="0" shrinkToFit="false"/>
      <protection locked="true" hidden="false"/>
    </xf>
    <xf numFmtId="180" fontId="77" fillId="3" borderId="5" xfId="0" applyFont="true" applyBorder="true" applyAlignment="true" applyProtection="true">
      <alignment horizontal="center" vertical="center" textRotation="0" wrapText="false" indent="0" shrinkToFit="false"/>
      <protection locked="true" hidden="false"/>
    </xf>
    <xf numFmtId="164" fontId="58" fillId="3" borderId="5" xfId="0" applyFont="true" applyBorder="true" applyAlignment="true" applyProtection="true">
      <alignment horizontal="center" vertical="center" textRotation="0" wrapText="false" indent="0" shrinkToFit="false"/>
      <protection locked="true" hidden="false"/>
    </xf>
    <xf numFmtId="176" fontId="71" fillId="3" borderId="7" xfId="22" applyFont="true" applyBorder="true" applyAlignment="true" applyProtection="true">
      <alignment horizontal="center" vertical="center" textRotation="0" wrapText="false" indent="0" shrinkToFit="false"/>
      <protection locked="true" hidden="false"/>
    </xf>
    <xf numFmtId="164" fontId="71" fillId="3" borderId="23" xfId="0" applyFont="true" applyBorder="true" applyAlignment="true" applyProtection="true">
      <alignment horizontal="general" vertical="center" textRotation="0" wrapText="false" indent="0" shrinkToFit="false"/>
      <protection locked="true" hidden="false"/>
    </xf>
    <xf numFmtId="164" fontId="96" fillId="3" borderId="5" xfId="0" applyFont="true" applyBorder="true" applyAlignment="true" applyProtection="true">
      <alignment horizontal="general" vertical="center" textRotation="0" wrapText="false" indent="0" shrinkToFit="false"/>
      <protection locked="true" hidden="false"/>
    </xf>
    <xf numFmtId="164" fontId="71" fillId="3" borderId="63" xfId="0" applyFont="true" applyBorder="true" applyAlignment="true" applyProtection="true">
      <alignment horizontal="general" vertical="center" textRotation="0" wrapText="true" indent="0" shrinkToFit="false"/>
      <protection locked="true" hidden="false"/>
    </xf>
    <xf numFmtId="164" fontId="58" fillId="3" borderId="62" xfId="0" applyFont="true" applyBorder="true" applyAlignment="true" applyProtection="true">
      <alignment horizontal="general" vertical="center" textRotation="0" wrapText="false" indent="0" shrinkToFit="false"/>
      <protection locked="true" hidden="false"/>
    </xf>
    <xf numFmtId="164" fontId="95" fillId="3" borderId="7" xfId="22" applyFont="true" applyBorder="true" applyAlignment="true" applyProtection="true">
      <alignment horizontal="general" vertical="center" textRotation="0" wrapText="false" indent="0" shrinkToFit="false"/>
      <protection locked="true" hidden="false"/>
    </xf>
    <xf numFmtId="175" fontId="97" fillId="3" borderId="5" xfId="22" applyFont="true" applyBorder="true" applyAlignment="true" applyProtection="true">
      <alignment horizontal="center" vertical="center" textRotation="0" wrapText="false" indent="0" shrinkToFit="false"/>
      <protection locked="true" hidden="false"/>
    </xf>
    <xf numFmtId="166" fontId="97" fillId="3" borderId="7" xfId="22" applyFont="true" applyBorder="true" applyAlignment="true" applyProtection="true">
      <alignment horizontal="center" vertical="center" textRotation="0" wrapText="false" indent="0" shrinkToFit="false"/>
      <protection locked="true" hidden="false"/>
    </xf>
    <xf numFmtId="164" fontId="95" fillId="3" borderId="23" xfId="0" applyFont="true" applyBorder="true" applyAlignment="true" applyProtection="true">
      <alignment horizontal="general" vertical="center" textRotation="0" wrapText="true" indent="0" shrinkToFit="false"/>
      <protection locked="true" hidden="false"/>
    </xf>
    <xf numFmtId="164" fontId="71" fillId="3" borderId="7" xfId="22" applyFont="true" applyBorder="true" applyAlignment="true" applyProtection="true">
      <alignment horizontal="left" vertical="bottom" textRotation="0" wrapText="false" indent="0" shrinkToFit="false"/>
      <protection locked="true" hidden="false"/>
    </xf>
    <xf numFmtId="175" fontId="77" fillId="3" borderId="5" xfId="22" applyFont="true" applyBorder="true" applyAlignment="true" applyProtection="true">
      <alignment horizontal="center" vertical="center" textRotation="0" wrapText="false" indent="0" shrinkToFit="false"/>
      <protection locked="true" hidden="false"/>
    </xf>
    <xf numFmtId="164" fontId="97" fillId="3" borderId="22" xfId="22" applyFont="true" applyBorder="true" applyAlignment="true" applyProtection="true">
      <alignment horizontal="left" vertical="bottom" textRotation="0" wrapText="false" indent="0" shrinkToFit="false"/>
      <protection locked="true" hidden="false"/>
    </xf>
    <xf numFmtId="176" fontId="95" fillId="3" borderId="5" xfId="22" applyFont="true" applyBorder="true" applyAlignment="true" applyProtection="true">
      <alignment horizontal="center" vertical="bottom" textRotation="0" wrapText="false" indent="0" shrinkToFit="false"/>
      <protection locked="true" hidden="false"/>
    </xf>
    <xf numFmtId="166" fontId="95" fillId="3" borderId="5" xfId="22" applyFont="true" applyBorder="true" applyAlignment="true" applyProtection="true">
      <alignment horizontal="center" vertical="bottom" textRotation="0" wrapText="false" indent="0" shrinkToFit="false"/>
      <protection locked="true" hidden="false"/>
    </xf>
    <xf numFmtId="174" fontId="102" fillId="3" borderId="99" xfId="22" applyFont="true" applyBorder="true" applyAlignment="true" applyProtection="true">
      <alignment horizontal="general" vertical="bottom" textRotation="0" wrapText="false" indent="0" shrinkToFit="false"/>
      <protection locked="true" hidden="false"/>
    </xf>
    <xf numFmtId="174" fontId="101" fillId="3" borderId="10" xfId="22" applyFont="true" applyBorder="true" applyAlignment="true" applyProtection="true">
      <alignment horizontal="general" vertical="bottom" textRotation="0" wrapText="false" indent="0" shrinkToFit="false"/>
      <protection locked="true" hidden="false"/>
    </xf>
    <xf numFmtId="174" fontId="101" fillId="3" borderId="31" xfId="22" applyFont="true" applyBorder="true" applyAlignment="true" applyProtection="true">
      <alignment horizontal="general" vertical="bottom" textRotation="0" wrapText="false" indent="0" shrinkToFit="false"/>
      <protection locked="true" hidden="false"/>
    </xf>
    <xf numFmtId="175" fontId="97" fillId="3" borderId="5" xfId="0" applyFont="true" applyBorder="true" applyAlignment="true" applyProtection="true">
      <alignment horizontal="center" vertical="center" textRotation="0" wrapText="false" indent="0" shrinkToFit="false"/>
      <protection locked="true" hidden="false"/>
    </xf>
    <xf numFmtId="178" fontId="97" fillId="3" borderId="7" xfId="22" applyFont="true" applyBorder="true" applyAlignment="true" applyProtection="true">
      <alignment horizontal="center" vertical="bottom" textRotation="0" wrapText="false" indent="0" shrinkToFit="false"/>
      <protection locked="true" hidden="false"/>
    </xf>
    <xf numFmtId="164" fontId="58" fillId="0" borderId="0" xfId="0" applyFont="true" applyBorder="false" applyAlignment="true" applyProtection="true">
      <alignment horizontal="general" vertical="center" textRotation="0" wrapText="false" indent="0" shrinkToFit="false"/>
      <protection locked="false" hidden="false"/>
    </xf>
    <xf numFmtId="173" fontId="77" fillId="3" borderId="7" xfId="22" applyFont="true" applyBorder="true" applyAlignment="true" applyProtection="true">
      <alignment horizontal="center" vertical="bottom" textRotation="0" wrapText="false" indent="0" shrinkToFit="false"/>
      <protection locked="true" hidden="false"/>
    </xf>
    <xf numFmtId="164" fontId="71" fillId="3" borderId="23" xfId="0" applyFont="true" applyBorder="true" applyAlignment="true" applyProtection="true">
      <alignment horizontal="general" vertical="center" textRotation="0" wrapText="true" indent="0" shrinkToFit="false"/>
      <protection locked="true" hidden="false"/>
    </xf>
    <xf numFmtId="164" fontId="71" fillId="3" borderId="23" xfId="22" applyFont="true" applyBorder="true" applyAlignment="true" applyProtection="true">
      <alignment horizontal="left" vertical="center" textRotation="0" wrapText="false" indent="0" shrinkToFit="false"/>
      <protection locked="true" hidden="false"/>
    </xf>
    <xf numFmtId="167" fontId="97" fillId="3" borderId="5" xfId="0" applyFont="true" applyBorder="true" applyAlignment="true" applyProtection="true">
      <alignment horizontal="right" vertical="center" textRotation="0" wrapText="false" indent="0" shrinkToFit="false"/>
      <protection locked="true" hidden="false"/>
    </xf>
    <xf numFmtId="164" fontId="71" fillId="3" borderId="23" xfId="0" applyFont="true" applyBorder="true" applyAlignment="true" applyProtection="true">
      <alignment horizontal="left" vertical="center" textRotation="0" wrapText="false" indent="0" shrinkToFit="false"/>
      <protection locked="true" hidden="false"/>
    </xf>
    <xf numFmtId="183" fontId="96" fillId="3" borderId="5" xfId="0" applyFont="true" applyBorder="true" applyAlignment="true" applyProtection="true">
      <alignment horizontal="right" vertical="center" textRotation="0" wrapText="false" indent="0" shrinkToFit="false"/>
      <protection locked="true" hidden="false"/>
    </xf>
    <xf numFmtId="173" fontId="95" fillId="3" borderId="5" xfId="22" applyFont="true" applyBorder="true" applyAlignment="true" applyProtection="true">
      <alignment horizontal="center" vertical="center" textRotation="0" wrapText="false" indent="0" shrinkToFit="false"/>
      <protection locked="true" hidden="false"/>
    </xf>
    <xf numFmtId="174" fontId="102" fillId="3" borderId="69" xfId="22" applyFont="true" applyBorder="true" applyAlignment="true" applyProtection="true">
      <alignment horizontal="general" vertical="bottom" textRotation="0" wrapText="false" indent="0" shrinkToFit="false"/>
      <protection locked="true" hidden="false"/>
    </xf>
    <xf numFmtId="174" fontId="101" fillId="3" borderId="97" xfId="22" applyFont="true" applyBorder="true" applyAlignment="true" applyProtection="true">
      <alignment horizontal="general" vertical="bottom" textRotation="0" wrapText="false" indent="0" shrinkToFit="false"/>
      <protection locked="true" hidden="false"/>
    </xf>
    <xf numFmtId="175" fontId="97" fillId="3" borderId="25" xfId="0" applyFont="true" applyBorder="true" applyAlignment="true" applyProtection="true">
      <alignment horizontal="center" vertical="center" textRotation="0" wrapText="false" indent="0" shrinkToFit="false"/>
      <protection locked="true" hidden="false"/>
    </xf>
    <xf numFmtId="174" fontId="101" fillId="3" borderId="84" xfId="22" applyFont="true" applyBorder="true" applyAlignment="true" applyProtection="true">
      <alignment horizontal="general" vertical="bottom" textRotation="0" wrapText="false" indent="0" shrinkToFit="false"/>
      <protection locked="true" hidden="false"/>
    </xf>
    <xf numFmtId="164" fontId="59" fillId="3" borderId="5" xfId="0" applyFont="true" applyBorder="true" applyAlignment="true" applyProtection="true">
      <alignment horizontal="left" vertical="bottom" textRotation="0" wrapText="false" indent="0" shrinkToFit="false"/>
      <protection locked="true" hidden="false"/>
    </xf>
    <xf numFmtId="164" fontId="103" fillId="3" borderId="5" xfId="0" applyFont="true" applyBorder="true" applyAlignment="true" applyProtection="true">
      <alignment horizontal="center" vertical="center" textRotation="0" wrapText="false" indent="0" shrinkToFit="false"/>
      <protection locked="true" hidden="false"/>
    </xf>
    <xf numFmtId="164" fontId="29" fillId="3" borderId="5" xfId="0" applyFont="true" applyBorder="true" applyAlignment="true" applyProtection="true">
      <alignment horizontal="general" vertical="bottom" textRotation="0" wrapText="false" indent="0" shrinkToFit="false"/>
      <protection locked="true" hidden="false"/>
    </xf>
    <xf numFmtId="178" fontId="30" fillId="3" borderId="5" xfId="0" applyFont="true" applyBorder="true" applyAlignment="true" applyProtection="true">
      <alignment horizontal="center" vertical="bottom" textRotation="0" wrapText="false" indent="0" shrinkToFit="false"/>
      <protection locked="true" hidden="false"/>
    </xf>
    <xf numFmtId="178" fontId="77" fillId="3" borderId="5" xfId="0" applyFont="true" applyBorder="true" applyAlignment="true" applyProtection="true">
      <alignment horizontal="center" vertical="bottom" textRotation="0" wrapText="false" indent="0" shrinkToFit="false"/>
      <protection locked="true" hidden="false"/>
    </xf>
    <xf numFmtId="164" fontId="45" fillId="3" borderId="18" xfId="22" applyFont="true" applyBorder="true" applyAlignment="true" applyProtection="true">
      <alignment horizontal="general" vertical="center" textRotation="0" wrapText="false" indent="0" shrinkToFit="false"/>
      <protection locked="true" hidden="false"/>
    </xf>
    <xf numFmtId="167" fontId="109" fillId="3" borderId="0" xfId="0" applyFont="true" applyBorder="false" applyAlignment="true" applyProtection="true">
      <alignment horizontal="center" vertical="center" textRotation="0" wrapText="false" indent="0" shrinkToFit="false"/>
      <protection locked="true" hidden="false"/>
    </xf>
    <xf numFmtId="184" fontId="102" fillId="3" borderId="5" xfId="22" applyFont="true" applyBorder="true" applyAlignment="true" applyProtection="true">
      <alignment horizontal="right" vertical="center" textRotation="0" wrapText="false" indent="0" shrinkToFit="false"/>
      <protection locked="true" hidden="false"/>
    </xf>
    <xf numFmtId="167" fontId="97" fillId="3" borderId="5" xfId="0" applyFont="true" applyBorder="true" applyAlignment="true" applyProtection="true">
      <alignment horizontal="center" vertical="center" textRotation="0" wrapText="false" indent="0" shrinkToFit="false"/>
      <protection locked="true" hidden="false"/>
    </xf>
    <xf numFmtId="167" fontId="77" fillId="3" borderId="5" xfId="0" applyFont="true" applyBorder="true" applyAlignment="true" applyProtection="true">
      <alignment horizontal="center" vertical="center" textRotation="0" wrapText="false" indent="0" shrinkToFit="false"/>
      <protection locked="true" hidden="false"/>
    </xf>
    <xf numFmtId="173" fontId="97" fillId="3" borderId="5" xfId="0" applyFont="true" applyBorder="true" applyAlignment="true" applyProtection="true">
      <alignment horizontal="right" vertical="center" textRotation="0" wrapText="false" indent="0" shrinkToFit="false"/>
      <protection locked="true" hidden="false"/>
    </xf>
    <xf numFmtId="185" fontId="53" fillId="5" borderId="0" xfId="0" applyFont="true" applyBorder="false" applyAlignment="true" applyProtection="true">
      <alignment horizontal="center" vertical="center" textRotation="0" wrapText="false" indent="0" shrinkToFit="false"/>
      <protection locked="false" hidden="false"/>
    </xf>
    <xf numFmtId="164" fontId="8" fillId="2" borderId="7" xfId="22" applyFont="true" applyBorder="true" applyAlignment="true" applyProtection="true">
      <alignment horizontal="left" vertical="center" textRotation="0" wrapText="false" indent="0" shrinkToFit="false"/>
      <protection locked="false" hidden="false"/>
    </xf>
    <xf numFmtId="164" fontId="8" fillId="2" borderId="8" xfId="22" applyFont="true" applyBorder="true" applyAlignment="true" applyProtection="true">
      <alignment horizontal="general" vertical="center" textRotation="0" wrapText="false" indent="0" shrinkToFit="false"/>
      <protection locked="true" hidden="false"/>
    </xf>
    <xf numFmtId="164" fontId="8" fillId="5" borderId="0" xfId="22" applyFont="true" applyBorder="true" applyAlignment="true" applyProtection="true">
      <alignment horizontal="general" vertical="center" textRotation="0" wrapText="false" indent="0" shrinkToFit="false"/>
      <protection locked="true" hidden="false"/>
    </xf>
    <xf numFmtId="167" fontId="26" fillId="3" borderId="0" xfId="22" applyFont="true" applyBorder="true" applyAlignment="true" applyProtection="true">
      <alignment horizontal="center" vertical="center" textRotation="0" wrapText="false" indent="0" shrinkToFit="false"/>
      <protection locked="true" hidden="false"/>
    </xf>
    <xf numFmtId="164" fontId="8" fillId="3" borderId="0" xfId="22" applyFont="true" applyBorder="true" applyAlignment="true" applyProtection="true">
      <alignment horizontal="general" vertical="center" textRotation="0" wrapText="false" indent="0" shrinkToFit="false"/>
      <protection locked="true" hidden="false"/>
    </xf>
    <xf numFmtId="164" fontId="26" fillId="3" borderId="47" xfId="0" applyFont="true" applyBorder="true" applyAlignment="true" applyProtection="true">
      <alignment horizontal="general" vertical="center" textRotation="0" wrapText="false" indent="0" shrinkToFit="false"/>
      <protection locked="true" hidden="false"/>
    </xf>
    <xf numFmtId="164" fontId="110" fillId="3" borderId="64" xfId="0" applyFont="true" applyBorder="true" applyAlignment="true" applyProtection="true">
      <alignment horizontal="general" vertical="center" textRotation="0" wrapText="false" indent="0" shrinkToFit="false"/>
      <protection locked="true" hidden="false"/>
    </xf>
    <xf numFmtId="185" fontId="28" fillId="3" borderId="81" xfId="0" applyFont="true" applyBorder="true" applyAlignment="true" applyProtection="true">
      <alignment horizontal="center" vertical="center" textRotation="0" wrapText="false" indent="0" shrinkToFit="false"/>
      <protection locked="true" hidden="false"/>
    </xf>
    <xf numFmtId="164" fontId="110" fillId="3" borderId="50" xfId="0" applyFont="true" applyBorder="true" applyAlignment="true" applyProtection="true">
      <alignment horizontal="general" vertical="center" textRotation="0" wrapText="false" indent="0" shrinkToFit="false"/>
      <protection locked="true" hidden="false"/>
    </xf>
    <xf numFmtId="164" fontId="31" fillId="5" borderId="0" xfId="0" applyFont="true" applyBorder="false" applyAlignment="true" applyProtection="true">
      <alignment horizontal="general" vertical="center" textRotation="0" wrapText="false" indent="0" shrinkToFit="false"/>
      <protection locked="false" hidden="false"/>
    </xf>
    <xf numFmtId="164" fontId="72" fillId="3" borderId="38" xfId="0" applyFont="true" applyBorder="true" applyAlignment="true" applyProtection="true">
      <alignment horizontal="general" vertical="center" textRotation="0" wrapText="false" indent="0" shrinkToFit="false"/>
      <protection locked="true" hidden="false"/>
    </xf>
    <xf numFmtId="185" fontId="53" fillId="2" borderId="5" xfId="0" applyFont="true" applyBorder="true" applyAlignment="true" applyProtection="true">
      <alignment horizontal="center" vertical="center" textRotation="0" wrapText="true" indent="0" shrinkToFit="false"/>
      <protection locked="false" hidden="false"/>
    </xf>
    <xf numFmtId="164" fontId="74" fillId="5" borderId="0" xfId="0" applyFont="true" applyBorder="false" applyAlignment="true" applyProtection="true">
      <alignment horizontal="general" vertical="center" textRotation="0" wrapText="false" indent="0" shrinkToFit="false"/>
      <protection locked="false" hidden="false"/>
    </xf>
    <xf numFmtId="164" fontId="74" fillId="0" borderId="0" xfId="0" applyFont="true" applyBorder="false" applyAlignment="true" applyProtection="true">
      <alignment horizontal="general" vertical="center" textRotation="0" wrapText="false" indent="0" shrinkToFit="false"/>
      <protection locked="false" hidden="false"/>
    </xf>
    <xf numFmtId="174" fontId="29" fillId="3" borderId="22" xfId="0" applyFont="true" applyBorder="true" applyAlignment="true" applyProtection="true">
      <alignment horizontal="center" vertical="center" textRotation="0" wrapText="false" indent="0" shrinkToFit="false"/>
      <protection locked="true" hidden="false"/>
    </xf>
    <xf numFmtId="164" fontId="29" fillId="3" borderId="7" xfId="0" applyFont="true" applyBorder="true" applyAlignment="true" applyProtection="true">
      <alignment horizontal="general" vertical="center" textRotation="0" wrapText="false" indent="0" shrinkToFit="false"/>
      <protection locked="true" hidden="false"/>
    </xf>
    <xf numFmtId="185" fontId="53" fillId="0" borderId="5" xfId="0" applyFont="true" applyBorder="true" applyAlignment="true" applyProtection="true">
      <alignment horizontal="center" vertical="center" textRotation="0" wrapText="false" indent="0" shrinkToFit="false"/>
      <protection locked="false" hidden="false"/>
    </xf>
    <xf numFmtId="185" fontId="53" fillId="0" borderId="23" xfId="0" applyFont="true" applyBorder="true" applyAlignment="true" applyProtection="true">
      <alignment horizontal="center" vertical="center" textRotation="0" wrapText="false" indent="0" shrinkToFit="false"/>
      <protection locked="false" hidden="false"/>
    </xf>
    <xf numFmtId="170" fontId="30" fillId="3" borderId="5" xfId="0" applyFont="true" applyBorder="true" applyAlignment="true" applyProtection="true">
      <alignment horizontal="center" vertical="center" textRotation="0" wrapText="false" indent="0" shrinkToFit="false"/>
      <protection locked="true" hidden="false"/>
    </xf>
    <xf numFmtId="170" fontId="30" fillId="3" borderId="23" xfId="0" applyFont="true" applyBorder="true" applyAlignment="true" applyProtection="true">
      <alignment horizontal="center" vertical="center" textRotation="0" wrapText="false" indent="0" shrinkToFit="false"/>
      <protection locked="true" hidden="false"/>
    </xf>
    <xf numFmtId="174" fontId="29" fillId="3" borderId="65" xfId="0" applyFont="true" applyBorder="true" applyAlignment="true" applyProtection="true">
      <alignment horizontal="center" vertical="center" textRotation="0" wrapText="false" indent="0" shrinkToFit="false"/>
      <protection locked="true" hidden="false"/>
    </xf>
    <xf numFmtId="164" fontId="29" fillId="3" borderId="38" xfId="0" applyFont="true" applyBorder="true" applyAlignment="true" applyProtection="true">
      <alignment horizontal="general" vertical="center" textRotation="0" wrapText="false" indent="0" shrinkToFit="false"/>
      <protection locked="true" hidden="false"/>
    </xf>
    <xf numFmtId="185" fontId="53" fillId="0" borderId="11" xfId="0" applyFont="true" applyBorder="true" applyAlignment="true" applyProtection="true">
      <alignment horizontal="center" vertical="center" textRotation="0" wrapText="false" indent="0" shrinkToFit="false"/>
      <protection locked="false" hidden="false"/>
    </xf>
    <xf numFmtId="185" fontId="53" fillId="0" borderId="63" xfId="0" applyFont="true" applyBorder="true" applyAlignment="true" applyProtection="true">
      <alignment horizontal="center" vertical="center" textRotation="0" wrapText="false" indent="0" shrinkToFit="false"/>
      <protection locked="false" hidden="false"/>
    </xf>
    <xf numFmtId="164" fontId="72" fillId="3" borderId="7" xfId="0" applyFont="true" applyBorder="true" applyAlignment="true" applyProtection="true">
      <alignment horizontal="general" vertical="center" textRotation="0" wrapText="false" indent="0" shrinkToFit="false"/>
      <protection locked="true" hidden="false"/>
    </xf>
    <xf numFmtId="185" fontId="72" fillId="3" borderId="5" xfId="0" applyFont="true" applyBorder="true" applyAlignment="true" applyProtection="true">
      <alignment horizontal="center" vertical="center" textRotation="0" wrapText="false" indent="0" shrinkToFit="false"/>
      <protection locked="true" hidden="false"/>
    </xf>
    <xf numFmtId="164" fontId="74" fillId="3" borderId="10" xfId="0" applyFont="true" applyBorder="true" applyAlignment="true" applyProtection="true">
      <alignment horizontal="general" vertical="center" textRotation="0" wrapText="false" indent="0" shrinkToFit="false"/>
      <protection locked="true" hidden="false"/>
    </xf>
    <xf numFmtId="164" fontId="74" fillId="3" borderId="31" xfId="0" applyFont="true" applyBorder="true" applyAlignment="true" applyProtection="true">
      <alignment horizontal="general" vertical="center" textRotation="0" wrapText="false" indent="0" shrinkToFit="false"/>
      <protection locked="true" hidden="false"/>
    </xf>
    <xf numFmtId="164" fontId="30" fillId="3" borderId="22" xfId="22" applyFont="true" applyBorder="true" applyAlignment="true" applyProtection="true">
      <alignment horizontal="right" vertical="center" textRotation="0" wrapText="false" indent="0" shrinkToFit="false"/>
      <protection locked="true" hidden="false"/>
    </xf>
    <xf numFmtId="164" fontId="29" fillId="3" borderId="7" xfId="22" applyFont="true" applyBorder="true" applyAlignment="true" applyProtection="true">
      <alignment horizontal="general" vertical="center" textRotation="0" wrapText="false" indent="0" shrinkToFit="false"/>
      <protection locked="true" hidden="false"/>
    </xf>
    <xf numFmtId="175" fontId="30" fillId="3" borderId="5" xfId="0" applyFont="true" applyBorder="true" applyAlignment="true" applyProtection="true">
      <alignment horizontal="center" vertical="center" textRotation="0" wrapText="false" indent="0" shrinkToFit="false"/>
      <protection locked="true" hidden="false"/>
    </xf>
    <xf numFmtId="176" fontId="29" fillId="3" borderId="5" xfId="22" applyFont="true" applyBorder="true" applyAlignment="true" applyProtection="true">
      <alignment horizontal="center" vertical="center" textRotation="0" wrapText="false" indent="0" shrinkToFit="false"/>
      <protection locked="true" hidden="false"/>
    </xf>
    <xf numFmtId="173" fontId="30" fillId="3" borderId="5" xfId="22" applyFont="true" applyBorder="true" applyAlignment="true" applyProtection="true">
      <alignment horizontal="center" vertical="center" textRotation="0" wrapText="false" indent="0" shrinkToFit="false"/>
      <protection locked="true" hidden="false"/>
    </xf>
    <xf numFmtId="164" fontId="70" fillId="5" borderId="0" xfId="0" applyFont="true" applyBorder="false" applyAlignment="true" applyProtection="true">
      <alignment horizontal="general" vertical="center" textRotation="0" wrapText="false" indent="0" shrinkToFit="false"/>
      <protection locked="false" hidden="false"/>
    </xf>
    <xf numFmtId="164" fontId="29" fillId="3" borderId="5" xfId="22" applyFont="true" applyBorder="true" applyAlignment="true" applyProtection="true">
      <alignment horizontal="center" vertical="center" textRotation="0" wrapText="false" indent="0" shrinkToFit="false"/>
      <protection locked="true" hidden="false"/>
    </xf>
    <xf numFmtId="166" fontId="29" fillId="3" borderId="5" xfId="22" applyFont="true" applyBorder="true" applyAlignment="true" applyProtection="true">
      <alignment horizontal="center" vertical="center" textRotation="0" wrapText="false" indent="0" shrinkToFit="false"/>
      <protection locked="true" hidden="false"/>
    </xf>
    <xf numFmtId="164" fontId="70" fillId="0" borderId="0" xfId="0" applyFont="true" applyBorder="false" applyAlignment="true" applyProtection="true">
      <alignment horizontal="general" vertical="center" textRotation="0" wrapText="false" indent="0" shrinkToFit="false"/>
      <protection locked="false" hidden="false"/>
    </xf>
    <xf numFmtId="175" fontId="30" fillId="3" borderId="5" xfId="22" applyFont="true" applyBorder="true" applyAlignment="true" applyProtection="true">
      <alignment horizontal="center" vertical="center" textRotation="0" wrapText="false" indent="0" shrinkToFit="false"/>
      <protection locked="true" hidden="false"/>
    </xf>
    <xf numFmtId="175" fontId="29" fillId="3" borderId="5" xfId="22" applyFont="true" applyBorder="true" applyAlignment="true" applyProtection="true">
      <alignment horizontal="general" vertical="center" textRotation="0" wrapText="false" indent="0" shrinkToFit="false"/>
      <protection locked="true" hidden="false"/>
    </xf>
    <xf numFmtId="164" fontId="53" fillId="3" borderId="10" xfId="0" applyFont="true" applyBorder="true" applyAlignment="true" applyProtection="true">
      <alignment horizontal="general" vertical="center" textRotation="0" wrapText="false" indent="0" shrinkToFit="false"/>
      <protection locked="true" hidden="false"/>
    </xf>
    <xf numFmtId="164" fontId="53" fillId="3" borderId="60" xfId="0" applyFont="true" applyBorder="true" applyAlignment="true" applyProtection="true">
      <alignment horizontal="general" vertical="center" textRotation="0" wrapText="false" indent="0" shrinkToFit="false"/>
      <protection locked="true" hidden="false"/>
    </xf>
    <xf numFmtId="164" fontId="59" fillId="2" borderId="7" xfId="22" applyFont="true" applyBorder="true" applyAlignment="true" applyProtection="true">
      <alignment horizontal="right" vertical="center" textRotation="0" wrapText="false" indent="0" shrinkToFit="false"/>
      <protection locked="false" hidden="false"/>
    </xf>
    <xf numFmtId="164" fontId="53" fillId="0" borderId="10" xfId="0" applyFont="true" applyBorder="true" applyAlignment="true" applyProtection="true">
      <alignment horizontal="general" vertical="center" textRotation="0" wrapText="false" indent="0" shrinkToFit="false"/>
      <protection locked="false" hidden="false"/>
    </xf>
    <xf numFmtId="164" fontId="61" fillId="3" borderId="10" xfId="0" applyFont="true" applyBorder="true" applyAlignment="true" applyProtection="true">
      <alignment horizontal="general" vertical="center" textRotation="0" wrapText="false" indent="0" shrinkToFit="false"/>
      <protection locked="true" hidden="false"/>
    </xf>
    <xf numFmtId="164" fontId="53" fillId="3" borderId="9" xfId="0" applyFont="true" applyBorder="true" applyAlignment="true" applyProtection="true">
      <alignment horizontal="left" vertical="center" textRotation="0" wrapText="false" indent="0" shrinkToFit="false"/>
      <protection locked="true" hidden="false"/>
    </xf>
    <xf numFmtId="164" fontId="53" fillId="3" borderId="31" xfId="0" applyFont="true" applyBorder="true" applyAlignment="true" applyProtection="true">
      <alignment horizontal="left" vertical="center" textRotation="0" wrapText="false" indent="0" shrinkToFit="false"/>
      <protection locked="true" hidden="false"/>
    </xf>
    <xf numFmtId="164" fontId="72" fillId="3" borderId="7" xfId="22" applyFont="true" applyBorder="true" applyAlignment="true" applyProtection="true">
      <alignment horizontal="general" vertical="center" textRotation="0" wrapText="false" indent="0" shrinkToFit="false"/>
      <protection locked="true" hidden="false"/>
    </xf>
    <xf numFmtId="175" fontId="28" fillId="3" borderId="5" xfId="22" applyFont="true" applyBorder="true" applyAlignment="true" applyProtection="true">
      <alignment horizontal="center" vertical="center" textRotation="0" wrapText="false" indent="0" shrinkToFit="false"/>
      <protection locked="true" hidden="false"/>
    </xf>
    <xf numFmtId="164" fontId="72" fillId="3" borderId="5" xfId="22" applyFont="true" applyBorder="true" applyAlignment="true" applyProtection="true">
      <alignment horizontal="general" vertical="center" textRotation="0" wrapText="false" indent="0" shrinkToFit="false"/>
      <protection locked="true" hidden="false"/>
    </xf>
    <xf numFmtId="175" fontId="72" fillId="3" borderId="5" xfId="22" applyFont="true" applyBorder="true" applyAlignment="true" applyProtection="true">
      <alignment horizontal="general" vertical="center" textRotation="0" wrapText="false" indent="0" shrinkToFit="false"/>
      <protection locked="true" hidden="false"/>
    </xf>
    <xf numFmtId="173" fontId="28" fillId="3" borderId="5" xfId="22" applyFont="true" applyBorder="true" applyAlignment="true" applyProtection="true">
      <alignment horizontal="center" vertical="center" textRotation="0" wrapText="false" indent="0" shrinkToFit="false"/>
      <protection locked="true" hidden="false"/>
    </xf>
    <xf numFmtId="167" fontId="28" fillId="3" borderId="5" xfId="0" applyFont="true" applyBorder="true" applyAlignment="true" applyProtection="true">
      <alignment horizontal="right" vertical="center" textRotation="0" wrapText="false" indent="0" shrinkToFit="false"/>
      <protection locked="true" hidden="false"/>
    </xf>
    <xf numFmtId="175" fontId="28" fillId="3" borderId="5" xfId="22" applyFont="true" applyBorder="true" applyAlignment="true" applyProtection="true">
      <alignment horizontal="general" vertical="center" textRotation="0" wrapText="false" indent="0" shrinkToFit="false"/>
      <protection locked="true" hidden="false"/>
    </xf>
    <xf numFmtId="164" fontId="4" fillId="3" borderId="7" xfId="0" applyFont="true" applyBorder="true" applyAlignment="true" applyProtection="true">
      <alignment horizontal="general" vertical="center" textRotation="0" wrapText="false" indent="0" shrinkToFit="false"/>
      <protection locked="true" hidden="false"/>
    </xf>
    <xf numFmtId="164" fontId="0" fillId="3" borderId="10" xfId="0" applyFont="true" applyBorder="true" applyAlignment="true" applyProtection="true">
      <alignment horizontal="general" vertical="center" textRotation="0" wrapText="false" indent="0" shrinkToFit="false"/>
      <protection locked="true" hidden="false"/>
    </xf>
    <xf numFmtId="164" fontId="0" fillId="3" borderId="31" xfId="0" applyFont="true" applyBorder="true" applyAlignment="true" applyProtection="true">
      <alignment horizontal="general" vertical="center" textRotation="0" wrapText="false" indent="0" shrinkToFit="false"/>
      <protection locked="true" hidden="false"/>
    </xf>
    <xf numFmtId="175" fontId="28" fillId="3" borderId="0" xfId="0" applyFont="true" applyBorder="true" applyAlignment="true" applyProtection="true">
      <alignment horizontal="center" vertical="center" textRotation="0" wrapText="false" indent="0" shrinkToFit="false"/>
      <protection locked="true" hidden="false"/>
    </xf>
    <xf numFmtId="175" fontId="28" fillId="3" borderId="10" xfId="22" applyFont="true" applyBorder="true" applyAlignment="true" applyProtection="true">
      <alignment horizontal="general" vertical="center" textRotation="0" wrapText="false" indent="0" shrinkToFit="false"/>
      <protection locked="true" hidden="false"/>
    </xf>
    <xf numFmtId="173" fontId="28" fillId="3" borderId="11" xfId="0" applyFont="true" applyBorder="true" applyAlignment="true" applyProtection="true">
      <alignment horizontal="center" vertical="center" textRotation="0" wrapText="false" indent="0" shrinkToFit="false"/>
      <protection locked="true" hidden="false"/>
    </xf>
    <xf numFmtId="164" fontId="29" fillId="3" borderId="5" xfId="22" applyFont="true" applyBorder="true" applyAlignment="true" applyProtection="true">
      <alignment horizontal="left" vertical="center" textRotation="0" wrapText="false" indent="0" shrinkToFit="false"/>
      <protection locked="true" hidden="false"/>
    </xf>
    <xf numFmtId="184" fontId="30" fillId="3" borderId="8" xfId="0" applyFont="true" applyBorder="true" applyAlignment="true" applyProtection="true">
      <alignment horizontal="center" vertical="center" textRotation="0" wrapText="false" indent="0" shrinkToFit="false"/>
      <protection locked="true" hidden="false"/>
    </xf>
    <xf numFmtId="184" fontId="53" fillId="3" borderId="5" xfId="0" applyFont="true" applyBorder="true" applyAlignment="true" applyProtection="true">
      <alignment horizontal="center" vertical="center" textRotation="0" wrapText="false" indent="0" shrinkToFit="false"/>
      <protection locked="true" hidden="false"/>
    </xf>
    <xf numFmtId="175" fontId="29" fillId="3" borderId="10" xfId="22" applyFont="true" applyBorder="true" applyAlignment="true" applyProtection="true">
      <alignment horizontal="general" vertical="center" textRotation="0" wrapText="false" indent="0" shrinkToFit="false"/>
      <protection locked="true" hidden="false"/>
    </xf>
    <xf numFmtId="173" fontId="53" fillId="3" borderId="11" xfId="0" applyFont="true" applyBorder="true" applyAlignment="true" applyProtection="true">
      <alignment horizontal="center" vertical="center" textRotation="0" wrapText="false" indent="0" shrinkToFit="false"/>
      <protection locked="true" hidden="false"/>
    </xf>
    <xf numFmtId="167" fontId="30" fillId="3" borderId="7" xfId="0" applyFont="true" applyBorder="true" applyAlignment="true" applyProtection="true">
      <alignment horizontal="general" vertical="bottom" textRotation="0" wrapText="false" indent="0" shrinkToFit="false"/>
      <protection locked="true" hidden="false"/>
    </xf>
    <xf numFmtId="175" fontId="30" fillId="3" borderId="0" xfId="0" applyFont="true" applyBorder="true" applyAlignment="true" applyProtection="true">
      <alignment horizontal="center" vertical="center" textRotation="0" wrapText="false" indent="0" shrinkToFit="false"/>
      <protection locked="true" hidden="false"/>
    </xf>
    <xf numFmtId="164" fontId="72" fillId="3" borderId="5" xfId="22" applyFont="true" applyBorder="true" applyAlignment="true" applyProtection="true">
      <alignment horizontal="general" vertical="center" textRotation="0" wrapText="true" indent="0" shrinkToFit="false"/>
      <protection locked="true" hidden="false"/>
    </xf>
    <xf numFmtId="175" fontId="28" fillId="3" borderId="8" xfId="0" applyFont="true" applyBorder="true" applyAlignment="true" applyProtection="true">
      <alignment horizontal="center" vertical="center" textRotation="0" wrapText="true" indent="0" shrinkToFit="false"/>
      <protection locked="true" hidden="false"/>
    </xf>
    <xf numFmtId="173" fontId="28" fillId="3" borderId="5" xfId="0" applyFont="true" applyBorder="true" applyAlignment="true" applyProtection="true">
      <alignment horizontal="center" vertical="center" textRotation="0" wrapText="true" indent="0" shrinkToFit="false"/>
      <protection locked="true" hidden="false"/>
    </xf>
    <xf numFmtId="164" fontId="0" fillId="3" borderId="7" xfId="0" applyFont="true" applyBorder="true" applyAlignment="true" applyProtection="true">
      <alignment horizontal="general" vertical="center" textRotation="0" wrapText="false" indent="0" shrinkToFit="false"/>
      <protection locked="true" hidden="false"/>
    </xf>
    <xf numFmtId="164" fontId="70" fillId="5" borderId="0" xfId="0" applyFont="true" applyBorder="false" applyAlignment="true" applyProtection="true">
      <alignment horizontal="general" vertical="center" textRotation="0" wrapText="true" indent="0" shrinkToFit="false"/>
      <protection locked="false" hidden="false"/>
    </xf>
    <xf numFmtId="164" fontId="29" fillId="3" borderId="7" xfId="22" applyFont="true" applyBorder="true" applyAlignment="true" applyProtection="true">
      <alignment horizontal="left" vertical="center" textRotation="0" wrapText="false" indent="0" shrinkToFit="false"/>
      <protection locked="true" hidden="false"/>
    </xf>
    <xf numFmtId="173" fontId="53" fillId="3" borderId="5" xfId="0" applyFont="true" applyBorder="true" applyAlignment="true" applyProtection="true">
      <alignment horizontal="center" vertical="center" textRotation="0" wrapText="true" indent="0" shrinkToFit="false"/>
      <protection locked="true" hidden="false"/>
    </xf>
    <xf numFmtId="164" fontId="67" fillId="5" borderId="0" xfId="0" applyFont="true" applyBorder="false" applyAlignment="true" applyProtection="true">
      <alignment horizontal="general" vertical="center" textRotation="0" wrapText="true" indent="0" shrinkToFit="false"/>
      <protection locked="false" hidden="false"/>
    </xf>
    <xf numFmtId="175" fontId="30" fillId="3" borderId="5" xfId="0" applyFont="true" applyBorder="true" applyAlignment="true" applyProtection="true">
      <alignment horizontal="center" vertical="center" textRotation="0" wrapText="true" indent="0" shrinkToFit="false"/>
      <protection locked="true" hidden="false"/>
    </xf>
    <xf numFmtId="174" fontId="29" fillId="3" borderId="24" xfId="0" applyFont="true" applyBorder="true" applyAlignment="true" applyProtection="true">
      <alignment horizontal="center" vertical="center" textRotation="0" wrapText="false" indent="0" shrinkToFit="false"/>
      <protection locked="true" hidden="false"/>
    </xf>
    <xf numFmtId="175" fontId="28" fillId="3" borderId="25" xfId="0" applyFont="true" applyBorder="true" applyAlignment="true" applyProtection="true">
      <alignment horizontal="center" vertical="center" textRotation="0" wrapText="false" indent="0" shrinkToFit="false"/>
      <protection locked="true" hidden="false"/>
    </xf>
    <xf numFmtId="175" fontId="74" fillId="3" borderId="25" xfId="0" applyFont="true" applyBorder="true" applyAlignment="true" applyProtection="true">
      <alignment horizontal="general" vertical="center" textRotation="0" wrapText="false" indent="0" shrinkToFit="false"/>
      <protection locked="true" hidden="false"/>
    </xf>
    <xf numFmtId="173" fontId="28" fillId="3" borderId="25" xfId="0" applyFont="true" applyBorder="true" applyAlignment="true" applyProtection="true">
      <alignment horizontal="center" vertical="center" textRotation="0" wrapText="false" indent="0" shrinkToFit="false"/>
      <protection locked="true" hidden="false"/>
    </xf>
    <xf numFmtId="175" fontId="72" fillId="3" borderId="76" xfId="0" applyFont="true" applyBorder="true" applyAlignment="true" applyProtection="true">
      <alignment horizontal="general" vertical="center" textRotation="0" wrapText="false" indent="0" shrinkToFit="false"/>
      <protection locked="true" hidden="false"/>
    </xf>
    <xf numFmtId="175" fontId="74" fillId="3" borderId="97" xfId="0" applyFont="true" applyBorder="true" applyAlignment="true" applyProtection="true">
      <alignment horizontal="general" vertical="center" textRotation="0" wrapText="false" indent="0" shrinkToFit="false"/>
      <protection locked="true" hidden="false"/>
    </xf>
    <xf numFmtId="175" fontId="74" fillId="3" borderId="84" xfId="0" applyFont="true" applyBorder="true" applyAlignment="true" applyProtection="true">
      <alignment horizontal="general" vertical="center" textRotation="0" wrapText="false" indent="0" shrinkToFit="false"/>
      <protection locked="true" hidden="false"/>
    </xf>
    <xf numFmtId="164" fontId="28" fillId="3" borderId="75" xfId="0" applyFont="true" applyBorder="true" applyAlignment="true" applyProtection="true">
      <alignment horizontal="general" vertical="center" textRotation="0" wrapText="false" indent="0" shrinkToFit="false"/>
      <protection locked="true" hidden="false"/>
    </xf>
    <xf numFmtId="164" fontId="74" fillId="3" borderId="26" xfId="0" applyFont="true" applyBorder="true" applyAlignment="true" applyProtection="true">
      <alignment horizontal="general" vertical="center" textRotation="0" wrapText="false" indent="0" shrinkToFit="false"/>
      <protection locked="true" hidden="false"/>
    </xf>
    <xf numFmtId="185" fontId="26" fillId="3" borderId="44" xfId="0" applyFont="true" applyBorder="true" applyAlignment="true" applyProtection="true">
      <alignment horizontal="center" vertical="center" textRotation="0" wrapText="false" indent="0" shrinkToFit="false"/>
      <protection locked="true" hidden="false"/>
    </xf>
    <xf numFmtId="164" fontId="8" fillId="3" borderId="100" xfId="0" applyFont="true" applyBorder="true" applyAlignment="true" applyProtection="true">
      <alignment horizontal="general" vertical="center" textRotation="0" wrapText="false" indent="0" shrinkToFit="false"/>
      <protection locked="true" hidden="false"/>
    </xf>
    <xf numFmtId="164" fontId="74" fillId="3" borderId="27" xfId="0" applyFont="true" applyBorder="true" applyAlignment="true" applyProtection="true">
      <alignment horizontal="general" vertical="center" textRotation="0" wrapText="false" indent="0" shrinkToFit="false"/>
      <protection locked="true" hidden="false"/>
    </xf>
    <xf numFmtId="164" fontId="58" fillId="0" borderId="0" xfId="0" applyFont="true" applyBorder="false" applyAlignment="true" applyProtection="true">
      <alignment horizontal="center" vertical="center" textRotation="0" wrapText="false" indent="0" shrinkToFit="false"/>
      <protection locked="false" hidden="false"/>
    </xf>
    <xf numFmtId="164" fontId="58" fillId="0" borderId="0" xfId="0" applyFont="true" applyBorder="false" applyAlignment="true" applyProtection="true">
      <alignment horizontal="left" vertical="center" textRotation="0" wrapText="false" indent="0" shrinkToFit="false"/>
      <protection locked="false" hidden="false"/>
    </xf>
    <xf numFmtId="174" fontId="49" fillId="3" borderId="9" xfId="0" applyFont="true" applyBorder="true" applyAlignment="true" applyProtection="true">
      <alignment horizontal="general" vertical="bottom" textRotation="0" wrapText="false" indent="0" shrinkToFit="false"/>
      <protection locked="true" hidden="false"/>
    </xf>
    <xf numFmtId="164" fontId="111" fillId="3" borderId="0" xfId="0" applyFont="true" applyBorder="false" applyAlignment="true" applyProtection="true">
      <alignment horizontal="center" vertical="center" textRotation="0" wrapText="false" indent="0" shrinkToFit="false"/>
      <protection locked="true" hidden="false"/>
    </xf>
    <xf numFmtId="174" fontId="104" fillId="2" borderId="48" xfId="0" applyFont="true" applyBorder="true" applyAlignment="true" applyProtection="true">
      <alignment horizontal="right" vertical="bottom" textRotation="0" wrapText="false" indent="0" shrinkToFit="false"/>
      <protection locked="false" hidden="false"/>
    </xf>
    <xf numFmtId="164" fontId="103" fillId="2" borderId="0" xfId="0" applyFont="true" applyBorder="false" applyAlignment="true" applyProtection="true">
      <alignment horizontal="right" vertical="center" textRotation="0" wrapText="false" indent="0" shrinkToFit="false"/>
      <protection locked="false" hidden="false"/>
    </xf>
    <xf numFmtId="174" fontId="5" fillId="3" borderId="0" xfId="0" applyFont="true" applyBorder="true" applyAlignment="true" applyProtection="true">
      <alignment horizontal="center" vertical="bottom" textRotation="0" wrapText="false" indent="0" shrinkToFit="false"/>
      <protection locked="true" hidden="false"/>
    </xf>
    <xf numFmtId="167" fontId="109" fillId="3" borderId="0" xfId="0" applyFont="true" applyBorder="true" applyAlignment="true" applyProtection="true">
      <alignment horizontal="center" vertical="bottom" textRotation="0" wrapText="false" indent="0" shrinkToFit="false"/>
      <protection locked="true" hidden="false"/>
    </xf>
    <xf numFmtId="175" fontId="102" fillId="3" borderId="9" xfId="0" applyFont="true" applyBorder="true" applyAlignment="true" applyProtection="true">
      <alignment horizontal="general" vertical="bottom" textRotation="0" wrapText="false" indent="0" shrinkToFit="false"/>
      <protection locked="true" hidden="false"/>
    </xf>
    <xf numFmtId="164" fontId="111" fillId="3" borderId="0" xfId="0" applyFont="true" applyBorder="false" applyAlignment="true" applyProtection="true">
      <alignment horizontal="general" vertical="center" textRotation="0" wrapText="false" indent="0" shrinkToFit="false"/>
      <protection locked="false" hidden="false"/>
    </xf>
    <xf numFmtId="174" fontId="100" fillId="3" borderId="0" xfId="0" applyFont="true" applyBorder="true" applyAlignment="true" applyProtection="true">
      <alignment horizontal="center" vertical="bottom" textRotation="0" wrapText="false" indent="0" shrinkToFit="false"/>
      <protection locked="false" hidden="false"/>
    </xf>
    <xf numFmtId="174" fontId="100" fillId="3" borderId="0" xfId="0" applyFont="true" applyBorder="true" applyAlignment="true" applyProtection="true">
      <alignment horizontal="left" vertical="bottom" textRotation="0" wrapText="false" indent="0" shrinkToFit="false"/>
      <protection locked="false" hidden="false"/>
    </xf>
    <xf numFmtId="164" fontId="111" fillId="5" borderId="0" xfId="0" applyFont="true" applyBorder="false" applyAlignment="true" applyProtection="true">
      <alignment horizontal="general" vertical="center" textRotation="0" wrapText="false" indent="0" shrinkToFit="false"/>
      <protection locked="false" hidden="false"/>
    </xf>
    <xf numFmtId="164" fontId="111" fillId="0" borderId="0" xfId="0" applyFont="true" applyBorder="false" applyAlignment="true" applyProtection="true">
      <alignment horizontal="general" vertical="center" textRotation="0" wrapText="false" indent="0" shrinkToFit="false"/>
      <protection locked="false" hidden="false"/>
    </xf>
    <xf numFmtId="164" fontId="95" fillId="3" borderId="5" xfId="22" applyFont="true" applyBorder="true" applyAlignment="true" applyProtection="true">
      <alignment horizontal="general" vertical="center" textRotation="0" wrapText="false" indent="0" shrinkToFit="false"/>
      <protection locked="true" hidden="false"/>
    </xf>
    <xf numFmtId="167" fontId="87" fillId="3" borderId="5" xfId="0" applyFont="true" applyBorder="true" applyAlignment="true" applyProtection="true">
      <alignment horizontal="right" vertical="center" textRotation="0" wrapText="false" indent="0" shrinkToFit="false"/>
      <protection locked="true" hidden="false"/>
    </xf>
    <xf numFmtId="164" fontId="71" fillId="3" borderId="0" xfId="0" applyFont="true" applyBorder="true" applyAlignment="true" applyProtection="true">
      <alignment horizontal="general" vertical="center" textRotation="0" wrapText="false" indent="0" shrinkToFit="false"/>
      <protection locked="true" hidden="false"/>
    </xf>
    <xf numFmtId="174" fontId="58" fillId="3" borderId="0" xfId="0" applyFont="true" applyBorder="true" applyAlignment="true" applyProtection="true">
      <alignment horizontal="general" vertical="bottom" textRotation="0" wrapText="false" indent="0" shrinkToFit="false"/>
      <protection locked="true" hidden="false"/>
    </xf>
    <xf numFmtId="174" fontId="96" fillId="3" borderId="0" xfId="0" applyFont="true" applyBorder="true" applyAlignment="true" applyProtection="true">
      <alignment horizontal="general" vertical="bottom" textRotation="0" wrapText="false" indent="0" shrinkToFit="false"/>
      <protection locked="true" hidden="false"/>
    </xf>
    <xf numFmtId="175" fontId="96" fillId="5" borderId="0" xfId="0" applyFont="true" applyBorder="true" applyAlignment="true" applyProtection="true">
      <alignment horizontal="general" vertical="bottom" textRotation="0" wrapText="false" indent="0" shrinkToFit="false"/>
      <protection locked="false" hidden="false"/>
    </xf>
    <xf numFmtId="174" fontId="96" fillId="3" borderId="0" xfId="0" applyFont="true" applyBorder="true" applyAlignment="true" applyProtection="true">
      <alignment horizontal="center" vertical="bottom" textRotation="0" wrapText="false" indent="0" shrinkToFit="false"/>
      <protection locked="false" hidden="false"/>
    </xf>
    <xf numFmtId="174" fontId="96" fillId="3" borderId="0" xfId="0" applyFont="true" applyBorder="true" applyAlignment="true" applyProtection="true">
      <alignment horizontal="left" vertical="bottom" textRotation="0" wrapText="false" indent="0" shrinkToFit="false"/>
      <protection locked="false" hidden="false"/>
    </xf>
    <xf numFmtId="164" fontId="95" fillId="3" borderId="25" xfId="22" applyFont="true" applyBorder="true" applyAlignment="true" applyProtection="true">
      <alignment horizontal="general" vertical="center" textRotation="0" wrapText="false" indent="0" shrinkToFit="false"/>
      <protection locked="true" hidden="false"/>
    </xf>
    <xf numFmtId="167" fontId="87" fillId="3" borderId="25" xfId="0" applyFont="true" applyBorder="true" applyAlignment="true" applyProtection="true">
      <alignment horizontal="right" vertical="center" textRotation="0" wrapText="false" indent="0" shrinkToFit="false"/>
      <protection locked="true" hidden="false"/>
    </xf>
    <xf numFmtId="174" fontId="101" fillId="3" borderId="0" xfId="0" applyFont="true" applyBorder="true" applyAlignment="true" applyProtection="true">
      <alignment horizontal="center" vertical="bottom" textRotation="0" wrapText="false" indent="0" shrinkToFit="false"/>
      <protection locked="true" hidden="false"/>
    </xf>
    <xf numFmtId="174" fontId="96" fillId="3" borderId="0" xfId="0" applyFont="true" applyBorder="true" applyAlignment="true" applyProtection="true">
      <alignment horizontal="center" vertical="bottom" textRotation="0" wrapText="false" indent="0" shrinkToFit="false"/>
      <protection locked="true" hidden="false"/>
    </xf>
    <xf numFmtId="174" fontId="96" fillId="3" borderId="0" xfId="0" applyFont="true" applyBorder="true" applyAlignment="true" applyProtection="true">
      <alignment horizontal="left" vertical="bottom" textRotation="0" wrapText="false" indent="0" shrinkToFit="false"/>
      <protection locked="true" hidden="false"/>
    </xf>
    <xf numFmtId="174" fontId="29" fillId="3" borderId="57" xfId="0" applyFont="true" applyBorder="true" applyAlignment="true" applyProtection="true">
      <alignment horizontal="center" vertical="center" textRotation="0" wrapText="false" indent="0" shrinkToFit="false"/>
      <protection locked="true" hidden="false"/>
    </xf>
    <xf numFmtId="164" fontId="29" fillId="3" borderId="58" xfId="0" applyFont="true" applyBorder="true" applyAlignment="true" applyProtection="true">
      <alignment horizontal="center" vertical="center" textRotation="0" wrapText="false" indent="0" shrinkToFit="false"/>
      <protection locked="true" hidden="false"/>
    </xf>
    <xf numFmtId="164" fontId="29" fillId="3" borderId="81" xfId="0" applyFont="true" applyBorder="true" applyAlignment="true" applyProtection="true">
      <alignment horizontal="right" vertical="center" textRotation="0" wrapText="false" indent="0" shrinkToFit="false"/>
      <protection locked="true" hidden="false"/>
    </xf>
    <xf numFmtId="164" fontId="53" fillId="3" borderId="50" xfId="0" applyFont="true" applyBorder="true" applyAlignment="true" applyProtection="true">
      <alignment horizontal="center" vertical="center" textRotation="0" wrapText="false" indent="0" shrinkToFit="false"/>
      <protection locked="true" hidden="false"/>
    </xf>
    <xf numFmtId="174" fontId="87" fillId="3" borderId="65" xfId="0" applyFont="true" applyBorder="true" applyAlignment="true" applyProtection="true">
      <alignment horizontal="general" vertical="center" textRotation="0" wrapText="false" indent="0" shrinkToFit="false"/>
      <protection locked="true" hidden="false"/>
    </xf>
    <xf numFmtId="164" fontId="61" fillId="3" borderId="11" xfId="0" applyFont="true" applyBorder="true" applyAlignment="true" applyProtection="true">
      <alignment horizontal="general" vertical="center" textRotation="0" wrapText="true" indent="0" shrinkToFit="false"/>
      <protection locked="true" hidden="false"/>
    </xf>
    <xf numFmtId="164" fontId="71" fillId="3" borderId="11" xfId="0" applyFont="true" applyBorder="true" applyAlignment="true" applyProtection="true">
      <alignment horizontal="general" vertical="center" textRotation="0" wrapText="false" indent="0" shrinkToFit="false"/>
      <protection locked="true" hidden="false"/>
    </xf>
    <xf numFmtId="164" fontId="53" fillId="3" borderId="35" xfId="0" applyFont="true" applyBorder="true" applyAlignment="true" applyProtection="true">
      <alignment horizontal="right" vertical="center" textRotation="0" wrapText="false" indent="0" shrinkToFit="false"/>
      <protection locked="true" hidden="false"/>
    </xf>
    <xf numFmtId="164" fontId="53" fillId="3" borderId="101" xfId="0" applyFont="true" applyBorder="true" applyAlignment="true" applyProtection="true">
      <alignment horizontal="center" vertical="center" textRotation="0" wrapText="false" indent="0" shrinkToFit="false"/>
      <protection locked="true" hidden="false"/>
    </xf>
    <xf numFmtId="174" fontId="29" fillId="3" borderId="65" xfId="0" applyFont="true" applyBorder="true" applyAlignment="true" applyProtection="true">
      <alignment horizontal="left" vertical="center" textRotation="0" wrapText="false" indent="0" shrinkToFit="false"/>
      <protection locked="true" hidden="false"/>
    </xf>
    <xf numFmtId="164" fontId="29" fillId="3" borderId="5" xfId="0" applyFont="true" applyBorder="true" applyAlignment="true" applyProtection="true">
      <alignment horizontal="general" vertical="top" textRotation="0" wrapText="true" indent="0" shrinkToFit="false"/>
      <protection locked="true" hidden="false"/>
    </xf>
    <xf numFmtId="167" fontId="87" fillId="3" borderId="39" xfId="0" applyFont="true" applyBorder="true" applyAlignment="true" applyProtection="true">
      <alignment horizontal="center" vertical="center" textRotation="0" wrapText="false" indent="0" shrinkToFit="false"/>
      <protection locked="true" hidden="false"/>
    </xf>
    <xf numFmtId="164" fontId="29" fillId="3" borderId="11" xfId="0" applyFont="true" applyBorder="true" applyAlignment="true" applyProtection="true">
      <alignment horizontal="general" vertical="center" textRotation="0" wrapText="false" indent="0" shrinkToFit="false"/>
      <protection locked="true" hidden="false"/>
    </xf>
    <xf numFmtId="167" fontId="87" fillId="3" borderId="23" xfId="0" applyFont="true" applyBorder="true" applyAlignment="true" applyProtection="true">
      <alignment horizontal="center" vertical="center" textRotation="0" wrapText="false" indent="0" shrinkToFit="false"/>
      <protection locked="true" hidden="false"/>
    </xf>
    <xf numFmtId="167" fontId="87" fillId="3" borderId="11" xfId="0" applyFont="true" applyBorder="true" applyAlignment="true" applyProtection="true">
      <alignment horizontal="center" vertical="center" textRotation="0" wrapText="false" indent="0" shrinkToFit="false"/>
      <protection locked="true" hidden="false"/>
    </xf>
    <xf numFmtId="174" fontId="53" fillId="3" borderId="15" xfId="0" applyFont="true" applyBorder="true" applyAlignment="true" applyProtection="true">
      <alignment horizontal="left" vertical="center" textRotation="0" wrapText="false" indent="0" shrinkToFit="false"/>
      <protection locked="true" hidden="false"/>
    </xf>
    <xf numFmtId="164" fontId="60" fillId="3" borderId="0" xfId="0" applyFont="true" applyBorder="true" applyAlignment="true" applyProtection="true">
      <alignment horizontal="center" vertical="center" textRotation="0" wrapText="false" indent="0" shrinkToFit="false"/>
      <protection locked="true" hidden="false"/>
    </xf>
    <xf numFmtId="164" fontId="29" fillId="3" borderId="8" xfId="0" applyFont="true" applyBorder="true" applyAlignment="true" applyProtection="true">
      <alignment horizontal="left" vertical="center" textRotation="0" wrapText="false" indent="0" shrinkToFit="false"/>
      <protection locked="true" hidden="false"/>
    </xf>
    <xf numFmtId="174" fontId="60" fillId="3" borderId="68" xfId="0" applyFont="true" applyBorder="true" applyAlignment="true" applyProtection="true">
      <alignment horizontal="general" vertical="center" textRotation="0" wrapText="false" indent="0" shrinkToFit="false"/>
      <protection locked="true" hidden="false"/>
    </xf>
    <xf numFmtId="164" fontId="60" fillId="3" borderId="16" xfId="0" applyFont="true" applyBorder="true" applyAlignment="true" applyProtection="true">
      <alignment horizontal="center" vertical="center" textRotation="0" wrapText="false" indent="0" shrinkToFit="false"/>
      <protection locked="true" hidden="false"/>
    </xf>
    <xf numFmtId="178" fontId="87" fillId="3" borderId="23" xfId="0" applyFont="true" applyBorder="true" applyAlignment="true" applyProtection="true">
      <alignment horizontal="center" vertical="center" textRotation="0" wrapText="false" indent="0" shrinkToFit="false"/>
      <protection locked="true" hidden="false"/>
    </xf>
    <xf numFmtId="178" fontId="87" fillId="3" borderId="63" xfId="0" applyFont="true" applyBorder="true" applyAlignment="true" applyProtection="true">
      <alignment horizontal="center" vertical="center" textRotation="0" wrapText="false" indent="0" shrinkToFit="false"/>
      <protection locked="true" hidden="false"/>
    </xf>
    <xf numFmtId="164" fontId="29" fillId="3" borderId="39" xfId="0" applyFont="true" applyBorder="true" applyAlignment="true" applyProtection="true">
      <alignment horizontal="general" vertical="center" textRotation="0" wrapText="true" indent="0" shrinkToFit="false"/>
      <protection locked="true" hidden="false"/>
    </xf>
    <xf numFmtId="167" fontId="87" fillId="3" borderId="5" xfId="0" applyFont="true" applyBorder="true" applyAlignment="true" applyProtection="true">
      <alignment horizontal="center" vertical="center" textRotation="0" wrapText="false" indent="0" shrinkToFit="false"/>
      <protection locked="true" hidden="false"/>
    </xf>
    <xf numFmtId="164" fontId="29" fillId="3" borderId="39" xfId="0" applyFont="true" applyBorder="true" applyAlignment="true" applyProtection="true">
      <alignment horizontal="general" vertical="center" textRotation="0" wrapText="false" indent="0" shrinkToFit="false"/>
      <protection locked="true" hidden="false"/>
    </xf>
    <xf numFmtId="178" fontId="60" fillId="2" borderId="63" xfId="0" applyFont="true" applyBorder="true" applyAlignment="true" applyProtection="true">
      <alignment horizontal="center" vertical="center" textRotation="0" wrapText="false" indent="0" shrinkToFit="false"/>
      <protection locked="false" hidden="false"/>
    </xf>
    <xf numFmtId="174" fontId="60" fillId="3" borderId="66" xfId="0" applyFont="true" applyBorder="true" applyAlignment="true" applyProtection="true">
      <alignment horizontal="general" vertical="center" textRotation="0" wrapText="false" indent="0" shrinkToFit="false"/>
      <protection locked="true" hidden="false"/>
    </xf>
    <xf numFmtId="164" fontId="112" fillId="3" borderId="5" xfId="0" applyFont="true" applyBorder="true" applyAlignment="true" applyProtection="true">
      <alignment horizontal="right" vertical="center" textRotation="0" wrapText="true" indent="0" shrinkToFit="false"/>
      <protection locked="true" hidden="false"/>
    </xf>
    <xf numFmtId="164" fontId="60" fillId="3" borderId="5" xfId="0" applyFont="true" applyBorder="true" applyAlignment="true" applyProtection="true">
      <alignment horizontal="center" vertical="center" textRotation="0" wrapText="false" indent="0" shrinkToFit="false"/>
      <protection locked="false" hidden="false"/>
    </xf>
    <xf numFmtId="164" fontId="67" fillId="3" borderId="16" xfId="0" applyFont="true" applyBorder="true" applyAlignment="true" applyProtection="true">
      <alignment horizontal="general" vertical="center" textRotation="0" wrapText="false" indent="0" shrinkToFit="false"/>
      <protection locked="true" hidden="false"/>
    </xf>
    <xf numFmtId="174" fontId="60" fillId="3" borderId="94" xfId="0" applyFont="true" applyBorder="true" applyAlignment="true" applyProtection="true">
      <alignment horizontal="general" vertical="center" textRotation="0" wrapText="false" indent="0" shrinkToFit="false"/>
      <protection locked="true" hidden="false"/>
    </xf>
    <xf numFmtId="178" fontId="87" fillId="3" borderId="61" xfId="0" applyFont="true" applyBorder="true" applyAlignment="true" applyProtection="true">
      <alignment horizontal="center" vertical="center" textRotation="0" wrapText="false" indent="0" shrinkToFit="false"/>
      <protection locked="true" hidden="false"/>
    </xf>
    <xf numFmtId="174" fontId="29" fillId="3" borderId="52" xfId="0" applyFont="true" applyBorder="true" applyAlignment="true" applyProtection="true">
      <alignment horizontal="general" vertical="center" textRotation="0" wrapText="false" indent="0" shrinkToFit="false"/>
      <protection locked="true" hidden="false"/>
    </xf>
    <xf numFmtId="164" fontId="29" fillId="3" borderId="42" xfId="0" applyFont="true" applyBorder="true" applyAlignment="true" applyProtection="true">
      <alignment horizontal="general" vertical="center" textRotation="0" wrapText="true" indent="0" shrinkToFit="false"/>
      <protection locked="true" hidden="false"/>
    </xf>
    <xf numFmtId="164" fontId="60" fillId="0" borderId="1" xfId="0" applyFont="true" applyBorder="true" applyAlignment="true" applyProtection="true">
      <alignment horizontal="center" vertical="center" textRotation="0" wrapText="false" indent="0" shrinkToFit="false"/>
      <protection locked="false" hidden="false"/>
    </xf>
    <xf numFmtId="164" fontId="53" fillId="3" borderId="1" xfId="0" applyFont="true" applyBorder="true" applyAlignment="true" applyProtection="true">
      <alignment horizontal="general" vertical="center" textRotation="0" wrapText="false" indent="0" shrinkToFit="false"/>
      <protection locked="true" hidden="false"/>
    </xf>
    <xf numFmtId="178" fontId="60" fillId="3" borderId="53" xfId="0" applyFont="true" applyBorder="true" applyAlignment="true" applyProtection="true">
      <alignment horizontal="center" vertical="center" textRotation="0" wrapText="false" indent="0" shrinkToFit="false"/>
      <protection locked="true" hidden="false"/>
    </xf>
    <xf numFmtId="164" fontId="53" fillId="3" borderId="40" xfId="0" applyFont="true" applyBorder="true" applyAlignment="true" applyProtection="true">
      <alignment horizontal="general" vertical="center" textRotation="0" wrapText="false" indent="0" shrinkToFit="false"/>
      <protection locked="true" hidden="false"/>
    </xf>
    <xf numFmtId="178" fontId="60" fillId="3" borderId="1" xfId="0" applyFont="true" applyBorder="true" applyAlignment="true" applyProtection="true">
      <alignment horizontal="center" vertical="center" textRotation="0" wrapText="false" indent="0" shrinkToFit="false"/>
      <protection locked="true" hidden="false"/>
    </xf>
    <xf numFmtId="174" fontId="87" fillId="3" borderId="66" xfId="0" applyFont="true" applyBorder="true" applyAlignment="true" applyProtection="true">
      <alignment horizontal="left" vertical="center" textRotation="0" wrapText="false" indent="0" shrinkToFit="false"/>
      <protection locked="true" hidden="false"/>
    </xf>
    <xf numFmtId="164" fontId="61" fillId="3" borderId="6" xfId="0" applyFont="true" applyBorder="true" applyAlignment="true" applyProtection="true">
      <alignment horizontal="left" vertical="center" textRotation="0" wrapText="false" indent="0" shrinkToFit="false"/>
      <protection locked="true" hidden="false"/>
    </xf>
    <xf numFmtId="167" fontId="87" fillId="3" borderId="6" xfId="0" applyFont="true" applyBorder="true" applyAlignment="true" applyProtection="true">
      <alignment horizontal="center" vertical="center" textRotation="0" wrapText="false" indent="0" shrinkToFit="false"/>
      <protection locked="true" hidden="false"/>
    </xf>
    <xf numFmtId="164" fontId="29" fillId="3" borderId="16" xfId="0" applyFont="true" applyBorder="true" applyAlignment="true" applyProtection="true">
      <alignment horizontal="left" vertical="center" textRotation="0" wrapText="false" indent="0" shrinkToFit="false"/>
      <protection locked="true" hidden="false"/>
    </xf>
    <xf numFmtId="178" fontId="30" fillId="3" borderId="86" xfId="0" applyFont="true" applyBorder="true" applyAlignment="true" applyProtection="true">
      <alignment horizontal="center" vertical="center" textRotation="0" wrapText="false" indent="0" shrinkToFit="false"/>
      <protection locked="true" hidden="false"/>
    </xf>
    <xf numFmtId="167" fontId="87" fillId="3" borderId="35" xfId="0" applyFont="true" applyBorder="true" applyAlignment="true" applyProtection="true">
      <alignment horizontal="center" vertical="center" textRotation="0" wrapText="false" indent="0" shrinkToFit="false"/>
      <protection locked="true" hidden="false"/>
    </xf>
    <xf numFmtId="164" fontId="53" fillId="3" borderId="9" xfId="0" applyFont="true" applyBorder="true" applyAlignment="true" applyProtection="true">
      <alignment horizontal="general" vertical="center" textRotation="0" wrapText="false" indent="0" shrinkToFit="false"/>
      <protection locked="true" hidden="false"/>
    </xf>
    <xf numFmtId="164" fontId="53" fillId="3" borderId="101" xfId="0" applyFont="true" applyBorder="true" applyAlignment="true" applyProtection="true">
      <alignment horizontal="general" vertical="center" textRotation="0" wrapText="false" indent="0" shrinkToFit="false"/>
      <protection locked="true" hidden="false"/>
    </xf>
    <xf numFmtId="174" fontId="30" fillId="3" borderId="22" xfId="0" applyFont="true" applyBorder="true" applyAlignment="true" applyProtection="true">
      <alignment horizontal="left" vertical="center" textRotation="0" wrapText="false" indent="0" shrinkToFit="false"/>
      <protection locked="true" hidden="false"/>
    </xf>
    <xf numFmtId="176" fontId="60" fillId="3" borderId="31" xfId="0" applyFont="true" applyBorder="true" applyAlignment="true" applyProtection="true">
      <alignment horizontal="center" vertical="center" textRotation="0" wrapText="false" indent="0" shrinkToFit="false"/>
      <protection locked="true" hidden="false"/>
    </xf>
    <xf numFmtId="174" fontId="29" fillId="3" borderId="22" xfId="0" applyFont="true" applyBorder="true" applyAlignment="true" applyProtection="true">
      <alignment horizontal="left" vertical="center" textRotation="0" wrapText="false" indent="0" shrinkToFit="false"/>
      <protection locked="true" hidden="false"/>
    </xf>
    <xf numFmtId="178" fontId="30" fillId="3" borderId="62" xfId="0" applyFont="true" applyBorder="true" applyAlignment="true" applyProtection="true">
      <alignment horizontal="center" vertical="center" textRotation="0" wrapText="false" indent="0" shrinkToFit="false"/>
      <protection locked="true" hidden="false"/>
    </xf>
    <xf numFmtId="174" fontId="29" fillId="3" borderId="52" xfId="0" applyFont="true" applyBorder="true" applyAlignment="true" applyProtection="true">
      <alignment horizontal="left" vertical="center" textRotation="0" wrapText="false" indent="0" shrinkToFit="false"/>
      <protection locked="true" hidden="false"/>
    </xf>
    <xf numFmtId="164" fontId="53" fillId="3" borderId="40" xfId="0" applyFont="true" applyBorder="true" applyAlignment="true" applyProtection="true">
      <alignment horizontal="left" vertical="center" textRotation="0" wrapText="false" indent="0" shrinkToFit="false"/>
      <protection locked="true" hidden="false"/>
    </xf>
    <xf numFmtId="164" fontId="53" fillId="3" borderId="41" xfId="0" applyFont="true" applyBorder="true" applyAlignment="true" applyProtection="true">
      <alignment horizontal="general" vertical="center" textRotation="0" wrapText="false" indent="0" shrinkToFit="false"/>
      <protection locked="true" hidden="false"/>
    </xf>
    <xf numFmtId="164" fontId="53" fillId="3" borderId="54" xfId="0" applyFont="true" applyBorder="true" applyAlignment="true" applyProtection="true">
      <alignment horizontal="general" vertical="center" textRotation="0" wrapText="false" indent="0" shrinkToFit="false"/>
      <protection locked="true" hidden="false"/>
    </xf>
    <xf numFmtId="164" fontId="67" fillId="0" borderId="0" xfId="0" applyFont="true" applyBorder="false" applyAlignment="true" applyProtection="true">
      <alignment horizontal="general" vertical="center" textRotation="0" wrapText="false" indent="0" shrinkToFit="false"/>
      <protection locked="false" hidden="false"/>
    </xf>
    <xf numFmtId="178" fontId="30" fillId="3" borderId="23" xfId="0" applyFont="true" applyBorder="true" applyAlignment="true" applyProtection="true">
      <alignment horizontal="center" vertical="center" textRotation="0" wrapText="false" indent="0" shrinkToFit="false"/>
      <protection locked="true" hidden="false"/>
    </xf>
    <xf numFmtId="167" fontId="30" fillId="10" borderId="5" xfId="0" applyFont="true" applyBorder="true" applyAlignment="true" applyProtection="true">
      <alignment horizontal="center" vertical="center" textRotation="0" wrapText="false" indent="0" shrinkToFit="false"/>
      <protection locked="true" hidden="false"/>
    </xf>
    <xf numFmtId="178" fontId="30" fillId="10" borderId="31" xfId="0" applyFont="true" applyBorder="true" applyAlignment="true" applyProtection="true">
      <alignment horizontal="center" vertical="center" textRotation="0" wrapText="true" indent="0" shrinkToFit="false"/>
      <protection locked="true" hidden="false"/>
    </xf>
    <xf numFmtId="164" fontId="53" fillId="2" borderId="5" xfId="0" applyFont="true" applyBorder="true" applyAlignment="true" applyProtection="true">
      <alignment horizontal="left" vertical="center" textRotation="0" wrapText="true" indent="0" shrinkToFit="false"/>
      <protection locked="false" hidden="false"/>
    </xf>
    <xf numFmtId="167" fontId="30" fillId="3" borderId="23" xfId="0" applyFont="true" applyBorder="true" applyAlignment="true" applyProtection="true">
      <alignment horizontal="center" vertical="center" textRotation="0" wrapText="false" indent="0" shrinkToFit="false"/>
      <protection locked="true" hidden="false"/>
    </xf>
    <xf numFmtId="164" fontId="53" fillId="3" borderId="5" xfId="0" applyFont="true" applyBorder="true" applyAlignment="true" applyProtection="true">
      <alignment horizontal="center" vertical="center" textRotation="0" wrapText="false" indent="0" shrinkToFit="false"/>
      <protection locked="true" hidden="false"/>
    </xf>
    <xf numFmtId="174" fontId="53" fillId="3" borderId="66" xfId="0" applyFont="true" applyBorder="true" applyAlignment="true" applyProtection="true">
      <alignment horizontal="general" vertical="center" textRotation="0" wrapText="false" indent="0" shrinkToFit="false"/>
      <protection locked="true" hidden="false"/>
    </xf>
    <xf numFmtId="164" fontId="53" fillId="3" borderId="6" xfId="0" applyFont="true" applyBorder="true" applyAlignment="true" applyProtection="true">
      <alignment horizontal="general" vertical="center" textRotation="0" wrapText="false" indent="0" shrinkToFit="false"/>
      <protection locked="true" hidden="false"/>
    </xf>
    <xf numFmtId="173" fontId="87" fillId="3" borderId="23" xfId="0" applyFont="true" applyBorder="true" applyAlignment="true" applyProtection="true">
      <alignment horizontal="center" vertical="center" textRotation="0" wrapText="false" indent="0" shrinkToFit="false"/>
      <protection locked="true" hidden="false"/>
    </xf>
    <xf numFmtId="179" fontId="87" fillId="3" borderId="23" xfId="0" applyFont="true" applyBorder="true" applyAlignment="true" applyProtection="true">
      <alignment horizontal="center" vertical="center" textRotation="0" wrapText="false" indent="0" shrinkToFit="false"/>
      <protection locked="true" hidden="false"/>
    </xf>
    <xf numFmtId="173" fontId="30" fillId="3" borderId="23" xfId="0" applyFont="true" applyBorder="true" applyAlignment="true" applyProtection="true">
      <alignment horizontal="center" vertical="center" textRotation="0" wrapText="false" indent="0" shrinkToFit="false"/>
      <protection locked="true" hidden="false"/>
    </xf>
    <xf numFmtId="167" fontId="30" fillId="3" borderId="1" xfId="0" applyFont="true" applyBorder="true" applyAlignment="true" applyProtection="true">
      <alignment horizontal="center" vertical="center" textRotation="0" wrapText="false" indent="0" shrinkToFit="false"/>
      <protection locked="true" hidden="false"/>
    </xf>
    <xf numFmtId="164" fontId="61" fillId="3" borderId="6" xfId="0" applyFont="true" applyBorder="true" applyAlignment="true" applyProtection="true">
      <alignment horizontal="left" vertical="center" textRotation="0" wrapText="true" indent="0" shrinkToFit="false"/>
      <protection locked="true" hidden="false"/>
    </xf>
    <xf numFmtId="164" fontId="29" fillId="3" borderId="35" xfId="0" applyFont="true" applyBorder="true" applyAlignment="true" applyProtection="true">
      <alignment horizontal="left" vertical="center" textRotation="0" wrapText="true" indent="0" shrinkToFit="false"/>
      <protection locked="true" hidden="false"/>
    </xf>
    <xf numFmtId="164" fontId="53" fillId="3" borderId="9" xfId="0" applyFont="true" applyBorder="true" applyAlignment="true" applyProtection="true">
      <alignment horizontal="center" vertical="center" textRotation="0" wrapText="true" indent="0" shrinkToFit="false"/>
      <protection locked="true" hidden="false"/>
    </xf>
    <xf numFmtId="164" fontId="53" fillId="3" borderId="101" xfId="0" applyFont="true" applyBorder="true" applyAlignment="true" applyProtection="true">
      <alignment horizontal="center" vertical="center" textRotation="0" wrapText="true" indent="0" shrinkToFit="false"/>
      <protection locked="true" hidden="false"/>
    </xf>
    <xf numFmtId="164" fontId="60" fillId="3" borderId="16" xfId="0" applyFont="true" applyBorder="true" applyAlignment="true" applyProtection="true">
      <alignment horizontal="general" vertical="center" textRotation="0" wrapText="true" indent="0" shrinkToFit="false"/>
      <protection locked="true" hidden="false"/>
    </xf>
    <xf numFmtId="164" fontId="30" fillId="3" borderId="16" xfId="0" applyFont="true" applyBorder="true" applyAlignment="true" applyProtection="true">
      <alignment horizontal="left" vertical="center" textRotation="0" wrapText="true" indent="0" shrinkToFit="false"/>
      <protection locked="true" hidden="false"/>
    </xf>
    <xf numFmtId="176" fontId="87" fillId="3" borderId="23" xfId="0" applyFont="true" applyBorder="true" applyAlignment="true" applyProtection="true">
      <alignment horizontal="center" vertical="center" textRotation="0" wrapText="false" indent="0" shrinkToFit="false"/>
      <protection locked="true" hidden="false"/>
    </xf>
    <xf numFmtId="164" fontId="60" fillId="3" borderId="6" xfId="0" applyFont="true" applyBorder="true" applyAlignment="true" applyProtection="true">
      <alignment horizontal="general" vertical="center" textRotation="0" wrapText="true" indent="0" shrinkToFit="false"/>
      <protection locked="true" hidden="false"/>
    </xf>
    <xf numFmtId="178" fontId="53" fillId="3" borderId="53" xfId="0" applyFont="true" applyBorder="true" applyAlignment="true" applyProtection="true">
      <alignment horizontal="center" vertical="center" textRotation="0" wrapText="false" indent="0" shrinkToFit="false"/>
      <protection locked="true" hidden="false"/>
    </xf>
    <xf numFmtId="174" fontId="87" fillId="3" borderId="24" xfId="0" applyFont="true" applyBorder="true" applyAlignment="true" applyProtection="true">
      <alignment horizontal="left" vertical="center" textRotation="0" wrapText="false" indent="0" shrinkToFit="false"/>
      <protection locked="true" hidden="false"/>
    </xf>
    <xf numFmtId="164" fontId="61" fillId="3" borderId="25" xfId="0" applyFont="true" applyBorder="true" applyAlignment="true" applyProtection="true">
      <alignment horizontal="left" vertical="center" textRotation="0" wrapText="false" indent="0" shrinkToFit="false"/>
      <protection locked="true" hidden="false"/>
    </xf>
    <xf numFmtId="167" fontId="87" fillId="3" borderId="25" xfId="0" applyFont="true" applyBorder="true" applyAlignment="true" applyProtection="true">
      <alignment horizontal="center" vertical="center" textRotation="0" wrapText="false" indent="0" shrinkToFit="false"/>
      <protection locked="true" hidden="false"/>
    </xf>
    <xf numFmtId="164" fontId="29" fillId="3" borderId="25" xfId="0" applyFont="true" applyBorder="true" applyAlignment="true" applyProtection="true">
      <alignment horizontal="general" vertical="center" textRotation="0" wrapText="false" indent="0" shrinkToFit="false"/>
      <protection locked="true" hidden="false"/>
    </xf>
    <xf numFmtId="164" fontId="53" fillId="3" borderId="25" xfId="0" applyFont="true" applyBorder="true" applyAlignment="true" applyProtection="true">
      <alignment horizontal="left" vertical="center" textRotation="0" wrapText="false" indent="0" shrinkToFit="false"/>
      <protection locked="true" hidden="false"/>
    </xf>
    <xf numFmtId="176" fontId="87" fillId="3" borderId="71" xfId="0" applyFont="true" applyBorder="true" applyAlignment="true" applyProtection="true">
      <alignment horizontal="center" vertical="center" textRotation="0" wrapText="false" indent="0" shrinkToFit="false"/>
      <protection locked="true" hidden="false"/>
    </xf>
    <xf numFmtId="174" fontId="96" fillId="3" borderId="0" xfId="0" applyFont="true" applyBorder="true" applyAlignment="true" applyProtection="true">
      <alignment horizontal="left" vertical="center" textRotation="0" wrapText="false" indent="0" shrinkToFit="false"/>
      <protection locked="false" hidden="false"/>
    </xf>
    <xf numFmtId="164" fontId="96" fillId="3" borderId="0" xfId="0" applyFont="true" applyBorder="true" applyAlignment="true" applyProtection="true">
      <alignment horizontal="left" vertical="center" textRotation="0" wrapText="false" indent="0" shrinkToFit="false"/>
      <protection locked="false" hidden="false"/>
    </xf>
    <xf numFmtId="164" fontId="83" fillId="3" borderId="0" xfId="0" applyFont="true" applyBorder="true" applyAlignment="true" applyProtection="true">
      <alignment horizontal="center" vertical="center" textRotation="0" wrapText="false" indent="0" shrinkToFit="false"/>
      <protection locked="false" hidden="false"/>
    </xf>
    <xf numFmtId="164" fontId="58" fillId="3" borderId="0" xfId="0" applyFont="true" applyBorder="true" applyAlignment="true" applyProtection="true">
      <alignment horizontal="left" vertical="center" textRotation="0" wrapText="false" indent="0" shrinkToFit="false"/>
      <protection locked="false" hidden="false"/>
    </xf>
    <xf numFmtId="176" fontId="83" fillId="3" borderId="0" xfId="0" applyFont="true" applyBorder="true" applyAlignment="true" applyProtection="true">
      <alignment horizontal="center" vertical="center" textRotation="0" wrapText="false" indent="0" shrinkToFit="false"/>
      <protection locked="false" hidden="false"/>
    </xf>
    <xf numFmtId="174" fontId="59" fillId="3" borderId="0" xfId="0" applyFont="true" applyBorder="true" applyAlignment="true" applyProtection="true">
      <alignment horizontal="left" vertical="center" textRotation="0" wrapText="false" indent="0" shrinkToFit="false"/>
      <protection locked="false" hidden="false"/>
    </xf>
    <xf numFmtId="164" fontId="53" fillId="3" borderId="0" xfId="0" applyFont="true" applyBorder="false" applyAlignment="true" applyProtection="true">
      <alignment horizontal="general" vertical="bottom" textRotation="0" wrapText="false" indent="0" shrinkToFit="false"/>
      <protection locked="false" hidden="false"/>
    </xf>
    <xf numFmtId="164" fontId="53" fillId="3" borderId="0" xfId="0" applyFont="true" applyBorder="false" applyAlignment="true" applyProtection="true">
      <alignment horizontal="left" vertical="bottom" textRotation="0" wrapText="false" indent="0" shrinkToFit="false"/>
      <protection locked="false" hidden="false"/>
    </xf>
    <xf numFmtId="174" fontId="30" fillId="3" borderId="65" xfId="0" applyFont="true" applyBorder="true" applyAlignment="true" applyProtection="true">
      <alignment horizontal="left" vertical="center" textRotation="0" wrapText="false" indent="0" shrinkToFit="false"/>
      <protection locked="true" hidden="false"/>
    </xf>
    <xf numFmtId="164" fontId="60" fillId="3" borderId="0" xfId="0" applyFont="true" applyBorder="false" applyAlignment="true" applyProtection="true">
      <alignment horizontal="left" vertical="bottom" textRotation="0" wrapText="false" indent="0" shrinkToFit="false"/>
      <protection locked="false" hidden="false"/>
    </xf>
    <xf numFmtId="164" fontId="60" fillId="3" borderId="0" xfId="0" applyFont="true" applyBorder="false" applyAlignment="true" applyProtection="true">
      <alignment horizontal="general" vertical="bottom" textRotation="0" wrapText="false" indent="0" shrinkToFit="false"/>
      <protection locked="false" hidden="false"/>
    </xf>
    <xf numFmtId="174" fontId="53" fillId="3" borderId="37" xfId="0" applyFont="true" applyBorder="true" applyAlignment="true" applyProtection="true">
      <alignment horizontal="general" vertical="center" textRotation="0" wrapText="false" indent="0" shrinkToFit="false"/>
      <protection locked="true" hidden="false"/>
    </xf>
    <xf numFmtId="164" fontId="53" fillId="3" borderId="37" xfId="0" applyFont="true" applyBorder="true" applyAlignment="true" applyProtection="true">
      <alignment horizontal="general" vertical="center" textRotation="0" wrapText="false" indent="0" shrinkToFit="false"/>
      <protection locked="true" hidden="false"/>
    </xf>
    <xf numFmtId="174" fontId="29" fillId="3" borderId="66" xfId="0" applyFont="true" applyBorder="true" applyAlignment="true" applyProtection="true">
      <alignment horizontal="left" vertical="center" textRotation="0" wrapText="false" indent="0" shrinkToFit="false"/>
      <protection locked="true" hidden="false"/>
    </xf>
    <xf numFmtId="164" fontId="58" fillId="3" borderId="0" xfId="0" applyFont="true" applyBorder="false" applyAlignment="true" applyProtection="true">
      <alignment horizontal="left" vertical="center" textRotation="0" wrapText="false" indent="0" shrinkToFit="false"/>
      <protection locked="false" hidden="false"/>
    </xf>
    <xf numFmtId="164" fontId="58" fillId="3" borderId="0" xfId="0" applyFont="true" applyBorder="false" applyAlignment="true" applyProtection="true">
      <alignment horizontal="general" vertical="center" textRotation="0" wrapText="false" indent="0" shrinkToFit="false"/>
      <protection locked="false" hidden="false"/>
    </xf>
    <xf numFmtId="164" fontId="29" fillId="3" borderId="25" xfId="0" applyFont="true" applyBorder="true" applyAlignment="true" applyProtection="true">
      <alignment horizontal="left" vertical="center" textRotation="0" wrapText="false" indent="0" shrinkToFit="false"/>
      <protection locked="true" hidden="false"/>
    </xf>
    <xf numFmtId="164" fontId="53" fillId="5" borderId="0" xfId="0" applyFont="true" applyBorder="false" applyAlignment="true" applyProtection="true">
      <alignment horizontal="general" vertical="bottom" textRotation="0" wrapText="false" indent="0" shrinkToFit="false"/>
      <protection locked="false" hidden="false"/>
    </xf>
    <xf numFmtId="164" fontId="53" fillId="5" borderId="0" xfId="0" applyFont="true" applyBorder="false" applyAlignment="true" applyProtection="true">
      <alignment horizontal="center" vertical="bottom" textRotation="0" wrapText="false" indent="0" shrinkToFit="false"/>
      <protection locked="false" hidden="false"/>
    </xf>
    <xf numFmtId="164" fontId="59" fillId="3" borderId="0" xfId="0" applyFont="true" applyBorder="false" applyAlignment="true" applyProtection="true">
      <alignment horizontal="general" vertical="center" textRotation="0" wrapText="false" indent="0" shrinkToFit="false"/>
      <protection locked="false" hidden="false"/>
    </xf>
    <xf numFmtId="164" fontId="59" fillId="5" borderId="0" xfId="0" applyFont="true" applyBorder="false" applyAlignment="true" applyProtection="true">
      <alignment horizontal="general" vertical="bottom" textRotation="0" wrapText="false" indent="0" shrinkToFit="false"/>
      <protection locked="false" hidden="false"/>
    </xf>
    <xf numFmtId="167" fontId="77" fillId="3" borderId="17" xfId="0" applyFont="true" applyBorder="true" applyAlignment="true" applyProtection="true">
      <alignment horizontal="center" vertical="center" textRotation="0" wrapText="false" indent="0" shrinkToFit="false"/>
      <protection locked="true" hidden="false"/>
    </xf>
    <xf numFmtId="167" fontId="30" fillId="3" borderId="19" xfId="0" applyFont="true" applyBorder="true" applyAlignment="true" applyProtection="true">
      <alignment horizontal="general" vertical="bottom" textRotation="0" wrapText="false" indent="0" shrinkToFit="false"/>
      <protection locked="true" hidden="false"/>
    </xf>
    <xf numFmtId="164" fontId="59" fillId="5" borderId="77" xfId="0" applyFont="true" applyBorder="true" applyAlignment="true" applyProtection="true">
      <alignment horizontal="general" vertical="center" textRotation="0" wrapText="false" indent="0" shrinkToFit="false"/>
      <protection locked="false" hidden="false"/>
    </xf>
    <xf numFmtId="164" fontId="58" fillId="5" borderId="78" xfId="0" applyFont="true" applyBorder="true" applyAlignment="true" applyProtection="true">
      <alignment horizontal="general" vertical="center" textRotation="0" wrapText="false" indent="0" shrinkToFit="false"/>
      <protection locked="false" hidden="false"/>
    </xf>
    <xf numFmtId="164" fontId="58" fillId="5" borderId="79" xfId="0" applyFont="true" applyBorder="true" applyAlignment="true" applyProtection="true">
      <alignment horizontal="left" vertical="center" textRotation="0" wrapText="false" indent="0" shrinkToFit="false"/>
      <protection locked="false" hidden="false"/>
    </xf>
    <xf numFmtId="167" fontId="87" fillId="3" borderId="80" xfId="0" applyFont="true" applyBorder="true" applyAlignment="true" applyProtection="true">
      <alignment horizontal="center" vertical="center" textRotation="0" wrapText="false" indent="0" shrinkToFit="false"/>
      <protection locked="true" hidden="false"/>
    </xf>
    <xf numFmtId="164" fontId="29" fillId="3" borderId="80" xfId="0" applyFont="true" applyBorder="true" applyAlignment="true" applyProtection="true">
      <alignment horizontal="general" vertical="center" textRotation="0" wrapText="true" indent="0" shrinkToFit="false"/>
      <protection locked="true" hidden="false"/>
    </xf>
    <xf numFmtId="164" fontId="29" fillId="3" borderId="79" xfId="0" applyFont="true" applyBorder="true" applyAlignment="true" applyProtection="true">
      <alignment horizontal="general" vertical="center" textRotation="0" wrapText="false" indent="0" shrinkToFit="false"/>
      <protection locked="true" hidden="false"/>
    </xf>
    <xf numFmtId="164" fontId="29" fillId="3" borderId="79" xfId="0" applyFont="true" applyBorder="true" applyAlignment="true" applyProtection="true">
      <alignment horizontal="general" vertical="center" textRotation="0" wrapText="true" indent="0" shrinkToFit="false"/>
      <protection locked="true" hidden="false"/>
    </xf>
    <xf numFmtId="174" fontId="29" fillId="3" borderId="57" xfId="0" applyFont="true" applyBorder="true" applyAlignment="true" applyProtection="true">
      <alignment horizontal="center" vertical="center" textRotation="0" wrapText="false" indent="0" shrinkToFit="false"/>
      <protection locked="false" hidden="false"/>
    </xf>
    <xf numFmtId="164" fontId="29" fillId="3" borderId="72" xfId="0" applyFont="true" applyBorder="true" applyAlignment="true" applyProtection="true">
      <alignment horizontal="center" vertical="center" textRotation="0" wrapText="false" indent="0" shrinkToFit="false"/>
      <protection locked="false" hidden="false"/>
    </xf>
    <xf numFmtId="164" fontId="29" fillId="3" borderId="72" xfId="0" applyFont="true" applyBorder="true" applyAlignment="true" applyProtection="true">
      <alignment horizontal="center" vertical="center" textRotation="0" wrapText="false" indent="0" shrinkToFit="false"/>
      <protection locked="true" hidden="false"/>
    </xf>
    <xf numFmtId="164" fontId="29" fillId="3" borderId="73" xfId="0" applyFont="true" applyBorder="true" applyAlignment="true" applyProtection="true">
      <alignment horizontal="right" vertical="center" textRotation="0" wrapText="false" indent="0" shrinkToFit="false"/>
      <protection locked="false" hidden="false"/>
    </xf>
    <xf numFmtId="164" fontId="53" fillId="3" borderId="19" xfId="0" applyFont="true" applyBorder="true" applyAlignment="true" applyProtection="true">
      <alignment horizontal="center" vertical="center" textRotation="0" wrapText="false" indent="0" shrinkToFit="false"/>
      <protection locked="false" hidden="false"/>
    </xf>
    <xf numFmtId="176" fontId="58" fillId="5" borderId="0" xfId="0" applyFont="true" applyBorder="true" applyAlignment="true" applyProtection="true">
      <alignment horizontal="center" vertical="center" textRotation="0" wrapText="false" indent="0" shrinkToFit="false"/>
      <protection locked="false" hidden="false"/>
    </xf>
    <xf numFmtId="164" fontId="71" fillId="3" borderId="57" xfId="0" applyFont="true" applyBorder="true" applyAlignment="true" applyProtection="true">
      <alignment horizontal="general" vertical="center" textRotation="0" wrapText="false" indent="0" shrinkToFit="false"/>
      <protection locked="true" hidden="false"/>
    </xf>
    <xf numFmtId="164" fontId="58" fillId="2" borderId="59" xfId="0" applyFont="true" applyBorder="true" applyAlignment="true" applyProtection="true">
      <alignment horizontal="center" vertical="center" textRotation="0" wrapText="false" indent="0" shrinkToFit="false"/>
      <protection locked="false" hidden="false"/>
    </xf>
    <xf numFmtId="164" fontId="71" fillId="3" borderId="57" xfId="0" applyFont="true" applyBorder="true" applyAlignment="true" applyProtection="true">
      <alignment horizontal="left" vertical="center" textRotation="0" wrapText="false" indent="0" shrinkToFit="false"/>
      <protection locked="false" hidden="false"/>
    </xf>
    <xf numFmtId="167" fontId="77" fillId="3" borderId="59" xfId="0" applyFont="true" applyBorder="true" applyAlignment="true" applyProtection="true">
      <alignment horizontal="center" vertical="center" textRotation="0" wrapText="false" indent="0" shrinkToFit="false"/>
      <protection locked="true" hidden="false"/>
    </xf>
    <xf numFmtId="167" fontId="77" fillId="3" borderId="0" xfId="0" applyFont="true" applyBorder="false" applyAlignment="true" applyProtection="true">
      <alignment horizontal="center" vertical="center" textRotation="0" wrapText="false" indent="0" shrinkToFit="false"/>
      <protection locked="true" hidden="false"/>
    </xf>
    <xf numFmtId="164" fontId="30" fillId="3" borderId="93" xfId="0" applyFont="true" applyBorder="true" applyAlignment="true" applyProtection="true">
      <alignment horizontal="general" vertical="center" textRotation="0" wrapText="true" indent="0" shrinkToFit="false"/>
      <protection locked="true" hidden="false"/>
    </xf>
    <xf numFmtId="164" fontId="29" fillId="3" borderId="27" xfId="0" applyFont="true" applyBorder="true" applyAlignment="true" applyProtection="true">
      <alignment horizontal="general" vertical="center" textRotation="0" wrapText="false" indent="0" shrinkToFit="false"/>
      <protection locked="true" hidden="false"/>
    </xf>
    <xf numFmtId="167" fontId="30" fillId="3" borderId="27" xfId="0" applyFont="true" applyBorder="true" applyAlignment="true" applyProtection="true">
      <alignment horizontal="general" vertical="center" textRotation="0" wrapText="true" indent="0" shrinkToFit="false"/>
      <protection locked="true" hidden="false"/>
    </xf>
    <xf numFmtId="164" fontId="29" fillId="3" borderId="27" xfId="0" applyFont="true" applyBorder="true" applyAlignment="true" applyProtection="true">
      <alignment horizontal="general" vertical="center" textRotation="0" wrapText="true" indent="0" shrinkToFit="false"/>
      <protection locked="true" hidden="false"/>
    </xf>
    <xf numFmtId="174" fontId="30" fillId="3" borderId="20" xfId="0" applyFont="true" applyBorder="true" applyAlignment="true" applyProtection="true">
      <alignment horizontal="center" vertical="center" textRotation="0" wrapText="false" indent="0" shrinkToFit="false"/>
      <protection locked="false" hidden="false"/>
    </xf>
    <xf numFmtId="164" fontId="53" fillId="3" borderId="7" xfId="0" applyFont="true" applyBorder="true" applyAlignment="true" applyProtection="true">
      <alignment horizontal="center" vertical="center" textRotation="0" wrapText="false" indent="0" shrinkToFit="false"/>
      <protection locked="false" hidden="false"/>
    </xf>
    <xf numFmtId="164" fontId="53" fillId="3" borderId="7" xfId="0" applyFont="true" applyBorder="true" applyAlignment="true" applyProtection="true">
      <alignment horizontal="right" vertical="center" textRotation="0" wrapText="false" indent="0" shrinkToFit="false"/>
      <protection locked="false" hidden="false"/>
    </xf>
    <xf numFmtId="164" fontId="53" fillId="3" borderId="31" xfId="0" applyFont="true" applyBorder="true" applyAlignment="true" applyProtection="true">
      <alignment horizontal="center" vertical="center" textRotation="0" wrapText="false" indent="0" shrinkToFit="false"/>
      <protection locked="false" hidden="false"/>
    </xf>
    <xf numFmtId="174" fontId="96" fillId="5" borderId="0" xfId="0" applyFont="true" applyBorder="true" applyAlignment="true" applyProtection="true">
      <alignment horizontal="left" vertical="center" textRotation="0" wrapText="false" indent="0" shrinkToFit="false"/>
      <protection locked="false" hidden="false"/>
    </xf>
    <xf numFmtId="164" fontId="71" fillId="3" borderId="22" xfId="0" applyFont="true" applyBorder="true" applyAlignment="true" applyProtection="true">
      <alignment horizontal="general" vertical="center" textRotation="0" wrapText="false" indent="0" shrinkToFit="false"/>
      <protection locked="true" hidden="false"/>
    </xf>
    <xf numFmtId="164" fontId="53" fillId="2" borderId="23" xfId="0" applyFont="true" applyBorder="true" applyAlignment="true" applyProtection="true">
      <alignment horizontal="center" vertical="bottom" textRotation="0" wrapText="false" indent="0" shrinkToFit="false"/>
      <protection locked="false" hidden="false"/>
    </xf>
    <xf numFmtId="164" fontId="29" fillId="3" borderId="22" xfId="0" applyFont="true" applyBorder="true" applyAlignment="true" applyProtection="true">
      <alignment horizontal="left" vertical="bottom" textRotation="0" wrapText="false" indent="0" shrinkToFit="false"/>
      <protection locked="false" hidden="false"/>
    </xf>
    <xf numFmtId="167" fontId="77" fillId="3" borderId="23" xfId="0" applyFont="true" applyBorder="true" applyAlignment="true" applyProtection="true">
      <alignment horizontal="center" vertical="center" textRotation="0" wrapText="false" indent="0" shrinkToFit="false"/>
      <protection locked="true" hidden="false"/>
    </xf>
    <xf numFmtId="174" fontId="61" fillId="3" borderId="74" xfId="0" applyFont="true" applyBorder="true" applyAlignment="true" applyProtection="true">
      <alignment horizontal="left" vertical="center" textRotation="0" wrapText="false" indent="0" shrinkToFit="false"/>
      <protection locked="false" hidden="false"/>
    </xf>
    <xf numFmtId="164" fontId="61" fillId="3" borderId="38" xfId="0" applyFont="true" applyBorder="true" applyAlignment="true" applyProtection="true">
      <alignment horizontal="general" vertical="center" textRotation="0" wrapText="true" indent="0" shrinkToFit="false"/>
      <protection locked="false" hidden="false"/>
    </xf>
    <xf numFmtId="167" fontId="87" fillId="3" borderId="38" xfId="0" applyFont="true" applyBorder="true" applyAlignment="true" applyProtection="true">
      <alignment horizontal="center" vertical="center" textRotation="0" wrapText="false" indent="0" shrinkToFit="false"/>
      <protection locked="true" hidden="false"/>
    </xf>
    <xf numFmtId="164" fontId="29" fillId="3" borderId="38" xfId="0" applyFont="true" applyBorder="true" applyAlignment="true" applyProtection="true">
      <alignment horizontal="general" vertical="center" textRotation="0" wrapText="false" indent="0" shrinkToFit="false"/>
      <protection locked="false" hidden="false"/>
    </xf>
    <xf numFmtId="164" fontId="29" fillId="3" borderId="5" xfId="0" applyFont="true" applyBorder="true" applyAlignment="true" applyProtection="true">
      <alignment horizontal="general" vertical="bottom" textRotation="0" wrapText="false" indent="0" shrinkToFit="false"/>
      <protection locked="false" hidden="false"/>
    </xf>
    <xf numFmtId="164" fontId="96" fillId="5" borderId="23" xfId="0" applyFont="true" applyBorder="true" applyAlignment="true" applyProtection="true">
      <alignment horizontal="center" vertical="center" textRotation="0" wrapText="false" indent="0" shrinkToFit="false"/>
      <protection locked="false" hidden="false"/>
    </xf>
    <xf numFmtId="164" fontId="58" fillId="5" borderId="0" xfId="0" applyFont="true" applyBorder="true" applyAlignment="true" applyProtection="true">
      <alignment horizontal="general" vertical="center" textRotation="0" wrapText="false" indent="0" shrinkToFit="false"/>
      <protection locked="false" hidden="false"/>
    </xf>
    <xf numFmtId="164" fontId="58" fillId="5" borderId="23" xfId="0" applyFont="true" applyBorder="true" applyAlignment="true" applyProtection="true">
      <alignment horizontal="center" vertical="center" textRotation="0" wrapText="false" indent="0" shrinkToFit="false"/>
      <protection locked="false" hidden="false"/>
    </xf>
    <xf numFmtId="164" fontId="58" fillId="0" borderId="23" xfId="0" applyFont="true" applyBorder="true" applyAlignment="true" applyProtection="true">
      <alignment horizontal="center" vertical="center" textRotation="0" wrapText="false" indent="0" shrinkToFit="false"/>
      <protection locked="false" hidden="false"/>
    </xf>
    <xf numFmtId="164" fontId="30" fillId="3" borderId="93" xfId="0" applyFont="true" applyBorder="true" applyAlignment="true" applyProtection="true">
      <alignment horizontal="right" vertical="center" textRotation="0" wrapText="true" indent="0" shrinkToFit="false"/>
      <protection locked="true" hidden="false"/>
    </xf>
    <xf numFmtId="174" fontId="60" fillId="3" borderId="20" xfId="0" applyFont="true" applyBorder="true" applyAlignment="true" applyProtection="true">
      <alignment horizontal="center" vertical="center" textRotation="0" wrapText="false" indent="0" shrinkToFit="false"/>
      <protection locked="false" hidden="false"/>
    </xf>
    <xf numFmtId="164" fontId="60" fillId="3" borderId="32" xfId="0" applyFont="true" applyBorder="true" applyAlignment="true" applyProtection="true">
      <alignment horizontal="general" vertical="center" textRotation="0" wrapText="true" indent="0" shrinkToFit="false"/>
      <protection locked="false" hidden="false"/>
    </xf>
    <xf numFmtId="164" fontId="60" fillId="3" borderId="32" xfId="0" applyFont="true" applyBorder="true" applyAlignment="true" applyProtection="true">
      <alignment horizontal="center" vertical="center" textRotation="0" wrapText="false" indent="0" shrinkToFit="false"/>
      <protection locked="true" hidden="false"/>
    </xf>
    <xf numFmtId="164" fontId="53" fillId="3" borderId="16" xfId="0" applyFont="true" applyBorder="true" applyAlignment="true" applyProtection="true">
      <alignment horizontal="general" vertical="center" textRotation="0" wrapText="false" indent="0" shrinkToFit="false"/>
      <protection locked="false" hidden="false"/>
    </xf>
    <xf numFmtId="164" fontId="29" fillId="3" borderId="37" xfId="0" applyFont="true" applyBorder="true" applyAlignment="true" applyProtection="true">
      <alignment horizontal="left" vertical="center" textRotation="0" wrapText="false" indent="0" shrinkToFit="false"/>
      <protection locked="false" hidden="false"/>
    </xf>
    <xf numFmtId="167" fontId="87" fillId="3" borderId="62" xfId="0" applyFont="true" applyBorder="true" applyAlignment="true" applyProtection="true">
      <alignment horizontal="center" vertical="center" textRotation="0" wrapText="false" indent="0" shrinkToFit="false"/>
      <protection locked="true" hidden="false"/>
    </xf>
    <xf numFmtId="167" fontId="30" fillId="3" borderId="23" xfId="0" applyFont="true" applyBorder="true" applyAlignment="true" applyProtection="true">
      <alignment horizontal="center" vertical="bottom" textRotation="0" wrapText="false" indent="0" shrinkToFit="false"/>
      <protection locked="true" hidden="false"/>
    </xf>
    <xf numFmtId="164" fontId="58" fillId="5" borderId="15" xfId="0" applyFont="true" applyBorder="true" applyAlignment="true" applyProtection="true">
      <alignment horizontal="general" vertical="center" textRotation="0" wrapText="true" indent="0" shrinkToFit="false"/>
      <protection locked="false" hidden="false"/>
    </xf>
    <xf numFmtId="173" fontId="30" fillId="3" borderId="27" xfId="0" applyFont="true" applyBorder="true" applyAlignment="true" applyProtection="true">
      <alignment horizontal="general" vertical="center" textRotation="0" wrapText="true" indent="0" shrinkToFit="false"/>
      <protection locked="true" hidden="false"/>
    </xf>
    <xf numFmtId="174" fontId="60" fillId="3" borderId="20" xfId="0" applyFont="true" applyBorder="true" applyAlignment="true" applyProtection="true">
      <alignment horizontal="left" vertical="center" textRotation="0" wrapText="false" indent="0" shrinkToFit="false"/>
      <protection locked="false" hidden="false"/>
    </xf>
    <xf numFmtId="164" fontId="60" fillId="3" borderId="32" xfId="0" applyFont="true" applyBorder="true" applyAlignment="true" applyProtection="true">
      <alignment horizontal="center" vertical="center" textRotation="0" wrapText="false" indent="0" shrinkToFit="false"/>
      <protection locked="false" hidden="false"/>
    </xf>
    <xf numFmtId="164" fontId="29" fillId="3" borderId="8" xfId="0" applyFont="true" applyBorder="true" applyAlignment="true" applyProtection="true">
      <alignment horizontal="left" vertical="center" textRotation="0" wrapText="false" indent="0" shrinkToFit="false"/>
      <protection locked="false" hidden="false"/>
    </xf>
    <xf numFmtId="174" fontId="71" fillId="3" borderId="22" xfId="0" applyFont="true" applyBorder="true" applyAlignment="true" applyProtection="true">
      <alignment horizontal="left" vertical="center" textRotation="0" wrapText="false" indent="0" shrinkToFit="false"/>
      <protection locked="true" hidden="false"/>
    </xf>
    <xf numFmtId="167" fontId="77" fillId="3" borderId="23" xfId="0" applyFont="true" applyBorder="true" applyAlignment="true" applyProtection="true">
      <alignment horizontal="center" vertical="center" textRotation="0" wrapText="false" indent="0" shrinkToFit="false"/>
      <protection locked="true" hidden="false"/>
    </xf>
    <xf numFmtId="164" fontId="71" fillId="3" borderId="22" xfId="0" applyFont="true" applyBorder="true" applyAlignment="true" applyProtection="true">
      <alignment horizontal="general" vertical="center" textRotation="0" wrapText="false" indent="0" shrinkToFit="false"/>
      <protection locked="false" hidden="false"/>
    </xf>
    <xf numFmtId="186" fontId="77" fillId="3" borderId="23" xfId="0" applyFont="true" applyBorder="true" applyAlignment="true" applyProtection="true">
      <alignment horizontal="center" vertical="center" textRotation="0" wrapText="false" indent="0" shrinkToFit="false"/>
      <protection locked="true" hidden="false"/>
    </xf>
    <xf numFmtId="164" fontId="58" fillId="5" borderId="37" xfId="0" applyFont="true" applyBorder="true" applyAlignment="true" applyProtection="true">
      <alignment horizontal="general" vertical="center" textRotation="0" wrapText="true" indent="0" shrinkToFit="false"/>
      <protection locked="false" hidden="false"/>
    </xf>
    <xf numFmtId="178" fontId="60" fillId="0" borderId="23" xfId="0" applyFont="true" applyBorder="true" applyAlignment="true" applyProtection="true">
      <alignment horizontal="center" vertical="center" textRotation="0" wrapText="false" indent="0" shrinkToFit="false"/>
      <protection locked="false" hidden="false"/>
    </xf>
    <xf numFmtId="164" fontId="71" fillId="3" borderId="24" xfId="0" applyFont="true" applyBorder="true" applyAlignment="true" applyProtection="true">
      <alignment horizontal="general" vertical="center" textRotation="0" wrapText="false" indent="0" shrinkToFit="false"/>
      <protection locked="true" hidden="false"/>
    </xf>
    <xf numFmtId="173" fontId="58" fillId="0" borderId="71" xfId="0" applyFont="true" applyBorder="true" applyAlignment="true" applyProtection="true">
      <alignment horizontal="center" vertical="center" textRotation="0" wrapText="false" indent="0" shrinkToFit="false"/>
      <protection locked="false" hidden="false"/>
    </xf>
    <xf numFmtId="174" fontId="61" fillId="3" borderId="39" xfId="0" applyFont="true" applyBorder="true" applyAlignment="true" applyProtection="true">
      <alignment horizontal="left" vertical="center" textRotation="0" wrapText="false" indent="0" shrinkToFit="false"/>
      <protection locked="false" hidden="false"/>
    </xf>
    <xf numFmtId="164" fontId="71" fillId="3" borderId="33" xfId="0" applyFont="true" applyBorder="true" applyAlignment="true" applyProtection="true">
      <alignment horizontal="general" vertical="center" textRotation="0" wrapText="true" indent="0" shrinkToFit="false"/>
      <protection locked="true" hidden="false"/>
    </xf>
    <xf numFmtId="167" fontId="77" fillId="3" borderId="102" xfId="0" applyFont="true" applyBorder="true" applyAlignment="true" applyProtection="true">
      <alignment horizontal="center" vertical="center" textRotation="0" wrapText="false" indent="0" shrinkToFit="false"/>
      <protection locked="true" hidden="false"/>
    </xf>
    <xf numFmtId="164" fontId="68" fillId="3" borderId="34" xfId="0" applyFont="true" applyBorder="true" applyAlignment="true" applyProtection="true">
      <alignment horizontal="left" vertical="center" textRotation="0" wrapText="true" indent="0" shrinkToFit="false"/>
      <protection locked="true" hidden="false"/>
    </xf>
    <xf numFmtId="174" fontId="60" fillId="3" borderId="66" xfId="0" applyFont="true" applyBorder="true" applyAlignment="true" applyProtection="true">
      <alignment horizontal="left" vertical="center" textRotation="0" wrapText="false" indent="0" shrinkToFit="false"/>
      <protection locked="false" hidden="false"/>
    </xf>
    <xf numFmtId="164" fontId="53" fillId="3" borderId="60" xfId="0" applyFont="true" applyBorder="true" applyAlignment="true" applyProtection="true">
      <alignment horizontal="left" vertical="center" textRotation="0" wrapText="false" indent="0" shrinkToFit="false"/>
      <protection locked="true" hidden="false"/>
    </xf>
    <xf numFmtId="164" fontId="58" fillId="3" borderId="31" xfId="0" applyFont="true" applyBorder="true" applyAlignment="true" applyProtection="true">
      <alignment horizontal="general" vertical="center" textRotation="0" wrapText="false" indent="0" shrinkToFit="false"/>
      <protection locked="false" hidden="false"/>
    </xf>
    <xf numFmtId="167" fontId="57" fillId="3" borderId="0" xfId="0" applyFont="true" applyBorder="false" applyAlignment="true" applyProtection="true">
      <alignment horizontal="general" vertical="center" textRotation="0" wrapText="false" indent="0" shrinkToFit="false"/>
      <protection locked="false" hidden="false"/>
    </xf>
    <xf numFmtId="164" fontId="67" fillId="3" borderId="26" xfId="0" applyFont="true" applyBorder="true" applyAlignment="true" applyProtection="true">
      <alignment horizontal="general" vertical="center" textRotation="0" wrapText="true" indent="0" shrinkToFit="false"/>
      <protection locked="true" hidden="false"/>
    </xf>
    <xf numFmtId="164" fontId="59" fillId="3" borderId="0" xfId="0" applyFont="true" applyBorder="false" applyAlignment="true" applyProtection="true">
      <alignment horizontal="general" vertical="center" textRotation="0" wrapText="false" indent="0" shrinkToFit="false"/>
      <protection locked="true" hidden="false"/>
    </xf>
    <xf numFmtId="164" fontId="58" fillId="3" borderId="0" xfId="0" applyFont="true" applyBorder="false" applyAlignment="true" applyProtection="true">
      <alignment horizontal="general" vertical="center" textRotation="0" wrapText="false" indent="0" shrinkToFit="false"/>
      <protection locked="true" hidden="false"/>
    </xf>
    <xf numFmtId="164" fontId="95" fillId="3" borderId="47" xfId="0" applyFont="true" applyBorder="true" applyAlignment="true" applyProtection="true">
      <alignment horizontal="left" vertical="center" textRotation="0" wrapText="true" indent="0" shrinkToFit="false"/>
      <protection locked="true" hidden="false"/>
    </xf>
    <xf numFmtId="178" fontId="77" fillId="3" borderId="58" xfId="0" applyFont="true" applyBorder="true" applyAlignment="true" applyProtection="true">
      <alignment horizontal="center" vertical="center" textRotation="0" wrapText="false" indent="0" shrinkToFit="false"/>
      <protection locked="true" hidden="false"/>
    </xf>
    <xf numFmtId="164" fontId="95" fillId="3" borderId="17" xfId="0" applyFont="true" applyBorder="true" applyAlignment="true" applyProtection="true">
      <alignment horizontal="center" vertical="center" textRotation="0" wrapText="false" indent="0" shrinkToFit="false"/>
      <protection locked="true" hidden="false"/>
    </xf>
    <xf numFmtId="164" fontId="58" fillId="2" borderId="50" xfId="0" applyFont="true" applyBorder="true" applyAlignment="true" applyProtection="true">
      <alignment horizontal="center" vertical="center" textRotation="0" wrapText="false" indent="0" shrinkToFit="false"/>
      <protection locked="false" hidden="false"/>
    </xf>
    <xf numFmtId="174" fontId="87" fillId="3" borderId="22" xfId="0" applyFont="true" applyBorder="true" applyAlignment="true" applyProtection="true">
      <alignment horizontal="left" vertical="center" textRotation="0" wrapText="false" indent="0" shrinkToFit="false"/>
      <protection locked="false" hidden="false"/>
    </xf>
    <xf numFmtId="164" fontId="61" fillId="3" borderId="5" xfId="0" applyFont="true" applyBorder="true" applyAlignment="true" applyProtection="true">
      <alignment horizontal="left" vertical="center" textRotation="0" wrapText="false" indent="0" shrinkToFit="false"/>
      <protection locked="false" hidden="false"/>
    </xf>
    <xf numFmtId="164" fontId="58" fillId="3" borderId="5" xfId="0" applyFont="true" applyBorder="true" applyAlignment="true" applyProtection="true">
      <alignment horizontal="general" vertical="center" textRotation="0" wrapText="false" indent="0" shrinkToFit="false"/>
      <protection locked="false" hidden="false"/>
    </xf>
    <xf numFmtId="164" fontId="58" fillId="3" borderId="10" xfId="0" applyFont="true" applyBorder="true" applyAlignment="true" applyProtection="true">
      <alignment horizontal="general" vertical="center" textRotation="0" wrapText="false" indent="0" shrinkToFit="false"/>
      <protection locked="false" hidden="false"/>
    </xf>
    <xf numFmtId="164" fontId="71" fillId="3" borderId="66" xfId="0" applyFont="true" applyBorder="true" applyAlignment="true" applyProtection="true">
      <alignment horizontal="general" vertical="center" textRotation="0" wrapText="true" indent="0" shrinkToFit="false"/>
      <protection locked="true" hidden="false"/>
    </xf>
    <xf numFmtId="164" fontId="58" fillId="2" borderId="0" xfId="0" applyFont="true" applyBorder="true" applyAlignment="true" applyProtection="true">
      <alignment horizontal="center" vertical="center" textRotation="0" wrapText="false" indent="0" shrinkToFit="false"/>
      <protection locked="false" hidden="false"/>
    </xf>
    <xf numFmtId="164" fontId="58" fillId="3" borderId="20" xfId="0" applyFont="true" applyBorder="true" applyAlignment="true" applyProtection="true">
      <alignment horizontal="general" vertical="center" textRotation="0" wrapText="false" indent="0" shrinkToFit="false"/>
      <protection locked="false" hidden="false"/>
    </xf>
    <xf numFmtId="164" fontId="29" fillId="3" borderId="5" xfId="0" applyFont="true" applyBorder="true" applyAlignment="true" applyProtection="true">
      <alignment horizontal="left" vertical="center" textRotation="0" wrapText="false" indent="0" shrinkToFit="false"/>
      <protection locked="false" hidden="false"/>
    </xf>
    <xf numFmtId="164" fontId="58" fillId="3" borderId="35" xfId="0" applyFont="true" applyBorder="true" applyAlignment="true" applyProtection="true">
      <alignment horizontal="general" vertical="center" textRotation="0" wrapText="false" indent="0" shrinkToFit="false"/>
      <protection locked="false" hidden="false"/>
    </xf>
    <xf numFmtId="164" fontId="58" fillId="3" borderId="9" xfId="0" applyFont="true" applyBorder="true" applyAlignment="true" applyProtection="true">
      <alignment horizontal="general" vertical="center" textRotation="0" wrapText="false" indent="0" shrinkToFit="false"/>
      <protection locked="false" hidden="false"/>
    </xf>
    <xf numFmtId="164" fontId="58" fillId="3" borderId="101" xfId="0" applyFont="true" applyBorder="true" applyAlignment="true" applyProtection="true">
      <alignment horizontal="general" vertical="center" textRotation="0" wrapText="false" indent="0" shrinkToFit="false"/>
      <protection locked="false" hidden="false"/>
    </xf>
    <xf numFmtId="164" fontId="71" fillId="3" borderId="22" xfId="0" applyFont="true" applyBorder="true" applyAlignment="true" applyProtection="true">
      <alignment horizontal="general" vertical="center" textRotation="0" wrapText="true" indent="0" shrinkToFit="false"/>
      <protection locked="true" hidden="false"/>
    </xf>
    <xf numFmtId="167" fontId="77" fillId="3" borderId="7" xfId="0" applyFont="true" applyBorder="true" applyAlignment="true" applyProtection="true">
      <alignment horizontal="center" vertical="center" textRotation="0" wrapText="false" indent="0" shrinkToFit="false"/>
      <protection locked="true" hidden="false"/>
    </xf>
    <xf numFmtId="174" fontId="87" fillId="3" borderId="22" xfId="0" applyFont="true" applyBorder="true" applyAlignment="true" applyProtection="true">
      <alignment horizontal="left" vertical="center" textRotation="0" wrapText="false" indent="0" shrinkToFit="false"/>
      <protection locked="true" hidden="false"/>
    </xf>
    <xf numFmtId="164" fontId="29" fillId="3" borderId="7" xfId="0" applyFont="true" applyBorder="true" applyAlignment="true" applyProtection="true">
      <alignment horizontal="left" vertical="center" textRotation="0" wrapText="false" indent="0" shrinkToFit="false"/>
      <protection locked="false" hidden="false"/>
    </xf>
    <xf numFmtId="164" fontId="53" fillId="3" borderId="10" xfId="0" applyFont="true" applyBorder="true" applyAlignment="true" applyProtection="true">
      <alignment horizontal="center" vertical="center" textRotation="0" wrapText="false" indent="0" shrinkToFit="false"/>
      <protection locked="false" hidden="false"/>
    </xf>
    <xf numFmtId="178" fontId="77" fillId="3" borderId="7" xfId="0" applyFont="true" applyBorder="true" applyAlignment="true" applyProtection="true">
      <alignment horizontal="center" vertical="center" textRotation="0" wrapText="false" indent="0" shrinkToFit="false"/>
      <protection locked="true" hidden="false"/>
    </xf>
    <xf numFmtId="164" fontId="29" fillId="3" borderId="7" xfId="0" applyFont="true" applyBorder="true" applyAlignment="true" applyProtection="true">
      <alignment horizontal="left" vertical="center" textRotation="0" wrapText="true" indent="0" shrinkToFit="false"/>
      <protection locked="false" hidden="false"/>
    </xf>
    <xf numFmtId="174" fontId="95" fillId="3" borderId="24" xfId="0" applyFont="true" applyBorder="true" applyAlignment="true" applyProtection="true">
      <alignment horizontal="left" vertical="center" textRotation="0" wrapText="false" indent="0" shrinkToFit="false"/>
      <protection locked="true" hidden="false"/>
    </xf>
    <xf numFmtId="167" fontId="77" fillId="3" borderId="71" xfId="0" applyFont="true" applyBorder="true" applyAlignment="true" applyProtection="true">
      <alignment horizontal="center" vertical="center" textRotation="0" wrapText="false" indent="0" shrinkToFit="false"/>
      <protection locked="true" hidden="false"/>
    </xf>
    <xf numFmtId="164" fontId="95" fillId="3" borderId="24" xfId="0" applyFont="true" applyBorder="true" applyAlignment="true" applyProtection="true">
      <alignment horizontal="center" vertical="center" textRotation="0" wrapText="false" indent="0" shrinkToFit="false"/>
      <protection locked="true" hidden="false"/>
    </xf>
    <xf numFmtId="164" fontId="29" fillId="3" borderId="11" xfId="0" applyFont="true" applyBorder="true" applyAlignment="true" applyProtection="true">
      <alignment horizontal="general" vertical="center" textRotation="0" wrapText="false" indent="0" shrinkToFit="false"/>
      <protection locked="false" hidden="false"/>
    </xf>
    <xf numFmtId="164" fontId="29" fillId="3" borderId="11" xfId="0" applyFont="true" applyBorder="true" applyAlignment="true" applyProtection="true">
      <alignment horizontal="left" vertical="center" textRotation="0" wrapText="true" indent="0" shrinkToFit="false"/>
      <protection locked="false" hidden="false"/>
    </xf>
    <xf numFmtId="164" fontId="71" fillId="3" borderId="5" xfId="0" applyFont="true" applyBorder="true" applyAlignment="true" applyProtection="false">
      <alignment horizontal="general" vertical="bottom" textRotation="0" wrapText="false" indent="0" shrinkToFit="false"/>
      <protection locked="true" hidden="false"/>
    </xf>
    <xf numFmtId="164" fontId="71" fillId="3" borderId="5" xfId="0" applyFont="true" applyBorder="true" applyAlignment="true" applyProtection="false">
      <alignment horizontal="center" vertical="bottom" textRotation="0" wrapText="false" indent="0" shrinkToFit="false"/>
      <protection locked="true" hidden="false"/>
    </xf>
    <xf numFmtId="164" fontId="71" fillId="3" borderId="5" xfId="0" applyFont="true" applyBorder="true" applyAlignment="true" applyProtection="true">
      <alignment horizontal="center" vertical="center" textRotation="0" wrapText="false" indent="0" shrinkToFit="false"/>
      <protection locked="false" hidden="false"/>
    </xf>
    <xf numFmtId="164" fontId="53" fillId="3" borderId="6" xfId="0" applyFont="true" applyBorder="true" applyAlignment="true" applyProtection="true">
      <alignment horizontal="general" vertical="center" textRotation="0" wrapText="false" indent="0" shrinkToFit="false"/>
      <protection locked="false" hidden="false"/>
    </xf>
    <xf numFmtId="164" fontId="53" fillId="3" borderId="6" xfId="0" applyFont="true" applyBorder="true" applyAlignment="true" applyProtection="true">
      <alignment horizontal="left" vertical="center" textRotation="0" wrapText="true" indent="0" shrinkToFit="false"/>
      <protection locked="false" hidden="false"/>
    </xf>
    <xf numFmtId="166" fontId="77" fillId="3" borderId="5" xfId="0" applyFont="true" applyBorder="true" applyAlignment="true" applyProtection="true">
      <alignment horizontal="center" vertical="center" textRotation="0" wrapText="false" indent="0" shrinkToFit="false"/>
      <protection locked="false" hidden="false"/>
    </xf>
    <xf numFmtId="164" fontId="61" fillId="3" borderId="5" xfId="0" applyFont="true" applyBorder="true" applyAlignment="true" applyProtection="true">
      <alignment horizontal="left" vertical="center" textRotation="0" wrapText="true" indent="0" shrinkToFit="false"/>
      <protection locked="false" hidden="false"/>
    </xf>
    <xf numFmtId="164" fontId="53" fillId="3" borderId="10" xfId="0" applyFont="true" applyBorder="true" applyAlignment="true" applyProtection="true">
      <alignment horizontal="center" vertical="center" textRotation="0" wrapText="true" indent="0" shrinkToFit="false"/>
      <protection locked="false" hidden="false"/>
    </xf>
    <xf numFmtId="164" fontId="53" fillId="3" borderId="31" xfId="0" applyFont="true" applyBorder="true" applyAlignment="true" applyProtection="true">
      <alignment horizontal="center" vertical="center" textRotation="0" wrapText="true" indent="0" shrinkToFit="false"/>
      <protection locked="false" hidden="false"/>
    </xf>
    <xf numFmtId="186" fontId="30" fillId="3" borderId="27" xfId="0" applyFont="true" applyBorder="true" applyAlignment="true" applyProtection="true">
      <alignment horizontal="general" vertical="center" textRotation="0" wrapText="true" indent="0" shrinkToFit="false"/>
      <protection locked="true" hidden="false"/>
    </xf>
    <xf numFmtId="174" fontId="87" fillId="3" borderId="65" xfId="0" applyFont="true" applyBorder="true" applyAlignment="true" applyProtection="true">
      <alignment horizontal="general" vertical="center" textRotation="0" wrapText="false" indent="0" shrinkToFit="false"/>
      <protection locked="false" hidden="false"/>
    </xf>
    <xf numFmtId="164" fontId="61" fillId="3" borderId="11" xfId="0" applyFont="true" applyBorder="true" applyAlignment="true" applyProtection="true">
      <alignment horizontal="general" vertical="center" textRotation="0" wrapText="true" indent="0" shrinkToFit="false"/>
      <protection locked="false" hidden="false"/>
    </xf>
    <xf numFmtId="174" fontId="60" fillId="3" borderId="68" xfId="0" applyFont="true" applyBorder="true" applyAlignment="true" applyProtection="true">
      <alignment horizontal="general" vertical="center" textRotation="0" wrapText="false" indent="0" shrinkToFit="false"/>
      <protection locked="false" hidden="false"/>
    </xf>
    <xf numFmtId="164" fontId="60" fillId="3" borderId="16" xfId="0" applyFont="true" applyBorder="true" applyAlignment="true" applyProtection="true">
      <alignment horizontal="general" vertical="center" textRotation="0" wrapText="true" indent="0" shrinkToFit="false"/>
      <protection locked="false" hidden="false"/>
    </xf>
    <xf numFmtId="164" fontId="30" fillId="3" borderId="16" xfId="0" applyFont="true" applyBorder="true" applyAlignment="true" applyProtection="true">
      <alignment horizontal="left" vertical="center" textRotation="0" wrapText="true" indent="0" shrinkToFit="false"/>
      <protection locked="false" hidden="false"/>
    </xf>
    <xf numFmtId="174" fontId="60" fillId="3" borderId="66" xfId="0" applyFont="true" applyBorder="true" applyAlignment="true" applyProtection="true">
      <alignment horizontal="general" vertical="center" textRotation="0" wrapText="false" indent="0" shrinkToFit="false"/>
      <protection locked="false" hidden="false"/>
    </xf>
    <xf numFmtId="164" fontId="60" fillId="3" borderId="6" xfId="0" applyFont="true" applyBorder="true" applyAlignment="true" applyProtection="true">
      <alignment horizontal="general" vertical="center" textRotation="0" wrapText="true" indent="0" shrinkToFit="false"/>
      <protection locked="false" hidden="false"/>
    </xf>
    <xf numFmtId="174" fontId="87" fillId="3" borderId="24" xfId="0" applyFont="true" applyBorder="true" applyAlignment="true" applyProtection="true">
      <alignment horizontal="left" vertical="center" textRotation="0" wrapText="false" indent="0" shrinkToFit="false"/>
      <protection locked="false" hidden="false"/>
    </xf>
    <xf numFmtId="164" fontId="61" fillId="3" borderId="25" xfId="0" applyFont="true" applyBorder="true" applyAlignment="true" applyProtection="true">
      <alignment horizontal="left" vertical="center" textRotation="0" wrapText="false" indent="0" shrinkToFit="false"/>
      <protection locked="false" hidden="false"/>
    </xf>
    <xf numFmtId="164" fontId="29" fillId="3" borderId="25" xfId="0" applyFont="true" applyBorder="true" applyAlignment="true" applyProtection="true">
      <alignment horizontal="general" vertical="center" textRotation="0" wrapText="false" indent="0" shrinkToFit="false"/>
      <protection locked="false" hidden="false"/>
    </xf>
    <xf numFmtId="164" fontId="29" fillId="3" borderId="25" xfId="0" applyFont="true" applyBorder="true" applyAlignment="true" applyProtection="true">
      <alignment horizontal="left" vertical="center" textRotation="0" wrapText="false" indent="0" shrinkToFit="false"/>
      <protection locked="false" hidden="false"/>
    </xf>
    <xf numFmtId="164" fontId="53" fillId="3" borderId="5" xfId="0" applyFont="true" applyBorder="true" applyAlignment="true" applyProtection="true">
      <alignment horizontal="center" vertical="bottom" textRotation="0" wrapText="false" indent="0" shrinkToFit="false"/>
      <protection locked="true" hidden="false"/>
    </xf>
    <xf numFmtId="164" fontId="71" fillId="3" borderId="5" xfId="0" applyFont="true" applyBorder="true" applyAlignment="true" applyProtection="true">
      <alignment horizontal="left" vertical="bottom" textRotation="0" wrapText="false" indent="0" shrinkToFit="false"/>
      <protection locked="true" hidden="false"/>
    </xf>
    <xf numFmtId="185" fontId="77" fillId="3" borderId="5" xfId="0" applyFont="true" applyBorder="true" applyAlignment="true" applyProtection="true">
      <alignment horizontal="center" vertical="bottom" textRotation="0" wrapText="false" indent="0" shrinkToFit="false"/>
      <protection locked="true" hidden="false"/>
    </xf>
    <xf numFmtId="164" fontId="71" fillId="3" borderId="5" xfId="0" applyFont="true" applyBorder="true" applyAlignment="true" applyProtection="true">
      <alignment horizontal="general" vertical="center" textRotation="0" wrapText="true" indent="0" shrinkToFit="false"/>
      <protection locked="true" hidden="false"/>
    </xf>
    <xf numFmtId="178" fontId="87" fillId="3" borderId="5" xfId="0" applyFont="true" applyBorder="true" applyAlignment="true" applyProtection="true">
      <alignment horizontal="center" vertical="center" textRotation="0" wrapText="false" indent="0" shrinkToFit="false"/>
      <protection locked="true" hidden="false"/>
    </xf>
    <xf numFmtId="164" fontId="61" fillId="3" borderId="5" xfId="0" applyFont="true" applyBorder="true" applyAlignment="true" applyProtection="true">
      <alignment horizontal="left" vertical="bottom" textRotation="0" wrapText="false" indent="0" shrinkToFit="false"/>
      <protection locked="true" hidden="false"/>
    </xf>
    <xf numFmtId="164" fontId="60" fillId="3" borderId="5" xfId="0" applyFont="true" applyBorder="true" applyAlignment="true" applyProtection="true">
      <alignment horizontal="center" vertical="bottom" textRotation="0" wrapText="false" indent="0" shrinkToFit="false"/>
      <protection locked="true" hidden="false"/>
    </xf>
    <xf numFmtId="164" fontId="115" fillId="3" borderId="5" xfId="0" applyFont="true" applyBorder="true" applyAlignment="true" applyProtection="true">
      <alignment horizontal="left" vertical="bottom" textRotation="0" wrapText="false" indent="0" shrinkToFit="false"/>
      <protection locked="true" hidden="false"/>
    </xf>
    <xf numFmtId="164" fontId="83" fillId="3" borderId="5" xfId="0" applyFont="true" applyBorder="true" applyAlignment="true" applyProtection="true">
      <alignment horizontal="center" vertical="bottom" textRotation="0" wrapText="false" indent="0" shrinkToFit="false"/>
      <protection locked="true" hidden="false"/>
    </xf>
    <xf numFmtId="184" fontId="87" fillId="3" borderId="5" xfId="0" applyFont="true" applyBorder="true" applyAlignment="true" applyProtection="true">
      <alignment horizontal="right" vertical="center" textRotation="0" wrapText="false" indent="0" shrinkToFit="false"/>
      <protection locked="true" hidden="false"/>
    </xf>
    <xf numFmtId="167" fontId="97" fillId="3" borderId="0" xfId="0" applyFont="true" applyBorder="true" applyAlignment="true" applyProtection="true">
      <alignment horizontal="general" vertical="center" textRotation="0" wrapText="false" indent="0" shrinkToFit="false"/>
      <protection locked="true" hidden="false"/>
    </xf>
    <xf numFmtId="174" fontId="71" fillId="3" borderId="0" xfId="0" applyFont="true" applyBorder="true" applyAlignment="true" applyProtection="true">
      <alignment horizontal="general" vertical="bottom" textRotation="0" wrapText="false" indent="0" shrinkToFit="false"/>
      <protection locked="true" hidden="false"/>
    </xf>
    <xf numFmtId="167" fontId="30" fillId="3" borderId="0" xfId="0" applyFont="true" applyBorder="false" applyAlignment="true" applyProtection="true">
      <alignment horizontal="general" vertical="bottom" textRotation="0" wrapText="false" indent="0" shrinkToFit="false"/>
      <protection locked="true" hidden="false"/>
    </xf>
    <xf numFmtId="164" fontId="29" fillId="3" borderId="0" xfId="0" applyFont="true" applyBorder="false" applyAlignment="true" applyProtection="true">
      <alignment horizontal="general" vertical="bottom" textRotation="0" wrapText="false" indent="0" shrinkToFit="false"/>
      <protection locked="false" hidden="false"/>
    </xf>
    <xf numFmtId="174" fontId="61" fillId="3" borderId="99" xfId="0" applyFont="true" applyBorder="true" applyAlignment="true" applyProtection="true">
      <alignment horizontal="left" vertical="center" textRotation="0" wrapText="false" indent="0" shrinkToFit="false"/>
      <protection locked="false" hidden="false"/>
    </xf>
    <xf numFmtId="164" fontId="112" fillId="3" borderId="8" xfId="0" applyFont="true" applyBorder="true" applyAlignment="true" applyProtection="true">
      <alignment horizontal="right" vertical="center" textRotation="0" wrapText="true" indent="0" shrinkToFit="false"/>
      <protection locked="true" hidden="false"/>
    </xf>
    <xf numFmtId="164" fontId="63" fillId="0" borderId="0" xfId="27" applyFont="true" applyBorder="false" applyAlignment="true" applyProtection="false">
      <alignment horizontal="left" vertical="bottom" textRotation="0" wrapText="false" indent="0" shrinkToFit="false"/>
      <protection locked="true" hidden="false"/>
    </xf>
    <xf numFmtId="164" fontId="63" fillId="0" borderId="0" xfId="27" applyFont="true" applyBorder="false" applyAlignment="true" applyProtection="true">
      <alignment horizontal="left" vertical="bottom" textRotation="0" wrapText="false" indent="0" shrinkToFit="false"/>
      <protection locked="false" hidden="false"/>
    </xf>
    <xf numFmtId="164" fontId="63" fillId="0" borderId="0" xfId="27" applyFont="true" applyBorder="false" applyAlignment="true" applyProtection="true">
      <alignment horizontal="left" vertical="bottom" textRotation="0" wrapText="false" indent="0" shrinkToFit="false"/>
      <protection locked="false" hidden="false"/>
    </xf>
    <xf numFmtId="164" fontId="63" fillId="0" borderId="0" xfId="27" applyFont="true" applyBorder="false" applyAlignment="true" applyProtection="true">
      <alignment horizontal="left" vertical="center" textRotation="0" wrapText="false" indent="0" shrinkToFit="false"/>
      <protection locked="false" hidden="false"/>
    </xf>
    <xf numFmtId="174" fontId="49" fillId="3" borderId="9" xfId="27" applyFont="true" applyBorder="true" applyAlignment="true" applyProtection="true">
      <alignment horizontal="general" vertical="bottom" textRotation="0" wrapText="false" indent="0" shrinkToFit="false"/>
      <protection locked="true" hidden="false"/>
    </xf>
    <xf numFmtId="164" fontId="118" fillId="3" borderId="0" xfId="27" applyFont="true" applyBorder="false" applyAlignment="true" applyProtection="true">
      <alignment horizontal="center" vertical="center" textRotation="0" wrapText="false" indent="0" shrinkToFit="false"/>
      <protection locked="true" hidden="false"/>
    </xf>
    <xf numFmtId="164" fontId="71" fillId="3" borderId="0" xfId="27" applyFont="true" applyBorder="true" applyAlignment="true" applyProtection="true">
      <alignment horizontal="general" vertical="center" textRotation="0" wrapText="false" indent="0" shrinkToFit="false"/>
      <protection locked="true" hidden="false"/>
    </xf>
    <xf numFmtId="174" fontId="5" fillId="3" borderId="0" xfId="27" applyFont="true" applyBorder="true" applyAlignment="true" applyProtection="true">
      <alignment horizontal="center" vertical="bottom" textRotation="0" wrapText="false" indent="0" shrinkToFit="false"/>
      <protection locked="true" hidden="false"/>
    </xf>
    <xf numFmtId="164" fontId="5" fillId="3" borderId="0" xfId="27" applyFont="true" applyBorder="true" applyAlignment="true" applyProtection="true">
      <alignment horizontal="center" vertical="bottom" textRotation="0" wrapText="false" indent="0" shrinkToFit="false"/>
      <protection locked="true" hidden="false"/>
    </xf>
    <xf numFmtId="164" fontId="5" fillId="0" borderId="0" xfId="27" applyFont="true" applyBorder="true" applyAlignment="true" applyProtection="true">
      <alignment horizontal="center" vertical="bottom" textRotation="0" wrapText="false" indent="0" shrinkToFit="false"/>
      <protection locked="false" hidden="false"/>
    </xf>
    <xf numFmtId="164" fontId="95" fillId="2" borderId="17" xfId="27" applyFont="true" applyBorder="true" applyAlignment="true" applyProtection="true">
      <alignment horizontal="general" vertical="center" textRotation="0" wrapText="false" indent="0" shrinkToFit="false"/>
      <protection locked="false" hidden="false"/>
    </xf>
    <xf numFmtId="164" fontId="95" fillId="2" borderId="18" xfId="27" applyFont="true" applyBorder="true" applyAlignment="true" applyProtection="true">
      <alignment horizontal="general" vertical="center" textRotation="0" wrapText="false" indent="0" shrinkToFit="false"/>
      <protection locked="false" hidden="false"/>
    </xf>
    <xf numFmtId="164" fontId="95" fillId="2" borderId="19" xfId="27" applyFont="true" applyBorder="true" applyAlignment="true" applyProtection="true">
      <alignment horizontal="general" vertical="center" textRotation="0" wrapText="false" indent="0" shrinkToFit="false"/>
      <protection locked="false" hidden="false"/>
    </xf>
    <xf numFmtId="164" fontId="71" fillId="0" borderId="0" xfId="27" applyFont="true" applyBorder="false" applyAlignment="true" applyProtection="true">
      <alignment horizontal="left" vertical="center" textRotation="0" wrapText="false" indent="0" shrinkToFit="false"/>
      <protection locked="false" hidden="false"/>
    </xf>
    <xf numFmtId="185" fontId="87" fillId="3" borderId="5" xfId="27" applyFont="true" applyBorder="true" applyAlignment="true" applyProtection="true">
      <alignment horizontal="right" vertical="center" textRotation="0" wrapText="false" indent="0" shrinkToFit="false"/>
      <protection locked="true" hidden="false"/>
    </xf>
    <xf numFmtId="164" fontId="71" fillId="2" borderId="0" xfId="27" applyFont="true" applyBorder="true" applyAlignment="true" applyProtection="true">
      <alignment horizontal="general" vertical="center" textRotation="0" wrapText="false" indent="0" shrinkToFit="false"/>
      <protection locked="false" hidden="false"/>
    </xf>
    <xf numFmtId="170" fontId="71" fillId="0" borderId="0" xfId="27" applyFont="true" applyBorder="true" applyAlignment="true" applyProtection="true">
      <alignment horizontal="general" vertical="bottom" textRotation="0" wrapText="false" indent="0" shrinkToFit="false"/>
      <protection locked="false" hidden="false"/>
    </xf>
    <xf numFmtId="174" fontId="95" fillId="3" borderId="0" xfId="27" applyFont="true" applyBorder="true" applyAlignment="true" applyProtection="true">
      <alignment horizontal="general" vertical="bottom" textRotation="0" wrapText="false" indent="0" shrinkToFit="false"/>
      <protection locked="true" hidden="false"/>
    </xf>
    <xf numFmtId="174" fontId="95" fillId="0" borderId="0" xfId="27" applyFont="true" applyBorder="true" applyAlignment="true" applyProtection="true">
      <alignment horizontal="general" vertical="bottom" textRotation="0" wrapText="false" indent="0" shrinkToFit="false"/>
      <protection locked="false" hidden="false"/>
    </xf>
    <xf numFmtId="164" fontId="71" fillId="0" borderId="0" xfId="27" applyFont="true" applyBorder="false" applyAlignment="true" applyProtection="true">
      <alignment horizontal="left" vertical="bottom" textRotation="0" wrapText="false" indent="0" shrinkToFit="false"/>
      <protection locked="false" hidden="false"/>
    </xf>
    <xf numFmtId="164" fontId="95" fillId="11" borderId="66" xfId="27" applyFont="true" applyBorder="true" applyAlignment="true" applyProtection="true">
      <alignment horizontal="general" vertical="center" textRotation="0" wrapText="false" indent="0" shrinkToFit="false"/>
      <protection locked="false" hidden="false"/>
    </xf>
    <xf numFmtId="164" fontId="95" fillId="0" borderId="5" xfId="27" applyFont="true" applyBorder="true" applyAlignment="true" applyProtection="true">
      <alignment horizontal="left" vertical="center" textRotation="0" wrapText="false" indent="0" shrinkToFit="false"/>
      <protection locked="false" hidden="false"/>
    </xf>
    <xf numFmtId="164" fontId="95" fillId="0" borderId="23" xfId="27" applyFont="true" applyBorder="true" applyAlignment="true" applyProtection="true">
      <alignment horizontal="left" vertical="center" textRotation="0" wrapText="false" indent="0" shrinkToFit="false"/>
      <protection locked="false" hidden="false"/>
    </xf>
    <xf numFmtId="164" fontId="95" fillId="3" borderId="23" xfId="27" applyFont="true" applyBorder="true" applyAlignment="true" applyProtection="true">
      <alignment horizontal="left" vertical="center" textRotation="0" wrapText="false" indent="0" shrinkToFit="false"/>
      <protection locked="false" hidden="false"/>
    </xf>
    <xf numFmtId="164" fontId="71" fillId="0" borderId="0" xfId="27" applyFont="true" applyBorder="false" applyAlignment="true" applyProtection="false">
      <alignment horizontal="left" vertical="bottom" textRotation="0" wrapText="false" indent="0" shrinkToFit="false"/>
      <protection locked="true" hidden="false"/>
    </xf>
    <xf numFmtId="164" fontId="95" fillId="3" borderId="11" xfId="22" applyFont="true" applyBorder="true" applyAlignment="true" applyProtection="true">
      <alignment horizontal="general" vertical="center" textRotation="0" wrapText="false" indent="0" shrinkToFit="false"/>
      <protection locked="true" hidden="false"/>
    </xf>
    <xf numFmtId="167" fontId="87" fillId="3" borderId="11" xfId="27" applyFont="true" applyBorder="true" applyAlignment="true" applyProtection="true">
      <alignment horizontal="right" vertical="center" textRotation="0" wrapText="false" indent="0" shrinkToFit="false"/>
      <protection locked="true" hidden="false"/>
    </xf>
    <xf numFmtId="174" fontId="71" fillId="3" borderId="0" xfId="27" applyFont="true" applyBorder="true" applyAlignment="true" applyProtection="true">
      <alignment horizontal="general" vertical="bottom" textRotation="0" wrapText="false" indent="0" shrinkToFit="false"/>
      <protection locked="true" hidden="false"/>
    </xf>
    <xf numFmtId="164" fontId="95" fillId="3" borderId="22" xfId="27" applyFont="true" applyBorder="true" applyAlignment="true" applyProtection="true">
      <alignment horizontal="left" vertical="center" textRotation="0" wrapText="false" indent="0" shrinkToFit="false"/>
      <protection locked="false" hidden="false"/>
    </xf>
    <xf numFmtId="175" fontId="29" fillId="0" borderId="5" xfId="22" applyFont="true" applyBorder="true" applyAlignment="true" applyProtection="true">
      <alignment horizontal="left" vertical="center" textRotation="0" wrapText="false" indent="0" shrinkToFit="false"/>
      <protection locked="false" hidden="true"/>
    </xf>
    <xf numFmtId="175" fontId="29" fillId="0" borderId="23" xfId="22" applyFont="true" applyBorder="true" applyAlignment="true" applyProtection="true">
      <alignment horizontal="left" vertical="center" textRotation="0" wrapText="false" indent="0" shrinkToFit="false"/>
      <protection locked="false" hidden="true"/>
    </xf>
    <xf numFmtId="175" fontId="77" fillId="3" borderId="23" xfId="27" applyFont="true" applyBorder="true" applyAlignment="true" applyProtection="true">
      <alignment horizontal="left" vertical="center" textRotation="0" wrapText="false" indent="0" shrinkToFit="false"/>
      <protection locked="false" hidden="false"/>
    </xf>
    <xf numFmtId="164" fontId="71" fillId="3" borderId="5" xfId="27" applyFont="true" applyBorder="true" applyAlignment="true" applyProtection="true">
      <alignment horizontal="general" vertical="center" textRotation="0" wrapText="false" indent="0" shrinkToFit="false"/>
      <protection locked="true" hidden="false"/>
    </xf>
    <xf numFmtId="164" fontId="71" fillId="0" borderId="5" xfId="27" applyFont="true" applyBorder="true" applyAlignment="true" applyProtection="true">
      <alignment horizontal="left" vertical="center" textRotation="0" wrapText="false" indent="0" shrinkToFit="false"/>
      <protection locked="false" hidden="false"/>
    </xf>
    <xf numFmtId="164" fontId="71" fillId="0" borderId="11" xfId="27" applyFont="true" applyBorder="true" applyAlignment="true" applyProtection="true">
      <alignment horizontal="left" vertical="center" textRotation="0" wrapText="false" indent="0" shrinkToFit="false"/>
      <protection locked="false" hidden="false"/>
    </xf>
    <xf numFmtId="164" fontId="71" fillId="0" borderId="63" xfId="27" applyFont="true" applyBorder="true" applyAlignment="true" applyProtection="true">
      <alignment horizontal="left" vertical="center" textRotation="0" wrapText="false" indent="0" shrinkToFit="false"/>
      <protection locked="false" hidden="false"/>
    </xf>
    <xf numFmtId="167" fontId="77" fillId="3" borderId="63" xfId="27" applyFont="true" applyBorder="true" applyAlignment="true" applyProtection="true">
      <alignment horizontal="left" vertical="center" textRotation="0" wrapText="false" indent="0" shrinkToFit="false"/>
      <protection locked="false" hidden="false"/>
    </xf>
    <xf numFmtId="164" fontId="95" fillId="3" borderId="0" xfId="22" applyFont="true" applyBorder="true" applyAlignment="true" applyProtection="true">
      <alignment horizontal="general" vertical="center" textRotation="0" wrapText="false" indent="0" shrinkToFit="false"/>
      <protection locked="true" hidden="false"/>
    </xf>
    <xf numFmtId="164" fontId="29" fillId="0" borderId="25" xfId="27" applyFont="true" applyBorder="true" applyAlignment="true" applyProtection="true">
      <alignment horizontal="left" vertical="center" textRotation="0" wrapText="false" indent="0" shrinkToFit="false"/>
      <protection locked="false" hidden="false"/>
    </xf>
    <xf numFmtId="164" fontId="71" fillId="3" borderId="32" xfId="27" applyFont="true" applyBorder="true" applyAlignment="true" applyProtection="true">
      <alignment horizontal="general" vertical="center" textRotation="0" wrapText="false" indent="0" shrinkToFit="false"/>
      <protection locked="true" hidden="false"/>
    </xf>
    <xf numFmtId="164" fontId="61" fillId="3" borderId="99" xfId="27" applyFont="true" applyBorder="true" applyAlignment="true" applyProtection="true">
      <alignment horizontal="general" vertical="center" textRotation="0" wrapText="false" indent="0" shrinkToFit="false"/>
      <protection locked="false" hidden="false"/>
    </xf>
    <xf numFmtId="164" fontId="61" fillId="3" borderId="10" xfId="27" applyFont="true" applyBorder="true" applyAlignment="true" applyProtection="true">
      <alignment horizontal="general" vertical="center" textRotation="0" wrapText="false" indent="0" shrinkToFit="false"/>
      <protection locked="false" hidden="false"/>
    </xf>
    <xf numFmtId="164" fontId="95" fillId="3" borderId="10" xfId="27" applyFont="true" applyBorder="true" applyAlignment="true" applyProtection="true">
      <alignment horizontal="general" vertical="center" textRotation="0" wrapText="false" indent="0" shrinkToFit="false"/>
      <protection locked="false" hidden="false"/>
    </xf>
    <xf numFmtId="164" fontId="61" fillId="3" borderId="33" xfId="27" applyFont="true" applyBorder="true" applyAlignment="true" applyProtection="false">
      <alignment horizontal="left" vertical="center" textRotation="0" wrapText="false" indent="0" shrinkToFit="false"/>
      <protection locked="true" hidden="false"/>
    </xf>
    <xf numFmtId="164" fontId="95" fillId="0" borderId="85" xfId="27" applyFont="true" applyBorder="true" applyAlignment="true" applyProtection="true">
      <alignment horizontal="left" vertical="center" textRotation="0" wrapText="false" indent="0" shrinkToFit="false"/>
      <protection locked="false" hidden="false"/>
    </xf>
    <xf numFmtId="164" fontId="95" fillId="3" borderId="78" xfId="27" applyFont="true" applyBorder="true" applyAlignment="true" applyProtection="false">
      <alignment horizontal="general" vertical="center" textRotation="0" wrapText="false" indent="0" shrinkToFit="false"/>
      <protection locked="true" hidden="false"/>
    </xf>
    <xf numFmtId="164" fontId="95" fillId="3" borderId="79" xfId="27" applyFont="true" applyBorder="true" applyAlignment="true" applyProtection="false">
      <alignment horizontal="general" vertical="center" textRotation="0" wrapText="false" indent="0" shrinkToFit="false"/>
      <protection locked="true" hidden="false"/>
    </xf>
    <xf numFmtId="164" fontId="95" fillId="0" borderId="0" xfId="27" applyFont="true" applyBorder="true" applyAlignment="true" applyProtection="true">
      <alignment horizontal="general" vertical="center" textRotation="0" wrapText="false" indent="0" shrinkToFit="false"/>
      <protection locked="false" hidden="false"/>
    </xf>
    <xf numFmtId="164" fontId="97" fillId="3" borderId="22" xfId="27" applyFont="true" applyBorder="true" applyAlignment="true" applyProtection="true">
      <alignment horizontal="left" vertical="center" textRotation="0" wrapText="true" indent="0" shrinkToFit="false"/>
      <protection locked="false" hidden="false"/>
    </xf>
    <xf numFmtId="164" fontId="95" fillId="3" borderId="5" xfId="27" applyFont="true" applyBorder="true" applyAlignment="true" applyProtection="true">
      <alignment horizontal="left" vertical="center" textRotation="0" wrapText="true" indent="0" shrinkToFit="false"/>
      <protection locked="false" hidden="false"/>
    </xf>
    <xf numFmtId="164" fontId="71" fillId="3" borderId="7" xfId="27" applyFont="true" applyBorder="true" applyAlignment="true" applyProtection="true">
      <alignment horizontal="general" vertical="center" textRotation="0" wrapText="false" indent="0" shrinkToFit="false"/>
      <protection locked="false" hidden="false"/>
    </xf>
    <xf numFmtId="164" fontId="71" fillId="3" borderId="5" xfId="27" applyFont="true" applyBorder="true" applyAlignment="true" applyProtection="true">
      <alignment horizontal="left" vertical="center" textRotation="0" wrapText="false" indent="0" shrinkToFit="false"/>
      <protection locked="false" hidden="false"/>
    </xf>
    <xf numFmtId="175" fontId="71" fillId="3" borderId="23" xfId="27" applyFont="true" applyBorder="true" applyAlignment="true" applyProtection="true">
      <alignment horizontal="left" vertical="center" textRotation="0" wrapText="false" indent="0" shrinkToFit="false"/>
      <protection locked="false" hidden="false"/>
    </xf>
    <xf numFmtId="164" fontId="95" fillId="3" borderId="94" xfId="27" applyFont="true" applyBorder="true" applyAlignment="true" applyProtection="false">
      <alignment horizontal="left" vertical="center" textRotation="0" wrapText="false" indent="0" shrinkToFit="false"/>
      <protection locked="true" hidden="false"/>
    </xf>
    <xf numFmtId="164" fontId="95" fillId="3" borderId="9" xfId="27" applyFont="true" applyBorder="true" applyAlignment="true" applyProtection="false">
      <alignment horizontal="left" vertical="center" textRotation="0" wrapText="false" indent="0" shrinkToFit="false"/>
      <protection locked="true" hidden="false"/>
    </xf>
    <xf numFmtId="164" fontId="95" fillId="3" borderId="37" xfId="27" applyFont="true" applyBorder="true" applyAlignment="true" applyProtection="false">
      <alignment horizontal="left" vertical="center" textRotation="0" wrapText="false" indent="0" shrinkToFit="false"/>
      <protection locked="true" hidden="false"/>
    </xf>
    <xf numFmtId="185" fontId="97" fillId="3" borderId="35" xfId="27" applyFont="true" applyBorder="true" applyAlignment="true" applyProtection="false">
      <alignment horizontal="left" vertical="center" textRotation="0" wrapText="false" indent="0" shrinkToFit="false"/>
      <protection locked="true" hidden="false"/>
    </xf>
    <xf numFmtId="173" fontId="97" fillId="3" borderId="9" xfId="27" applyFont="true" applyBorder="true" applyAlignment="true" applyProtection="false">
      <alignment horizontal="left" vertical="center" textRotation="0" wrapText="false" indent="0" shrinkToFit="false"/>
      <protection locked="true" hidden="false"/>
    </xf>
    <xf numFmtId="185" fontId="95" fillId="3" borderId="101" xfId="27" applyFont="true" applyBorder="true" applyAlignment="true" applyProtection="false">
      <alignment horizontal="left" vertical="center" textRotation="0" wrapText="false" indent="0" shrinkToFit="false"/>
      <protection locked="true" hidden="false"/>
    </xf>
    <xf numFmtId="185" fontId="95" fillId="0" borderId="0" xfId="27" applyFont="true" applyBorder="true" applyAlignment="true" applyProtection="true">
      <alignment horizontal="left" vertical="center" textRotation="0" wrapText="false" indent="0" shrinkToFit="false"/>
      <protection locked="false" hidden="false"/>
    </xf>
    <xf numFmtId="164" fontId="71" fillId="0" borderId="7" xfId="27" applyFont="true" applyBorder="true" applyAlignment="true" applyProtection="true">
      <alignment horizontal="general" vertical="center" textRotation="0" wrapText="false" indent="0" shrinkToFit="false"/>
      <protection locked="false" hidden="false"/>
    </xf>
    <xf numFmtId="164" fontId="29" fillId="0" borderId="5" xfId="27" applyFont="true" applyBorder="true" applyAlignment="true" applyProtection="true">
      <alignment horizontal="left" vertical="center" textRotation="0" wrapText="false" indent="0" shrinkToFit="false"/>
      <protection locked="false" hidden="false"/>
    </xf>
    <xf numFmtId="166" fontId="71" fillId="0" borderId="5" xfId="27" applyFont="true" applyBorder="true" applyAlignment="true" applyProtection="true">
      <alignment horizontal="left" vertical="center" textRotation="0" wrapText="false" indent="0" shrinkToFit="false"/>
      <protection locked="false" hidden="false"/>
    </xf>
    <xf numFmtId="175" fontId="77" fillId="0" borderId="5" xfId="27" applyFont="true" applyBorder="true" applyAlignment="true" applyProtection="true">
      <alignment horizontal="left" vertical="center" textRotation="0" wrapText="false" indent="0" shrinkToFit="false"/>
      <protection locked="false" hidden="false"/>
    </xf>
    <xf numFmtId="167" fontId="77" fillId="0" borderId="23" xfId="27" applyFont="true" applyBorder="true" applyAlignment="true" applyProtection="true">
      <alignment horizontal="left" vertical="center" textRotation="0" wrapText="false" indent="0" shrinkToFit="false"/>
      <protection locked="false" hidden="false"/>
    </xf>
    <xf numFmtId="164" fontId="95" fillId="3" borderId="22" xfId="27" applyFont="true" applyBorder="true" applyAlignment="true" applyProtection="false">
      <alignment horizontal="left" vertical="center" textRotation="0" wrapText="false" indent="0" shrinkToFit="false"/>
      <protection locked="true" hidden="false"/>
    </xf>
    <xf numFmtId="164" fontId="95" fillId="3" borderId="5" xfId="27" applyFont="true" applyBorder="true" applyAlignment="true" applyProtection="false">
      <alignment horizontal="left" vertical="center" textRotation="0" wrapText="false" indent="0" shrinkToFit="false"/>
      <protection locked="true" hidden="false"/>
    </xf>
    <xf numFmtId="185" fontId="95" fillId="3" borderId="5" xfId="27" applyFont="true" applyBorder="true" applyAlignment="true" applyProtection="false">
      <alignment horizontal="left" vertical="center" textRotation="0" wrapText="false" indent="0" shrinkToFit="false"/>
      <protection locked="true" hidden="false"/>
    </xf>
    <xf numFmtId="164" fontId="95" fillId="3" borderId="23" xfId="27" applyFont="true" applyBorder="true" applyAlignment="true" applyProtection="false">
      <alignment horizontal="left" vertical="center" textRotation="0" wrapText="false" indent="0" shrinkToFit="false"/>
      <protection locked="true" hidden="false"/>
    </xf>
    <xf numFmtId="164" fontId="95" fillId="0" borderId="0" xfId="27" applyFont="true" applyBorder="true" applyAlignment="true" applyProtection="true">
      <alignment horizontal="left" vertical="center" textRotation="0" wrapText="false" indent="0" shrinkToFit="false"/>
      <protection locked="false" hidden="false"/>
    </xf>
    <xf numFmtId="166" fontId="95" fillId="0" borderId="5" xfId="27" applyFont="true" applyBorder="true" applyAlignment="true" applyProtection="true">
      <alignment horizontal="left" vertical="center" textRotation="0" wrapText="false" indent="0" shrinkToFit="false"/>
      <protection locked="false" hidden="false"/>
    </xf>
    <xf numFmtId="164" fontId="95" fillId="3" borderId="23" xfId="27" applyFont="true" applyBorder="true" applyAlignment="true" applyProtection="false">
      <alignment horizontal="general" vertical="center" textRotation="0" wrapText="false" indent="0" shrinkToFit="false"/>
      <protection locked="true" hidden="false"/>
    </xf>
    <xf numFmtId="178" fontId="97" fillId="3" borderId="5" xfId="27" applyFont="true" applyBorder="true" applyAlignment="true" applyProtection="false">
      <alignment horizontal="left" vertical="center" textRotation="0" wrapText="false" indent="0" shrinkToFit="false"/>
      <protection locked="true" hidden="false"/>
    </xf>
    <xf numFmtId="174" fontId="71" fillId="3" borderId="22" xfId="27" applyFont="true" applyBorder="true" applyAlignment="true" applyProtection="false">
      <alignment horizontal="left" vertical="center" textRotation="0" wrapText="false" indent="0" shrinkToFit="false"/>
      <protection locked="true" hidden="false"/>
    </xf>
    <xf numFmtId="164" fontId="71" fillId="3" borderId="5" xfId="27" applyFont="true" applyBorder="true" applyAlignment="true" applyProtection="false">
      <alignment horizontal="left" vertical="center" textRotation="0" wrapText="false" indent="0" shrinkToFit="false"/>
      <protection locked="true" hidden="false"/>
    </xf>
    <xf numFmtId="185" fontId="77" fillId="3" borderId="5" xfId="27" applyFont="true" applyBorder="true" applyAlignment="true" applyProtection="false">
      <alignment horizontal="left" vertical="center" textRotation="0" wrapText="false" indent="0" shrinkToFit="false"/>
      <protection locked="true" hidden="false"/>
    </xf>
    <xf numFmtId="178" fontId="77" fillId="3" borderId="5" xfId="27" applyFont="true" applyBorder="true" applyAlignment="true" applyProtection="false">
      <alignment horizontal="left" vertical="center" textRotation="0" wrapText="false" indent="0" shrinkToFit="false"/>
      <protection locked="true" hidden="false"/>
    </xf>
    <xf numFmtId="164" fontId="71" fillId="3" borderId="7" xfId="27" applyFont="true" applyBorder="true" applyAlignment="true" applyProtection="false">
      <alignment horizontal="left" vertical="center" textRotation="0" wrapText="false" indent="0" shrinkToFit="false"/>
      <protection locked="true" hidden="false"/>
    </xf>
    <xf numFmtId="164" fontId="71" fillId="3" borderId="8" xfId="27" applyFont="true" applyBorder="true" applyAlignment="true" applyProtection="false">
      <alignment horizontal="right" vertical="center" textRotation="0" wrapText="false" indent="0" shrinkToFit="false"/>
      <protection locked="true" hidden="false"/>
    </xf>
    <xf numFmtId="170" fontId="71" fillId="0" borderId="5" xfId="27" applyFont="true" applyBorder="true" applyAlignment="true" applyProtection="true">
      <alignment horizontal="left" vertical="center" textRotation="0" wrapText="false" indent="0" shrinkToFit="false"/>
      <protection locked="false" hidden="false"/>
    </xf>
    <xf numFmtId="178" fontId="71" fillId="3" borderId="8" xfId="27" applyFont="true" applyBorder="true" applyAlignment="true" applyProtection="false">
      <alignment horizontal="right" vertical="center" textRotation="0" wrapText="false" indent="0" shrinkToFit="false"/>
      <protection locked="true" hidden="false"/>
    </xf>
    <xf numFmtId="164" fontId="95" fillId="3" borderId="7" xfId="27" applyFont="true" applyBorder="true" applyAlignment="true" applyProtection="true">
      <alignment horizontal="general" vertical="center" textRotation="0" wrapText="false" indent="0" shrinkToFit="false"/>
      <protection locked="false" hidden="false"/>
    </xf>
    <xf numFmtId="167" fontId="87" fillId="3" borderId="5" xfId="27" applyFont="true" applyBorder="true" applyAlignment="true" applyProtection="true">
      <alignment horizontal="left" vertical="center" textRotation="0" wrapText="false" indent="0" shrinkToFit="false"/>
      <protection locked="false" hidden="false"/>
    </xf>
    <xf numFmtId="166" fontId="95" fillId="3" borderId="5" xfId="27" applyFont="true" applyBorder="true" applyAlignment="true" applyProtection="true">
      <alignment horizontal="left" vertical="center" textRotation="0" wrapText="false" indent="0" shrinkToFit="false"/>
      <protection locked="false" hidden="false"/>
    </xf>
    <xf numFmtId="175" fontId="95" fillId="3" borderId="5" xfId="27" applyFont="true" applyBorder="true" applyAlignment="true" applyProtection="true">
      <alignment horizontal="left" vertical="center" textRotation="0" wrapText="false" indent="0" shrinkToFit="false"/>
      <protection locked="false" hidden="false"/>
    </xf>
    <xf numFmtId="175" fontId="71" fillId="0" borderId="23" xfId="27" applyFont="true" applyBorder="true" applyAlignment="true" applyProtection="true">
      <alignment horizontal="left" vertical="center" textRotation="0" wrapText="false" indent="0" shrinkToFit="false"/>
      <protection locked="false" hidden="false"/>
    </xf>
    <xf numFmtId="185" fontId="77" fillId="0" borderId="5" xfId="27" applyFont="true" applyBorder="true" applyAlignment="true" applyProtection="true">
      <alignment horizontal="left" vertical="center" textRotation="0" wrapText="false" indent="0" shrinkToFit="false"/>
      <protection locked="false" hidden="false"/>
    </xf>
    <xf numFmtId="178" fontId="71" fillId="0" borderId="5" xfId="27" applyFont="true" applyBorder="true" applyAlignment="true" applyProtection="true">
      <alignment horizontal="left" vertical="center" textRotation="0" wrapText="false" indent="0" shrinkToFit="false"/>
      <protection locked="false" hidden="false"/>
    </xf>
    <xf numFmtId="164" fontId="97" fillId="3" borderId="24" xfId="27" applyFont="true" applyBorder="true" applyAlignment="true" applyProtection="false">
      <alignment horizontal="left" vertical="center" textRotation="0" wrapText="false" indent="0" shrinkToFit="false"/>
      <protection locked="true" hidden="false"/>
    </xf>
    <xf numFmtId="164" fontId="95" fillId="3" borderId="25" xfId="27" applyFont="true" applyBorder="true" applyAlignment="true" applyProtection="false">
      <alignment horizontal="left" vertical="center" textRotation="0" wrapText="false" indent="0" shrinkToFit="false"/>
      <protection locked="true" hidden="false"/>
    </xf>
    <xf numFmtId="185" fontId="97" fillId="3" borderId="25" xfId="27" applyFont="true" applyBorder="true" applyAlignment="true" applyProtection="false">
      <alignment horizontal="left" vertical="center" textRotation="0" wrapText="false" indent="0" shrinkToFit="false"/>
      <protection locked="true" hidden="false"/>
    </xf>
    <xf numFmtId="178" fontId="95" fillId="0" borderId="25" xfId="27" applyFont="true" applyBorder="true" applyAlignment="true" applyProtection="true">
      <alignment horizontal="left" vertical="center" textRotation="0" wrapText="false" indent="0" shrinkToFit="false"/>
      <protection locked="false" hidden="false"/>
    </xf>
    <xf numFmtId="164" fontId="95" fillId="3" borderId="71" xfId="27" applyFont="true" applyBorder="true" applyAlignment="true" applyProtection="false">
      <alignment horizontal="general" vertical="center" textRotation="0" wrapText="false" indent="0" shrinkToFit="false"/>
      <protection locked="true" hidden="false"/>
    </xf>
    <xf numFmtId="185" fontId="97" fillId="3" borderId="9" xfId="27" applyFont="true" applyBorder="true" applyAlignment="true" applyProtection="false">
      <alignment horizontal="left" vertical="center" textRotation="0" wrapText="false" indent="0" shrinkToFit="false"/>
      <protection locked="true" hidden="false"/>
    </xf>
    <xf numFmtId="178" fontId="95" fillId="0" borderId="9" xfId="27" applyFont="true" applyBorder="true" applyAlignment="true" applyProtection="true">
      <alignment horizontal="left" vertical="center" textRotation="0" wrapText="false" indent="0" shrinkToFit="false"/>
      <protection locked="false" hidden="false"/>
    </xf>
    <xf numFmtId="164" fontId="95" fillId="3" borderId="21" xfId="27" applyFont="true" applyBorder="true" applyAlignment="true" applyProtection="false">
      <alignment horizontal="general" vertical="center" textRotation="0" wrapText="false" indent="0" shrinkToFit="false"/>
      <protection locked="true" hidden="false"/>
    </xf>
    <xf numFmtId="164" fontId="95" fillId="3" borderId="77" xfId="27" applyFont="true" applyBorder="true" applyAlignment="true" applyProtection="false">
      <alignment horizontal="general" vertical="center" textRotation="0" wrapText="false" indent="0" shrinkToFit="false"/>
      <protection locked="true" hidden="false"/>
    </xf>
    <xf numFmtId="175" fontId="71" fillId="2" borderId="5" xfId="27" applyFont="true" applyBorder="true" applyAlignment="true" applyProtection="true">
      <alignment horizontal="left" vertical="center" textRotation="0" wrapText="false" indent="0" shrinkToFit="false"/>
      <protection locked="false" hidden="false"/>
    </xf>
    <xf numFmtId="167" fontId="87" fillId="3" borderId="23" xfId="27" applyFont="true" applyBorder="true" applyAlignment="true" applyProtection="true">
      <alignment horizontal="left" vertical="center" textRotation="0" wrapText="false" indent="0" shrinkToFit="false"/>
      <protection locked="false" hidden="false"/>
    </xf>
    <xf numFmtId="164" fontId="95" fillId="3" borderId="101" xfId="27" applyFont="true" applyBorder="true" applyAlignment="true" applyProtection="false">
      <alignment horizontal="left" vertical="center" textRotation="0" wrapText="false" indent="0" shrinkToFit="false"/>
      <protection locked="true" hidden="false"/>
    </xf>
    <xf numFmtId="164" fontId="29" fillId="0" borderId="5" xfId="27" applyFont="true" applyBorder="true" applyAlignment="true" applyProtection="true">
      <alignment horizontal="left" vertical="center" textRotation="0" wrapText="true" indent="0" shrinkToFit="false"/>
      <protection locked="false" hidden="false"/>
    </xf>
    <xf numFmtId="175" fontId="71" fillId="0" borderId="5" xfId="27" applyFont="true" applyBorder="true" applyAlignment="true" applyProtection="true">
      <alignment horizontal="left" vertical="center" textRotation="0" wrapText="false" indent="0" shrinkToFit="false"/>
      <protection locked="false" hidden="false"/>
    </xf>
    <xf numFmtId="164" fontId="71" fillId="0" borderId="0" xfId="27" applyFont="true" applyBorder="false" applyAlignment="true" applyProtection="true">
      <alignment horizontal="left" vertical="center" textRotation="0" wrapText="false" indent="0" shrinkToFit="false"/>
      <protection locked="false" hidden="false"/>
    </xf>
    <xf numFmtId="164" fontId="95" fillId="3" borderId="7" xfId="27" applyFont="true" applyBorder="true" applyAlignment="true" applyProtection="false">
      <alignment horizontal="left" vertical="center" textRotation="0" wrapText="false" indent="0" shrinkToFit="false"/>
      <protection locked="true" hidden="false"/>
    </xf>
    <xf numFmtId="164" fontId="95" fillId="3" borderId="103" xfId="27" applyFont="true" applyBorder="true" applyAlignment="true" applyProtection="false">
      <alignment horizontal="left" vertical="center" textRotation="0" wrapText="false" indent="0" shrinkToFit="false"/>
      <protection locked="true" hidden="false"/>
    </xf>
    <xf numFmtId="164" fontId="95" fillId="3" borderId="8" xfId="27" applyFont="true" applyBorder="true" applyAlignment="true" applyProtection="false">
      <alignment horizontal="left" vertical="center" textRotation="0" wrapText="false" indent="0" shrinkToFit="false"/>
      <protection locked="true" hidden="false"/>
    </xf>
    <xf numFmtId="167" fontId="30" fillId="0" borderId="23" xfId="27" applyFont="true" applyBorder="true" applyAlignment="true" applyProtection="true">
      <alignment horizontal="left" vertical="center" textRotation="0" wrapText="false" indent="0" shrinkToFit="false"/>
      <protection locked="false" hidden="false"/>
    </xf>
    <xf numFmtId="164" fontId="119" fillId="0" borderId="7" xfId="27" applyFont="true" applyBorder="true" applyAlignment="true" applyProtection="true">
      <alignment horizontal="left" vertical="center" textRotation="0" wrapText="false" indent="0" shrinkToFit="false"/>
      <protection locked="false" hidden="false"/>
    </xf>
    <xf numFmtId="164" fontId="119" fillId="0" borderId="103" xfId="27" applyFont="true" applyBorder="true" applyAlignment="true" applyProtection="true">
      <alignment horizontal="left" vertical="center" textRotation="0" wrapText="false" indent="0" shrinkToFit="false"/>
      <protection locked="false" hidden="false"/>
    </xf>
    <xf numFmtId="164" fontId="119" fillId="0" borderId="8" xfId="27" applyFont="true" applyBorder="true" applyAlignment="true" applyProtection="true">
      <alignment horizontal="left" vertical="center" textRotation="0" wrapText="false" indent="0" shrinkToFit="false"/>
      <protection locked="false" hidden="false"/>
    </xf>
    <xf numFmtId="164" fontId="71" fillId="0" borderId="0" xfId="27" applyFont="true" applyBorder="true" applyAlignment="true" applyProtection="true">
      <alignment horizontal="left" vertical="center" textRotation="0" wrapText="false" indent="0" shrinkToFit="false"/>
      <protection locked="false" hidden="false"/>
    </xf>
    <xf numFmtId="164" fontId="77" fillId="3" borderId="99" xfId="27" applyFont="true" applyBorder="true" applyAlignment="true" applyProtection="false">
      <alignment horizontal="left" vertical="center" textRotation="0" wrapText="false" indent="0" shrinkToFit="false"/>
      <protection locked="true" hidden="false"/>
    </xf>
    <xf numFmtId="185" fontId="77" fillId="3" borderId="7" xfId="27" applyFont="true" applyBorder="true" applyAlignment="true" applyProtection="false">
      <alignment horizontal="left" vertical="center" textRotation="0" wrapText="false" indent="0" shrinkToFit="false"/>
      <protection locked="true" hidden="false"/>
    </xf>
    <xf numFmtId="185" fontId="77" fillId="3" borderId="103" xfId="27" applyFont="true" applyBorder="true" applyAlignment="true" applyProtection="false">
      <alignment horizontal="left" vertical="center" textRotation="0" wrapText="false" indent="0" shrinkToFit="false"/>
      <protection locked="true" hidden="false"/>
    </xf>
    <xf numFmtId="185" fontId="77" fillId="3" borderId="8" xfId="27" applyFont="true" applyBorder="true" applyAlignment="true" applyProtection="false">
      <alignment horizontal="left" vertical="center" textRotation="0" wrapText="false" indent="0" shrinkToFit="false"/>
      <protection locked="true" hidden="false"/>
    </xf>
    <xf numFmtId="164" fontId="71" fillId="3" borderId="23" xfId="27" applyFont="true" applyBorder="true" applyAlignment="true" applyProtection="false">
      <alignment horizontal="left" vertical="center" textRotation="0" wrapText="false" indent="0" shrinkToFit="false"/>
      <protection locked="true" hidden="false"/>
    </xf>
    <xf numFmtId="164" fontId="71" fillId="0" borderId="0" xfId="27" applyFont="true" applyBorder="true" applyAlignment="true" applyProtection="true">
      <alignment horizontal="right" vertical="center" textRotation="0" wrapText="false" indent="0" shrinkToFit="false"/>
      <protection locked="false" hidden="false"/>
    </xf>
    <xf numFmtId="164" fontId="71" fillId="3" borderId="99" xfId="27" applyFont="true" applyBorder="true" applyAlignment="true" applyProtection="false">
      <alignment horizontal="right" vertical="center" textRotation="0" wrapText="false" indent="0" shrinkToFit="false"/>
      <protection locked="true" hidden="false"/>
    </xf>
    <xf numFmtId="164" fontId="71" fillId="3" borderId="5" xfId="27" applyFont="true" applyBorder="true" applyAlignment="true" applyProtection="false">
      <alignment horizontal="right" vertical="center" textRotation="0" wrapText="false" indent="0" shrinkToFit="false"/>
      <protection locked="true" hidden="false"/>
    </xf>
    <xf numFmtId="185" fontId="71" fillId="3" borderId="7" xfId="27" applyFont="true" applyBorder="true" applyAlignment="true" applyProtection="false">
      <alignment horizontal="right" vertical="center" textRotation="0" wrapText="false" indent="0" shrinkToFit="false"/>
      <protection locked="true" hidden="false"/>
    </xf>
    <xf numFmtId="178" fontId="71" fillId="0" borderId="103" xfId="27" applyFont="true" applyBorder="true" applyAlignment="true" applyProtection="true">
      <alignment horizontal="right" vertical="center" textRotation="0" wrapText="false" indent="0" shrinkToFit="false"/>
      <protection locked="false" hidden="false"/>
    </xf>
    <xf numFmtId="178" fontId="71" fillId="0" borderId="8" xfId="27" applyFont="true" applyBorder="true" applyAlignment="true" applyProtection="true">
      <alignment horizontal="right" vertical="center" textRotation="0" wrapText="false" indent="0" shrinkToFit="false"/>
      <protection locked="false" hidden="false"/>
    </xf>
    <xf numFmtId="164" fontId="71" fillId="3" borderId="23" xfId="27" applyFont="true" applyBorder="true" applyAlignment="true" applyProtection="false">
      <alignment horizontal="right" vertical="center" textRotation="0" wrapText="false" indent="0" shrinkToFit="false"/>
      <protection locked="true" hidden="false"/>
    </xf>
    <xf numFmtId="164" fontId="95" fillId="3" borderId="7" xfId="27" applyFont="true" applyBorder="true" applyAlignment="true" applyProtection="true">
      <alignment horizontal="general" vertical="center" textRotation="0" wrapText="true" indent="0" shrinkToFit="false"/>
      <protection locked="false" hidden="false"/>
    </xf>
    <xf numFmtId="164" fontId="95" fillId="3" borderId="10" xfId="27" applyFont="true" applyBorder="true" applyAlignment="true" applyProtection="true">
      <alignment horizontal="general" vertical="center" textRotation="0" wrapText="true" indent="0" shrinkToFit="false"/>
      <protection locked="false" hidden="false"/>
    </xf>
    <xf numFmtId="164" fontId="95" fillId="3" borderId="8" xfId="27" applyFont="true" applyBorder="true" applyAlignment="true" applyProtection="true">
      <alignment horizontal="general" vertical="center" textRotation="0" wrapText="true" indent="0" shrinkToFit="false"/>
      <protection locked="false" hidden="false"/>
    </xf>
    <xf numFmtId="166" fontId="30" fillId="0" borderId="5" xfId="27" applyFont="true" applyBorder="true" applyAlignment="true" applyProtection="true">
      <alignment horizontal="left" vertical="center" textRotation="0" wrapText="false" indent="0" shrinkToFit="false"/>
      <protection locked="false" hidden="false"/>
    </xf>
    <xf numFmtId="164" fontId="71" fillId="0" borderId="0" xfId="27" applyFont="true" applyBorder="false" applyAlignment="true" applyProtection="true">
      <alignment horizontal="right" vertical="bottom" textRotation="0" wrapText="false" indent="0" shrinkToFit="false"/>
      <protection locked="false" hidden="false"/>
    </xf>
    <xf numFmtId="164" fontId="71" fillId="0" borderId="0" xfId="27" applyFont="true" applyBorder="false" applyAlignment="true" applyProtection="false">
      <alignment horizontal="right" vertical="bottom" textRotation="0" wrapText="false" indent="0" shrinkToFit="false"/>
      <protection locked="true" hidden="false"/>
    </xf>
    <xf numFmtId="164" fontId="87" fillId="3" borderId="22" xfId="27" applyFont="true" applyBorder="true" applyAlignment="true" applyProtection="true">
      <alignment horizontal="left" vertical="center" textRotation="0" wrapText="false" indent="0" shrinkToFit="false"/>
      <protection locked="false" hidden="false"/>
    </xf>
    <xf numFmtId="164" fontId="61" fillId="3" borderId="38" xfId="27" applyFont="true" applyBorder="true" applyAlignment="true" applyProtection="true">
      <alignment horizontal="general" vertical="center" textRotation="0" wrapText="false" indent="0" shrinkToFit="false"/>
      <protection locked="false" hidden="false"/>
    </xf>
    <xf numFmtId="164" fontId="61" fillId="3" borderId="60" xfId="27" applyFont="true" applyBorder="true" applyAlignment="true" applyProtection="true">
      <alignment horizontal="general" vertical="center" textRotation="0" wrapText="false" indent="0" shrinkToFit="false"/>
      <protection locked="false" hidden="false"/>
    </xf>
    <xf numFmtId="164" fontId="61" fillId="3" borderId="39" xfId="27" applyFont="true" applyBorder="true" applyAlignment="true" applyProtection="true">
      <alignment horizontal="general" vertical="center" textRotation="0" wrapText="false" indent="0" shrinkToFit="false"/>
      <protection locked="false" hidden="false"/>
    </xf>
    <xf numFmtId="164" fontId="29" fillId="3" borderId="5" xfId="27" applyFont="true" applyBorder="true" applyAlignment="true" applyProtection="true">
      <alignment horizontal="left" vertical="center" textRotation="0" wrapText="false" indent="0" shrinkToFit="false"/>
      <protection locked="false" hidden="false"/>
    </xf>
    <xf numFmtId="166" fontId="29" fillId="3" borderId="5" xfId="27" applyFont="true" applyBorder="true" applyAlignment="true" applyProtection="true">
      <alignment horizontal="left" vertical="center" textRotation="0" wrapText="false" indent="0" shrinkToFit="false"/>
      <protection locked="false" hidden="false"/>
    </xf>
    <xf numFmtId="164" fontId="95" fillId="0" borderId="0" xfId="27" applyFont="true" applyBorder="false" applyAlignment="true" applyProtection="true">
      <alignment horizontal="left" vertical="center" textRotation="0" wrapText="false" indent="0" shrinkToFit="false"/>
      <protection locked="false" hidden="false"/>
    </xf>
    <xf numFmtId="178" fontId="77" fillId="3" borderId="7" xfId="27" applyFont="true" applyBorder="true" applyAlignment="true" applyProtection="false">
      <alignment horizontal="right" vertical="center" textRotation="0" wrapText="false" indent="0" shrinkToFit="false"/>
      <protection locked="true" hidden="false"/>
    </xf>
    <xf numFmtId="164" fontId="61" fillId="3" borderId="35" xfId="27" applyFont="true" applyBorder="true" applyAlignment="true" applyProtection="true">
      <alignment horizontal="general" vertical="center" textRotation="0" wrapText="false" indent="0" shrinkToFit="false"/>
      <protection locked="false" hidden="false"/>
    </xf>
    <xf numFmtId="164" fontId="61" fillId="3" borderId="9" xfId="27" applyFont="true" applyBorder="true" applyAlignment="true" applyProtection="true">
      <alignment horizontal="general" vertical="center" textRotation="0" wrapText="false" indent="0" shrinkToFit="false"/>
      <protection locked="false" hidden="false"/>
    </xf>
    <xf numFmtId="164" fontId="61" fillId="3" borderId="37" xfId="27" applyFont="true" applyBorder="true" applyAlignment="true" applyProtection="true">
      <alignment horizontal="general" vertical="center" textRotation="0" wrapText="false" indent="0" shrinkToFit="false"/>
      <protection locked="false" hidden="false"/>
    </xf>
    <xf numFmtId="164" fontId="61" fillId="0" borderId="5" xfId="27" applyFont="true" applyBorder="true" applyAlignment="true" applyProtection="true">
      <alignment horizontal="left" vertical="center" textRotation="0" wrapText="false" indent="0" shrinkToFit="false"/>
      <protection locked="false" hidden="false"/>
    </xf>
    <xf numFmtId="166" fontId="61" fillId="0" borderId="5" xfId="27" applyFont="true" applyBorder="true" applyAlignment="true" applyProtection="true">
      <alignment horizontal="left" vertical="center" textRotation="0" wrapText="false" indent="0" shrinkToFit="false"/>
      <protection locked="false" hidden="false"/>
    </xf>
    <xf numFmtId="164" fontId="95" fillId="3" borderId="67" xfId="27" applyFont="true" applyBorder="true" applyAlignment="true" applyProtection="true">
      <alignment horizontal="left" vertical="center" textRotation="0" wrapText="true" indent="0" shrinkToFit="false"/>
      <protection locked="false" hidden="false"/>
    </xf>
    <xf numFmtId="164" fontId="61" fillId="3" borderId="44" xfId="27" applyFont="true" applyBorder="true" applyAlignment="true" applyProtection="true">
      <alignment horizontal="general" vertical="center" textRotation="0" wrapText="false" indent="0" shrinkToFit="false"/>
      <protection locked="false" hidden="false"/>
    </xf>
    <xf numFmtId="164" fontId="71" fillId="3" borderId="44" xfId="27" applyFont="true" applyBorder="true" applyAlignment="true" applyProtection="true">
      <alignment horizontal="general" vertical="center" textRotation="0" wrapText="false" indent="0" shrinkToFit="false"/>
      <protection locked="false" hidden="false"/>
    </xf>
    <xf numFmtId="164" fontId="5" fillId="0" borderId="44" xfId="27" applyFont="false" applyBorder="true" applyAlignment="true" applyProtection="true">
      <alignment horizontal="left" vertical="center" textRotation="0" wrapText="false" indent="0" shrinkToFit="false"/>
      <protection locked="false" hidden="false"/>
    </xf>
    <xf numFmtId="166" fontId="71" fillId="0" borderId="25" xfId="27" applyFont="true" applyBorder="true" applyAlignment="true" applyProtection="true">
      <alignment horizontal="left" vertical="center" textRotation="0" wrapText="false" indent="0" shrinkToFit="false"/>
      <protection locked="false" hidden="false"/>
    </xf>
    <xf numFmtId="178" fontId="30" fillId="0" borderId="25" xfId="27" applyFont="true" applyBorder="true" applyAlignment="true" applyProtection="true">
      <alignment horizontal="left" vertical="center" textRotation="0" wrapText="false" indent="0" shrinkToFit="false"/>
      <protection locked="false" hidden="false"/>
    </xf>
    <xf numFmtId="164" fontId="101" fillId="0" borderId="45" xfId="27" applyFont="true" applyBorder="true" applyAlignment="true" applyProtection="true">
      <alignment horizontal="left" vertical="center" textRotation="0" wrapText="false" indent="0" shrinkToFit="false"/>
      <protection locked="false" hidden="false"/>
    </xf>
    <xf numFmtId="178" fontId="71" fillId="3" borderId="103" xfId="27" applyFont="true" applyBorder="true" applyAlignment="true" applyProtection="false">
      <alignment horizontal="right" vertical="center" textRotation="0" wrapText="false" indent="0" shrinkToFit="false"/>
      <protection locked="true" hidden="false"/>
    </xf>
    <xf numFmtId="178" fontId="71" fillId="0" borderId="7" xfId="27" applyFont="true" applyBorder="true" applyAlignment="true" applyProtection="true">
      <alignment horizontal="right" vertical="center" textRotation="0" wrapText="false" indent="0" shrinkToFit="false"/>
      <protection locked="false" hidden="false"/>
    </xf>
    <xf numFmtId="164" fontId="95" fillId="3" borderId="5" xfId="27" applyFont="true" applyBorder="true" applyAlignment="true" applyProtection="true">
      <alignment horizontal="left" vertical="center" textRotation="0" wrapText="false" indent="0" shrinkToFit="false"/>
      <protection locked="false" hidden="false"/>
    </xf>
    <xf numFmtId="164" fontId="71" fillId="3" borderId="103" xfId="27" applyFont="true" applyBorder="true" applyAlignment="true" applyProtection="false">
      <alignment horizontal="left" vertical="center" textRotation="0" wrapText="false" indent="0" shrinkToFit="false"/>
      <protection locked="true" hidden="false"/>
    </xf>
    <xf numFmtId="164" fontId="71" fillId="3" borderId="8" xfId="27" applyFont="true" applyBorder="true" applyAlignment="true" applyProtection="false">
      <alignment horizontal="left" vertical="center" textRotation="0" wrapText="false" indent="0" shrinkToFit="false"/>
      <protection locked="true" hidden="false"/>
    </xf>
    <xf numFmtId="175" fontId="77" fillId="3" borderId="5" xfId="27" applyFont="true" applyBorder="true" applyAlignment="true" applyProtection="true">
      <alignment horizontal="left" vertical="center" textRotation="0" wrapText="false" indent="0" shrinkToFit="false"/>
      <protection locked="false" hidden="false"/>
    </xf>
    <xf numFmtId="173" fontId="71" fillId="0" borderId="7" xfId="27" applyFont="true" applyBorder="true" applyAlignment="true" applyProtection="true">
      <alignment horizontal="left" vertical="center" textRotation="0" wrapText="false" indent="0" shrinkToFit="false"/>
      <protection locked="false" hidden="false"/>
    </xf>
    <xf numFmtId="173" fontId="71" fillId="0" borderId="103" xfId="27" applyFont="true" applyBorder="true" applyAlignment="true" applyProtection="true">
      <alignment horizontal="left" vertical="center" textRotation="0" wrapText="false" indent="0" shrinkToFit="false"/>
      <protection locked="false" hidden="false"/>
    </xf>
    <xf numFmtId="173" fontId="71" fillId="0" borderId="8" xfId="27" applyFont="true" applyBorder="true" applyAlignment="true" applyProtection="true">
      <alignment horizontal="left" vertical="center" textRotation="0" wrapText="false" indent="0" shrinkToFit="false"/>
      <protection locked="false" hidden="false"/>
    </xf>
    <xf numFmtId="167" fontId="77" fillId="3" borderId="11" xfId="27" applyFont="true" applyBorder="true" applyAlignment="true" applyProtection="true">
      <alignment horizontal="left" vertical="center" textRotation="0" wrapText="false" indent="0" shrinkToFit="false"/>
      <protection locked="false" hidden="false"/>
    </xf>
    <xf numFmtId="178" fontId="71" fillId="0" borderId="7" xfId="27" applyFont="true" applyBorder="true" applyAlignment="true" applyProtection="true">
      <alignment horizontal="left" vertical="center" textRotation="0" wrapText="false" indent="0" shrinkToFit="false"/>
      <protection locked="false" hidden="false"/>
    </xf>
    <xf numFmtId="178" fontId="71" fillId="0" borderId="103" xfId="27" applyFont="true" applyBorder="true" applyAlignment="true" applyProtection="true">
      <alignment horizontal="left" vertical="center" textRotation="0" wrapText="false" indent="0" shrinkToFit="false"/>
      <protection locked="false" hidden="false"/>
    </xf>
    <xf numFmtId="178" fontId="71" fillId="0" borderId="8" xfId="27" applyFont="true" applyBorder="true" applyAlignment="true" applyProtection="true">
      <alignment horizontal="left" vertical="center" textRotation="0" wrapText="false" indent="0" shrinkToFit="false"/>
      <protection locked="false" hidden="false"/>
    </xf>
    <xf numFmtId="170" fontId="71" fillId="0" borderId="0" xfId="27" applyFont="true" applyBorder="true" applyAlignment="true" applyProtection="true">
      <alignment horizontal="left" vertical="center" textRotation="0" wrapText="false" indent="0" shrinkToFit="false"/>
      <protection locked="false" hidden="false"/>
    </xf>
    <xf numFmtId="167" fontId="97" fillId="3" borderId="7" xfId="27" applyFont="true" applyBorder="true" applyAlignment="true" applyProtection="true">
      <alignment horizontal="left" vertical="center" textRotation="0" wrapText="false" indent="0" shrinkToFit="false"/>
      <protection locked="false" hidden="false"/>
    </xf>
    <xf numFmtId="164" fontId="71" fillId="3" borderId="25" xfId="27" applyFont="true" applyBorder="true" applyAlignment="true" applyProtection="false">
      <alignment horizontal="left" vertical="center" textRotation="0" wrapText="false" indent="0" shrinkToFit="false"/>
      <protection locked="true" hidden="false"/>
    </xf>
    <xf numFmtId="170" fontId="71" fillId="0" borderId="76" xfId="27" applyFont="true" applyBorder="true" applyAlignment="true" applyProtection="true">
      <alignment horizontal="left" vertical="center" textRotation="0" wrapText="false" indent="0" shrinkToFit="false"/>
      <protection locked="false" hidden="false"/>
    </xf>
    <xf numFmtId="170" fontId="71" fillId="0" borderId="104" xfId="27" applyFont="true" applyBorder="true" applyAlignment="true" applyProtection="true">
      <alignment horizontal="left" vertical="center" textRotation="0" wrapText="false" indent="0" shrinkToFit="false"/>
      <protection locked="false" hidden="false"/>
    </xf>
    <xf numFmtId="170" fontId="71" fillId="0" borderId="70" xfId="27" applyFont="true" applyBorder="true" applyAlignment="true" applyProtection="true">
      <alignment horizontal="left" vertical="center" textRotation="0" wrapText="false" indent="0" shrinkToFit="false"/>
      <protection locked="false" hidden="false"/>
    </xf>
    <xf numFmtId="170" fontId="77" fillId="3" borderId="23" xfId="27" applyFont="true" applyBorder="true" applyAlignment="true" applyProtection="false">
      <alignment horizontal="left" vertical="center" textRotation="0" wrapText="false" indent="0" shrinkToFit="false"/>
      <protection locked="true" hidden="false"/>
    </xf>
    <xf numFmtId="164" fontId="71" fillId="0" borderId="0" xfId="27" applyFont="true" applyBorder="true" applyAlignment="true" applyProtection="true">
      <alignment horizontal="left" vertical="bottom" textRotation="0" wrapText="false" indent="0" shrinkToFit="false"/>
      <protection locked="false" hidden="false"/>
    </xf>
    <xf numFmtId="164" fontId="77" fillId="3" borderId="22" xfId="27" applyFont="true" applyBorder="true" applyAlignment="true" applyProtection="false">
      <alignment horizontal="left" vertical="center" textRotation="0" wrapText="false" indent="0" shrinkToFit="false"/>
      <protection locked="true" hidden="false"/>
    </xf>
    <xf numFmtId="185" fontId="77" fillId="3" borderId="5" xfId="27" applyFont="true" applyBorder="true" applyAlignment="true" applyProtection="false">
      <alignment horizontal="left" vertical="bottom" textRotation="0" wrapText="false" indent="0" shrinkToFit="false"/>
      <protection locked="true" hidden="false"/>
    </xf>
    <xf numFmtId="164" fontId="71" fillId="3" borderId="5" xfId="27" applyFont="true" applyBorder="true" applyAlignment="true" applyProtection="false">
      <alignment horizontal="left" vertical="bottom" textRotation="0" wrapText="false" indent="0" shrinkToFit="false"/>
      <protection locked="true" hidden="false"/>
    </xf>
    <xf numFmtId="164" fontId="71" fillId="3" borderId="23" xfId="27" applyFont="true" applyBorder="true" applyAlignment="true" applyProtection="false">
      <alignment horizontal="left" vertical="bottom" textRotation="0" wrapText="false" indent="0" shrinkToFit="false"/>
      <protection locked="true" hidden="false"/>
    </xf>
    <xf numFmtId="164" fontId="77" fillId="3" borderId="24" xfId="27" applyFont="true" applyBorder="true" applyAlignment="true" applyProtection="false">
      <alignment horizontal="left" vertical="center" textRotation="0" wrapText="false" indent="0" shrinkToFit="false"/>
      <protection locked="true" hidden="false"/>
    </xf>
    <xf numFmtId="185" fontId="71" fillId="3" borderId="25" xfId="27" applyFont="true" applyBorder="true" applyAlignment="true" applyProtection="false">
      <alignment horizontal="left" vertical="center" textRotation="0" wrapText="false" indent="0" shrinkToFit="false"/>
      <protection locked="true" hidden="false"/>
    </xf>
    <xf numFmtId="164" fontId="71" fillId="3" borderId="25" xfId="27" applyFont="true" applyBorder="true" applyAlignment="true" applyProtection="false">
      <alignment horizontal="left" vertical="bottom" textRotation="0" wrapText="false" indent="0" shrinkToFit="false"/>
      <protection locked="true" hidden="false"/>
    </xf>
    <xf numFmtId="164" fontId="71" fillId="3" borderId="71" xfId="27" applyFont="true" applyBorder="true" applyAlignment="true" applyProtection="false">
      <alignment horizontal="left" vertical="center" textRotation="0" wrapText="false" indent="0" shrinkToFit="false"/>
      <protection locked="true" hidden="false"/>
    </xf>
    <xf numFmtId="164" fontId="71" fillId="0" borderId="0" xfId="27" applyFont="true" applyBorder="false" applyAlignment="true" applyProtection="true">
      <alignment horizontal="left" vertical="bottom" textRotation="0" wrapText="false" indent="0" shrinkToFit="false"/>
      <protection locked="false" hidden="false"/>
    </xf>
    <xf numFmtId="164" fontId="95" fillId="3" borderId="44" xfId="27" applyFont="true" applyBorder="true" applyAlignment="true" applyProtection="true">
      <alignment horizontal="general" vertical="center" textRotation="0" wrapText="false" indent="0" shrinkToFit="false"/>
      <protection locked="false" hidden="false"/>
    </xf>
    <xf numFmtId="174" fontId="49" fillId="3" borderId="47" xfId="0" applyFont="true" applyBorder="true" applyAlignment="true" applyProtection="true">
      <alignment horizontal="general" vertical="bottom" textRotation="0" wrapText="false" indent="0" shrinkToFit="false"/>
      <protection locked="true" hidden="false"/>
    </xf>
    <xf numFmtId="164" fontId="0" fillId="3" borderId="18" xfId="0" applyFont="true" applyBorder="true" applyAlignment="false" applyProtection="false">
      <alignment horizontal="general" vertical="center" textRotation="0" wrapText="false" indent="0" shrinkToFit="false"/>
      <protection locked="true" hidden="false"/>
    </xf>
    <xf numFmtId="164" fontId="0" fillId="3" borderId="19" xfId="0" applyFont="true" applyBorder="true" applyAlignment="false" applyProtection="false">
      <alignment horizontal="general" vertical="center" textRotation="0" wrapText="false" indent="0" shrinkToFit="false"/>
      <protection locked="true" hidden="false"/>
    </xf>
    <xf numFmtId="164" fontId="0" fillId="5" borderId="0" xfId="0" applyFont="true" applyBorder="false" applyAlignment="false" applyProtection="false">
      <alignment horizontal="general" vertical="center" textRotation="0" wrapText="false" indent="0" shrinkToFit="false"/>
      <protection locked="true" hidden="false"/>
    </xf>
    <xf numFmtId="164" fontId="101" fillId="3" borderId="22" xfId="22" applyFont="true" applyBorder="true" applyAlignment="true" applyProtection="true">
      <alignment horizontal="general" vertical="center" textRotation="0" wrapText="false" indent="0" shrinkToFit="false"/>
      <protection locked="true" hidden="false"/>
    </xf>
    <xf numFmtId="167" fontId="38" fillId="3" borderId="7" xfId="0" applyFont="true" applyBorder="true" applyAlignment="false" applyProtection="false">
      <alignment horizontal="general" vertical="center" textRotation="0" wrapText="false" indent="0" shrinkToFit="false"/>
      <protection locked="true" hidden="false"/>
    </xf>
    <xf numFmtId="164" fontId="4" fillId="3" borderId="8" xfId="0" applyFont="true" applyBorder="true" applyAlignment="false" applyProtection="false">
      <alignment horizontal="general" vertical="center" textRotation="0" wrapText="false" indent="0" shrinkToFit="false"/>
      <protection locked="true" hidden="false"/>
    </xf>
    <xf numFmtId="164" fontId="72" fillId="3" borderId="5" xfId="0" applyFont="true" applyBorder="true" applyAlignment="false" applyProtection="false">
      <alignment horizontal="general" vertical="center" textRotation="0" wrapText="false" indent="0" shrinkToFit="false"/>
      <protection locked="true" hidden="false"/>
    </xf>
    <xf numFmtId="167" fontId="38" fillId="3" borderId="7" xfId="0" applyFont="true" applyBorder="true" applyAlignment="true" applyProtection="false">
      <alignment horizontal="right" vertical="center" textRotation="0" wrapText="false" indent="0" shrinkToFit="false"/>
      <protection locked="true" hidden="false"/>
    </xf>
    <xf numFmtId="164" fontId="0" fillId="5" borderId="0" xfId="0" applyFont="true" applyBorder="true" applyAlignment="false" applyProtection="false">
      <alignment horizontal="general" vertical="center" textRotation="0" wrapText="false" indent="0" shrinkToFit="false"/>
      <protection locked="true" hidden="false"/>
    </xf>
    <xf numFmtId="164" fontId="0" fillId="5" borderId="21" xfId="0" applyFont="true" applyBorder="true" applyAlignment="false" applyProtection="true">
      <alignment horizontal="general" vertical="center" textRotation="0" wrapText="false" indent="0" shrinkToFit="false"/>
      <protection locked="true" hidden="false"/>
    </xf>
    <xf numFmtId="164" fontId="101" fillId="5" borderId="20" xfId="22" applyFont="true" applyBorder="true" applyAlignment="true" applyProtection="true">
      <alignment horizontal="general" vertical="center" textRotation="0" wrapText="false" indent="0" shrinkToFit="false"/>
      <protection locked="true" hidden="false"/>
    </xf>
    <xf numFmtId="164" fontId="72" fillId="3" borderId="22" xfId="0" applyFont="true" applyBorder="true" applyAlignment="true" applyProtection="false">
      <alignment horizontal="left" vertical="center" textRotation="0" wrapText="false" indent="0" shrinkToFit="false"/>
      <protection locked="true" hidden="false"/>
    </xf>
    <xf numFmtId="164" fontId="72" fillId="3" borderId="5" xfId="0" applyFont="true" applyBorder="true" applyAlignment="true" applyProtection="false">
      <alignment horizontal="center" vertical="center" textRotation="0" wrapText="false" indent="0" shrinkToFit="false"/>
      <protection locked="true" hidden="false"/>
    </xf>
    <xf numFmtId="164" fontId="74" fillId="5" borderId="0" xfId="0" applyFont="true" applyBorder="true" applyAlignment="false" applyProtection="false">
      <alignment horizontal="general" vertical="center" textRotation="0" wrapText="false" indent="0" shrinkToFit="false"/>
      <protection locked="true" hidden="false"/>
    </xf>
    <xf numFmtId="164" fontId="72" fillId="3" borderId="7" xfId="0" applyFont="true" applyBorder="true" applyAlignment="true" applyProtection="true">
      <alignment horizontal="center" vertical="center" textRotation="0" wrapText="false" indent="0" shrinkToFit="false"/>
      <protection locked="true" hidden="false"/>
    </xf>
    <xf numFmtId="164" fontId="4" fillId="3" borderId="5" xfId="0" applyFont="true" applyBorder="true" applyAlignment="true" applyProtection="false">
      <alignment horizontal="center" vertical="center" textRotation="0" wrapText="false" indent="0" shrinkToFit="false"/>
      <protection locked="true" hidden="false"/>
    </xf>
    <xf numFmtId="167" fontId="38" fillId="3" borderId="22" xfId="0" applyFont="true" applyBorder="true" applyAlignment="true" applyProtection="false">
      <alignment horizontal="left" vertical="center" textRotation="0" wrapText="false" indent="0" shrinkToFit="false"/>
      <protection locked="true" hidden="false"/>
    </xf>
    <xf numFmtId="167" fontId="38" fillId="3" borderId="5" xfId="0" applyFont="true" applyBorder="true" applyAlignment="true" applyProtection="false">
      <alignment horizontal="right" vertical="center" textRotation="0" wrapText="false" indent="0" shrinkToFit="false"/>
      <protection locked="true" hidden="false"/>
    </xf>
    <xf numFmtId="167" fontId="38" fillId="3" borderId="7" xfId="0" applyFont="true" applyBorder="true" applyAlignment="true" applyProtection="true">
      <alignment horizontal="left" vertical="center" textRotation="0" wrapText="false" indent="0" shrinkToFit="false"/>
      <protection locked="true" hidden="false"/>
    </xf>
    <xf numFmtId="164" fontId="4" fillId="2" borderId="5" xfId="0" applyFont="true" applyBorder="true" applyAlignment="true" applyProtection="true">
      <alignment horizontal="center" vertical="center" textRotation="0" wrapText="false" indent="0" shrinkToFit="false"/>
      <protection locked="false" hidden="false"/>
    </xf>
    <xf numFmtId="167" fontId="38" fillId="3" borderId="24" xfId="0" applyFont="true" applyBorder="true" applyAlignment="true" applyProtection="false">
      <alignment horizontal="left" vertical="center" textRotation="0" wrapText="false" indent="0" shrinkToFit="false"/>
      <protection locked="true" hidden="false"/>
    </xf>
    <xf numFmtId="164" fontId="4" fillId="3" borderId="70" xfId="0" applyFont="true" applyBorder="true" applyAlignment="false" applyProtection="false">
      <alignment horizontal="general" vertical="center" textRotation="0" wrapText="false" indent="0" shrinkToFit="false"/>
      <protection locked="true" hidden="false"/>
    </xf>
    <xf numFmtId="164" fontId="0" fillId="5" borderId="26" xfId="0" applyFont="true" applyBorder="true" applyAlignment="false" applyProtection="false">
      <alignment horizontal="general" vertical="center" textRotation="0" wrapText="false" indent="0" shrinkToFit="false"/>
      <protection locked="true" hidden="false"/>
    </xf>
    <xf numFmtId="164" fontId="120" fillId="0" borderId="0" xfId="0" applyFont="true" applyBorder="false" applyAlignment="true" applyProtection="true">
      <alignment horizontal="center" vertical="center" textRotation="0" wrapText="false" indent="0" shrinkToFit="false"/>
      <protection locked="false" hidden="false"/>
    </xf>
    <xf numFmtId="187" fontId="120" fillId="0" borderId="0" xfId="0" applyFont="true" applyBorder="false" applyAlignment="true" applyProtection="true">
      <alignment horizontal="center" vertical="center" textRotation="0" wrapText="false" indent="0" shrinkToFit="false"/>
      <protection locked="false" hidden="false"/>
    </xf>
    <xf numFmtId="178" fontId="120" fillId="0" borderId="0" xfId="0" applyFont="true" applyBorder="false" applyAlignment="true" applyProtection="true">
      <alignment horizontal="center" vertical="center" textRotation="0" wrapText="false" indent="0" shrinkToFit="false"/>
      <protection locked="false" hidden="false"/>
    </xf>
    <xf numFmtId="164" fontId="120" fillId="0" borderId="20" xfId="0" applyFont="true" applyBorder="true" applyAlignment="true" applyProtection="true">
      <alignment horizontal="center" vertical="center" textRotation="0" wrapText="false" indent="0" shrinkToFit="false"/>
      <protection locked="false" hidden="false"/>
    </xf>
    <xf numFmtId="164" fontId="49" fillId="3" borderId="40" xfId="0" applyFont="true" applyBorder="true" applyAlignment="true" applyProtection="true">
      <alignment horizontal="general" vertical="center" textRotation="0" wrapText="false" indent="0" shrinkToFit="false"/>
      <protection locked="true" hidden="false"/>
    </xf>
    <xf numFmtId="164" fontId="121" fillId="3" borderId="40" xfId="0" applyFont="true" applyBorder="true" applyAlignment="true" applyProtection="true">
      <alignment horizontal="right" vertical="center" textRotation="0" wrapText="false" indent="0" shrinkToFit="false"/>
      <protection locked="true" hidden="false"/>
    </xf>
    <xf numFmtId="164" fontId="121" fillId="3" borderId="41" xfId="0" applyFont="true" applyBorder="true" applyAlignment="true" applyProtection="true">
      <alignment horizontal="center" vertical="center" textRotation="0" wrapText="false" indent="0" shrinkToFit="false"/>
      <protection locked="true" hidden="false"/>
    </xf>
    <xf numFmtId="164" fontId="100" fillId="2" borderId="41" xfId="0" applyFont="true" applyBorder="true" applyAlignment="true" applyProtection="true">
      <alignment horizontal="general" vertical="center" textRotation="0" wrapText="false" indent="0" shrinkToFit="false"/>
      <protection locked="false" hidden="false"/>
    </xf>
    <xf numFmtId="164" fontId="100" fillId="2" borderId="42" xfId="0" applyFont="true" applyBorder="true" applyAlignment="true" applyProtection="true">
      <alignment horizontal="general" vertical="center" textRotation="0" wrapText="false" indent="0" shrinkToFit="false"/>
      <protection locked="false" hidden="false"/>
    </xf>
    <xf numFmtId="164" fontId="100" fillId="2" borderId="1" xfId="0" applyFont="true" applyBorder="true" applyAlignment="true" applyProtection="true">
      <alignment horizontal="center" vertical="center" textRotation="0" wrapText="false" indent="0" shrinkToFit="false"/>
      <protection locked="false" hidden="false"/>
    </xf>
    <xf numFmtId="164" fontId="49" fillId="3" borderId="41" xfId="0" applyFont="true" applyBorder="true" applyAlignment="true" applyProtection="true">
      <alignment horizontal="general" vertical="center" textRotation="0" wrapText="false" indent="0" shrinkToFit="false"/>
      <protection locked="true" hidden="false"/>
    </xf>
    <xf numFmtId="164" fontId="100" fillId="3" borderId="41" xfId="0" applyFont="true" applyBorder="true" applyAlignment="true" applyProtection="true">
      <alignment horizontal="general" vertical="center" textRotation="0" wrapText="false" indent="0" shrinkToFit="false"/>
      <protection locked="true" hidden="false"/>
    </xf>
    <xf numFmtId="187" fontId="100" fillId="3" borderId="41" xfId="0" applyFont="true" applyBorder="true" applyAlignment="true" applyProtection="true">
      <alignment horizontal="center" vertical="center" textRotation="0" wrapText="false" indent="0" shrinkToFit="false"/>
      <protection locked="true" hidden="false"/>
    </xf>
    <xf numFmtId="178" fontId="100" fillId="3" borderId="41" xfId="0" applyFont="true" applyBorder="true" applyAlignment="true" applyProtection="true">
      <alignment horizontal="general" vertical="center" textRotation="0" wrapText="false" indent="0" shrinkToFit="false"/>
      <protection locked="true" hidden="false"/>
    </xf>
    <xf numFmtId="164" fontId="100" fillId="3" borderId="51" xfId="0" applyFont="true" applyBorder="true" applyAlignment="true" applyProtection="true">
      <alignment horizontal="center" vertical="center" textRotation="0" wrapText="false" indent="0" shrinkToFit="false"/>
      <protection locked="true" hidden="false"/>
    </xf>
    <xf numFmtId="164" fontId="100" fillId="3" borderId="2" xfId="0" applyFont="true" applyBorder="true" applyAlignment="true" applyProtection="true">
      <alignment horizontal="center" vertical="center" textRotation="0" wrapText="false" indent="0" shrinkToFit="false"/>
      <protection locked="true" hidden="false"/>
    </xf>
    <xf numFmtId="164" fontId="111" fillId="3" borderId="2" xfId="0" applyFont="true" applyBorder="true" applyAlignment="true" applyProtection="true">
      <alignment horizontal="center" vertical="center" textRotation="0" wrapText="false" indent="0" shrinkToFit="false"/>
      <protection locked="true" hidden="false"/>
    </xf>
    <xf numFmtId="164" fontId="111" fillId="0" borderId="2" xfId="0" applyFont="true" applyBorder="true" applyAlignment="true" applyProtection="true">
      <alignment horizontal="center" vertical="center" textRotation="0" wrapText="false" indent="0" shrinkToFit="false"/>
      <protection locked="false" hidden="false"/>
    </xf>
    <xf numFmtId="164" fontId="101" fillId="3" borderId="6" xfId="22" applyFont="true" applyBorder="true" applyAlignment="true" applyProtection="true">
      <alignment horizontal="general" vertical="center" textRotation="0" wrapText="false" indent="0" shrinkToFit="false"/>
      <protection locked="true" hidden="false"/>
    </xf>
    <xf numFmtId="184" fontId="102" fillId="3" borderId="6" xfId="0" applyFont="true" applyBorder="true" applyAlignment="true" applyProtection="true">
      <alignment horizontal="right" vertical="center" textRotation="0" wrapText="false" indent="0" shrinkToFit="false"/>
      <protection locked="true" hidden="false"/>
    </xf>
    <xf numFmtId="164" fontId="95" fillId="2" borderId="35" xfId="22" applyFont="true" applyBorder="true" applyAlignment="true" applyProtection="true">
      <alignment horizontal="general" vertical="center" textRotation="0" wrapText="false" indent="0" shrinkToFit="false"/>
      <protection locked="false" hidden="false"/>
    </xf>
    <xf numFmtId="167" fontId="102" fillId="3" borderId="0" xfId="0" applyFont="true" applyBorder="true" applyAlignment="true" applyProtection="true">
      <alignment horizontal="general" vertical="center" textRotation="0" wrapText="false" indent="0" shrinkToFit="false"/>
      <protection locked="true" hidden="false"/>
    </xf>
    <xf numFmtId="164" fontId="101" fillId="3" borderId="37" xfId="22" applyFont="true" applyBorder="true" applyAlignment="true" applyProtection="true">
      <alignment horizontal="general" vertical="center" textRotation="0" wrapText="false" indent="0" shrinkToFit="false"/>
      <protection locked="false" hidden="false"/>
    </xf>
    <xf numFmtId="164" fontId="101" fillId="2" borderId="6" xfId="22" applyFont="true" applyBorder="true" applyAlignment="true" applyProtection="true">
      <alignment horizontal="general" vertical="center" textRotation="0" wrapText="false" indent="0" shrinkToFit="false"/>
      <protection locked="false" hidden="false"/>
    </xf>
    <xf numFmtId="164" fontId="104" fillId="3" borderId="0" xfId="0" applyFont="true" applyBorder="true" applyAlignment="true" applyProtection="true">
      <alignment horizontal="general" vertical="center" textRotation="0" wrapText="false" indent="0" shrinkToFit="false"/>
      <protection locked="false" hidden="false"/>
    </xf>
    <xf numFmtId="187" fontId="104" fillId="3" borderId="0" xfId="0" applyFont="true" applyBorder="true" applyAlignment="true" applyProtection="true">
      <alignment horizontal="center" vertical="center" textRotation="0" wrapText="false" indent="0" shrinkToFit="false"/>
      <protection locked="false" hidden="false"/>
    </xf>
    <xf numFmtId="178" fontId="104" fillId="5" borderId="0" xfId="0" applyFont="true" applyBorder="true" applyAlignment="true" applyProtection="true">
      <alignment horizontal="general" vertical="center" textRotation="0" wrapText="false" indent="0" shrinkToFit="false"/>
      <protection locked="false" hidden="false"/>
    </xf>
    <xf numFmtId="164" fontId="104" fillId="5" borderId="0" xfId="0" applyFont="true" applyBorder="true" applyAlignment="true" applyProtection="true">
      <alignment horizontal="center" vertical="center" textRotation="0" wrapText="false" indent="0" shrinkToFit="false"/>
      <protection locked="false" hidden="false"/>
    </xf>
    <xf numFmtId="164" fontId="104" fillId="3" borderId="20" xfId="0" applyFont="true" applyBorder="true" applyAlignment="true" applyProtection="true">
      <alignment horizontal="center" vertical="center" textRotation="0" wrapText="false" indent="0" shrinkToFit="false"/>
      <protection locked="true" hidden="false"/>
    </xf>
    <xf numFmtId="164" fontId="104" fillId="3" borderId="0" xfId="0" applyFont="true" applyBorder="true" applyAlignment="true" applyProtection="true">
      <alignment horizontal="center" vertical="center" textRotation="0" wrapText="false" indent="0" shrinkToFit="false"/>
      <protection locked="true" hidden="false"/>
    </xf>
    <xf numFmtId="164" fontId="103" fillId="3" borderId="0" xfId="0" applyFont="true" applyBorder="true" applyAlignment="true" applyProtection="true">
      <alignment horizontal="center" vertical="center" textRotation="0" wrapText="false" indent="0" shrinkToFit="false"/>
      <protection locked="true" hidden="false"/>
    </xf>
    <xf numFmtId="164" fontId="103" fillId="0" borderId="0" xfId="0" applyFont="true" applyBorder="false" applyAlignment="true" applyProtection="true">
      <alignment horizontal="center" vertical="center" textRotation="0" wrapText="false" indent="0" shrinkToFit="false"/>
      <protection locked="false" hidden="false"/>
    </xf>
    <xf numFmtId="167" fontId="102" fillId="3" borderId="11" xfId="0" applyFont="true" applyBorder="true" applyAlignment="true" applyProtection="true">
      <alignment horizontal="right" vertical="center" textRotation="0" wrapText="false" indent="0" shrinkToFit="false"/>
      <protection locked="true" hidden="false"/>
    </xf>
    <xf numFmtId="164" fontId="101" fillId="3" borderId="11" xfId="0" applyFont="true" applyBorder="true" applyAlignment="true" applyProtection="true">
      <alignment horizontal="center" vertical="center" textRotation="0" wrapText="false" indent="0" shrinkToFit="false"/>
      <protection locked="true" hidden="false"/>
    </xf>
    <xf numFmtId="164" fontId="123" fillId="3" borderId="0" xfId="0" applyFont="true" applyBorder="true" applyAlignment="true" applyProtection="true">
      <alignment horizontal="general" vertical="center" textRotation="0" wrapText="false" indent="0" shrinkToFit="false"/>
      <protection locked="false" hidden="false"/>
    </xf>
    <xf numFmtId="164" fontId="73" fillId="3" borderId="17" xfId="0" applyFont="true" applyBorder="true" applyAlignment="true" applyProtection="true">
      <alignment horizontal="general" vertical="center" textRotation="0" wrapText="true" indent="0" shrinkToFit="false"/>
      <protection locked="true" hidden="false"/>
    </xf>
    <xf numFmtId="164" fontId="124" fillId="3" borderId="18" xfId="0" applyFont="true" applyBorder="true" applyAlignment="true" applyProtection="true">
      <alignment horizontal="general" vertical="center" textRotation="0" wrapText="true" indent="0" shrinkToFit="false"/>
      <protection locked="true" hidden="false"/>
    </xf>
    <xf numFmtId="164" fontId="65" fillId="3" borderId="46" xfId="0" applyFont="true" applyBorder="true" applyAlignment="true" applyProtection="true">
      <alignment horizontal="center" vertical="center" textRotation="0" wrapText="true" indent="0" shrinkToFit="false"/>
      <protection locked="true" hidden="false"/>
    </xf>
    <xf numFmtId="164" fontId="65" fillId="3" borderId="64" xfId="0" applyFont="true" applyBorder="true" applyAlignment="true" applyProtection="true">
      <alignment horizontal="center" vertical="center" textRotation="0" wrapText="true" indent="0" shrinkToFit="false"/>
      <protection locked="true" hidden="false"/>
    </xf>
    <xf numFmtId="187" fontId="4" fillId="3" borderId="50" xfId="0" applyFont="true" applyBorder="true" applyAlignment="true" applyProtection="true">
      <alignment horizontal="center" vertical="center" textRotation="0" wrapText="true" indent="0" shrinkToFit="false"/>
      <protection locked="true" hidden="false"/>
    </xf>
    <xf numFmtId="178" fontId="0" fillId="5" borderId="0" xfId="0" applyFont="true" applyBorder="true" applyAlignment="true" applyProtection="true">
      <alignment horizontal="general" vertical="center" textRotation="0" wrapText="true" indent="0" shrinkToFit="false"/>
      <protection locked="false" hidden="false"/>
    </xf>
    <xf numFmtId="164" fontId="120" fillId="5" borderId="0" xfId="0" applyFont="true" applyBorder="true" applyAlignment="true" applyProtection="true">
      <alignment horizontal="center" vertical="center" textRotation="0" wrapText="false" indent="0" shrinkToFit="false"/>
      <protection locked="false" hidden="false"/>
    </xf>
    <xf numFmtId="164" fontId="65" fillId="3" borderId="5" xfId="0" applyFont="true" applyBorder="true" applyAlignment="true" applyProtection="true">
      <alignment horizontal="center" vertical="center" textRotation="0" wrapText="true" indent="0" shrinkToFit="false"/>
      <protection locked="true" hidden="false"/>
    </xf>
    <xf numFmtId="164" fontId="65" fillId="3" borderId="11" xfId="0" applyFont="true" applyBorder="true" applyAlignment="true" applyProtection="true">
      <alignment horizontal="center" vertical="center" textRotation="0" wrapText="false" indent="0" shrinkToFit="false"/>
      <protection locked="true" hidden="false"/>
    </xf>
    <xf numFmtId="164" fontId="65" fillId="3" borderId="5" xfId="0" applyFont="true" applyBorder="true" applyAlignment="true" applyProtection="true">
      <alignment horizontal="center" vertical="center" textRotation="0" wrapText="false" indent="0" shrinkToFit="false"/>
      <protection locked="true" hidden="false"/>
    </xf>
    <xf numFmtId="164" fontId="120" fillId="3" borderId="16" xfId="0" applyFont="true" applyBorder="true" applyAlignment="true" applyProtection="true">
      <alignment horizontal="center" vertical="center" textRotation="0" wrapText="false" indent="0" shrinkToFit="false"/>
      <protection locked="true" hidden="false"/>
    </xf>
    <xf numFmtId="164" fontId="124" fillId="3" borderId="20" xfId="0" applyFont="true" applyBorder="true" applyAlignment="true" applyProtection="true">
      <alignment horizontal="general" vertical="center" textRotation="0" wrapText="true" indent="0" shrinkToFit="false"/>
      <protection locked="true" hidden="false"/>
    </xf>
    <xf numFmtId="164" fontId="124" fillId="3" borderId="0" xfId="0" applyFont="true" applyBorder="true" applyAlignment="true" applyProtection="true">
      <alignment horizontal="general" vertical="center" textRotation="0" wrapText="true" indent="0" shrinkToFit="false"/>
      <protection locked="true" hidden="false"/>
    </xf>
    <xf numFmtId="164" fontId="125" fillId="0" borderId="105" xfId="0" applyFont="true" applyBorder="true" applyAlignment="true" applyProtection="true">
      <alignment horizontal="center" vertical="center" textRotation="0" wrapText="true" indent="0" shrinkToFit="false"/>
      <protection locked="false" hidden="false"/>
    </xf>
    <xf numFmtId="167" fontId="125" fillId="0" borderId="10" xfId="0" applyFont="true" applyBorder="true" applyAlignment="true" applyProtection="true">
      <alignment horizontal="center" vertical="center" textRotation="0" wrapText="true" indent="0" shrinkToFit="false"/>
      <protection locked="false" hidden="false"/>
    </xf>
    <xf numFmtId="187" fontId="0" fillId="3" borderId="31" xfId="0" applyFont="true" applyBorder="true" applyAlignment="true" applyProtection="true">
      <alignment horizontal="center" vertical="center" textRotation="0" wrapText="true" indent="0" shrinkToFit="false"/>
      <protection locked="true" hidden="false"/>
    </xf>
    <xf numFmtId="164" fontId="124" fillId="3" borderId="75" xfId="0" applyFont="true" applyBorder="true" applyAlignment="true" applyProtection="true">
      <alignment horizontal="general" vertical="center" textRotation="0" wrapText="true" indent="0" shrinkToFit="false"/>
      <protection locked="true" hidden="false"/>
    </xf>
    <xf numFmtId="164" fontId="124" fillId="3" borderId="26" xfId="0" applyFont="true" applyBorder="true" applyAlignment="true" applyProtection="true">
      <alignment horizontal="general" vertical="center" textRotation="0" wrapText="true" indent="0" shrinkToFit="false"/>
      <protection locked="true" hidden="false"/>
    </xf>
    <xf numFmtId="164" fontId="125" fillId="0" borderId="106" xfId="0" applyFont="true" applyBorder="true" applyAlignment="true" applyProtection="true">
      <alignment horizontal="center" vertical="center" textRotation="0" wrapText="true" indent="0" shrinkToFit="false"/>
      <protection locked="false" hidden="false"/>
    </xf>
    <xf numFmtId="164" fontId="125" fillId="0" borderId="60" xfId="0" applyFont="true" applyBorder="true" applyAlignment="true" applyProtection="true">
      <alignment horizontal="center" vertical="center" textRotation="0" wrapText="true" indent="0" shrinkToFit="false"/>
      <protection locked="false" hidden="false"/>
    </xf>
    <xf numFmtId="187" fontId="4" fillId="3" borderId="31" xfId="0" applyFont="true" applyBorder="true" applyAlignment="true" applyProtection="true">
      <alignment horizontal="center" vertical="center" textRotation="0" wrapText="true" indent="0" shrinkToFit="false"/>
      <protection locked="true" hidden="false"/>
    </xf>
    <xf numFmtId="164" fontId="72" fillId="3" borderId="77" xfId="0" applyFont="true" applyBorder="true" applyAlignment="true" applyProtection="true">
      <alignment horizontal="general" vertical="center" textRotation="0" wrapText="true" indent="0" shrinkToFit="false"/>
      <protection locked="true" hidden="false"/>
    </xf>
    <xf numFmtId="164" fontId="74" fillId="3" borderId="78" xfId="0" applyFont="true" applyBorder="true" applyAlignment="true" applyProtection="true">
      <alignment horizontal="general" vertical="center" textRotation="0" wrapText="true" indent="0" shrinkToFit="false"/>
      <protection locked="true" hidden="false"/>
    </xf>
    <xf numFmtId="169" fontId="38" fillId="3" borderId="33" xfId="0" applyFont="true" applyBorder="true" applyAlignment="true" applyProtection="true">
      <alignment horizontal="center" vertical="center" textRotation="0" wrapText="true" indent="0" shrinkToFit="false"/>
      <protection locked="true" hidden="false"/>
    </xf>
    <xf numFmtId="164" fontId="38" fillId="3" borderId="34" xfId="0" applyFont="true" applyBorder="true" applyAlignment="true" applyProtection="true">
      <alignment horizontal="center" vertical="center" textRotation="0" wrapText="true" indent="0" shrinkToFit="false"/>
      <protection locked="true" hidden="false"/>
    </xf>
    <xf numFmtId="169" fontId="38" fillId="0" borderId="95" xfId="0" applyFont="true" applyBorder="true" applyAlignment="true" applyProtection="true">
      <alignment horizontal="center" vertical="center" textRotation="0" wrapText="true" indent="0" shrinkToFit="false"/>
      <protection locked="false" hidden="false"/>
    </xf>
    <xf numFmtId="167" fontId="38" fillId="3" borderId="85" xfId="0" applyFont="true" applyBorder="true" applyAlignment="true" applyProtection="true">
      <alignment horizontal="center" vertical="center" textRotation="0" wrapText="true" indent="0" shrinkToFit="false"/>
      <protection locked="true" hidden="false"/>
    </xf>
    <xf numFmtId="167" fontId="38" fillId="3" borderId="34" xfId="0" applyFont="true" applyBorder="true" applyAlignment="true" applyProtection="true">
      <alignment horizontal="center" vertical="center" textRotation="0" wrapText="true" indent="0" shrinkToFit="false"/>
      <protection locked="true" hidden="false"/>
    </xf>
    <xf numFmtId="164" fontId="0" fillId="3" borderId="31" xfId="0" applyFont="true" applyBorder="true" applyAlignment="true" applyProtection="true">
      <alignment horizontal="center" vertical="center" textRotation="0" wrapText="true" indent="0" shrinkToFit="false"/>
      <protection locked="true" hidden="false"/>
    </xf>
    <xf numFmtId="178" fontId="0" fillId="5" borderId="0" xfId="0" applyFont="true" applyBorder="true" applyAlignment="true" applyProtection="true">
      <alignment horizontal="center" vertical="center" textRotation="0" wrapText="true" indent="0" shrinkToFit="false"/>
      <protection locked="false" hidden="false"/>
    </xf>
    <xf numFmtId="164" fontId="0" fillId="5" borderId="0" xfId="0" applyFont="true" applyBorder="true" applyAlignment="true" applyProtection="true">
      <alignment horizontal="center" vertical="center" textRotation="0" wrapText="false" indent="0" shrinkToFit="false"/>
      <protection locked="false" hidden="false"/>
    </xf>
    <xf numFmtId="164" fontId="4" fillId="3" borderId="7" xfId="0" applyFont="true" applyBorder="true" applyAlignment="true" applyProtection="true">
      <alignment horizontal="center" vertical="center" textRotation="0" wrapText="false" indent="0" shrinkToFit="false"/>
      <protection locked="true" hidden="false"/>
    </xf>
    <xf numFmtId="188" fontId="38" fillId="3" borderId="7" xfId="0" applyFont="true" applyBorder="true" applyAlignment="true" applyProtection="true">
      <alignment horizontal="center" vertical="center" textRotation="0" wrapText="false" indent="0" shrinkToFit="false"/>
      <protection locked="true" hidden="false"/>
    </xf>
    <xf numFmtId="174" fontId="38" fillId="3" borderId="8" xfId="0" applyFont="true" applyBorder="true" applyAlignment="true" applyProtection="true">
      <alignment horizontal="center" vertical="center" textRotation="0" wrapText="false" indent="0" shrinkToFit="false"/>
      <protection locked="true" hidden="false"/>
    </xf>
    <xf numFmtId="164" fontId="0" fillId="3" borderId="16"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true">
      <alignment horizontal="center" vertical="center" textRotation="0" wrapText="false" indent="0" shrinkToFit="false"/>
      <protection locked="false" hidden="false"/>
    </xf>
    <xf numFmtId="174" fontId="0" fillId="2" borderId="33" xfId="0" applyFont="true" applyBorder="true" applyAlignment="true" applyProtection="true">
      <alignment horizontal="center" vertical="center" textRotation="0" wrapText="true" indent="0" shrinkToFit="false"/>
      <protection locked="false" hidden="false"/>
    </xf>
    <xf numFmtId="174" fontId="0" fillId="2" borderId="95" xfId="0" applyFont="true" applyBorder="true" applyAlignment="true" applyProtection="true">
      <alignment horizontal="center" vertical="center" textRotation="0" wrapText="true" indent="0" shrinkToFit="false"/>
      <protection locked="false" hidden="false"/>
    </xf>
    <xf numFmtId="164" fontId="72" fillId="3" borderId="87" xfId="0" applyFont="true" applyBorder="true" applyAlignment="true" applyProtection="true">
      <alignment horizontal="general" vertical="center" textRotation="0" wrapText="true" indent="0" shrinkToFit="false"/>
      <protection locked="true" hidden="false"/>
    </xf>
    <xf numFmtId="164" fontId="4" fillId="0" borderId="47" xfId="0" applyFont="true" applyBorder="true" applyAlignment="true" applyProtection="true">
      <alignment horizontal="center" vertical="center" textRotation="0" wrapText="true" indent="0" shrinkToFit="false"/>
      <protection locked="false" hidden="false"/>
    </xf>
    <xf numFmtId="164" fontId="38" fillId="3" borderId="59" xfId="0" applyFont="true" applyBorder="true" applyAlignment="true" applyProtection="true">
      <alignment horizontal="center" vertical="center" textRotation="0" wrapText="true" indent="0" shrinkToFit="false"/>
      <protection locked="true" hidden="false"/>
    </xf>
    <xf numFmtId="174" fontId="0" fillId="2" borderId="83" xfId="0" applyFont="true" applyBorder="true" applyAlignment="true" applyProtection="true">
      <alignment horizontal="center" vertical="center" textRotation="0" wrapText="true" indent="0" shrinkToFit="false"/>
      <protection locked="false" hidden="false"/>
    </xf>
    <xf numFmtId="167" fontId="38" fillId="3" borderId="81" xfId="0" applyFont="true" applyBorder="true" applyAlignment="true" applyProtection="true">
      <alignment horizontal="center" vertical="center" textRotation="0" wrapText="true" indent="0" shrinkToFit="false"/>
      <protection locked="true" hidden="false"/>
    </xf>
    <xf numFmtId="174" fontId="0" fillId="2" borderId="57" xfId="0" applyFont="true" applyBorder="true" applyAlignment="true" applyProtection="true">
      <alignment horizontal="center" vertical="center" textRotation="0" wrapText="true" indent="0" shrinkToFit="false"/>
      <protection locked="false" hidden="false"/>
    </xf>
    <xf numFmtId="167" fontId="38" fillId="3" borderId="59" xfId="0" applyFont="true" applyBorder="true" applyAlignment="true" applyProtection="true">
      <alignment horizontal="center" vertical="center" textRotation="0" wrapText="true" indent="0" shrinkToFit="false"/>
      <protection locked="true" hidden="false"/>
    </xf>
    <xf numFmtId="164" fontId="65" fillId="3" borderId="22" xfId="0" applyFont="true" applyBorder="true" applyAlignment="true" applyProtection="true">
      <alignment horizontal="center" vertical="center" textRotation="0" wrapText="true" indent="0" shrinkToFit="false"/>
      <protection locked="true" hidden="false"/>
    </xf>
    <xf numFmtId="164" fontId="4" fillId="3" borderId="5" xfId="0" applyFont="true" applyBorder="true" applyAlignment="true" applyProtection="true">
      <alignment horizontal="center" vertical="center" textRotation="0" wrapText="true" indent="0" shrinkToFit="false"/>
      <protection locked="true" hidden="false"/>
    </xf>
    <xf numFmtId="164" fontId="126" fillId="3" borderId="68" xfId="0" applyFont="true" applyBorder="true" applyAlignment="true" applyProtection="true">
      <alignment horizontal="general" vertical="center" textRotation="0" wrapText="true" indent="0" shrinkToFit="false"/>
      <protection locked="true" hidden="false"/>
    </xf>
    <xf numFmtId="164" fontId="4" fillId="3" borderId="7" xfId="0" applyFont="true" applyBorder="true" applyAlignment="true" applyProtection="true">
      <alignment horizontal="center" vertical="center" textRotation="0" wrapText="true" indent="0" shrinkToFit="false"/>
      <protection locked="true" hidden="false"/>
    </xf>
    <xf numFmtId="170" fontId="0" fillId="0" borderId="22" xfId="0" applyFont="true" applyBorder="true" applyAlignment="true" applyProtection="true">
      <alignment horizontal="center" vertical="center" textRotation="0" wrapText="true" indent="0" shrinkToFit="false"/>
      <protection locked="false" hidden="false"/>
    </xf>
    <xf numFmtId="164" fontId="38" fillId="3" borderId="23" xfId="0" applyFont="true" applyBorder="true" applyAlignment="true" applyProtection="true">
      <alignment horizontal="center" vertical="center" textRotation="0" wrapText="true" indent="0" shrinkToFit="false"/>
      <protection locked="true" hidden="false"/>
    </xf>
    <xf numFmtId="170" fontId="0" fillId="0" borderId="8" xfId="0" applyFont="true" applyBorder="true" applyAlignment="true" applyProtection="true">
      <alignment horizontal="center" vertical="center" textRotation="0" wrapText="true" indent="0" shrinkToFit="false"/>
      <protection locked="false" hidden="false"/>
    </xf>
    <xf numFmtId="167" fontId="38" fillId="3" borderId="7" xfId="0" applyFont="true" applyBorder="true" applyAlignment="true" applyProtection="true">
      <alignment horizontal="center" vertical="center" textRotation="0" wrapText="true" indent="0" shrinkToFit="false"/>
      <protection locked="true" hidden="false"/>
    </xf>
    <xf numFmtId="167" fontId="38" fillId="3" borderId="23" xfId="0" applyFont="true" applyBorder="true" applyAlignment="true" applyProtection="true">
      <alignment horizontal="center" vertical="center" textRotation="0" wrapText="true" indent="0" shrinkToFit="false"/>
      <protection locked="true" hidden="false"/>
    </xf>
    <xf numFmtId="178" fontId="127" fillId="5" borderId="0" xfId="0" applyFont="true" applyBorder="true" applyAlignment="true" applyProtection="true">
      <alignment horizontal="center" vertical="center" textRotation="0" wrapText="true" indent="0" shrinkToFit="false"/>
      <protection locked="false" hidden="false"/>
    </xf>
    <xf numFmtId="164" fontId="127" fillId="5" borderId="0" xfId="0" applyFont="true" applyBorder="true" applyAlignment="true" applyProtection="true">
      <alignment horizontal="center" vertical="center" textRotation="0" wrapText="false" indent="0" shrinkToFit="false"/>
      <protection locked="false" hidden="false"/>
    </xf>
    <xf numFmtId="164" fontId="127" fillId="0" borderId="0" xfId="0" applyFont="true" applyBorder="false" applyAlignment="true" applyProtection="true">
      <alignment horizontal="center" vertical="center" textRotation="0" wrapText="false" indent="0" shrinkToFit="false"/>
      <protection locked="false" hidden="false"/>
    </xf>
    <xf numFmtId="164" fontId="124" fillId="3" borderId="68" xfId="0" applyFont="true" applyBorder="true" applyAlignment="true" applyProtection="true">
      <alignment horizontal="general" vertical="center" textRotation="0" wrapText="true" indent="0" shrinkToFit="false"/>
      <protection locked="true" hidden="false"/>
    </xf>
    <xf numFmtId="164" fontId="38" fillId="0" borderId="22" xfId="0" applyFont="true" applyBorder="true" applyAlignment="true" applyProtection="true">
      <alignment horizontal="center" vertical="center" textRotation="0" wrapText="true" indent="0" shrinkToFit="false"/>
      <protection locked="false" hidden="false"/>
    </xf>
    <xf numFmtId="164" fontId="38" fillId="0" borderId="8" xfId="0" applyFont="true" applyBorder="true" applyAlignment="true" applyProtection="true">
      <alignment horizontal="center" vertical="center" textRotation="0" wrapText="true" indent="0" shrinkToFit="false"/>
      <protection locked="false" hidden="false"/>
    </xf>
    <xf numFmtId="164" fontId="109" fillId="0" borderId="31" xfId="0" applyFont="true" applyBorder="true" applyAlignment="true" applyProtection="true">
      <alignment horizontal="center" vertical="center" textRotation="0" wrapText="true" indent="0" shrinkToFit="false"/>
      <protection locked="false" hidden="false"/>
    </xf>
    <xf numFmtId="178" fontId="70" fillId="5" borderId="0" xfId="0" applyFont="true" applyBorder="true" applyAlignment="true" applyProtection="true">
      <alignment horizontal="center" vertical="center" textRotation="0" wrapText="true" indent="0" shrinkToFit="false"/>
      <protection locked="false" hidden="false"/>
    </xf>
    <xf numFmtId="164" fontId="74" fillId="3" borderId="68" xfId="0" applyFont="true" applyBorder="true" applyAlignment="true" applyProtection="true">
      <alignment horizontal="general" vertical="center" textRotation="0" wrapText="true" indent="0" shrinkToFit="false"/>
      <protection locked="true" hidden="false"/>
    </xf>
    <xf numFmtId="164" fontId="38" fillId="0" borderId="38" xfId="0" applyFont="true" applyBorder="true" applyAlignment="true" applyProtection="true">
      <alignment horizontal="center" vertical="center" textRotation="0" wrapText="true" indent="0" shrinkToFit="false"/>
      <protection locked="false" hidden="false"/>
    </xf>
    <xf numFmtId="164" fontId="0" fillId="0" borderId="66" xfId="0" applyFont="true" applyBorder="true" applyAlignment="true" applyProtection="true">
      <alignment horizontal="center" vertical="center" textRotation="0" wrapText="true" indent="0" shrinkToFit="false"/>
      <protection locked="false" hidden="false"/>
    </xf>
    <xf numFmtId="164" fontId="38" fillId="3" borderId="101" xfId="0" applyFont="true" applyBorder="true" applyAlignment="true" applyProtection="true">
      <alignment horizontal="center" vertical="center" textRotation="0" wrapText="true" indent="0" shrinkToFit="false"/>
      <protection locked="true" hidden="false"/>
    </xf>
    <xf numFmtId="164" fontId="103" fillId="3" borderId="31" xfId="0" applyFont="true" applyBorder="true" applyAlignment="true" applyProtection="true">
      <alignment horizontal="center" vertical="center" textRotation="0" wrapText="true" indent="0" shrinkToFit="false"/>
      <protection locked="true" hidden="false"/>
    </xf>
    <xf numFmtId="164" fontId="120" fillId="0" borderId="99" xfId="0" applyFont="true" applyBorder="true" applyAlignment="true" applyProtection="true">
      <alignment horizontal="center" vertical="center" textRotation="0" wrapText="true" indent="0" shrinkToFit="false"/>
      <protection locked="false" hidden="false"/>
    </xf>
    <xf numFmtId="164" fontId="75" fillId="3" borderId="23" xfId="0" applyFont="true" applyBorder="true" applyAlignment="true" applyProtection="true">
      <alignment horizontal="center" vertical="center" textRotation="0" wrapText="true" indent="0" shrinkToFit="false"/>
      <protection locked="true" hidden="false"/>
    </xf>
    <xf numFmtId="167" fontId="75" fillId="3" borderId="23" xfId="0" applyFont="true" applyBorder="true" applyAlignment="true" applyProtection="true">
      <alignment horizontal="center" vertical="center" textRotation="0" wrapText="true" indent="0" shrinkToFit="false"/>
      <protection locked="true" hidden="false"/>
    </xf>
    <xf numFmtId="178" fontId="128" fillId="5" borderId="0" xfId="0" applyFont="true" applyBorder="true" applyAlignment="true" applyProtection="true">
      <alignment horizontal="center" vertical="center" textRotation="0" wrapText="true" indent="0" shrinkToFit="false"/>
      <protection locked="false" hidden="false"/>
    </xf>
    <xf numFmtId="164" fontId="124" fillId="3" borderId="67" xfId="0" applyFont="true" applyBorder="true" applyAlignment="true" applyProtection="true">
      <alignment horizontal="general" vertical="center" textRotation="0" wrapText="true" indent="0" shrinkToFit="false"/>
      <protection locked="true" hidden="false"/>
    </xf>
    <xf numFmtId="164" fontId="38" fillId="0" borderId="76" xfId="0" applyFont="true" applyBorder="true" applyAlignment="true" applyProtection="true">
      <alignment horizontal="center" vertical="center" textRotation="0" wrapText="true" indent="0" shrinkToFit="false"/>
      <protection locked="false" hidden="false"/>
    </xf>
    <xf numFmtId="164" fontId="120" fillId="0" borderId="69" xfId="0" applyFont="true" applyBorder="true" applyAlignment="true" applyProtection="true">
      <alignment horizontal="center" vertical="center" textRotation="0" wrapText="true" indent="0" shrinkToFit="false"/>
      <protection locked="false" hidden="false"/>
    </xf>
    <xf numFmtId="164" fontId="75" fillId="3" borderId="71" xfId="0" applyFont="true" applyBorder="true" applyAlignment="true" applyProtection="true">
      <alignment horizontal="center" vertical="center" textRotation="0" wrapText="true" indent="0" shrinkToFit="false"/>
      <protection locked="true" hidden="false"/>
    </xf>
    <xf numFmtId="167" fontId="75" fillId="3" borderId="76" xfId="0" applyFont="true" applyBorder="true" applyAlignment="true" applyProtection="true">
      <alignment horizontal="center" vertical="center" textRotation="0" wrapText="true" indent="0" shrinkToFit="false"/>
      <protection locked="true" hidden="false"/>
    </xf>
    <xf numFmtId="167" fontId="75" fillId="3" borderId="71" xfId="0" applyFont="true" applyBorder="true" applyAlignment="true" applyProtection="true">
      <alignment horizontal="center" vertical="center" textRotation="0" wrapText="true" indent="0" shrinkToFit="false"/>
      <protection locked="true" hidden="false"/>
    </xf>
    <xf numFmtId="164" fontId="73" fillId="3" borderId="87" xfId="0" applyFont="true" applyBorder="true" applyAlignment="true" applyProtection="true">
      <alignment horizontal="general" vertical="center" textRotation="0" wrapText="true" indent="0" shrinkToFit="false"/>
      <protection locked="true" hidden="false"/>
    </xf>
    <xf numFmtId="174" fontId="75" fillId="3" borderId="87" xfId="0" applyFont="true" applyBorder="true" applyAlignment="true" applyProtection="true">
      <alignment horizontal="center" vertical="center" textRotation="0" wrapText="true" indent="0" shrinkToFit="false"/>
      <protection locked="true" hidden="false"/>
    </xf>
    <xf numFmtId="164" fontId="75" fillId="3" borderId="82" xfId="0" applyFont="true" applyBorder="true" applyAlignment="true" applyProtection="true">
      <alignment horizontal="center" vertical="center" textRotation="0" wrapText="true" indent="0" shrinkToFit="false"/>
      <protection locked="true" hidden="false"/>
    </xf>
    <xf numFmtId="174" fontId="120" fillId="0" borderId="87" xfId="0" applyFont="true" applyBorder="true" applyAlignment="true" applyProtection="true">
      <alignment horizontal="center" vertical="center" textRotation="0" wrapText="true" indent="0" shrinkToFit="false"/>
      <protection locked="false" hidden="false"/>
    </xf>
    <xf numFmtId="167" fontId="75" fillId="3" borderId="82" xfId="0" applyFont="true" applyBorder="true" applyAlignment="true" applyProtection="true">
      <alignment horizontal="center" vertical="center" textRotation="0" wrapText="true" indent="0" shrinkToFit="false"/>
      <protection locked="true" hidden="false"/>
    </xf>
    <xf numFmtId="174" fontId="120" fillId="0" borderId="107" xfId="0" applyFont="true" applyBorder="true" applyAlignment="true" applyProtection="true">
      <alignment horizontal="center" vertical="center" textRotation="0" wrapText="true" indent="0" shrinkToFit="false"/>
      <protection locked="false" hidden="false"/>
    </xf>
    <xf numFmtId="164" fontId="103" fillId="0" borderId="106" xfId="0" applyFont="true" applyBorder="true" applyAlignment="true" applyProtection="true">
      <alignment horizontal="center" vertical="center" textRotation="0" wrapText="true" indent="0" shrinkToFit="false"/>
      <protection locked="false" hidden="false"/>
    </xf>
    <xf numFmtId="164" fontId="65" fillId="3" borderId="65" xfId="0" applyFont="true" applyBorder="true" applyAlignment="true" applyProtection="true">
      <alignment horizontal="center" vertical="center" textRotation="0" wrapText="true" indent="0" shrinkToFit="false"/>
      <protection locked="true" hidden="false"/>
    </xf>
    <xf numFmtId="167" fontId="75" fillId="3" borderId="5" xfId="0" applyFont="true" applyBorder="true" applyAlignment="true" applyProtection="true">
      <alignment horizontal="center" vertical="center" textRotation="0" wrapText="true" indent="0" shrinkToFit="false"/>
      <protection locked="true" hidden="false"/>
    </xf>
    <xf numFmtId="188" fontId="75" fillId="3" borderId="7" xfId="0" applyFont="true" applyBorder="true" applyAlignment="true" applyProtection="true">
      <alignment horizontal="center" vertical="center" textRotation="0" wrapText="false" indent="0" shrinkToFit="false"/>
      <protection locked="true" hidden="false"/>
    </xf>
    <xf numFmtId="174" fontId="75" fillId="3" borderId="8" xfId="0" applyFont="true" applyBorder="true" applyAlignment="true" applyProtection="true">
      <alignment horizontal="center" vertical="center" textRotation="0" wrapText="false" indent="0" shrinkToFit="false"/>
      <protection locked="true" hidden="false"/>
    </xf>
    <xf numFmtId="164" fontId="65" fillId="3" borderId="11" xfId="0" applyFont="true" applyBorder="true" applyAlignment="true" applyProtection="true">
      <alignment horizontal="center" vertical="center" textRotation="0" wrapText="true" indent="0" shrinkToFit="false"/>
      <protection locked="true" hidden="false"/>
    </xf>
    <xf numFmtId="167" fontId="75" fillId="3" borderId="5" xfId="0" applyFont="true" applyBorder="true" applyAlignment="true" applyProtection="true">
      <alignment horizontal="center" vertical="center" textRotation="0" wrapText="false" indent="0" shrinkToFit="false"/>
      <protection locked="true" hidden="false"/>
    </xf>
    <xf numFmtId="167" fontId="75" fillId="3" borderId="5" xfId="0" applyFont="true" applyBorder="true" applyAlignment="true" applyProtection="true">
      <alignment horizontal="center" vertical="center" textRotation="0" wrapText="false" indent="0" shrinkToFit="false"/>
      <protection locked="true" hidden="false"/>
    </xf>
    <xf numFmtId="164" fontId="120" fillId="3" borderId="0" xfId="0" applyFont="true" applyBorder="true" applyAlignment="true" applyProtection="true">
      <alignment horizontal="center" vertical="center" textRotation="0" wrapText="false" indent="0" shrinkToFit="false"/>
      <protection locked="true" hidden="false"/>
    </xf>
    <xf numFmtId="164" fontId="120" fillId="2" borderId="66" xfId="0" applyFont="true" applyBorder="true" applyAlignment="true" applyProtection="true">
      <alignment horizontal="center" vertical="center" textRotation="0" wrapText="true" indent="0" shrinkToFit="false"/>
      <protection locked="false" hidden="false"/>
    </xf>
    <xf numFmtId="164" fontId="120" fillId="3" borderId="62" xfId="0" applyFont="true" applyBorder="true" applyAlignment="true" applyProtection="true">
      <alignment horizontal="center" vertical="center" textRotation="0" wrapText="true" indent="0" shrinkToFit="false"/>
      <protection locked="true" hidden="false"/>
    </xf>
    <xf numFmtId="174" fontId="120" fillId="2" borderId="66" xfId="0" applyFont="true" applyBorder="true" applyAlignment="true" applyProtection="true">
      <alignment horizontal="center" vertical="center" textRotation="0" wrapText="true" indent="0" shrinkToFit="false"/>
      <protection locked="false" hidden="false"/>
    </xf>
    <xf numFmtId="174" fontId="120" fillId="2" borderId="37" xfId="0" applyFont="true" applyBorder="true" applyAlignment="true" applyProtection="true">
      <alignment horizontal="center" vertical="center" textRotation="0" wrapText="true" indent="0" shrinkToFit="false"/>
      <protection locked="false" hidden="false"/>
    </xf>
    <xf numFmtId="164" fontId="120" fillId="3" borderId="86" xfId="0" applyFont="true" applyBorder="true" applyAlignment="true" applyProtection="true">
      <alignment horizontal="center" vertical="center" textRotation="0" wrapText="true" indent="0" shrinkToFit="false"/>
      <protection locked="true" hidden="false"/>
    </xf>
    <xf numFmtId="164" fontId="103" fillId="3" borderId="108" xfId="0" applyFont="true" applyBorder="true" applyAlignment="true" applyProtection="true">
      <alignment horizontal="center" vertical="center" textRotation="0" wrapText="true" indent="0" shrinkToFit="false"/>
      <protection locked="true" hidden="false"/>
    </xf>
    <xf numFmtId="164" fontId="4" fillId="3" borderId="38" xfId="0" applyFont="true" applyBorder="true" applyAlignment="true" applyProtection="true">
      <alignment horizontal="center" vertical="center" textRotation="0" wrapText="true" indent="0" shrinkToFit="false"/>
      <protection locked="true" hidden="false"/>
    </xf>
    <xf numFmtId="167" fontId="75" fillId="3" borderId="65" xfId="0" applyFont="true" applyBorder="true" applyAlignment="true" applyProtection="true">
      <alignment horizontal="center" vertical="center" textRotation="0" wrapText="true" indent="0" shrinkToFit="false"/>
      <protection locked="true" hidden="false"/>
    </xf>
    <xf numFmtId="164" fontId="75" fillId="3" borderId="86" xfId="0" applyFont="true" applyBorder="true" applyAlignment="true" applyProtection="true">
      <alignment horizontal="center" vertical="center" textRotation="0" wrapText="true" indent="0" shrinkToFit="false"/>
      <protection locked="true" hidden="false"/>
    </xf>
    <xf numFmtId="174" fontId="120" fillId="0" borderId="68" xfId="0" applyFont="true" applyBorder="true" applyAlignment="true" applyProtection="true">
      <alignment horizontal="center" vertical="center" textRotation="0" wrapText="true" indent="0" shrinkToFit="false"/>
      <protection locked="false" hidden="false"/>
    </xf>
    <xf numFmtId="174" fontId="120" fillId="0" borderId="15" xfId="0" applyFont="true" applyBorder="true" applyAlignment="true" applyProtection="true">
      <alignment horizontal="center" vertical="center" textRotation="0" wrapText="true" indent="0" shrinkToFit="false"/>
      <protection locked="false" hidden="false"/>
    </xf>
    <xf numFmtId="167" fontId="75" fillId="3" borderId="63" xfId="0" applyFont="true" applyBorder="true" applyAlignment="true" applyProtection="true">
      <alignment horizontal="center" vertical="center" textRotation="0" wrapText="true" indent="0" shrinkToFit="false"/>
      <protection locked="true" hidden="false"/>
    </xf>
    <xf numFmtId="164" fontId="0" fillId="3" borderId="35" xfId="0" applyFont="true" applyBorder="true" applyAlignment="true" applyProtection="true">
      <alignment horizontal="center" vertical="center" textRotation="0" wrapText="true" indent="0" shrinkToFit="false"/>
      <protection locked="true" hidden="false"/>
    </xf>
    <xf numFmtId="164" fontId="120" fillId="2" borderId="68" xfId="0" applyFont="true" applyBorder="true" applyAlignment="true" applyProtection="true">
      <alignment horizontal="center" vertical="center" textRotation="0" wrapText="true" indent="0" shrinkToFit="false"/>
      <protection locked="false" hidden="false"/>
    </xf>
    <xf numFmtId="174" fontId="120" fillId="2" borderId="68" xfId="0" applyFont="true" applyBorder="true" applyAlignment="true" applyProtection="true">
      <alignment horizontal="center" vertical="center" textRotation="0" wrapText="true" indent="0" shrinkToFit="false"/>
      <protection locked="false" hidden="false"/>
    </xf>
    <xf numFmtId="174" fontId="120" fillId="2" borderId="15" xfId="0" applyFont="true" applyBorder="true" applyAlignment="true" applyProtection="true">
      <alignment horizontal="center" vertical="center" textRotation="0" wrapText="true" indent="0" shrinkToFit="false"/>
      <protection locked="false" hidden="false"/>
    </xf>
    <xf numFmtId="164" fontId="75" fillId="3" borderId="63" xfId="0" applyFont="true" applyBorder="true" applyAlignment="true" applyProtection="true">
      <alignment horizontal="center" vertical="center" textRotation="0" wrapText="true" indent="0" shrinkToFit="false"/>
      <protection locked="true" hidden="false"/>
    </xf>
    <xf numFmtId="174" fontId="120" fillId="0" borderId="65" xfId="0" applyFont="true" applyBorder="true" applyAlignment="true" applyProtection="true">
      <alignment horizontal="center" vertical="center" textRotation="0" wrapText="true" indent="0" shrinkToFit="false"/>
      <protection locked="false" hidden="false"/>
    </xf>
    <xf numFmtId="174" fontId="120" fillId="0" borderId="39" xfId="0" applyFont="true" applyBorder="true" applyAlignment="true" applyProtection="true">
      <alignment horizontal="center" vertical="center" textRotation="0" wrapText="true" indent="0" shrinkToFit="false"/>
      <protection locked="false" hidden="false"/>
    </xf>
    <xf numFmtId="164" fontId="4" fillId="3" borderId="32" xfId="0" applyFont="true" applyBorder="true" applyAlignment="true" applyProtection="true">
      <alignment horizontal="center" vertical="center" textRotation="0" wrapText="true" indent="0" shrinkToFit="false"/>
      <protection locked="true" hidden="false"/>
    </xf>
    <xf numFmtId="164" fontId="120" fillId="2" borderId="37" xfId="0" applyFont="true" applyBorder="true" applyAlignment="true" applyProtection="true">
      <alignment horizontal="center" vertical="center" textRotation="0" wrapText="true" indent="0" shrinkToFit="false"/>
      <protection locked="false" hidden="false"/>
    </xf>
    <xf numFmtId="164" fontId="103" fillId="3" borderId="92" xfId="0" applyFont="true" applyBorder="true" applyAlignment="true" applyProtection="true">
      <alignment horizontal="center" vertical="center" textRotation="0" wrapText="true" indent="0" shrinkToFit="false"/>
      <protection locked="true" hidden="false"/>
    </xf>
    <xf numFmtId="164" fontId="120" fillId="2" borderId="22" xfId="0" applyFont="true" applyBorder="true" applyAlignment="true" applyProtection="true">
      <alignment horizontal="center" vertical="center" textRotation="0" wrapText="true" indent="0" shrinkToFit="false"/>
      <protection locked="false" hidden="false"/>
    </xf>
    <xf numFmtId="174" fontId="120" fillId="2" borderId="22" xfId="0" applyFont="true" applyBorder="true" applyAlignment="true" applyProtection="true">
      <alignment horizontal="center" vertical="center" textRotation="0" wrapText="true" indent="0" shrinkToFit="false"/>
      <protection locked="false" hidden="false"/>
    </xf>
    <xf numFmtId="174" fontId="120" fillId="2" borderId="8" xfId="0" applyFont="true" applyBorder="true" applyAlignment="true" applyProtection="true">
      <alignment horizontal="center" vertical="center" textRotation="0" wrapText="true" indent="0" shrinkToFit="false"/>
      <protection locked="false" hidden="false"/>
    </xf>
    <xf numFmtId="164" fontId="4" fillId="0" borderId="7" xfId="0" applyFont="true" applyBorder="true" applyAlignment="true" applyProtection="true">
      <alignment horizontal="center" vertical="center" textRotation="0" wrapText="true" indent="0" shrinkToFit="false"/>
      <protection locked="false" hidden="false"/>
    </xf>
    <xf numFmtId="174" fontId="38" fillId="0" borderId="66" xfId="0" applyFont="true" applyBorder="true" applyAlignment="true" applyProtection="true">
      <alignment horizontal="center" vertical="center" textRotation="0" wrapText="true" indent="0" shrinkToFit="false"/>
      <protection locked="false" hidden="false"/>
    </xf>
    <xf numFmtId="164" fontId="38" fillId="3" borderId="62" xfId="0" applyFont="true" applyBorder="true" applyAlignment="true" applyProtection="true">
      <alignment horizontal="center" vertical="center" textRotation="0" wrapText="true" indent="0" shrinkToFit="false"/>
      <protection locked="true" hidden="false"/>
    </xf>
    <xf numFmtId="167" fontId="38" fillId="3" borderId="62" xfId="0" applyFont="true" applyBorder="true" applyAlignment="true" applyProtection="true">
      <alignment horizontal="center" vertical="center" textRotation="0" wrapText="true" indent="0" shrinkToFit="false"/>
      <protection locked="true" hidden="false"/>
    </xf>
    <xf numFmtId="174" fontId="38" fillId="0" borderId="37" xfId="0" applyFont="true" applyBorder="true" applyAlignment="true" applyProtection="true">
      <alignment horizontal="center" vertical="center" textRotation="0" wrapText="true" indent="0" shrinkToFit="false"/>
      <protection locked="false" hidden="false"/>
    </xf>
    <xf numFmtId="164" fontId="38" fillId="0" borderId="7" xfId="0" applyFont="true" applyBorder="true" applyAlignment="true" applyProtection="true">
      <alignment horizontal="center" vertical="center" textRotation="0" wrapText="true" indent="0" shrinkToFit="false"/>
      <protection locked="false" hidden="false"/>
    </xf>
    <xf numFmtId="164" fontId="120" fillId="0" borderId="10" xfId="0" applyFont="true" applyBorder="true" applyAlignment="true" applyProtection="true">
      <alignment horizontal="center" vertical="center" textRotation="0" wrapText="true" indent="0" shrinkToFit="false"/>
      <protection locked="false" hidden="false"/>
    </xf>
    <xf numFmtId="164" fontId="120" fillId="0" borderId="97" xfId="0" applyFont="true" applyBorder="true" applyAlignment="true" applyProtection="true">
      <alignment horizontal="center" vertical="center" textRotation="0" wrapText="true" indent="0" shrinkToFit="false"/>
      <protection locked="false" hidden="false"/>
    </xf>
    <xf numFmtId="164" fontId="120" fillId="2" borderId="57" xfId="0" applyFont="true" applyBorder="true" applyAlignment="true" applyProtection="true">
      <alignment horizontal="center" vertical="center" textRotation="0" wrapText="true" indent="0" shrinkToFit="false"/>
      <protection locked="false" hidden="false"/>
    </xf>
    <xf numFmtId="164" fontId="75" fillId="3" borderId="59" xfId="0" applyFont="true" applyBorder="true" applyAlignment="true" applyProtection="true">
      <alignment horizontal="center" vertical="center" textRotation="0" wrapText="true" indent="0" shrinkToFit="false"/>
      <protection locked="true" hidden="false"/>
    </xf>
    <xf numFmtId="164" fontId="120" fillId="2" borderId="83" xfId="0" applyFont="true" applyBorder="true" applyAlignment="true" applyProtection="true">
      <alignment horizontal="center" vertical="center" textRotation="0" wrapText="true" indent="0" shrinkToFit="false"/>
      <protection locked="false" hidden="false"/>
    </xf>
    <xf numFmtId="167" fontId="75" fillId="3" borderId="7" xfId="0" applyFont="true" applyBorder="true" applyAlignment="true" applyProtection="true">
      <alignment horizontal="center" vertical="center" textRotation="0" wrapText="true" indent="0" shrinkToFit="false"/>
      <protection locked="true" hidden="false"/>
    </xf>
    <xf numFmtId="167" fontId="75" fillId="3" borderId="59" xfId="0" applyFont="true" applyBorder="true" applyAlignment="true" applyProtection="true">
      <alignment horizontal="center" vertical="center" textRotation="0" wrapText="true" indent="0" shrinkToFit="false"/>
      <protection locked="true" hidden="false"/>
    </xf>
    <xf numFmtId="164" fontId="65" fillId="3" borderId="22" xfId="0" applyFont="true" applyBorder="true" applyAlignment="true" applyProtection="true">
      <alignment horizontal="center" vertical="center" textRotation="255" wrapText="true" indent="0" shrinkToFit="false"/>
      <protection locked="true" hidden="false"/>
    </xf>
    <xf numFmtId="164" fontId="65" fillId="3" borderId="6" xfId="0" applyFont="true" applyBorder="true" applyAlignment="true" applyProtection="true">
      <alignment horizontal="center" vertical="center" textRotation="255" wrapText="true" indent="0" shrinkToFit="false"/>
      <protection locked="true" hidden="false"/>
    </xf>
    <xf numFmtId="164" fontId="129" fillId="3" borderId="68" xfId="0" applyFont="true" applyBorder="true" applyAlignment="true" applyProtection="true">
      <alignment horizontal="right" vertical="center" textRotation="255" wrapText="true" indent="0" shrinkToFit="false"/>
      <protection locked="true" hidden="false"/>
    </xf>
    <xf numFmtId="164" fontId="38" fillId="0" borderId="99" xfId="0" applyFont="true" applyBorder="true" applyAlignment="true" applyProtection="true">
      <alignment horizontal="center" vertical="center" textRotation="0" wrapText="true" indent="0" shrinkToFit="false"/>
      <protection locked="false" hidden="false"/>
    </xf>
    <xf numFmtId="164" fontId="70" fillId="5" borderId="0" xfId="0" applyFont="true" applyBorder="true" applyAlignment="true" applyProtection="true">
      <alignment horizontal="center" vertical="center" textRotation="0" wrapText="false" indent="0" shrinkToFit="false"/>
      <protection locked="false" hidden="false"/>
    </xf>
    <xf numFmtId="167" fontId="79" fillId="3" borderId="5" xfId="0" applyFont="true" applyBorder="true" applyAlignment="true" applyProtection="true">
      <alignment horizontal="center" vertical="center" textRotation="0" wrapText="true" indent="0" shrinkToFit="false"/>
      <protection locked="true" hidden="false"/>
    </xf>
    <xf numFmtId="188" fontId="79" fillId="3" borderId="7" xfId="0" applyFont="true" applyBorder="true" applyAlignment="true" applyProtection="true">
      <alignment horizontal="center" vertical="center" textRotation="0" wrapText="false" indent="0" shrinkToFit="false"/>
      <protection locked="true" hidden="false"/>
    </xf>
    <xf numFmtId="174" fontId="79" fillId="3" borderId="8" xfId="0" applyFont="true" applyBorder="true" applyAlignment="true" applyProtection="true">
      <alignment horizontal="center" vertical="center" textRotation="0" wrapText="false" indent="0" shrinkToFit="false"/>
      <protection locked="true" hidden="false"/>
    </xf>
    <xf numFmtId="164" fontId="70" fillId="3" borderId="16" xfId="0" applyFont="true" applyBorder="true" applyAlignment="true" applyProtection="true">
      <alignment horizontal="center" vertical="center" textRotation="0" wrapText="false" indent="0" shrinkToFit="false"/>
      <protection locked="true" hidden="false"/>
    </xf>
    <xf numFmtId="167" fontId="79" fillId="3" borderId="5" xfId="0" applyFont="true" applyBorder="true" applyAlignment="true" applyProtection="true">
      <alignment horizontal="center" vertical="center" textRotation="0" wrapText="false" indent="0" shrinkToFit="false"/>
      <protection locked="true" hidden="false"/>
    </xf>
    <xf numFmtId="164" fontId="70" fillId="0" borderId="0" xfId="0" applyFont="true" applyBorder="false" applyAlignment="true" applyProtection="true">
      <alignment horizontal="center" vertical="center" textRotation="0" wrapText="false" indent="0" shrinkToFit="false"/>
      <protection locked="false" hidden="false"/>
    </xf>
    <xf numFmtId="164" fontId="124" fillId="3" borderId="68" xfId="0" applyFont="true" applyBorder="true" applyAlignment="true" applyProtection="true">
      <alignment horizontal="right" vertical="center" textRotation="255" wrapText="true" indent="0" shrinkToFit="false"/>
      <protection locked="true" hidden="false"/>
    </xf>
    <xf numFmtId="164" fontId="120" fillId="2" borderId="22" xfId="0" applyFont="true" applyBorder="true" applyAlignment="true" applyProtection="true">
      <alignment horizontal="center" vertical="center" textRotation="0" wrapText="true" indent="0" shrinkToFit="false"/>
      <protection locked="false" hidden="false"/>
    </xf>
    <xf numFmtId="164" fontId="120" fillId="2" borderId="8" xfId="0" applyFont="true" applyBorder="true" applyAlignment="true" applyProtection="true">
      <alignment horizontal="center" vertical="center" textRotation="0" wrapText="true" indent="0" shrinkToFit="false"/>
      <protection locked="false" hidden="false"/>
    </xf>
    <xf numFmtId="164" fontId="74" fillId="3" borderId="68" xfId="0" applyFont="true" applyBorder="true" applyAlignment="true" applyProtection="true">
      <alignment horizontal="right" vertical="center" textRotation="255" wrapText="true" indent="0" shrinkToFit="false"/>
      <protection locked="true" hidden="false"/>
    </xf>
    <xf numFmtId="166" fontId="38" fillId="0" borderId="99" xfId="0" applyFont="true" applyBorder="true" applyAlignment="true" applyProtection="true">
      <alignment horizontal="center" vertical="center" textRotation="0" wrapText="true" indent="0" shrinkToFit="false"/>
      <protection locked="false" hidden="false"/>
    </xf>
    <xf numFmtId="166" fontId="38" fillId="0" borderId="22" xfId="0" applyFont="true" applyBorder="true" applyAlignment="true" applyProtection="true">
      <alignment horizontal="center" vertical="center" textRotation="0" wrapText="true" indent="0" shrinkToFit="false"/>
      <protection locked="false" hidden="false"/>
    </xf>
    <xf numFmtId="166" fontId="38" fillId="0" borderId="8" xfId="0" applyFont="true" applyBorder="true" applyAlignment="true" applyProtection="true">
      <alignment horizontal="center" vertical="center" textRotation="0" wrapText="true" indent="0" shrinkToFit="false"/>
      <protection locked="false" hidden="false"/>
    </xf>
    <xf numFmtId="164" fontId="120" fillId="0" borderId="8" xfId="0" applyFont="true" applyBorder="true" applyAlignment="true" applyProtection="true">
      <alignment horizontal="center" vertical="center" textRotation="0" wrapText="true" indent="0" shrinkToFit="false"/>
      <protection locked="false" hidden="false"/>
    </xf>
    <xf numFmtId="164" fontId="4" fillId="0" borderId="99" xfId="0" applyFont="true" applyBorder="true" applyAlignment="true" applyProtection="true">
      <alignment horizontal="center" vertical="center" textRotation="0" wrapText="true" indent="0" shrinkToFit="false"/>
      <protection locked="false" hidden="false"/>
    </xf>
    <xf numFmtId="164" fontId="65" fillId="0" borderId="99" xfId="0" applyFont="true" applyBorder="true" applyAlignment="true" applyProtection="true">
      <alignment horizontal="center" vertical="center" textRotation="0" wrapText="true" indent="0" shrinkToFit="false"/>
      <protection locked="false" hidden="false"/>
    </xf>
    <xf numFmtId="164" fontId="124" fillId="3" borderId="67" xfId="0" applyFont="true" applyBorder="true" applyAlignment="true" applyProtection="true">
      <alignment horizontal="right" vertical="center" textRotation="255" wrapText="true" indent="0" shrinkToFit="false"/>
      <protection locked="true" hidden="false"/>
    </xf>
    <xf numFmtId="174" fontId="73" fillId="3" borderId="47" xfId="0" applyFont="true" applyBorder="true" applyAlignment="true" applyProtection="true">
      <alignment horizontal="general" vertical="center" textRotation="0" wrapText="false" indent="0" shrinkToFit="false"/>
      <protection locked="true" hidden="false"/>
    </xf>
    <xf numFmtId="174" fontId="124" fillId="3" borderId="64" xfId="0" applyFont="true" applyBorder="true" applyAlignment="true" applyProtection="true">
      <alignment horizontal="general" vertical="center" textRotation="0" wrapText="false" indent="0" shrinkToFit="false"/>
      <protection locked="true" hidden="false"/>
    </xf>
    <xf numFmtId="164" fontId="124" fillId="3" borderId="47" xfId="0" applyFont="true" applyBorder="true" applyAlignment="true" applyProtection="true">
      <alignment horizontal="right" vertical="center" textRotation="0" wrapText="true" indent="0" shrinkToFit="false"/>
      <protection locked="true" hidden="false"/>
    </xf>
    <xf numFmtId="164" fontId="124" fillId="3" borderId="50" xfId="0" applyFont="true" applyBorder="true" applyAlignment="true" applyProtection="true">
      <alignment horizontal="general" vertical="center" textRotation="0" wrapText="true" indent="0" shrinkToFit="false"/>
      <protection locked="true" hidden="false"/>
    </xf>
    <xf numFmtId="167" fontId="131" fillId="5" borderId="64" xfId="0" applyFont="true" applyBorder="true" applyAlignment="true" applyProtection="true">
      <alignment horizontal="general" vertical="center" textRotation="0" wrapText="true" indent="0" shrinkToFit="false"/>
      <protection locked="false" hidden="false"/>
    </xf>
    <xf numFmtId="164" fontId="132" fillId="3" borderId="64" xfId="0" applyFont="true" applyBorder="true" applyAlignment="true" applyProtection="true">
      <alignment horizontal="general" vertical="center" textRotation="0" wrapText="true" indent="0" shrinkToFit="false"/>
      <protection locked="true" hidden="false"/>
    </xf>
    <xf numFmtId="167" fontId="131" fillId="5" borderId="47" xfId="0" applyFont="true" applyBorder="true" applyAlignment="true" applyProtection="true">
      <alignment horizontal="general" vertical="center" textRotation="0" wrapText="true" indent="0" shrinkToFit="false"/>
      <protection locked="false" hidden="false"/>
    </xf>
    <xf numFmtId="164" fontId="132" fillId="3" borderId="50" xfId="0" applyFont="true" applyBorder="true" applyAlignment="true" applyProtection="true">
      <alignment horizontal="general" vertical="center" textRotation="0" wrapText="true" indent="0" shrinkToFit="false"/>
      <protection locked="true" hidden="false"/>
    </xf>
    <xf numFmtId="187" fontId="120" fillId="3" borderId="31" xfId="0" applyFont="true" applyBorder="true" applyAlignment="true" applyProtection="true">
      <alignment horizontal="center" vertical="center" textRotation="0" wrapText="false" indent="0" shrinkToFit="false"/>
      <protection locked="true" hidden="false"/>
    </xf>
    <xf numFmtId="178" fontId="120" fillId="5" borderId="0" xfId="0" applyFont="true" applyBorder="true" applyAlignment="true" applyProtection="true">
      <alignment horizontal="general" vertical="center" textRotation="0" wrapText="true" indent="0" shrinkToFit="false"/>
      <protection locked="false" hidden="false"/>
    </xf>
    <xf numFmtId="164" fontId="120" fillId="5" borderId="0" xfId="0" applyFont="true" applyBorder="false" applyAlignment="true" applyProtection="true">
      <alignment horizontal="center" vertical="center" textRotation="0" wrapText="false" indent="0" shrinkToFit="false"/>
      <protection locked="false" hidden="false"/>
    </xf>
    <xf numFmtId="164" fontId="120" fillId="3" borderId="0" xfId="0" applyFont="true" applyBorder="false" applyAlignment="true" applyProtection="true">
      <alignment horizontal="center" vertical="center" textRotation="0" wrapText="false" indent="0" shrinkToFit="false"/>
      <protection locked="true" hidden="false"/>
    </xf>
    <xf numFmtId="164" fontId="120" fillId="3" borderId="6" xfId="0" applyFont="true" applyBorder="true" applyAlignment="true" applyProtection="true">
      <alignment horizontal="right" vertical="center" textRotation="255" wrapText="true" indent="0" shrinkToFit="false"/>
      <protection locked="true" hidden="false"/>
    </xf>
    <xf numFmtId="174" fontId="73" fillId="3" borderId="69" xfId="0" applyFont="true" applyBorder="true" applyAlignment="true" applyProtection="true">
      <alignment horizontal="general" vertical="center" textRotation="0" wrapText="false" indent="0" shrinkToFit="false"/>
      <protection locked="true" hidden="false"/>
    </xf>
    <xf numFmtId="174" fontId="124" fillId="3" borderId="97" xfId="0" applyFont="true" applyBorder="true" applyAlignment="true" applyProtection="true">
      <alignment horizontal="general" vertical="center" textRotation="0" wrapText="false" indent="0" shrinkToFit="false"/>
      <protection locked="true" hidden="false"/>
    </xf>
    <xf numFmtId="167" fontId="130" fillId="3" borderId="69" xfId="0" applyFont="true" applyBorder="true" applyAlignment="true" applyProtection="true">
      <alignment horizontal="general" vertical="center" textRotation="0" wrapText="true" indent="0" shrinkToFit="false"/>
      <protection locked="true" hidden="false"/>
    </xf>
    <xf numFmtId="164" fontId="96" fillId="10" borderId="84" xfId="0" applyFont="true" applyBorder="true" applyAlignment="true" applyProtection="true">
      <alignment horizontal="left" vertical="center" textRotation="0" wrapText="true" indent="0" shrinkToFit="false"/>
      <protection locked="false" hidden="false"/>
    </xf>
    <xf numFmtId="167" fontId="130" fillId="3" borderId="97" xfId="0" applyFont="true" applyBorder="true" applyAlignment="true" applyProtection="true">
      <alignment horizontal="general" vertical="center" textRotation="0" wrapText="true" indent="0" shrinkToFit="false"/>
      <protection locked="true" hidden="false"/>
    </xf>
    <xf numFmtId="178" fontId="124" fillId="10" borderId="84" xfId="0" applyFont="true" applyBorder="true" applyAlignment="true" applyProtection="true">
      <alignment horizontal="left" vertical="center" textRotation="0" wrapText="true" indent="0" shrinkToFit="false"/>
      <protection locked="false" hidden="false"/>
    </xf>
    <xf numFmtId="170" fontId="75" fillId="10" borderId="31" xfId="0" applyFont="true" applyBorder="true" applyAlignment="true" applyProtection="true">
      <alignment horizontal="left" vertical="center" textRotation="0" wrapText="true" indent="0" shrinkToFit="false"/>
      <protection locked="true" hidden="false"/>
    </xf>
    <xf numFmtId="174" fontId="73" fillId="0" borderId="75" xfId="0" applyFont="true" applyBorder="true" applyAlignment="true" applyProtection="true">
      <alignment horizontal="general" vertical="center" textRotation="0" wrapText="false" indent="0" shrinkToFit="false"/>
      <protection locked="false" hidden="false"/>
    </xf>
    <xf numFmtId="174" fontId="124" fillId="0" borderId="27" xfId="0" applyFont="true" applyBorder="true" applyAlignment="true" applyProtection="true">
      <alignment horizontal="general" vertical="center" textRotation="0" wrapText="false" indent="0" shrinkToFit="false"/>
      <protection locked="false" hidden="false"/>
    </xf>
    <xf numFmtId="167" fontId="130" fillId="3" borderId="26" xfId="0" applyFont="true" applyBorder="true" applyAlignment="true" applyProtection="true">
      <alignment horizontal="general" vertical="center" textRotation="0" wrapText="true" indent="0" shrinkToFit="false"/>
      <protection locked="false" hidden="false"/>
    </xf>
    <xf numFmtId="164" fontId="124" fillId="3" borderId="26" xfId="0" applyFont="true" applyBorder="true" applyAlignment="true" applyProtection="true">
      <alignment horizontal="general" vertical="center" textRotation="0" wrapText="true" indent="0" shrinkToFit="false"/>
      <protection locked="true" hidden="false"/>
    </xf>
    <xf numFmtId="187" fontId="120" fillId="3" borderId="71" xfId="0" applyFont="true" applyBorder="true" applyAlignment="true" applyProtection="true">
      <alignment horizontal="center" vertical="center" textRotation="0" wrapText="true" indent="0" shrinkToFit="false"/>
      <protection locked="true" hidden="false"/>
    </xf>
    <xf numFmtId="167" fontId="130" fillId="10" borderId="5" xfId="0" applyFont="true" applyBorder="true" applyAlignment="true" applyProtection="true">
      <alignment horizontal="center" vertical="center" textRotation="0" wrapText="false" indent="0" shrinkToFit="false"/>
      <protection locked="true" hidden="false"/>
    </xf>
    <xf numFmtId="166" fontId="120" fillId="5" borderId="0" xfId="0" applyFont="true" applyBorder="false" applyAlignment="true" applyProtection="true">
      <alignment horizontal="center" vertical="center" textRotation="0" wrapText="false" indent="0" shrinkToFit="false"/>
      <protection locked="false" hidden="false"/>
    </xf>
    <xf numFmtId="187" fontId="120" fillId="5" borderId="0" xfId="0" applyFont="true" applyBorder="false" applyAlignment="true" applyProtection="true">
      <alignment horizontal="center" vertical="center" textRotation="0" wrapText="false" indent="0" shrinkToFit="false"/>
      <protection locked="false" hidden="false"/>
    </xf>
    <xf numFmtId="178" fontId="120" fillId="5" borderId="0" xfId="0" applyFont="true" applyBorder="false" applyAlignment="true" applyProtection="true">
      <alignment horizontal="center" vertical="center" textRotation="0" wrapText="false" indent="0" shrinkToFit="false"/>
      <protection locked="false" hidden="false"/>
    </xf>
    <xf numFmtId="164" fontId="73" fillId="3" borderId="5" xfId="0" applyFont="true" applyBorder="true" applyAlignment="true" applyProtection="true">
      <alignment horizontal="left" vertical="center" textRotation="0" wrapText="false" indent="0" shrinkToFit="false"/>
      <protection locked="true" hidden="false"/>
    </xf>
    <xf numFmtId="164" fontId="124" fillId="3" borderId="5" xfId="0" applyFont="true" applyBorder="true" applyAlignment="true" applyProtection="true">
      <alignment horizontal="center" vertical="center" textRotation="0" wrapText="true" indent="0" shrinkToFit="false"/>
      <protection locked="true" hidden="false"/>
    </xf>
    <xf numFmtId="178" fontId="75" fillId="3" borderId="7" xfId="0" applyFont="true" applyBorder="true" applyAlignment="true" applyProtection="true">
      <alignment horizontal="center" vertical="center" textRotation="0" wrapText="false" indent="0" shrinkToFit="false"/>
      <protection locked="true" hidden="false"/>
    </xf>
    <xf numFmtId="178" fontId="75" fillId="3" borderId="8" xfId="0" applyFont="true" applyBorder="true" applyAlignment="true" applyProtection="true">
      <alignment horizontal="general" vertical="center" textRotation="0" wrapText="false" indent="0" shrinkToFit="false"/>
      <protection locked="true" hidden="false"/>
    </xf>
    <xf numFmtId="164" fontId="124" fillId="3" borderId="8" xfId="0" applyFont="true" applyBorder="true" applyAlignment="true" applyProtection="true">
      <alignment horizontal="center" vertical="center" textRotation="0" wrapText="true" indent="0" shrinkToFit="false"/>
      <protection locked="true" hidden="false"/>
    </xf>
    <xf numFmtId="164" fontId="128" fillId="5" borderId="0" xfId="0" applyFont="true" applyBorder="false" applyAlignment="true" applyProtection="true">
      <alignment horizontal="center" vertical="center" textRotation="0" wrapText="false" indent="0" shrinkToFit="false"/>
      <protection locked="false" hidden="false"/>
    </xf>
    <xf numFmtId="187" fontId="128" fillId="5" borderId="0" xfId="0" applyFont="true" applyBorder="false" applyAlignment="true" applyProtection="true">
      <alignment horizontal="center" vertical="center" textRotation="0" wrapText="false" indent="0" shrinkToFit="false"/>
      <protection locked="false" hidden="false"/>
    </xf>
    <xf numFmtId="178" fontId="128" fillId="5" borderId="0" xfId="0" applyFont="true" applyBorder="false" applyAlignment="true" applyProtection="true">
      <alignment horizontal="center" vertical="center" textRotation="0" wrapText="false" indent="0" shrinkToFit="false"/>
      <protection locked="false" hidden="false"/>
    </xf>
    <xf numFmtId="164" fontId="128" fillId="0" borderId="20" xfId="0" applyFont="true" applyBorder="true" applyAlignment="true" applyProtection="true">
      <alignment horizontal="center" vertical="center" textRotation="0" wrapText="false" indent="0" shrinkToFit="false"/>
      <protection locked="false" hidden="false"/>
    </xf>
    <xf numFmtId="164" fontId="128" fillId="0" borderId="0" xfId="0" applyFont="true" applyBorder="false" applyAlignment="true" applyProtection="true">
      <alignment horizontal="center" vertical="center" textRotation="0" wrapText="false" indent="0" shrinkToFit="false"/>
      <protection locked="false" hidden="false"/>
    </xf>
    <xf numFmtId="168" fontId="120" fillId="5" borderId="0" xfId="0" applyFont="true" applyBorder="false" applyAlignment="true" applyProtection="true">
      <alignment horizontal="center" vertical="center" textRotation="0" wrapText="false" indent="0" shrinkToFit="false"/>
      <protection locked="false" hidden="false"/>
    </xf>
    <xf numFmtId="170" fontId="120" fillId="5" borderId="0" xfId="0" applyFont="true" applyBorder="false" applyAlignment="true" applyProtection="true">
      <alignment horizontal="center" vertical="center" textRotation="0" wrapText="false" indent="0" shrinkToFit="false"/>
      <protection locked="false" hidden="false"/>
    </xf>
    <xf numFmtId="164" fontId="47" fillId="3" borderId="0" xfId="0" applyFont="true" applyBorder="true" applyAlignment="true" applyProtection="true">
      <alignment horizontal="general" vertical="bottom" textRotation="0" wrapText="false" indent="0" shrinkToFit="false"/>
      <protection locked="true" hidden="false"/>
    </xf>
    <xf numFmtId="164" fontId="120" fillId="3" borderId="0" xfId="0" applyFont="true" applyBorder="true" applyAlignment="true" applyProtection="true">
      <alignment horizontal="general" vertical="bottom" textRotation="0" wrapText="false" indent="0" shrinkToFit="false"/>
      <protection locked="true" hidden="false"/>
    </xf>
    <xf numFmtId="164" fontId="120" fillId="3" borderId="0" xfId="0" applyFont="true" applyBorder="true" applyAlignment="true" applyProtection="true">
      <alignment horizontal="center" vertical="bottom" textRotation="0" wrapText="false" indent="0" shrinkToFit="false"/>
      <protection locked="true" hidden="false"/>
    </xf>
    <xf numFmtId="187" fontId="120" fillId="3" borderId="0" xfId="0" applyFont="true" applyBorder="true" applyAlignment="true" applyProtection="true">
      <alignment horizontal="center" vertical="bottom" textRotation="0" wrapText="false" indent="0" shrinkToFit="false"/>
      <protection locked="false" hidden="false"/>
    </xf>
    <xf numFmtId="178" fontId="120" fillId="3" borderId="0" xfId="0" applyFont="true" applyBorder="true" applyAlignment="true" applyProtection="true">
      <alignment horizontal="general" vertical="bottom" textRotation="0" wrapText="false" indent="0" shrinkToFit="false"/>
      <protection locked="false" hidden="false"/>
    </xf>
    <xf numFmtId="164" fontId="120" fillId="3" borderId="0" xfId="0" applyFont="true" applyBorder="true" applyAlignment="true" applyProtection="true">
      <alignment horizontal="general" vertical="bottom" textRotation="0" wrapText="false" indent="0" shrinkToFit="false"/>
      <protection locked="false" hidden="false"/>
    </xf>
    <xf numFmtId="164" fontId="120" fillId="0" borderId="20" xfId="0" applyFont="true" applyBorder="true" applyAlignment="true" applyProtection="true">
      <alignment horizontal="general" vertical="bottom" textRotation="0" wrapText="false" indent="0" shrinkToFit="false"/>
      <protection locked="false" hidden="false"/>
    </xf>
    <xf numFmtId="166" fontId="0" fillId="0" borderId="0" xfId="0" applyFont="true" applyBorder="true" applyAlignment="true" applyProtection="true">
      <alignment horizontal="center" vertical="center" textRotation="0" wrapText="true" indent="0" shrinkToFit="false"/>
      <protection locked="false" hidden="false"/>
    </xf>
    <xf numFmtId="164" fontId="72" fillId="3" borderId="17" xfId="0" applyFont="true" applyBorder="true" applyAlignment="true" applyProtection="true">
      <alignment horizontal="general" vertical="center" textRotation="0" wrapText="true" indent="0" shrinkToFit="false"/>
      <protection locked="true" hidden="false"/>
    </xf>
    <xf numFmtId="164" fontId="74" fillId="3" borderId="107" xfId="0" applyFont="true" applyBorder="true" applyAlignment="true" applyProtection="true">
      <alignment horizontal="general" vertical="center" textRotation="0" wrapText="true" indent="0" shrinkToFit="false"/>
      <protection locked="true" hidden="false"/>
    </xf>
    <xf numFmtId="189" fontId="38" fillId="3" borderId="107" xfId="0" applyFont="true" applyBorder="true" applyAlignment="true" applyProtection="true">
      <alignment horizontal="center" vertical="center" textRotation="0" wrapText="true" indent="0" shrinkToFit="false"/>
      <protection locked="true" hidden="false"/>
    </xf>
    <xf numFmtId="189" fontId="38" fillId="3" borderId="58" xfId="0" applyFont="true" applyBorder="true" applyAlignment="true" applyProtection="true">
      <alignment horizontal="center" vertical="center" textRotation="0" wrapText="true" indent="0" shrinkToFit="false"/>
      <protection locked="true" hidden="false"/>
    </xf>
    <xf numFmtId="174" fontId="0" fillId="0" borderId="20" xfId="0" applyFont="true" applyBorder="true" applyAlignment="true" applyProtection="true">
      <alignment horizontal="center" vertical="center" textRotation="0" wrapText="false" indent="0" shrinkToFit="false"/>
      <protection locked="false" hidden="false"/>
    </xf>
    <xf numFmtId="174" fontId="0" fillId="0" borderId="0" xfId="0" applyFont="true" applyBorder="false" applyAlignment="true" applyProtection="true">
      <alignment horizontal="center" vertical="center" textRotation="0" wrapText="false" indent="0" shrinkToFit="false"/>
      <protection locked="false" hidden="false"/>
    </xf>
    <xf numFmtId="164" fontId="74" fillId="3" borderId="20" xfId="0" applyFont="true" applyBorder="true" applyAlignment="true" applyProtection="true">
      <alignment horizontal="general" vertical="center" textRotation="0" wrapText="true" indent="0" shrinkToFit="false"/>
      <protection locked="true" hidden="false"/>
    </xf>
    <xf numFmtId="164" fontId="74" fillId="3" borderId="0" xfId="0" applyFont="true" applyBorder="true" applyAlignment="true" applyProtection="true">
      <alignment horizontal="general" vertical="center" textRotation="0" wrapText="true" indent="0" shrinkToFit="false"/>
      <protection locked="true" hidden="false"/>
    </xf>
    <xf numFmtId="164" fontId="75" fillId="3" borderId="11" xfId="0" applyFont="true" applyBorder="true" applyAlignment="true" applyProtection="true">
      <alignment horizontal="center" vertical="center" textRotation="0" wrapText="true" indent="0" shrinkToFit="false"/>
      <protection locked="false" hidden="false"/>
    </xf>
    <xf numFmtId="164" fontId="38" fillId="0" borderId="39" xfId="0" applyFont="true" applyBorder="true" applyAlignment="true" applyProtection="true">
      <alignment horizontal="center" vertical="center" textRotation="0" wrapText="true" indent="0" shrinkToFit="false"/>
      <protection locked="false" hidden="false"/>
    </xf>
    <xf numFmtId="164" fontId="38" fillId="0" borderId="11" xfId="0" applyFont="true" applyBorder="true" applyAlignment="true" applyProtection="true">
      <alignment horizontal="center" vertical="center" textRotation="0" wrapText="true" indent="0" shrinkToFit="false"/>
      <protection locked="false" hidden="false"/>
    </xf>
    <xf numFmtId="166" fontId="0" fillId="0" borderId="20" xfId="0" applyFont="true" applyBorder="true" applyAlignment="true" applyProtection="true">
      <alignment horizontal="center" vertical="center" textRotation="0" wrapText="true" indent="0" shrinkToFit="false"/>
      <protection locked="false" hidden="false"/>
    </xf>
    <xf numFmtId="164" fontId="72" fillId="3" borderId="75" xfId="0" applyFont="true" applyBorder="true" applyAlignment="true" applyProtection="true">
      <alignment horizontal="general" vertical="center" textRotation="0" wrapText="false" indent="0" shrinkToFit="false"/>
      <protection locked="true" hidden="false"/>
    </xf>
    <xf numFmtId="164" fontId="74" fillId="3" borderId="109" xfId="0" applyFont="true" applyBorder="true" applyAlignment="true" applyProtection="true">
      <alignment horizontal="general" vertical="center" textRotation="0" wrapText="true" indent="0" shrinkToFit="false"/>
      <protection locked="true" hidden="false"/>
    </xf>
    <xf numFmtId="164" fontId="0" fillId="0" borderId="109" xfId="0" applyFont="true" applyBorder="true" applyAlignment="true" applyProtection="true">
      <alignment horizontal="center" vertical="center" textRotation="0" wrapText="true" indent="0" shrinkToFit="false"/>
      <protection locked="false" hidden="false"/>
    </xf>
    <xf numFmtId="164" fontId="0" fillId="0" borderId="44" xfId="0" applyFont="true" applyBorder="true" applyAlignment="true" applyProtection="true">
      <alignment horizontal="center" vertical="center" textRotation="0" wrapText="true" indent="0" shrinkToFit="false"/>
      <protection locked="false" hidden="false"/>
    </xf>
    <xf numFmtId="164" fontId="0" fillId="0" borderId="100" xfId="0" applyFont="true" applyBorder="true" applyAlignment="true" applyProtection="true">
      <alignment horizontal="center" vertical="center" textRotation="0" wrapText="true" indent="0" shrinkToFit="false"/>
      <protection locked="false" hidden="false"/>
    </xf>
    <xf numFmtId="164" fontId="72" fillId="3" borderId="32" xfId="0" applyFont="true" applyBorder="true" applyAlignment="true" applyProtection="true">
      <alignment horizontal="general" vertical="center" textRotation="0" wrapText="true" indent="0" shrinkToFit="false"/>
      <protection locked="true" hidden="false"/>
    </xf>
    <xf numFmtId="164" fontId="74" fillId="3" borderId="15" xfId="0" applyFont="true" applyBorder="true" applyAlignment="true" applyProtection="true">
      <alignment horizontal="general" vertical="center" textRotation="0" wrapText="true" indent="0" shrinkToFit="false"/>
      <protection locked="true" hidden="false"/>
    </xf>
    <xf numFmtId="164" fontId="4" fillId="3" borderId="37" xfId="0" applyFont="true" applyBorder="true" applyAlignment="true" applyProtection="true">
      <alignment horizontal="center" vertical="center" textRotation="0" wrapText="true" indent="0" shrinkToFit="false"/>
      <protection locked="true" hidden="false"/>
    </xf>
    <xf numFmtId="164" fontId="0" fillId="0" borderId="6" xfId="0" applyFont="true" applyBorder="true" applyAlignment="true" applyProtection="true">
      <alignment horizontal="center" vertical="center" textRotation="0" wrapText="true" indent="0" shrinkToFit="false"/>
      <protection locked="false" hidden="false"/>
    </xf>
    <xf numFmtId="164" fontId="0" fillId="0" borderId="6" xfId="0" applyFont="true" applyBorder="true" applyAlignment="true" applyProtection="true">
      <alignment horizontal="left" vertical="center" textRotation="0" wrapText="true" indent="0" shrinkToFit="false"/>
      <protection locked="false" hidden="false"/>
    </xf>
    <xf numFmtId="164" fontId="0" fillId="0" borderId="62" xfId="0" applyFont="true" applyBorder="true" applyAlignment="true" applyProtection="true">
      <alignment horizontal="center" vertical="center" textRotation="0" wrapText="true" indent="0" shrinkToFit="false"/>
      <protection locked="false" hidden="false"/>
    </xf>
    <xf numFmtId="164" fontId="0" fillId="3" borderId="0" xfId="0" applyFont="true" applyBorder="true" applyAlignment="true" applyProtection="true">
      <alignment horizontal="center" vertical="center" textRotation="0" wrapText="true" indent="0" shrinkToFit="false"/>
      <protection locked="false" hidden="false"/>
    </xf>
    <xf numFmtId="164" fontId="0" fillId="0" borderId="20" xfId="0" applyFont="true" applyBorder="true" applyAlignment="true" applyProtection="true">
      <alignment horizontal="general" vertical="center" textRotation="0" wrapText="false" indent="0" shrinkToFit="false"/>
      <protection locked="false" hidden="false"/>
    </xf>
    <xf numFmtId="164" fontId="0" fillId="0" borderId="63" xfId="0" applyFont="true" applyBorder="true" applyAlignment="true" applyProtection="true">
      <alignment horizontal="center" vertical="center" textRotation="0" wrapText="true" indent="0" shrinkToFit="false"/>
      <protection locked="false" hidden="false"/>
    </xf>
    <xf numFmtId="164" fontId="73" fillId="3" borderId="87" xfId="0" applyFont="true" applyBorder="true" applyAlignment="true" applyProtection="true">
      <alignment horizontal="general" vertical="center" textRotation="0" wrapText="true" indent="0" shrinkToFit="false"/>
      <protection locked="true" hidden="false"/>
    </xf>
    <xf numFmtId="164" fontId="4" fillId="3" borderId="72" xfId="0" applyFont="true" applyBorder="true" applyAlignment="true" applyProtection="true">
      <alignment horizontal="center" vertical="center" textRotation="0" wrapText="true" indent="0" shrinkToFit="false"/>
      <protection locked="true" hidden="false"/>
    </xf>
    <xf numFmtId="167" fontId="75" fillId="3" borderId="58" xfId="0" applyFont="true" applyBorder="true" applyAlignment="true" applyProtection="true">
      <alignment horizontal="center" vertical="center" textRotation="0" wrapText="true" indent="0" shrinkToFit="false"/>
      <protection locked="true" hidden="false"/>
    </xf>
    <xf numFmtId="164" fontId="120" fillId="0" borderId="58" xfId="0" applyFont="true" applyBorder="true" applyAlignment="true" applyProtection="true">
      <alignment horizontal="center" vertical="center" textRotation="0" wrapText="true" indent="0" shrinkToFit="false"/>
      <protection locked="false" hidden="false"/>
    </xf>
    <xf numFmtId="164" fontId="128" fillId="0" borderId="58" xfId="0" applyFont="true" applyBorder="true" applyAlignment="true" applyProtection="true">
      <alignment horizontal="center" vertical="center" textRotation="0" wrapText="true" indent="0" shrinkToFit="false"/>
      <protection locked="false" hidden="false"/>
    </xf>
    <xf numFmtId="164" fontId="128" fillId="0" borderId="58" xfId="0" applyFont="true" applyBorder="true" applyAlignment="true" applyProtection="true">
      <alignment horizontal="left" vertical="center" textRotation="0" wrapText="true" indent="0" shrinkToFit="false"/>
      <protection locked="false" hidden="false"/>
    </xf>
    <xf numFmtId="164" fontId="128" fillId="0" borderId="59" xfId="0" applyFont="true" applyBorder="true" applyAlignment="true" applyProtection="true">
      <alignment horizontal="center" vertical="center" textRotation="0" wrapText="true" indent="0" shrinkToFit="false"/>
      <protection locked="false" hidden="false"/>
    </xf>
    <xf numFmtId="164" fontId="128" fillId="3" borderId="0" xfId="0" applyFont="true" applyBorder="true" applyAlignment="true" applyProtection="true">
      <alignment horizontal="center" vertical="center" textRotation="0" wrapText="true" indent="0" shrinkToFit="false"/>
      <protection locked="false" hidden="false"/>
    </xf>
    <xf numFmtId="164" fontId="0" fillId="0" borderId="20" xfId="0" applyFont="true" applyBorder="true" applyAlignment="true" applyProtection="true">
      <alignment horizontal="center" vertical="center" textRotation="0" wrapText="true" indent="0" shrinkToFit="false"/>
      <protection locked="false" hidden="false"/>
    </xf>
    <xf numFmtId="164" fontId="124" fillId="3" borderId="68" xfId="0" applyFont="true" applyBorder="true" applyAlignment="true" applyProtection="true">
      <alignment horizontal="general" vertical="center" textRotation="0" wrapText="true" indent="0" shrinkToFit="false"/>
      <protection locked="true" hidden="false"/>
    </xf>
    <xf numFmtId="164" fontId="70" fillId="3" borderId="43" xfId="0" applyFont="true" applyBorder="true" applyAlignment="true" applyProtection="true">
      <alignment horizontal="center" vertical="center" textRotation="0" wrapText="true" indent="0" shrinkToFit="false"/>
      <protection locked="true" hidden="false"/>
    </xf>
    <xf numFmtId="164" fontId="75" fillId="0" borderId="1" xfId="0" applyFont="true" applyBorder="true" applyAlignment="true" applyProtection="true">
      <alignment horizontal="center" vertical="center" textRotation="0" wrapText="true" indent="0" shrinkToFit="false"/>
      <protection locked="false" hidden="false"/>
    </xf>
    <xf numFmtId="164" fontId="120" fillId="0" borderId="53" xfId="0" applyFont="true" applyBorder="true" applyAlignment="true" applyProtection="true">
      <alignment horizontal="center" vertical="center" textRotation="0" wrapText="true" indent="0" shrinkToFit="false"/>
      <protection locked="false" hidden="false"/>
    </xf>
    <xf numFmtId="164" fontId="120" fillId="3" borderId="0" xfId="0" applyFont="true" applyBorder="true" applyAlignment="true" applyProtection="true">
      <alignment horizontal="center" vertical="center" textRotation="0" wrapText="true" indent="0" shrinkToFit="false"/>
      <protection locked="false" hidden="false"/>
    </xf>
    <xf numFmtId="164" fontId="4" fillId="3" borderId="110" xfId="0" applyFont="true" applyBorder="true" applyAlignment="true" applyProtection="true">
      <alignment horizontal="center" vertical="center" textRotation="0" wrapText="true" indent="0" shrinkToFit="false"/>
      <protection locked="true" hidden="false"/>
    </xf>
    <xf numFmtId="164" fontId="120" fillId="0" borderId="3" xfId="0" applyFont="true" applyBorder="true" applyAlignment="true" applyProtection="true">
      <alignment horizontal="center" vertical="center" textRotation="0" wrapText="true" indent="0" shrinkToFit="false"/>
      <protection locked="false" hidden="false"/>
    </xf>
    <xf numFmtId="164" fontId="0" fillId="3" borderId="43" xfId="0" applyFont="true" applyBorder="true" applyAlignment="true" applyProtection="true">
      <alignment horizontal="center" vertical="center" textRotation="0" wrapText="true" indent="0" shrinkToFit="false"/>
      <protection locked="true" hidden="false"/>
    </xf>
    <xf numFmtId="164" fontId="4" fillId="3" borderId="16" xfId="0" applyFont="true" applyBorder="true" applyAlignment="true" applyProtection="true">
      <alignment horizontal="center" vertical="center" textRotation="0" wrapText="true" indent="0" shrinkToFit="false"/>
      <protection locked="true" hidden="false"/>
    </xf>
    <xf numFmtId="167" fontId="75" fillId="3" borderId="6" xfId="0" applyFont="true" applyBorder="true" applyAlignment="true" applyProtection="true">
      <alignment horizontal="center" vertical="center" textRotation="0" wrapText="true" indent="0" shrinkToFit="false"/>
      <protection locked="true" hidden="false"/>
    </xf>
    <xf numFmtId="164" fontId="70" fillId="3" borderId="16" xfId="0" applyFont="true" applyBorder="true" applyAlignment="true" applyProtection="true">
      <alignment horizontal="center" vertical="center" textRotation="0" wrapText="true" indent="0" shrinkToFit="false"/>
      <protection locked="true" hidden="false"/>
    </xf>
    <xf numFmtId="164" fontId="75" fillId="0" borderId="5" xfId="0" applyFont="true" applyBorder="true" applyAlignment="true" applyProtection="true">
      <alignment horizontal="center" vertical="center" textRotation="0" wrapText="true" indent="0" shrinkToFit="false"/>
      <protection locked="false" hidden="false"/>
    </xf>
    <xf numFmtId="164" fontId="128" fillId="0" borderId="5" xfId="0" applyFont="true" applyBorder="true" applyAlignment="true" applyProtection="true">
      <alignment horizontal="center" vertical="center" textRotation="0" wrapText="true" indent="0" shrinkToFit="false"/>
      <protection locked="false" hidden="false"/>
    </xf>
    <xf numFmtId="164" fontId="128" fillId="0" borderId="5" xfId="0" applyFont="true" applyBorder="true" applyAlignment="true" applyProtection="true">
      <alignment horizontal="left" vertical="center" textRotation="0" wrapText="true" indent="0" shrinkToFit="false"/>
      <protection locked="false" hidden="false"/>
    </xf>
    <xf numFmtId="164" fontId="128" fillId="0" borderId="23" xfId="0" applyFont="true" applyBorder="true" applyAlignment="true" applyProtection="true">
      <alignment horizontal="center" vertical="center" textRotation="0" wrapText="true" indent="0" shrinkToFit="false"/>
      <protection locked="false" hidden="false"/>
    </xf>
    <xf numFmtId="164" fontId="75" fillId="3" borderId="1" xfId="0" applyFont="true" applyBorder="true" applyAlignment="true" applyProtection="true">
      <alignment horizontal="center" vertical="center" textRotation="0" wrapText="true" indent="0" shrinkToFit="false"/>
      <protection locked="true" hidden="false"/>
    </xf>
    <xf numFmtId="167" fontId="75" fillId="3" borderId="53" xfId="0" applyFont="true" applyBorder="true" applyAlignment="true" applyProtection="true">
      <alignment horizontal="center" vertical="center" textRotation="0" wrapText="true" indent="0" shrinkToFit="false"/>
      <protection locked="true" hidden="false"/>
    </xf>
    <xf numFmtId="164" fontId="129" fillId="3" borderId="68" xfId="0" applyFont="true" applyBorder="true" applyAlignment="true" applyProtection="true">
      <alignment horizontal="general" vertical="center" textRotation="0" wrapText="true" indent="0" shrinkToFit="false"/>
      <protection locked="true" hidden="false"/>
    </xf>
    <xf numFmtId="164" fontId="0" fillId="0" borderId="3" xfId="0" applyFont="true" applyBorder="true" applyAlignment="true" applyProtection="true">
      <alignment horizontal="center" vertical="center" textRotation="0" wrapText="true" indent="0" shrinkToFit="false"/>
      <protection locked="false" hidden="false"/>
    </xf>
    <xf numFmtId="164" fontId="70" fillId="0" borderId="3" xfId="0" applyFont="true" applyBorder="true" applyAlignment="true" applyProtection="true">
      <alignment horizontal="center" vertical="center" textRotation="0" wrapText="true" indent="0" shrinkToFit="false"/>
      <protection locked="false" hidden="false"/>
    </xf>
    <xf numFmtId="164" fontId="70" fillId="0" borderId="3" xfId="0" applyFont="true" applyBorder="true" applyAlignment="true" applyProtection="true">
      <alignment horizontal="left" vertical="center" textRotation="0" wrapText="true" indent="0" shrinkToFit="false"/>
      <protection locked="false" hidden="false"/>
    </xf>
    <xf numFmtId="164" fontId="70" fillId="0" borderId="111" xfId="0" applyFont="true" applyBorder="true" applyAlignment="true" applyProtection="true">
      <alignment horizontal="center" vertical="center" textRotation="0" wrapText="true" indent="0" shrinkToFit="false"/>
      <protection locked="false" hidden="false"/>
    </xf>
    <xf numFmtId="164" fontId="70" fillId="3" borderId="0" xfId="0" applyFont="true" applyBorder="true" applyAlignment="true" applyProtection="true">
      <alignment horizontal="center" vertical="center" textRotation="0" wrapText="true" indent="0" shrinkToFit="false"/>
      <protection locked="false" hidden="false"/>
    </xf>
    <xf numFmtId="164" fontId="70" fillId="0" borderId="20" xfId="0" applyFont="true" applyBorder="true" applyAlignment="true" applyProtection="true">
      <alignment horizontal="center" vertical="center" textRotation="0" wrapText="true" indent="0" shrinkToFit="false"/>
      <protection locked="false" hidden="false"/>
    </xf>
    <xf numFmtId="166" fontId="70" fillId="0" borderId="0" xfId="0" applyFont="true" applyBorder="true" applyAlignment="true" applyProtection="true">
      <alignment horizontal="center" vertical="center" textRotation="0" wrapText="true" indent="0" shrinkToFit="false"/>
      <protection locked="false" hidden="false"/>
    </xf>
    <xf numFmtId="164" fontId="0" fillId="0" borderId="1" xfId="0" applyFont="true" applyBorder="true" applyAlignment="true" applyProtection="true">
      <alignment horizontal="center" vertical="center" textRotation="0" wrapText="true" indent="0" shrinkToFit="false"/>
      <protection locked="false" hidden="false"/>
    </xf>
    <xf numFmtId="164" fontId="70" fillId="0" borderId="20" xfId="0" applyFont="true" applyBorder="true" applyAlignment="true" applyProtection="true">
      <alignment horizontal="center" vertical="center" textRotation="0" wrapText="false" indent="0" shrinkToFit="false"/>
      <protection locked="false" hidden="false"/>
    </xf>
    <xf numFmtId="166" fontId="70" fillId="0" borderId="0" xfId="0" applyFont="true" applyBorder="true" applyAlignment="true" applyProtection="true">
      <alignment horizontal="center" vertical="center" textRotation="0" wrapText="false" indent="0" shrinkToFit="false"/>
      <protection locked="false" hidden="false"/>
    </xf>
    <xf numFmtId="164" fontId="70" fillId="0" borderId="1" xfId="0" applyFont="true" applyBorder="true" applyAlignment="true" applyProtection="true">
      <alignment horizontal="center" vertical="center" textRotation="0" wrapText="true" indent="0" shrinkToFit="false"/>
      <protection locked="false" hidden="false"/>
    </xf>
    <xf numFmtId="164" fontId="70" fillId="0" borderId="53" xfId="0" applyFont="true" applyBorder="true" applyAlignment="true" applyProtection="true">
      <alignment horizontal="center" vertical="center" textRotation="0" wrapText="true" indent="0" shrinkToFit="false"/>
      <protection locked="false" hidden="false"/>
    </xf>
    <xf numFmtId="164" fontId="70" fillId="0" borderId="6" xfId="0" applyFont="true" applyBorder="true" applyAlignment="true" applyProtection="true">
      <alignment horizontal="center" vertical="center" textRotation="0" wrapText="true" indent="0" shrinkToFit="false"/>
      <protection locked="false" hidden="false"/>
    </xf>
    <xf numFmtId="164" fontId="70" fillId="0" borderId="6" xfId="0" applyFont="true" applyBorder="true" applyAlignment="true" applyProtection="true">
      <alignment horizontal="left" vertical="center" textRotation="0" wrapText="true" indent="0" shrinkToFit="false"/>
      <protection locked="false" hidden="false"/>
    </xf>
    <xf numFmtId="164" fontId="70" fillId="0" borderId="62" xfId="0" applyFont="true" applyBorder="true" applyAlignment="true" applyProtection="true">
      <alignment horizontal="center" vertical="center" textRotation="0" wrapText="true" indent="0" shrinkToFit="false"/>
      <protection locked="false" hidden="false"/>
    </xf>
    <xf numFmtId="164" fontId="70" fillId="0" borderId="20" xfId="0" applyFont="true" applyBorder="true" applyAlignment="true" applyProtection="true">
      <alignment horizontal="general" vertical="center" textRotation="0" wrapText="true" indent="0" shrinkToFit="false"/>
      <protection locked="false" hidden="false"/>
    </xf>
    <xf numFmtId="164" fontId="129" fillId="3" borderId="67" xfId="0" applyFont="true" applyBorder="true" applyAlignment="true" applyProtection="true">
      <alignment horizontal="general" vertical="center" textRotation="0" wrapText="true" indent="0" shrinkToFit="false"/>
      <protection locked="true" hidden="false"/>
    </xf>
    <xf numFmtId="164" fontId="0" fillId="3" borderId="44" xfId="0" applyFont="true" applyBorder="true" applyAlignment="true" applyProtection="true">
      <alignment horizontal="center" vertical="center" textRotation="0" wrapText="true" indent="0" shrinkToFit="false"/>
      <protection locked="true" hidden="false"/>
    </xf>
    <xf numFmtId="164" fontId="0" fillId="0" borderId="25" xfId="0" applyFont="true" applyBorder="true" applyAlignment="true" applyProtection="true">
      <alignment horizontal="center" vertical="center" textRotation="0" wrapText="true" indent="0" shrinkToFit="false"/>
      <protection locked="false" hidden="false"/>
    </xf>
    <xf numFmtId="164" fontId="70" fillId="0" borderId="25" xfId="0" applyFont="true" applyBorder="true" applyAlignment="true" applyProtection="true">
      <alignment horizontal="center" vertical="center" textRotation="0" wrapText="true" indent="0" shrinkToFit="false"/>
      <protection locked="false" hidden="false"/>
    </xf>
    <xf numFmtId="164" fontId="70" fillId="0" borderId="71" xfId="0" applyFont="true" applyBorder="true" applyAlignment="true" applyProtection="true">
      <alignment horizontal="center" vertical="center" textRotation="0" wrapText="true" indent="0" shrinkToFit="false"/>
      <protection locked="false" hidden="false"/>
    </xf>
    <xf numFmtId="164" fontId="4" fillId="3" borderId="58" xfId="0" applyFont="true" applyBorder="true" applyAlignment="true" applyProtection="true">
      <alignment horizontal="center" vertical="center" textRotation="0" wrapText="true" indent="0" shrinkToFit="false"/>
      <protection locked="true" hidden="false"/>
    </xf>
    <xf numFmtId="164" fontId="128" fillId="3" borderId="58" xfId="0" applyFont="true" applyBorder="true" applyAlignment="true" applyProtection="true">
      <alignment horizontal="center" vertical="center" textRotation="0" wrapText="true" indent="0" shrinkToFit="false"/>
      <protection locked="true" hidden="false"/>
    </xf>
    <xf numFmtId="164" fontId="128" fillId="3" borderId="58" xfId="0" applyFont="true" applyBorder="true" applyAlignment="true" applyProtection="true">
      <alignment horizontal="left" vertical="center" textRotation="0" wrapText="true" indent="0" shrinkToFit="false"/>
      <protection locked="true" hidden="false"/>
    </xf>
    <xf numFmtId="164" fontId="128" fillId="3" borderId="59" xfId="0" applyFont="true" applyBorder="true" applyAlignment="true" applyProtection="true">
      <alignment horizontal="center" vertical="center" textRotation="0" wrapText="true" indent="0" shrinkToFit="false"/>
      <protection locked="true" hidden="false"/>
    </xf>
    <xf numFmtId="164" fontId="0" fillId="0" borderId="20" xfId="0" applyFont="true" applyBorder="true" applyAlignment="true" applyProtection="true">
      <alignment horizontal="general" vertical="center" textRotation="0" wrapText="true" indent="0" shrinkToFit="false"/>
      <protection locked="false" hidden="false"/>
    </xf>
    <xf numFmtId="164" fontId="4" fillId="3" borderId="3" xfId="0" applyFont="true" applyBorder="true" applyAlignment="true" applyProtection="true">
      <alignment horizontal="center" vertical="center" textRotation="0" wrapText="true" indent="0" shrinkToFit="false"/>
      <protection locked="true" hidden="false"/>
    </xf>
    <xf numFmtId="164" fontId="120" fillId="3" borderId="3" xfId="0" applyFont="true" applyBorder="true" applyAlignment="true" applyProtection="true">
      <alignment horizontal="center" vertical="center" textRotation="0" wrapText="true" indent="0" shrinkToFit="false"/>
      <protection locked="true" hidden="false"/>
    </xf>
    <xf numFmtId="164" fontId="128" fillId="3" borderId="3" xfId="0" applyFont="true" applyBorder="true" applyAlignment="true" applyProtection="true">
      <alignment horizontal="center" vertical="center" textRotation="0" wrapText="true" indent="0" shrinkToFit="false"/>
      <protection locked="true" hidden="false"/>
    </xf>
    <xf numFmtId="164" fontId="128" fillId="3" borderId="3" xfId="0" applyFont="true" applyBorder="true" applyAlignment="true" applyProtection="true">
      <alignment horizontal="left" vertical="center" textRotation="0" wrapText="true" indent="0" shrinkToFit="false"/>
      <protection locked="true" hidden="false"/>
    </xf>
    <xf numFmtId="164" fontId="128" fillId="3" borderId="111" xfId="0" applyFont="true" applyBorder="true" applyAlignment="true" applyProtection="true">
      <alignment horizontal="center" vertical="center" textRotation="0" wrapText="true" indent="0" shrinkToFit="false"/>
      <protection locked="true" hidden="false"/>
    </xf>
    <xf numFmtId="164" fontId="65" fillId="3" borderId="3" xfId="0" applyFont="true" applyBorder="true" applyAlignment="true" applyProtection="true">
      <alignment horizontal="center" vertical="center" textRotation="0" wrapText="true" indent="0" shrinkToFit="false"/>
      <protection locked="true" hidden="false"/>
    </xf>
    <xf numFmtId="164" fontId="120" fillId="3" borderId="111" xfId="0" applyFont="true" applyBorder="true" applyAlignment="true" applyProtection="true">
      <alignment horizontal="center" vertical="center" textRotation="0" wrapText="true" indent="0" shrinkToFit="false"/>
      <protection locked="true" hidden="false"/>
    </xf>
    <xf numFmtId="164" fontId="75" fillId="3" borderId="16" xfId="0" applyFont="true" applyBorder="true" applyAlignment="true" applyProtection="true">
      <alignment horizontal="center" vertical="center" textRotation="0" wrapText="true" indent="0" shrinkToFit="false"/>
      <protection locked="true" hidden="false"/>
    </xf>
    <xf numFmtId="164" fontId="74" fillId="3" borderId="68" xfId="0" applyFont="true" applyBorder="true" applyAlignment="true" applyProtection="true">
      <alignment horizontal="general" vertical="center" textRotation="0" wrapText="true" indent="0" shrinkToFit="false"/>
      <protection locked="true" hidden="false"/>
    </xf>
    <xf numFmtId="164" fontId="0" fillId="0" borderId="3" xfId="0" applyFont="true" applyBorder="true" applyAlignment="true" applyProtection="true">
      <alignment horizontal="left" vertical="center" textRotation="0" wrapText="true" indent="0" shrinkToFit="false"/>
      <protection locked="false" hidden="false"/>
    </xf>
    <xf numFmtId="164" fontId="0" fillId="0" borderId="111" xfId="0" applyFont="true" applyBorder="true" applyAlignment="true" applyProtection="true">
      <alignment horizontal="center" vertical="center" textRotation="0" wrapText="true" indent="0" shrinkToFit="false"/>
      <protection locked="false" hidden="false"/>
    </xf>
    <xf numFmtId="164" fontId="38" fillId="3" borderId="1" xfId="0" applyFont="true" applyBorder="true" applyAlignment="true" applyProtection="true">
      <alignment horizontal="center" vertical="center" textRotation="0" wrapText="true" indent="0" shrinkToFit="false"/>
      <protection locked="true" hidden="false"/>
    </xf>
    <xf numFmtId="164" fontId="4" fillId="0" borderId="3" xfId="0" applyFont="true" applyBorder="true" applyAlignment="true" applyProtection="true">
      <alignment horizontal="center" vertical="center" textRotation="0" wrapText="true" indent="0" shrinkToFit="false"/>
      <protection locked="false" hidden="false"/>
    </xf>
    <xf numFmtId="164" fontId="4" fillId="0" borderId="4" xfId="0" applyFont="true" applyBorder="true" applyAlignment="true" applyProtection="true">
      <alignment horizontal="center" vertical="center" textRotation="0" wrapText="false" indent="0" shrinkToFit="false"/>
      <protection locked="false" hidden="false"/>
    </xf>
    <xf numFmtId="174" fontId="38" fillId="0" borderId="3" xfId="0" applyFont="true" applyBorder="true" applyAlignment="true" applyProtection="true">
      <alignment horizontal="center" vertical="center" textRotation="0" wrapText="true" indent="0" shrinkToFit="false"/>
      <protection locked="false" hidden="false"/>
    </xf>
    <xf numFmtId="174" fontId="70" fillId="0" borderId="3" xfId="0" applyFont="true" applyBorder="true" applyAlignment="true" applyProtection="true">
      <alignment horizontal="center" vertical="center" textRotation="0" wrapText="true" indent="0" shrinkToFit="false"/>
      <protection locked="false" hidden="false"/>
    </xf>
    <xf numFmtId="174" fontId="70" fillId="0" borderId="3" xfId="0" applyFont="true" applyBorder="true" applyAlignment="true" applyProtection="true">
      <alignment horizontal="left" vertical="center" textRotation="0" wrapText="true" indent="0" shrinkToFit="false"/>
      <protection locked="false" hidden="false"/>
    </xf>
    <xf numFmtId="174" fontId="70" fillId="0" borderId="111" xfId="0" applyFont="true" applyBorder="true" applyAlignment="true" applyProtection="true">
      <alignment horizontal="center" vertical="center" textRotation="0" wrapText="true" indent="0" shrinkToFit="false"/>
      <protection locked="false" hidden="false"/>
    </xf>
    <xf numFmtId="164" fontId="128" fillId="0" borderId="3" xfId="0" applyFont="true" applyBorder="true" applyAlignment="true" applyProtection="true">
      <alignment horizontal="center" vertical="center" textRotation="0" wrapText="true" indent="0" shrinkToFit="false"/>
      <protection locked="false" hidden="false"/>
    </xf>
    <xf numFmtId="164" fontId="128" fillId="0" borderId="3" xfId="0" applyFont="true" applyBorder="true" applyAlignment="true" applyProtection="true">
      <alignment horizontal="left" vertical="center" textRotation="0" wrapText="true" indent="0" shrinkToFit="false"/>
      <protection locked="false" hidden="false"/>
    </xf>
    <xf numFmtId="164" fontId="128" fillId="0" borderId="111" xfId="0" applyFont="true" applyBorder="true" applyAlignment="true" applyProtection="true">
      <alignment horizontal="center" vertical="center" textRotation="0" wrapText="true" indent="0" shrinkToFit="false"/>
      <protection locked="false" hidden="false"/>
    </xf>
    <xf numFmtId="164" fontId="120" fillId="0" borderId="6" xfId="0" applyFont="true" applyBorder="true" applyAlignment="true" applyProtection="true">
      <alignment horizontal="center" vertical="center" textRotation="0" wrapText="true" indent="0" shrinkToFit="false"/>
      <protection locked="false" hidden="false"/>
    </xf>
    <xf numFmtId="164" fontId="128" fillId="0" borderId="6" xfId="0" applyFont="true" applyBorder="true" applyAlignment="true" applyProtection="true">
      <alignment horizontal="center" vertical="center" textRotation="0" wrapText="true" indent="0" shrinkToFit="false"/>
      <protection locked="false" hidden="false"/>
    </xf>
    <xf numFmtId="164" fontId="128" fillId="0" borderId="6" xfId="0" applyFont="true" applyBorder="true" applyAlignment="true" applyProtection="true">
      <alignment horizontal="left" vertical="center" textRotation="0" wrapText="true" indent="0" shrinkToFit="false"/>
      <protection locked="false" hidden="false"/>
    </xf>
    <xf numFmtId="164" fontId="128" fillId="0" borderId="62" xfId="0" applyFont="true" applyBorder="true" applyAlignment="true" applyProtection="true">
      <alignment horizontal="center" vertical="center" textRotation="0" wrapText="true" indent="0" shrinkToFit="false"/>
      <protection locked="false" hidden="false"/>
    </xf>
    <xf numFmtId="164" fontId="124" fillId="3" borderId="67" xfId="0" applyFont="true" applyBorder="true" applyAlignment="true" applyProtection="true">
      <alignment horizontal="general" vertical="center" textRotation="0" wrapText="true" indent="0" shrinkToFit="false"/>
      <protection locked="true" hidden="false"/>
    </xf>
    <xf numFmtId="164" fontId="120" fillId="0" borderId="25" xfId="0" applyFont="true" applyBorder="true" applyAlignment="true" applyProtection="true">
      <alignment horizontal="center" vertical="center" textRotation="0" wrapText="true" indent="0" shrinkToFit="false"/>
      <protection locked="false" hidden="false"/>
    </xf>
    <xf numFmtId="164" fontId="120" fillId="0" borderId="71" xfId="0" applyFont="true" applyBorder="true" applyAlignment="true" applyProtection="true">
      <alignment horizontal="center" vertical="center" textRotation="0" wrapText="true" indent="0" shrinkToFit="false"/>
      <protection locked="false" hidden="false"/>
    </xf>
    <xf numFmtId="164" fontId="65" fillId="0" borderId="58" xfId="0" applyFont="true" applyBorder="true" applyAlignment="true" applyProtection="true">
      <alignment horizontal="center" vertical="center" textRotation="0" wrapText="true" indent="0" shrinkToFit="false"/>
      <protection locked="false" hidden="false"/>
    </xf>
    <xf numFmtId="164" fontId="129" fillId="3" borderId="68" xfId="0" applyFont="true" applyBorder="true" applyAlignment="true" applyProtection="true">
      <alignment horizontal="right" vertical="center" textRotation="255" wrapText="true" indent="0" shrinkToFit="false"/>
      <protection locked="true" hidden="false"/>
    </xf>
    <xf numFmtId="164" fontId="0" fillId="3" borderId="32" xfId="0" applyFont="true" applyBorder="true" applyAlignment="true" applyProtection="true">
      <alignment horizontal="center" vertical="center" textRotation="0" wrapText="false" indent="0" shrinkToFit="false"/>
      <protection locked="true" hidden="false"/>
    </xf>
    <xf numFmtId="164" fontId="38" fillId="0" borderId="5" xfId="0" applyFont="true" applyBorder="true" applyAlignment="true" applyProtection="true">
      <alignment horizontal="center" vertical="center" textRotation="0" wrapText="true" indent="0" shrinkToFit="false"/>
      <protection locked="false" hidden="false"/>
    </xf>
    <xf numFmtId="164" fontId="70" fillId="0" borderId="5" xfId="0" applyFont="true" applyBorder="true" applyAlignment="true" applyProtection="true">
      <alignment horizontal="center" vertical="center" textRotation="0" wrapText="true" indent="0" shrinkToFit="false"/>
      <protection locked="false" hidden="false"/>
    </xf>
    <xf numFmtId="164" fontId="70" fillId="0" borderId="5" xfId="0" applyFont="true" applyBorder="true" applyAlignment="true" applyProtection="true">
      <alignment horizontal="left" vertical="center" textRotation="0" wrapText="true" indent="0" shrinkToFit="false"/>
      <protection locked="false" hidden="false"/>
    </xf>
    <xf numFmtId="164" fontId="70" fillId="0" borderId="23" xfId="0" applyFont="true" applyBorder="true" applyAlignment="true" applyProtection="true">
      <alignment horizontal="center" vertical="center" textRotation="0" wrapText="true" indent="0" shrinkToFit="false"/>
      <protection locked="false" hidden="false"/>
    </xf>
    <xf numFmtId="164" fontId="124" fillId="3" borderId="68" xfId="0" applyFont="true" applyBorder="true" applyAlignment="true" applyProtection="true">
      <alignment horizontal="right" vertical="center" textRotation="255" wrapText="true" indent="0" shrinkToFit="false"/>
      <protection locked="true" hidden="false"/>
    </xf>
    <xf numFmtId="164" fontId="65" fillId="0" borderId="3" xfId="0" applyFont="true" applyBorder="true" applyAlignment="true" applyProtection="true">
      <alignment horizontal="center" vertical="center" textRotation="0" wrapText="true" indent="0" shrinkToFit="false"/>
      <protection locked="false" hidden="false"/>
    </xf>
    <xf numFmtId="164" fontId="70" fillId="3" borderId="3" xfId="0" applyFont="true" applyBorder="true" applyAlignment="true" applyProtection="true">
      <alignment horizontal="center" vertical="center" textRotation="0" wrapText="true" indent="0" shrinkToFit="false"/>
      <protection locked="true" hidden="false"/>
    </xf>
    <xf numFmtId="164" fontId="70" fillId="3" borderId="3" xfId="0" applyFont="true" applyBorder="true" applyAlignment="true" applyProtection="true">
      <alignment horizontal="left" vertical="center" textRotation="0" wrapText="true" indent="0" shrinkToFit="false"/>
      <protection locked="true" hidden="false"/>
    </xf>
    <xf numFmtId="164" fontId="70" fillId="3" borderId="111" xfId="0" applyFont="true" applyBorder="true" applyAlignment="true" applyProtection="true">
      <alignment horizontal="center" vertical="center" textRotation="0" wrapText="true" indent="0" shrinkToFit="false"/>
      <protection locked="true" hidden="false"/>
    </xf>
    <xf numFmtId="164" fontId="38" fillId="3" borderId="5" xfId="0" applyFont="true" applyBorder="true" applyAlignment="true" applyProtection="true">
      <alignment horizontal="center" vertical="center" textRotation="0" wrapText="true" indent="0" shrinkToFit="false"/>
      <protection locked="true" hidden="false"/>
    </xf>
    <xf numFmtId="164" fontId="70" fillId="3" borderId="5" xfId="0" applyFont="true" applyBorder="true" applyAlignment="true" applyProtection="true">
      <alignment horizontal="center" vertical="center" textRotation="0" wrapText="true" indent="0" shrinkToFit="false"/>
      <protection locked="true" hidden="false"/>
    </xf>
    <xf numFmtId="164" fontId="70" fillId="3" borderId="5" xfId="0" applyFont="true" applyBorder="true" applyAlignment="true" applyProtection="true">
      <alignment horizontal="left" vertical="center" textRotation="0" wrapText="true" indent="0" shrinkToFit="false"/>
      <protection locked="true" hidden="false"/>
    </xf>
    <xf numFmtId="164" fontId="70" fillId="3" borderId="23" xfId="0" applyFont="true" applyBorder="true" applyAlignment="true" applyProtection="true">
      <alignment horizontal="center" vertical="center" textRotation="0" wrapText="true" indent="0" shrinkToFit="false"/>
      <protection locked="true" hidden="false"/>
    </xf>
    <xf numFmtId="164" fontId="70" fillId="3" borderId="1" xfId="0" applyFont="true" applyBorder="true" applyAlignment="true" applyProtection="true">
      <alignment horizontal="center" vertical="center" textRotation="0" wrapText="true" indent="0" shrinkToFit="false"/>
      <protection locked="true" hidden="false"/>
    </xf>
    <xf numFmtId="164" fontId="70" fillId="3" borderId="53" xfId="0" applyFont="true" applyBorder="true" applyAlignment="true" applyProtection="true">
      <alignment horizontal="center" vertical="center" textRotation="0" wrapText="true" indent="0" shrinkToFit="false"/>
      <protection locked="true" hidden="false"/>
    </xf>
    <xf numFmtId="164" fontId="76" fillId="0" borderId="0" xfId="0" applyFont="true" applyBorder="false" applyAlignment="true" applyProtection="true">
      <alignment horizontal="left" vertical="center" textRotation="0" wrapText="false" indent="0" shrinkToFit="false"/>
      <protection locked="false" hidden="false"/>
    </xf>
    <xf numFmtId="164" fontId="4" fillId="3" borderId="17" xfId="0" applyFont="true" applyBorder="true" applyAlignment="true" applyProtection="true">
      <alignment horizontal="center" vertical="center" textRotation="0" wrapText="false" indent="0" shrinkToFit="false"/>
      <protection locked="true" hidden="false"/>
    </xf>
    <xf numFmtId="164" fontId="103" fillId="3" borderId="18" xfId="0" applyFont="true" applyBorder="true" applyAlignment="true" applyProtection="true">
      <alignment horizontal="center" vertical="center" textRotation="0" wrapText="false" indent="0" shrinkToFit="false"/>
      <protection locked="true" hidden="false"/>
    </xf>
    <xf numFmtId="164" fontId="120" fillId="3" borderId="18" xfId="0" applyFont="true" applyBorder="true" applyAlignment="true" applyProtection="true">
      <alignment horizontal="center" vertical="center" textRotation="0" wrapText="false" indent="0" shrinkToFit="false"/>
      <protection locked="true" hidden="false"/>
    </xf>
    <xf numFmtId="164" fontId="120" fillId="3" borderId="19" xfId="0" applyFont="true" applyBorder="true" applyAlignment="true" applyProtection="true">
      <alignment horizontal="center" vertical="center" textRotation="0" wrapText="false" indent="0" shrinkToFit="false"/>
      <protection locked="true" hidden="false"/>
    </xf>
    <xf numFmtId="164" fontId="4" fillId="3" borderId="18" xfId="0" applyFont="true" applyBorder="true" applyAlignment="true" applyProtection="true">
      <alignment horizontal="center" vertical="center" textRotation="0" wrapText="false" indent="0" shrinkToFit="false"/>
      <protection locked="true" hidden="false"/>
    </xf>
    <xf numFmtId="164" fontId="103" fillId="3" borderId="19" xfId="0" applyFont="true" applyBorder="true" applyAlignment="true" applyProtection="true">
      <alignment horizontal="center" vertical="center" textRotation="0" wrapText="false" indent="0" shrinkToFit="false"/>
      <protection locked="true" hidden="false"/>
    </xf>
    <xf numFmtId="164" fontId="103" fillId="3" borderId="94" xfId="0" applyFont="true" applyBorder="true" applyAlignment="false" applyProtection="true">
      <alignment horizontal="general" vertical="center" textRotation="0" wrapText="false" indent="0" shrinkToFit="false"/>
      <protection locked="true" hidden="false"/>
    </xf>
    <xf numFmtId="164" fontId="4" fillId="3" borderId="112" xfId="0" applyFont="true" applyBorder="true" applyAlignment="true" applyProtection="true">
      <alignment horizontal="center" vertical="center" textRotation="0" wrapText="false" indent="0" shrinkToFit="false"/>
      <protection locked="true" hidden="false"/>
    </xf>
    <xf numFmtId="164" fontId="103" fillId="3" borderId="9" xfId="0" applyFont="true" applyBorder="true" applyAlignment="true" applyProtection="true">
      <alignment horizontal="center" vertical="center" textRotation="0" wrapText="false" indent="0" shrinkToFit="false"/>
      <protection locked="true" hidden="false"/>
    </xf>
    <xf numFmtId="164" fontId="109" fillId="3" borderId="66" xfId="0" applyFont="true" applyBorder="true" applyAlignment="true" applyProtection="true">
      <alignment horizontal="center" vertical="center" textRotation="0" wrapText="false" indent="0" shrinkToFit="false"/>
      <protection locked="true" hidden="false"/>
    </xf>
    <xf numFmtId="164" fontId="109" fillId="0" borderId="6" xfId="0" applyFont="true" applyBorder="true" applyAlignment="true" applyProtection="true">
      <alignment horizontal="center" vertical="center" textRotation="0" wrapText="false" indent="0" shrinkToFit="false"/>
      <protection locked="false" hidden="false"/>
    </xf>
    <xf numFmtId="164" fontId="4" fillId="0" borderId="6" xfId="0" applyFont="true" applyBorder="true" applyAlignment="true" applyProtection="true">
      <alignment horizontal="center" vertical="center" textRotation="0" wrapText="false" indent="0" shrinkToFit="false"/>
      <protection locked="false" hidden="false"/>
    </xf>
    <xf numFmtId="164" fontId="109" fillId="0" borderId="35" xfId="0" applyFont="true" applyBorder="true" applyAlignment="true" applyProtection="true">
      <alignment horizontal="center" vertical="center" textRotation="0" wrapText="false" indent="0" shrinkToFit="false"/>
      <protection locked="false" hidden="false"/>
    </xf>
    <xf numFmtId="164" fontId="109" fillId="0" borderId="113" xfId="0" applyFont="true" applyBorder="true" applyAlignment="true" applyProtection="true">
      <alignment horizontal="center" vertical="center" textRotation="0" wrapText="false" indent="0" shrinkToFit="false"/>
      <protection locked="false" hidden="false"/>
    </xf>
    <xf numFmtId="164" fontId="109" fillId="0" borderId="62" xfId="0" applyFont="true" applyBorder="true" applyAlignment="true" applyProtection="true">
      <alignment horizontal="center" vertical="center" textRotation="0" wrapText="false" indent="0" shrinkToFit="false"/>
      <protection locked="false" hidden="false"/>
    </xf>
    <xf numFmtId="184" fontId="109" fillId="3" borderId="62" xfId="0" applyFont="true" applyBorder="true" applyAlignment="true" applyProtection="true">
      <alignment horizontal="center" vertical="center" textRotation="0" wrapText="false" indent="0" shrinkToFit="false"/>
      <protection locked="true" hidden="false"/>
    </xf>
    <xf numFmtId="164" fontId="109" fillId="3" borderId="22" xfId="0" applyFont="true" applyBorder="true" applyAlignment="true" applyProtection="true">
      <alignment horizontal="center" vertical="center" textRotation="0" wrapText="false" indent="0" shrinkToFit="false"/>
      <protection locked="true" hidden="false"/>
    </xf>
    <xf numFmtId="164" fontId="109" fillId="0" borderId="5" xfId="0" applyFont="true" applyBorder="true" applyAlignment="true" applyProtection="true">
      <alignment horizontal="center" vertical="center" textRotation="0" wrapText="false" indent="0" shrinkToFit="false"/>
      <protection locked="false" hidden="false"/>
    </xf>
    <xf numFmtId="164" fontId="103" fillId="0" borderId="7" xfId="0" applyFont="true" applyBorder="true" applyAlignment="true" applyProtection="true">
      <alignment horizontal="center" vertical="center" textRotation="0" wrapText="false" indent="0" shrinkToFit="false"/>
      <protection locked="false" hidden="false"/>
    </xf>
    <xf numFmtId="164" fontId="109" fillId="0" borderId="112" xfId="0" applyFont="true" applyBorder="true" applyAlignment="true" applyProtection="true">
      <alignment horizontal="center" vertical="center" textRotation="0" wrapText="false" indent="0" shrinkToFit="false"/>
      <protection locked="false" hidden="false"/>
    </xf>
    <xf numFmtId="164" fontId="103" fillId="0" borderId="23" xfId="0" applyFont="true" applyBorder="true" applyAlignment="true" applyProtection="true">
      <alignment horizontal="center" vertical="center" textRotation="0" wrapText="false" indent="0" shrinkToFit="false"/>
      <protection locked="false" hidden="false"/>
    </xf>
    <xf numFmtId="164" fontId="4" fillId="3" borderId="8" xfId="0" applyFont="true" applyBorder="true" applyAlignment="true" applyProtection="true">
      <alignment horizontal="center" vertical="center" textRotation="0" wrapText="false" indent="0" shrinkToFit="false"/>
      <protection locked="true" hidden="false"/>
    </xf>
    <xf numFmtId="164" fontId="109" fillId="3" borderId="23" xfId="0" applyFont="true" applyBorder="true" applyAlignment="true" applyProtection="true">
      <alignment horizontal="center" vertical="center" textRotation="0" wrapText="false" indent="0" shrinkToFit="false"/>
      <protection locked="true" hidden="false"/>
    </xf>
    <xf numFmtId="180" fontId="109" fillId="3" borderId="23" xfId="0" applyFont="true" applyBorder="true" applyAlignment="true" applyProtection="true">
      <alignment horizontal="center" vertical="center" textRotation="0" wrapText="false" indent="0" shrinkToFit="false"/>
      <protection locked="true" hidden="false"/>
    </xf>
    <xf numFmtId="180" fontId="109" fillId="0" borderId="23" xfId="0" applyFont="true" applyBorder="true" applyAlignment="true" applyProtection="true">
      <alignment horizontal="center" vertical="center" textRotation="0" wrapText="false" indent="0" shrinkToFit="false"/>
      <protection locked="false" hidden="false"/>
    </xf>
    <xf numFmtId="164" fontId="4" fillId="0" borderId="5" xfId="0" applyFont="true" applyBorder="true" applyAlignment="true" applyProtection="true">
      <alignment horizontal="center" vertical="center" textRotation="0" wrapText="false" indent="0" shrinkToFit="false"/>
      <protection locked="false" hidden="false"/>
    </xf>
    <xf numFmtId="164" fontId="38" fillId="0" borderId="112" xfId="0" applyFont="true" applyBorder="true" applyAlignment="true" applyProtection="true">
      <alignment horizontal="center" vertical="center" textRotation="0" wrapText="false" indent="0" shrinkToFit="false"/>
      <protection locked="false" hidden="false"/>
    </xf>
    <xf numFmtId="164" fontId="4" fillId="3" borderId="24" xfId="0" applyFont="true" applyBorder="true" applyAlignment="true" applyProtection="true">
      <alignment horizontal="center" vertical="center" textRotation="0" wrapText="false" indent="0" shrinkToFit="false"/>
      <protection locked="true" hidden="false"/>
    </xf>
    <xf numFmtId="167" fontId="109" fillId="3" borderId="25" xfId="0" applyFont="true" applyBorder="true" applyAlignment="true" applyProtection="true">
      <alignment horizontal="center" vertical="center" textRotation="0" wrapText="false" indent="0" shrinkToFit="false"/>
      <protection locked="true" hidden="false"/>
    </xf>
    <xf numFmtId="164" fontId="103" fillId="3" borderId="26" xfId="0" applyFont="true" applyBorder="true" applyAlignment="true" applyProtection="true">
      <alignment horizontal="center" vertical="center" textRotation="0" wrapText="false" indent="0" shrinkToFit="false"/>
      <protection locked="true" hidden="false"/>
    </xf>
    <xf numFmtId="164" fontId="5" fillId="3" borderId="114" xfId="0" applyFont="true" applyBorder="true" applyAlignment="true" applyProtection="true">
      <alignment horizontal="left" vertical="center" textRotation="0" wrapText="false" indent="0" shrinkToFit="false"/>
      <protection locked="true" hidden="false"/>
    </xf>
    <xf numFmtId="164" fontId="120" fillId="3" borderId="26" xfId="0" applyFont="true" applyBorder="true" applyAlignment="true" applyProtection="true">
      <alignment horizontal="center" vertical="center" textRotation="0" wrapText="false" indent="0" shrinkToFit="false"/>
      <protection locked="true" hidden="false"/>
    </xf>
    <xf numFmtId="164" fontId="120" fillId="3" borderId="27" xfId="0" applyFont="true" applyBorder="true" applyAlignment="true" applyProtection="true">
      <alignment horizontal="center" vertical="center" textRotation="0" wrapText="false" indent="0" shrinkToFit="false"/>
      <protection locked="true" hidden="false"/>
    </xf>
    <xf numFmtId="164" fontId="4" fillId="3" borderId="70" xfId="0" applyFont="true" applyBorder="true" applyAlignment="true" applyProtection="true">
      <alignment horizontal="center" vertical="center" textRotation="0" wrapText="false" indent="0" shrinkToFit="false"/>
      <protection locked="true" hidden="false"/>
    </xf>
    <xf numFmtId="164" fontId="109" fillId="0" borderId="25" xfId="0" applyFont="true" applyBorder="true" applyAlignment="true" applyProtection="true">
      <alignment horizontal="center" vertical="center" textRotation="0" wrapText="false" indent="0" shrinkToFit="false"/>
      <protection locked="false" hidden="false"/>
    </xf>
    <xf numFmtId="180" fontId="109" fillId="3" borderId="71" xfId="0" applyFont="true" applyBorder="true" applyAlignment="true" applyProtection="true">
      <alignment horizontal="center" vertical="center" textRotation="0" wrapText="false" indent="0" shrinkToFit="false"/>
      <protection locked="true" hidden="false"/>
    </xf>
    <xf numFmtId="164" fontId="95" fillId="12" borderId="5" xfId="0" applyFont="true" applyBorder="true" applyAlignment="true" applyProtection="true">
      <alignment horizontal="center" vertical="bottom" textRotation="0" wrapText="false" indent="0" shrinkToFit="false"/>
      <protection locked="true" hidden="false"/>
    </xf>
    <xf numFmtId="170" fontId="95" fillId="12" borderId="5" xfId="0" applyFont="true" applyBorder="true" applyAlignment="true" applyProtection="true">
      <alignment horizontal="center" vertical="bottom" textRotation="0" wrapText="false" indent="0" shrinkToFit="false"/>
      <protection locked="true" hidden="false"/>
    </xf>
    <xf numFmtId="190" fontId="95" fillId="12" borderId="5" xfId="0" applyFont="true" applyBorder="true" applyAlignment="true" applyProtection="true">
      <alignment horizontal="center" vertical="bottom" textRotation="0" wrapText="false" indent="0" shrinkToFit="false"/>
      <protection locked="true" hidden="false"/>
    </xf>
    <xf numFmtId="164" fontId="59" fillId="12" borderId="5" xfId="0" applyFont="true" applyBorder="true" applyAlignment="true" applyProtection="true">
      <alignment horizontal="center" vertical="bottom" textRotation="0" wrapText="false" indent="0" shrinkToFit="false"/>
      <protection locked="false" hidden="false"/>
    </xf>
    <xf numFmtId="164" fontId="95" fillId="13" borderId="5" xfId="0" applyFont="true" applyBorder="true" applyAlignment="true" applyProtection="true">
      <alignment horizontal="center" vertical="bottom" textRotation="0" wrapText="false" indent="0" shrinkToFit="false"/>
      <protection locked="false" hidden="false"/>
    </xf>
    <xf numFmtId="191" fontId="95" fillId="13" borderId="5" xfId="0" applyFont="true" applyBorder="true" applyAlignment="true" applyProtection="true">
      <alignment horizontal="center" vertical="bottom" textRotation="0" wrapText="false" indent="0" shrinkToFit="false"/>
      <protection locked="false" hidden="false"/>
    </xf>
    <xf numFmtId="174" fontId="95" fillId="13" borderId="5" xfId="0" applyFont="true" applyBorder="true" applyAlignment="true" applyProtection="true">
      <alignment horizontal="center" vertical="bottom" textRotation="0" wrapText="false" indent="0" shrinkToFit="false"/>
      <protection locked="false" hidden="false"/>
    </xf>
    <xf numFmtId="192" fontId="95" fillId="13" borderId="5" xfId="0" applyFont="true" applyBorder="true" applyAlignment="true" applyProtection="true">
      <alignment horizontal="center" vertical="bottom" textRotation="0" wrapText="false" indent="0" shrinkToFit="false"/>
      <protection locked="false" hidden="false"/>
    </xf>
    <xf numFmtId="176" fontId="95" fillId="13" borderId="5" xfId="0" applyFont="true" applyBorder="true" applyAlignment="true" applyProtection="true">
      <alignment horizontal="center" vertical="bottom" textRotation="0" wrapText="false" indent="0" shrinkToFit="false"/>
      <protection locked="false" hidden="false"/>
    </xf>
    <xf numFmtId="190" fontId="95" fillId="13" borderId="5" xfId="0" applyFont="true" applyBorder="true" applyAlignment="true" applyProtection="true">
      <alignment horizontal="center" vertical="bottom" textRotation="0" wrapText="false" indent="0" shrinkToFit="false"/>
      <protection locked="false" hidden="false"/>
    </xf>
    <xf numFmtId="164" fontId="71" fillId="0" borderId="5" xfId="0" applyFont="true" applyBorder="true" applyAlignment="true" applyProtection="true">
      <alignment horizontal="center" vertical="bottom" textRotation="0" wrapText="false" indent="0" shrinkToFit="false"/>
      <protection locked="true" hidden="false"/>
    </xf>
    <xf numFmtId="164" fontId="71" fillId="0" borderId="5" xfId="0" applyFont="true" applyBorder="true" applyAlignment="true" applyProtection="true">
      <alignment horizontal="left" vertical="bottom" textRotation="0" wrapText="false" indent="0" shrinkToFit="false"/>
      <protection locked="true" hidden="false"/>
    </xf>
    <xf numFmtId="170" fontId="71" fillId="0" borderId="5" xfId="0" applyFont="true" applyBorder="true" applyAlignment="true" applyProtection="true">
      <alignment horizontal="left" vertical="bottom" textRotation="0" wrapText="false" indent="0" shrinkToFit="false"/>
      <protection locked="true" hidden="false"/>
    </xf>
    <xf numFmtId="193" fontId="71" fillId="0" borderId="5" xfId="0" applyFont="true" applyBorder="true" applyAlignment="true" applyProtection="true">
      <alignment horizontal="left" vertical="bottom" textRotation="0" wrapText="false" indent="0" shrinkToFit="false"/>
      <protection locked="true" hidden="false"/>
    </xf>
    <xf numFmtId="166" fontId="71" fillId="0" borderId="5" xfId="0" applyFont="true" applyBorder="true" applyAlignment="true" applyProtection="true">
      <alignment horizontal="left" vertical="bottom" textRotation="0" wrapText="false" indent="0" shrinkToFit="false"/>
      <protection locked="true" hidden="false"/>
    </xf>
    <xf numFmtId="190" fontId="71" fillId="0" borderId="5" xfId="0" applyFont="true" applyBorder="true" applyAlignment="true" applyProtection="true">
      <alignment horizontal="left" vertical="bottom" textRotation="0" wrapText="false" indent="0" shrinkToFit="false"/>
      <protection locked="true" hidden="false"/>
    </xf>
    <xf numFmtId="192" fontId="71" fillId="0" borderId="5" xfId="0" applyFont="true" applyBorder="true" applyAlignment="true" applyProtection="true">
      <alignment horizontal="left" vertical="bottom" textRotation="0" wrapText="false" indent="0" shrinkToFit="false"/>
      <protection locked="false" hidden="false"/>
    </xf>
    <xf numFmtId="192" fontId="136" fillId="0" borderId="5" xfId="0" applyFont="true" applyBorder="true" applyAlignment="true" applyProtection="true">
      <alignment horizontal="left" vertical="bottom" textRotation="0" wrapText="false" indent="0" shrinkToFit="false"/>
      <protection locked="false" hidden="false"/>
    </xf>
    <xf numFmtId="174" fontId="71" fillId="0" borderId="5" xfId="0" applyFont="true" applyBorder="true" applyAlignment="true" applyProtection="true">
      <alignment horizontal="left" vertical="bottom" textRotation="0" wrapText="false" indent="0" shrinkToFit="false"/>
      <protection locked="false" hidden="false"/>
    </xf>
    <xf numFmtId="176" fontId="71" fillId="0" borderId="5" xfId="0" applyFont="true" applyBorder="true" applyAlignment="true" applyProtection="true">
      <alignment horizontal="left" vertical="bottom" textRotation="0" wrapText="false" indent="0" shrinkToFit="false"/>
      <protection locked="false" hidden="false"/>
    </xf>
    <xf numFmtId="190" fontId="71" fillId="0" borderId="5" xfId="0" applyFont="true" applyBorder="true" applyAlignment="true" applyProtection="true">
      <alignment horizontal="left" vertical="bottom" textRotation="0" wrapText="false" indent="0" shrinkToFit="false"/>
      <protection locked="false" hidden="false"/>
    </xf>
    <xf numFmtId="174" fontId="136" fillId="0" borderId="5" xfId="0" applyFont="true" applyBorder="true" applyAlignment="true" applyProtection="true">
      <alignment horizontal="left" vertical="bottom" textRotation="0" wrapText="false" indent="0" shrinkToFit="false"/>
      <protection locked="false" hidden="false"/>
    </xf>
    <xf numFmtId="164" fontId="71" fillId="2" borderId="5" xfId="0" applyFont="true" applyBorder="true" applyAlignment="true" applyProtection="true">
      <alignment horizontal="left" vertical="bottom" textRotation="0" wrapText="false" indent="0" shrinkToFit="false"/>
      <protection locked="true" hidden="false"/>
    </xf>
    <xf numFmtId="170" fontId="71" fillId="2" borderId="5" xfId="0" applyFont="true" applyBorder="true" applyAlignment="true" applyProtection="true">
      <alignment horizontal="left" vertical="bottom" textRotation="0" wrapText="false" indent="0" shrinkToFit="false"/>
      <protection locked="true" hidden="false"/>
    </xf>
    <xf numFmtId="193" fontId="71" fillId="2" borderId="5" xfId="0" applyFont="true" applyBorder="true" applyAlignment="true" applyProtection="true">
      <alignment horizontal="left" vertical="bottom" textRotation="0" wrapText="false" indent="0" shrinkToFit="false"/>
      <protection locked="true" hidden="false"/>
    </xf>
    <xf numFmtId="166" fontId="71" fillId="2" borderId="5" xfId="0" applyFont="true" applyBorder="true" applyAlignment="true" applyProtection="true">
      <alignment horizontal="left" vertical="bottom" textRotation="0" wrapText="false" indent="0" shrinkToFit="false"/>
      <protection locked="true" hidden="false"/>
    </xf>
    <xf numFmtId="190" fontId="71" fillId="2" borderId="5" xfId="0" applyFont="true" applyBorder="true" applyAlignment="true" applyProtection="true">
      <alignment horizontal="left" vertical="bottom" textRotation="0" wrapText="false" indent="0" shrinkToFit="false"/>
      <protection locked="true" hidden="false"/>
    </xf>
    <xf numFmtId="192" fontId="71" fillId="2" borderId="5" xfId="0" applyFont="true" applyBorder="true" applyAlignment="true" applyProtection="true">
      <alignment horizontal="left" vertical="bottom" textRotation="0" wrapText="false" indent="0" shrinkToFit="false"/>
      <protection locked="false" hidden="false"/>
    </xf>
    <xf numFmtId="192" fontId="136" fillId="2" borderId="5" xfId="0" applyFont="true" applyBorder="true" applyAlignment="true" applyProtection="true">
      <alignment horizontal="left" vertical="bottom" textRotation="0" wrapText="false" indent="0" shrinkToFit="false"/>
      <protection locked="false" hidden="false"/>
    </xf>
    <xf numFmtId="174" fontId="71" fillId="2" borderId="5" xfId="0" applyFont="true" applyBorder="true" applyAlignment="true" applyProtection="true">
      <alignment horizontal="left" vertical="bottom" textRotation="0" wrapText="false" indent="0" shrinkToFit="false"/>
      <protection locked="false" hidden="false"/>
    </xf>
    <xf numFmtId="176" fontId="71" fillId="2" borderId="5" xfId="0" applyFont="true" applyBorder="true" applyAlignment="true" applyProtection="true">
      <alignment horizontal="left" vertical="bottom" textRotation="0" wrapText="false" indent="0" shrinkToFit="false"/>
      <protection locked="false" hidden="false"/>
    </xf>
    <xf numFmtId="190" fontId="71" fillId="2" borderId="5" xfId="0" applyFont="true" applyBorder="true" applyAlignment="true" applyProtection="true">
      <alignment horizontal="left" vertical="bottom" textRotation="0" wrapText="false" indent="0" shrinkToFit="false"/>
      <protection locked="false" hidden="false"/>
    </xf>
    <xf numFmtId="174" fontId="136" fillId="2" borderId="5" xfId="0" applyFont="true" applyBorder="true" applyAlignment="true" applyProtection="true">
      <alignment horizontal="left" vertical="bottom" textRotation="0" wrapText="false" indent="0" shrinkToFit="false"/>
      <protection locked="false" hidden="false"/>
    </xf>
    <xf numFmtId="164" fontId="100" fillId="3" borderId="51" xfId="0" applyFont="true" applyBorder="true" applyAlignment="true" applyProtection="true">
      <alignment horizontal="center" vertical="center" textRotation="0" wrapText="false" indent="0" shrinkToFit="false"/>
      <protection locked="false" hidden="false"/>
    </xf>
    <xf numFmtId="164" fontId="100" fillId="3" borderId="2" xfId="0" applyFont="true" applyBorder="true" applyAlignment="true" applyProtection="true">
      <alignment horizontal="center" vertical="center" textRotation="0" wrapText="false" indent="0" shrinkToFit="false"/>
      <protection locked="false" hidden="false"/>
    </xf>
    <xf numFmtId="164" fontId="111" fillId="3" borderId="2" xfId="0" applyFont="true" applyBorder="true" applyAlignment="true" applyProtection="true">
      <alignment horizontal="center" vertical="center" textRotation="0" wrapText="false" indent="0" shrinkToFit="false"/>
      <protection locked="false" hidden="false"/>
    </xf>
    <xf numFmtId="167" fontId="102" fillId="3" borderId="6" xfId="0" applyFont="true" applyBorder="true" applyAlignment="true" applyProtection="true">
      <alignment horizontal="right" vertical="center" textRotation="0" wrapText="false" indent="0" shrinkToFit="false"/>
      <protection locked="true" hidden="false"/>
    </xf>
    <xf numFmtId="164" fontId="100" fillId="3" borderId="0" xfId="0" applyFont="true" applyBorder="true" applyAlignment="true" applyProtection="true">
      <alignment horizontal="general" vertical="center" textRotation="0" wrapText="false" indent="0" shrinkToFit="false"/>
      <protection locked="false" hidden="false"/>
    </xf>
    <xf numFmtId="178" fontId="100" fillId="5" borderId="0" xfId="0" applyFont="true" applyBorder="true" applyAlignment="true" applyProtection="true">
      <alignment horizontal="general" vertical="center" textRotation="0" wrapText="false" indent="0" shrinkToFit="false"/>
      <protection locked="false" hidden="false"/>
    </xf>
    <xf numFmtId="164" fontId="100" fillId="5" borderId="0" xfId="0" applyFont="true" applyBorder="true" applyAlignment="true" applyProtection="true">
      <alignment horizontal="center" vertical="center" textRotation="0" wrapText="false" indent="0" shrinkToFit="false"/>
      <protection locked="false" hidden="false"/>
    </xf>
    <xf numFmtId="164" fontId="100" fillId="3" borderId="20" xfId="0" applyFont="true" applyBorder="true" applyAlignment="true" applyProtection="true">
      <alignment horizontal="center" vertical="center" textRotation="0" wrapText="false" indent="0" shrinkToFit="false"/>
      <protection locked="false" hidden="false"/>
    </xf>
    <xf numFmtId="164" fontId="100" fillId="3" borderId="0" xfId="0" applyFont="true" applyBorder="true" applyAlignment="true" applyProtection="true">
      <alignment horizontal="center" vertical="center" textRotation="0" wrapText="false" indent="0" shrinkToFit="false"/>
      <protection locked="false" hidden="false"/>
    </xf>
    <xf numFmtId="164" fontId="111" fillId="3" borderId="0" xfId="0" applyFont="true" applyBorder="true" applyAlignment="true" applyProtection="true">
      <alignment horizontal="center" vertical="center" textRotation="0" wrapText="false" indent="0" shrinkToFit="false"/>
      <protection locked="false" hidden="false"/>
    </xf>
    <xf numFmtId="164" fontId="111" fillId="0" borderId="0" xfId="0" applyFont="true" applyBorder="false" applyAlignment="true" applyProtection="true">
      <alignment horizontal="center" vertical="center" textRotation="0" wrapText="false" indent="0" shrinkToFit="false"/>
      <protection locked="false" hidden="false"/>
    </xf>
    <xf numFmtId="185" fontId="102" fillId="3" borderId="11" xfId="0" applyFont="true" applyBorder="true" applyAlignment="true" applyProtection="true">
      <alignment horizontal="right" vertical="center" textRotation="0" wrapText="false" indent="0" shrinkToFit="false"/>
      <protection locked="true" hidden="false"/>
    </xf>
    <xf numFmtId="164" fontId="111" fillId="3" borderId="0" xfId="0" applyFont="true" applyBorder="false" applyAlignment="true" applyProtection="true">
      <alignment horizontal="center" vertical="center" textRotation="0" wrapText="false" indent="0" shrinkToFit="false"/>
      <protection locked="false" hidden="false"/>
    </xf>
    <xf numFmtId="164" fontId="89" fillId="3" borderId="0" xfId="0" applyFont="true" applyBorder="true" applyAlignment="true" applyProtection="true">
      <alignment horizontal="general" vertical="center" textRotation="0" wrapText="false" indent="0" shrinkToFit="false"/>
      <protection locked="false" hidden="false"/>
    </xf>
    <xf numFmtId="187" fontId="100" fillId="3" borderId="0" xfId="0" applyFont="true" applyBorder="true" applyAlignment="true" applyProtection="true">
      <alignment horizontal="center" vertical="center" textRotation="0" wrapText="false" indent="0" shrinkToFit="false"/>
      <protection locked="false" hidden="false"/>
    </xf>
    <xf numFmtId="187" fontId="4" fillId="3" borderId="8" xfId="0" applyFont="true" applyBorder="true" applyAlignment="true" applyProtection="true">
      <alignment horizontal="center" vertical="center" textRotation="0" wrapText="true" indent="0" shrinkToFit="false"/>
      <protection locked="true" hidden="false"/>
    </xf>
    <xf numFmtId="164" fontId="125" fillId="0" borderId="10" xfId="0" applyFont="true" applyBorder="true" applyAlignment="true" applyProtection="true">
      <alignment horizontal="center" vertical="center" textRotation="0" wrapText="true" indent="0" shrinkToFit="false"/>
      <protection locked="false" hidden="false"/>
    </xf>
    <xf numFmtId="164" fontId="0" fillId="3" borderId="8" xfId="0" applyFont="true" applyBorder="true" applyAlignment="true" applyProtection="true">
      <alignment horizontal="center" vertical="center" textRotation="0" wrapText="true" indent="0" shrinkToFit="false"/>
      <protection locked="true" hidden="false"/>
    </xf>
    <xf numFmtId="164" fontId="0" fillId="0" borderId="47" xfId="0" applyFont="true" applyBorder="true" applyAlignment="true" applyProtection="true">
      <alignment horizontal="center" vertical="center" textRotation="0" wrapText="true" indent="0" shrinkToFit="false"/>
      <protection locked="false" hidden="false"/>
    </xf>
    <xf numFmtId="164" fontId="103" fillId="0" borderId="8" xfId="0" applyFont="true" applyBorder="true" applyAlignment="true" applyProtection="true">
      <alignment horizontal="center" vertical="center" textRotation="0" wrapText="true" indent="0" shrinkToFit="false"/>
      <protection locked="false" hidden="false"/>
    </xf>
    <xf numFmtId="164" fontId="103" fillId="3" borderId="8" xfId="0" applyFont="true" applyBorder="true" applyAlignment="true" applyProtection="true">
      <alignment horizontal="center" vertical="center" textRotation="0" wrapText="true" indent="0" shrinkToFit="false"/>
      <protection locked="true" hidden="false"/>
    </xf>
    <xf numFmtId="167" fontId="75" fillId="3" borderId="73" xfId="0" applyFont="true" applyBorder="true" applyAlignment="true" applyProtection="true">
      <alignment horizontal="center" vertical="center" textRotation="0" wrapText="true" indent="0" shrinkToFit="false"/>
      <protection locked="true" hidden="false"/>
    </xf>
    <xf numFmtId="164" fontId="103" fillId="0" borderId="65" xfId="0" applyFont="true" applyBorder="true" applyAlignment="true" applyProtection="true">
      <alignment horizontal="center" vertical="center" textRotation="0" wrapText="true" indent="0" shrinkToFit="false"/>
      <protection locked="false" hidden="false"/>
    </xf>
    <xf numFmtId="164" fontId="120" fillId="3" borderId="35" xfId="0" applyFont="true" applyBorder="true" applyAlignment="true" applyProtection="true">
      <alignment horizontal="center" vertical="center" textRotation="0" wrapText="true" indent="0" shrinkToFit="false"/>
      <protection locked="true" hidden="false"/>
    </xf>
    <xf numFmtId="164" fontId="103" fillId="3" borderId="66" xfId="0" applyFont="true" applyBorder="true" applyAlignment="true" applyProtection="true">
      <alignment horizontal="center" vertical="center" textRotation="0" wrapText="true" indent="0" shrinkToFit="false"/>
      <protection locked="true" hidden="false"/>
    </xf>
    <xf numFmtId="167" fontId="75" fillId="3" borderId="32" xfId="0" applyFont="true" applyBorder="true" applyAlignment="true" applyProtection="true">
      <alignment horizontal="center" vertical="center" textRotation="0" wrapText="true" indent="0" shrinkToFit="false"/>
      <protection locked="true" hidden="false"/>
    </xf>
    <xf numFmtId="167" fontId="75" fillId="3" borderId="38" xfId="0" applyFont="true" applyBorder="true" applyAlignment="true" applyProtection="true">
      <alignment horizontal="center" vertical="center" textRotation="0" wrapText="true" indent="0" shrinkToFit="false"/>
      <protection locked="true" hidden="false"/>
    </xf>
    <xf numFmtId="164" fontId="103" fillId="3" borderId="68" xfId="0" applyFont="true" applyBorder="true" applyAlignment="true" applyProtection="true">
      <alignment horizontal="center" vertical="center" textRotation="0" wrapText="true" indent="0" shrinkToFit="false"/>
      <protection locked="true" hidden="false"/>
    </xf>
    <xf numFmtId="174" fontId="75" fillId="3" borderId="65" xfId="0" applyFont="true" applyBorder="true" applyAlignment="true" applyProtection="true">
      <alignment horizontal="center" vertical="center" textRotation="0" wrapText="true" indent="0" shrinkToFit="false"/>
      <protection locked="true" hidden="false"/>
    </xf>
    <xf numFmtId="164" fontId="120" fillId="2" borderId="99" xfId="0" applyFont="true" applyBorder="true" applyAlignment="true" applyProtection="true">
      <alignment horizontal="center" vertical="center" textRotation="0" wrapText="true" indent="0" shrinkToFit="false"/>
      <protection locked="false" hidden="false"/>
    </xf>
    <xf numFmtId="164" fontId="0" fillId="2" borderId="66" xfId="0" applyFont="true" applyBorder="true" applyAlignment="true" applyProtection="true">
      <alignment horizontal="center" vertical="center" textRotation="0" wrapText="true" indent="0" shrinkToFit="false"/>
      <protection locked="false" hidden="false"/>
    </xf>
    <xf numFmtId="167" fontId="38" fillId="3" borderId="35" xfId="0" applyFont="true" applyBorder="true" applyAlignment="true" applyProtection="true">
      <alignment horizontal="center" vertical="center" textRotation="0" wrapText="true" indent="0" shrinkToFit="false"/>
      <protection locked="true" hidden="false"/>
    </xf>
    <xf numFmtId="194" fontId="70" fillId="0" borderId="99" xfId="0" applyFont="true" applyBorder="true" applyAlignment="true" applyProtection="true">
      <alignment horizontal="center" vertical="center" textRotation="0" wrapText="true" indent="0" shrinkToFit="false"/>
      <protection locked="false" hidden="false"/>
    </xf>
    <xf numFmtId="164" fontId="70" fillId="0" borderId="99" xfId="0" applyFont="true" applyBorder="true" applyAlignment="true" applyProtection="true">
      <alignment horizontal="center" vertical="center" textRotation="0" wrapText="true" indent="0" shrinkToFit="false"/>
      <protection locked="false" hidden="false"/>
    </xf>
    <xf numFmtId="164" fontId="65" fillId="3" borderId="7" xfId="0" applyFont="true" applyBorder="true" applyAlignment="true" applyProtection="true">
      <alignment horizontal="center" vertical="center" textRotation="0" wrapText="true" indent="0" shrinkToFit="false"/>
      <protection locked="true" hidden="false"/>
    </xf>
    <xf numFmtId="187" fontId="120" fillId="3" borderId="8" xfId="0" applyFont="true" applyBorder="true" applyAlignment="true" applyProtection="true">
      <alignment horizontal="center" vertical="center" textRotation="0" wrapText="false" indent="0" shrinkToFit="false"/>
      <protection locked="true" hidden="false"/>
    </xf>
    <xf numFmtId="170" fontId="75" fillId="3" borderId="31" xfId="0" applyFont="true" applyBorder="true" applyAlignment="true" applyProtection="true">
      <alignment horizontal="left" vertical="center" textRotation="0" wrapText="true" indent="0" shrinkToFit="false"/>
      <protection locked="true" hidden="false"/>
    </xf>
    <xf numFmtId="187" fontId="120" fillId="3" borderId="5" xfId="0" applyFont="true" applyBorder="true" applyAlignment="true" applyProtection="true">
      <alignment horizontal="center" vertical="center" textRotation="0" wrapText="true" indent="0" shrinkToFit="false"/>
      <protection locked="true" hidden="false"/>
    </xf>
    <xf numFmtId="164" fontId="120" fillId="5" borderId="20" xfId="0" applyFont="true" applyBorder="true" applyAlignment="true" applyProtection="true">
      <alignment horizontal="center" vertical="center" textRotation="0" wrapText="false" indent="0" shrinkToFit="false"/>
      <protection locked="false" hidden="false"/>
    </xf>
    <xf numFmtId="164" fontId="128" fillId="5" borderId="20" xfId="0" applyFont="true" applyBorder="true" applyAlignment="true" applyProtection="true">
      <alignment horizontal="center" vertical="center" textRotation="0" wrapText="false" indent="0" shrinkToFit="false"/>
      <protection locked="false" hidden="false"/>
    </xf>
    <xf numFmtId="187" fontId="120" fillId="3" borderId="0" xfId="0" applyFont="true" applyBorder="true" applyAlignment="true" applyProtection="true">
      <alignment horizontal="center" vertical="bottom" textRotation="0" wrapText="false" indent="0" shrinkToFit="false"/>
      <protection locked="true" hidden="false"/>
    </xf>
    <xf numFmtId="164" fontId="120" fillId="5" borderId="20" xfId="0" applyFont="true" applyBorder="true" applyAlignment="true" applyProtection="true">
      <alignment horizontal="general" vertical="bottom" textRotation="0" wrapText="false" indent="0" shrinkToFit="false"/>
      <protection locked="false" hidden="false"/>
    </xf>
    <xf numFmtId="166" fontId="0" fillId="5" borderId="0" xfId="0" applyFont="true" applyBorder="true" applyAlignment="true" applyProtection="true">
      <alignment horizontal="center" vertical="center" textRotation="0" wrapText="true" indent="0" shrinkToFit="false"/>
      <protection locked="false" hidden="false"/>
    </xf>
    <xf numFmtId="189" fontId="38" fillId="3" borderId="83" xfId="0" applyFont="true" applyBorder="true" applyAlignment="true" applyProtection="true">
      <alignment horizontal="center" vertical="center" textRotation="0" wrapText="true" indent="0" shrinkToFit="false"/>
      <protection locked="true" hidden="false"/>
    </xf>
    <xf numFmtId="174" fontId="0" fillId="5" borderId="20" xfId="0" applyFont="true" applyBorder="true" applyAlignment="true" applyProtection="true">
      <alignment horizontal="center" vertical="center" textRotation="0" wrapText="false" indent="0" shrinkToFit="false"/>
      <protection locked="false" hidden="false"/>
    </xf>
    <xf numFmtId="174" fontId="0" fillId="5" borderId="0" xfId="0" applyFont="true" applyBorder="false" applyAlignment="true" applyProtection="true">
      <alignment horizontal="center" vertical="center" textRotation="0" wrapText="false" indent="0" shrinkToFit="false"/>
      <protection locked="false" hidden="false"/>
    </xf>
    <xf numFmtId="164" fontId="0" fillId="0" borderId="38" xfId="0" applyFont="true" applyBorder="true" applyAlignment="true" applyProtection="true">
      <alignment horizontal="center" vertical="center" textRotation="0" wrapText="true" indent="0" shrinkToFit="false"/>
      <protection locked="false" hidden="false"/>
    </xf>
    <xf numFmtId="166" fontId="0" fillId="5" borderId="20" xfId="0" applyFont="true" applyBorder="true" applyAlignment="true" applyProtection="true">
      <alignment horizontal="center" vertical="center" textRotation="0" wrapText="true" indent="0" shrinkToFit="false"/>
      <protection locked="false" hidden="false"/>
    </xf>
    <xf numFmtId="164" fontId="0" fillId="5" borderId="0" xfId="0" applyFont="true" applyBorder="true" applyAlignment="true" applyProtection="true">
      <alignment horizontal="center" vertical="center" textRotation="0" wrapText="true" indent="0" shrinkToFit="false"/>
      <protection locked="false" hidden="false"/>
    </xf>
    <xf numFmtId="164" fontId="0" fillId="5" borderId="20" xfId="0" applyFont="true" applyBorder="true" applyAlignment="true" applyProtection="true">
      <alignment horizontal="general" vertical="center" textRotation="0" wrapText="false" indent="0" shrinkToFit="false"/>
      <protection locked="false" hidden="false"/>
    </xf>
    <xf numFmtId="164" fontId="128" fillId="5" borderId="0" xfId="0" applyFont="true" applyBorder="true" applyAlignment="true" applyProtection="true">
      <alignment horizontal="center" vertical="center" textRotation="0" wrapText="true" indent="0" shrinkToFit="false"/>
      <protection locked="false" hidden="false"/>
    </xf>
    <xf numFmtId="164" fontId="0" fillId="5" borderId="20" xfId="0" applyFont="true" applyBorder="true" applyAlignment="true" applyProtection="true">
      <alignment horizontal="center" vertical="center" textRotation="0" wrapText="true" indent="0" shrinkToFit="false"/>
      <protection locked="false" hidden="false"/>
    </xf>
    <xf numFmtId="164" fontId="120" fillId="5" borderId="0" xfId="0" applyFont="true" applyBorder="true" applyAlignment="true" applyProtection="true">
      <alignment horizontal="center" vertical="center" textRotation="0" wrapText="true" indent="0" shrinkToFit="false"/>
      <protection locked="false" hidden="false"/>
    </xf>
    <xf numFmtId="164" fontId="70" fillId="5" borderId="0" xfId="0" applyFont="true" applyBorder="true" applyAlignment="true" applyProtection="true">
      <alignment horizontal="center" vertical="center" textRotation="0" wrapText="true" indent="0" shrinkToFit="false"/>
      <protection locked="false" hidden="false"/>
    </xf>
    <xf numFmtId="164" fontId="70" fillId="5" borderId="20" xfId="0" applyFont="true" applyBorder="true" applyAlignment="true" applyProtection="true">
      <alignment horizontal="center" vertical="center" textRotation="0" wrapText="true" indent="0" shrinkToFit="false"/>
      <protection locked="false" hidden="false"/>
    </xf>
    <xf numFmtId="166" fontId="70" fillId="5" borderId="0" xfId="0" applyFont="true" applyBorder="true" applyAlignment="true" applyProtection="true">
      <alignment horizontal="center" vertical="center" textRotation="0" wrapText="true" indent="0" shrinkToFit="false"/>
      <protection locked="false" hidden="false"/>
    </xf>
    <xf numFmtId="164" fontId="70" fillId="5" borderId="20" xfId="0" applyFont="true" applyBorder="true" applyAlignment="true" applyProtection="true">
      <alignment horizontal="center" vertical="center" textRotation="0" wrapText="false" indent="0" shrinkToFit="false"/>
      <protection locked="false" hidden="false"/>
    </xf>
    <xf numFmtId="166" fontId="70" fillId="5" borderId="0" xfId="0" applyFont="true" applyBorder="true" applyAlignment="true" applyProtection="true">
      <alignment horizontal="center" vertical="center" textRotation="0" wrapText="false" indent="0" shrinkToFit="false"/>
      <protection locked="false" hidden="false"/>
    </xf>
    <xf numFmtId="164" fontId="70" fillId="5" borderId="20" xfId="0" applyFont="true" applyBorder="true" applyAlignment="true" applyProtection="true">
      <alignment horizontal="general" vertical="center" textRotation="0" wrapText="true" indent="0" shrinkToFit="false"/>
      <protection locked="false" hidden="false"/>
    </xf>
    <xf numFmtId="164" fontId="0" fillId="5" borderId="20" xfId="0" applyFont="true" applyBorder="true" applyAlignment="true" applyProtection="true">
      <alignment horizontal="general" vertical="center" textRotation="0" wrapText="true" indent="0" shrinkToFit="false"/>
      <protection locked="false" hidden="false"/>
    </xf>
    <xf numFmtId="164" fontId="65" fillId="3" borderId="16" xfId="0" applyFont="true" applyBorder="true" applyAlignment="true" applyProtection="true">
      <alignment horizontal="center" vertical="center" textRotation="0" wrapText="true" indent="0" shrinkToFit="false"/>
      <protection locked="true" hidden="false"/>
    </xf>
    <xf numFmtId="164" fontId="0" fillId="0" borderId="4" xfId="0" applyFont="true" applyBorder="true" applyAlignment="true" applyProtection="true">
      <alignment horizontal="center" vertical="center" textRotation="0" wrapText="false" indent="0" shrinkToFit="false"/>
      <protection locked="false" hidden="false"/>
    </xf>
    <xf numFmtId="167" fontId="38" fillId="3" borderId="111" xfId="0" applyFont="true" applyBorder="true" applyAlignment="true" applyProtection="true">
      <alignment horizontal="center" vertical="center" textRotation="0" wrapText="true" indent="0" shrinkToFit="false"/>
      <protection locked="true" hidden="false"/>
    </xf>
    <xf numFmtId="164" fontId="120" fillId="0" borderId="16" xfId="0" applyFont="true" applyBorder="true" applyAlignment="true" applyProtection="true">
      <alignment horizontal="center" vertical="center" textRotation="0" wrapText="true" indent="0" shrinkToFit="false"/>
      <protection locked="false" hidden="false"/>
    </xf>
    <xf numFmtId="164" fontId="128" fillId="0" borderId="16" xfId="0" applyFont="true" applyBorder="true" applyAlignment="true" applyProtection="true">
      <alignment horizontal="center" vertical="center" textRotation="0" wrapText="true" indent="0" shrinkToFit="false"/>
      <protection locked="false" hidden="false"/>
    </xf>
    <xf numFmtId="164" fontId="128" fillId="0" borderId="16" xfId="0" applyFont="true" applyBorder="true" applyAlignment="true" applyProtection="true">
      <alignment horizontal="left" vertical="center" textRotation="0" wrapText="true" indent="0" shrinkToFit="false"/>
      <protection locked="false" hidden="false"/>
    </xf>
    <xf numFmtId="164" fontId="128" fillId="0" borderId="86" xfId="0" applyFont="true" applyBorder="true" applyAlignment="true" applyProtection="true">
      <alignment horizontal="center" vertical="center" textRotation="0" wrapText="true" indent="0" shrinkToFit="false"/>
      <protection locked="false" hidden="false"/>
    </xf>
    <xf numFmtId="164" fontId="120" fillId="0" borderId="32" xfId="0" applyFont="true" applyBorder="true" applyAlignment="true" applyProtection="true">
      <alignment horizontal="center" vertical="center" textRotation="0" wrapText="false" indent="0" shrinkToFit="false"/>
      <protection locked="false" hidden="false"/>
    </xf>
    <xf numFmtId="164" fontId="121" fillId="3" borderId="41" xfId="0" applyFont="true" applyBorder="true" applyAlignment="true" applyProtection="true">
      <alignment horizontal="right" vertical="center" textRotation="0" wrapText="false" indent="0" shrinkToFit="false"/>
      <protection locked="true" hidden="false"/>
    </xf>
    <xf numFmtId="164" fontId="121" fillId="3" borderId="2" xfId="0" applyFont="true" applyBorder="true" applyAlignment="true" applyProtection="true">
      <alignment horizontal="center" vertical="center" textRotation="0" wrapText="false" indent="0" shrinkToFit="false"/>
      <protection locked="true" hidden="false"/>
    </xf>
    <xf numFmtId="164" fontId="100" fillId="3" borderId="0" xfId="0" applyFont="true" applyBorder="true" applyAlignment="true" applyProtection="true">
      <alignment horizontal="center" vertical="center" textRotation="0" wrapText="false" indent="0" shrinkToFit="false"/>
      <protection locked="true" hidden="false"/>
    </xf>
    <xf numFmtId="164" fontId="111" fillId="3" borderId="0" xfId="0" applyFont="true" applyBorder="true" applyAlignment="true" applyProtection="true">
      <alignment horizontal="center" vertical="center" textRotation="0" wrapText="false" indent="0" shrinkToFit="false"/>
      <protection locked="true" hidden="false"/>
    </xf>
    <xf numFmtId="164" fontId="65" fillId="3" borderId="57" xfId="0" applyFont="true" applyBorder="true" applyAlignment="true" applyProtection="true">
      <alignment horizontal="center" vertical="center" textRotation="0" wrapText="true" indent="0" shrinkToFit="false"/>
      <protection locked="true" hidden="false"/>
    </xf>
    <xf numFmtId="164" fontId="65" fillId="3" borderId="72" xfId="0" applyFont="true" applyBorder="true" applyAlignment="true" applyProtection="true">
      <alignment horizontal="center" vertical="center" textRotation="0" wrapText="false" indent="0" shrinkToFit="false"/>
      <protection locked="true" hidden="false"/>
    </xf>
    <xf numFmtId="164" fontId="65" fillId="3" borderId="58" xfId="0" applyFont="true" applyBorder="true" applyAlignment="true" applyProtection="true">
      <alignment horizontal="center" vertical="center" textRotation="0" wrapText="false" indent="0" shrinkToFit="false"/>
      <protection locked="true" hidden="false"/>
    </xf>
    <xf numFmtId="164" fontId="120" fillId="3" borderId="72" xfId="0" applyFont="true" applyBorder="true" applyAlignment="true" applyProtection="true">
      <alignment horizontal="center" vertical="center" textRotation="0" wrapText="false" indent="0" shrinkToFit="false"/>
      <protection locked="true" hidden="false"/>
    </xf>
    <xf numFmtId="164" fontId="65" fillId="3" borderId="59" xfId="0" applyFont="true" applyBorder="true" applyAlignment="true" applyProtection="true">
      <alignment horizontal="center" vertical="center" textRotation="0" wrapText="false" indent="0" shrinkToFit="false"/>
      <protection locked="true" hidden="false"/>
    </xf>
    <xf numFmtId="164" fontId="4" fillId="3" borderId="99" xfId="0" applyFont="true" applyBorder="true" applyAlignment="true" applyProtection="true">
      <alignment horizontal="center" vertical="center" textRotation="0" wrapText="false" indent="0" shrinkToFit="false"/>
      <protection locked="true" hidden="false"/>
    </xf>
    <xf numFmtId="167" fontId="38" fillId="3" borderId="23" xfId="0" applyFont="true" applyBorder="true" applyAlignment="true" applyProtection="true">
      <alignment horizontal="center" vertical="center" textRotation="0" wrapText="false" indent="0" shrinkToFit="false"/>
      <protection locked="true" hidden="false"/>
    </xf>
    <xf numFmtId="164" fontId="0" fillId="0" borderId="37" xfId="0" applyFont="true" applyBorder="true" applyAlignment="true" applyProtection="true">
      <alignment horizontal="center" vertical="center" textRotation="0" wrapText="true" indent="0" shrinkToFit="false"/>
      <protection locked="false" hidden="false"/>
    </xf>
    <xf numFmtId="164" fontId="0" fillId="0" borderId="67" xfId="0" applyFont="true" applyBorder="true" applyAlignment="true" applyProtection="true">
      <alignment horizontal="center" vertical="center" textRotation="0" wrapText="true" indent="0" shrinkToFit="false"/>
      <protection locked="false" hidden="false"/>
    </xf>
    <xf numFmtId="164" fontId="4" fillId="3" borderId="82" xfId="0" applyFont="true" applyBorder="true" applyAlignment="true" applyProtection="true">
      <alignment horizontal="center" vertical="center" textRotation="0" wrapText="true" indent="0" shrinkToFit="false"/>
      <protection locked="true" hidden="false"/>
    </xf>
    <xf numFmtId="174" fontId="75" fillId="3" borderId="107" xfId="0" applyFont="true" applyBorder="true" applyAlignment="true" applyProtection="true">
      <alignment horizontal="center" vertical="center" textRotation="0" wrapText="true" indent="0" shrinkToFit="false"/>
      <protection locked="true" hidden="false"/>
    </xf>
    <xf numFmtId="167" fontId="75" fillId="3" borderId="23" xfId="0" applyFont="true" applyBorder="true" applyAlignment="true" applyProtection="true">
      <alignment horizontal="center" vertical="center" textRotation="0" wrapText="false" indent="0" shrinkToFit="false"/>
      <protection locked="true" hidden="false"/>
    </xf>
    <xf numFmtId="164" fontId="120" fillId="3" borderId="21" xfId="0" applyFont="true" applyBorder="true" applyAlignment="true" applyProtection="true">
      <alignment horizontal="center" vertical="center" textRotation="0" wrapText="false" indent="0" shrinkToFit="false"/>
      <protection locked="true" hidden="false"/>
    </xf>
    <xf numFmtId="164" fontId="4" fillId="3" borderId="63" xfId="0" applyFont="true" applyBorder="true" applyAlignment="true" applyProtection="true">
      <alignment horizontal="center" vertical="center" textRotation="0" wrapText="true" indent="0" shrinkToFit="false"/>
      <protection locked="true" hidden="false"/>
    </xf>
    <xf numFmtId="167" fontId="75" fillId="3" borderId="39" xfId="0" applyFont="true" applyBorder="true" applyAlignment="true" applyProtection="true">
      <alignment horizontal="center" vertical="center" textRotation="0" wrapText="true" indent="0" shrinkToFit="false"/>
      <protection locked="true" hidden="false"/>
    </xf>
    <xf numFmtId="164" fontId="0" fillId="3" borderId="62" xfId="0" applyFont="true" applyBorder="true" applyAlignment="true" applyProtection="true">
      <alignment horizontal="center" vertical="center" textRotation="0" wrapText="true" indent="0" shrinkToFit="false"/>
      <protection locked="true" hidden="false"/>
    </xf>
    <xf numFmtId="164" fontId="120" fillId="2" borderId="15" xfId="0" applyFont="true" applyBorder="true" applyAlignment="true" applyProtection="true">
      <alignment horizontal="center" vertical="center" textRotation="0" wrapText="true" indent="0" shrinkToFit="false"/>
      <protection locked="false" hidden="false"/>
    </xf>
    <xf numFmtId="164" fontId="4" fillId="3" borderId="86" xfId="0" applyFont="true" applyBorder="true" applyAlignment="true" applyProtection="true">
      <alignment horizontal="center" vertical="center" textRotation="0" wrapText="true" indent="0" shrinkToFit="false"/>
      <protection locked="true" hidden="false"/>
    </xf>
    <xf numFmtId="164" fontId="120" fillId="2" borderId="10" xfId="0" applyFont="true" applyBorder="true" applyAlignment="true" applyProtection="true">
      <alignment horizontal="center" vertical="center" textRotation="0" wrapText="true" indent="0" shrinkToFit="false"/>
      <protection locked="false" hidden="false"/>
    </xf>
    <xf numFmtId="164" fontId="4" fillId="3" borderId="62" xfId="0" applyFont="true" applyBorder="true" applyAlignment="true" applyProtection="true">
      <alignment horizontal="center" vertical="center" textRotation="0" wrapText="true" indent="0" shrinkToFit="false"/>
      <protection locked="true" hidden="false"/>
    </xf>
    <xf numFmtId="164" fontId="0" fillId="2" borderId="37" xfId="0" applyFont="true" applyBorder="true" applyAlignment="true" applyProtection="true">
      <alignment horizontal="center" vertical="center" textRotation="0" wrapText="true" indent="0" shrinkToFit="false"/>
      <protection locked="false" hidden="false"/>
    </xf>
    <xf numFmtId="164" fontId="38" fillId="0" borderId="23" xfId="0" applyFont="true" applyBorder="true" applyAlignment="true" applyProtection="true">
      <alignment horizontal="center" vertical="center" textRotation="0" wrapText="true" indent="0" shrinkToFit="false"/>
      <protection locked="false" hidden="false"/>
    </xf>
    <xf numFmtId="164" fontId="38" fillId="0" borderId="71" xfId="0" applyFont="true" applyBorder="true" applyAlignment="true" applyProtection="true">
      <alignment horizontal="center" vertical="center" textRotation="0" wrapText="true" indent="0" shrinkToFit="false"/>
      <protection locked="false" hidden="false"/>
    </xf>
    <xf numFmtId="164" fontId="120" fillId="2" borderId="57" xfId="0" applyFont="true" applyBorder="true" applyAlignment="true" applyProtection="true">
      <alignment horizontal="center" vertical="center" textRotation="0" wrapText="true" indent="0" shrinkToFit="false"/>
      <protection locked="false" hidden="false"/>
    </xf>
    <xf numFmtId="164" fontId="132" fillId="3" borderId="50" xfId="0" applyFont="true" applyBorder="true" applyAlignment="true" applyProtection="true">
      <alignment horizontal="general" vertical="center" textRotation="0" wrapText="true" indent="0" shrinkToFit="false"/>
      <protection locked="true" hidden="false"/>
    </xf>
    <xf numFmtId="167" fontId="75" fillId="3" borderId="22" xfId="0" applyFont="true" applyBorder="true" applyAlignment="true" applyProtection="true">
      <alignment horizontal="center" vertical="center" textRotation="0" wrapText="true" indent="0" shrinkToFit="false"/>
      <protection locked="true" hidden="false"/>
    </xf>
    <xf numFmtId="185" fontId="124" fillId="3" borderId="26" xfId="0" applyFont="true" applyBorder="true" applyAlignment="true" applyProtection="true">
      <alignment horizontal="general" vertical="center" textRotation="0" wrapText="true" indent="0" shrinkToFit="false"/>
      <protection locked="true" hidden="false"/>
    </xf>
    <xf numFmtId="167" fontId="75" fillId="3" borderId="24" xfId="0" applyFont="true" applyBorder="true" applyAlignment="true" applyProtection="true">
      <alignment horizontal="center" vertical="center" textRotation="0" wrapText="true" indent="0" shrinkToFit="false"/>
      <protection locked="true" hidden="false"/>
    </xf>
    <xf numFmtId="167" fontId="130" fillId="3" borderId="25" xfId="0" applyFont="true" applyBorder="true" applyAlignment="true" applyProtection="true">
      <alignment horizontal="center" vertical="center" textRotation="0" wrapText="false" indent="0" shrinkToFit="false"/>
      <protection locked="true" hidden="false"/>
    </xf>
    <xf numFmtId="164" fontId="120" fillId="5" borderId="32" xfId="0" applyFont="true" applyBorder="true" applyAlignment="true" applyProtection="true">
      <alignment horizontal="center" vertical="center" textRotation="0" wrapText="false" indent="0" shrinkToFit="false"/>
      <protection locked="false" hidden="false"/>
    </xf>
    <xf numFmtId="164" fontId="128" fillId="5" borderId="32" xfId="0" applyFont="true" applyBorder="true" applyAlignment="true" applyProtection="true">
      <alignment horizontal="center" vertical="center" textRotation="0" wrapText="false" indent="0" shrinkToFit="false"/>
      <protection locked="false" hidden="false"/>
    </xf>
    <xf numFmtId="164" fontId="120" fillId="5" borderId="0" xfId="0" applyFont="true" applyBorder="true" applyAlignment="true" applyProtection="true">
      <alignment horizontal="general" vertical="bottom" textRotation="0" wrapText="false" indent="0" shrinkToFit="false"/>
      <protection locked="false" hidden="false"/>
    </xf>
    <xf numFmtId="164" fontId="120" fillId="5" borderId="32" xfId="0" applyFont="true" applyBorder="true" applyAlignment="true" applyProtection="true">
      <alignment horizontal="general" vertical="bottom" textRotation="0" wrapText="false" indent="0" shrinkToFit="false"/>
      <protection locked="false" hidden="false"/>
    </xf>
    <xf numFmtId="174" fontId="0" fillId="5" borderId="32" xfId="0" applyFont="true" applyBorder="true" applyAlignment="true" applyProtection="true">
      <alignment horizontal="center" vertical="center" textRotation="0" wrapText="false" indent="0" shrinkToFit="false"/>
      <protection locked="false" hidden="false"/>
    </xf>
    <xf numFmtId="166" fontId="0" fillId="5" borderId="32" xfId="0" applyFont="true" applyBorder="true" applyAlignment="true" applyProtection="true">
      <alignment horizontal="center" vertical="center" textRotation="0" wrapText="true" indent="0" shrinkToFit="false"/>
      <protection locked="false" hidden="false"/>
    </xf>
    <xf numFmtId="164" fontId="0" fillId="5" borderId="32" xfId="0" applyFont="true" applyBorder="true" applyAlignment="true" applyProtection="true">
      <alignment horizontal="general" vertical="center" textRotation="0" wrapText="false" indent="0" shrinkToFit="false"/>
      <protection locked="false" hidden="false"/>
    </xf>
    <xf numFmtId="164" fontId="0" fillId="5" borderId="32" xfId="0" applyFont="true" applyBorder="true" applyAlignment="true" applyProtection="true">
      <alignment horizontal="center" vertical="center" textRotation="0" wrapText="true" indent="0" shrinkToFit="false"/>
      <protection locked="false" hidden="false"/>
    </xf>
    <xf numFmtId="164" fontId="70" fillId="5" borderId="32" xfId="0" applyFont="true" applyBorder="true" applyAlignment="true" applyProtection="true">
      <alignment horizontal="center" vertical="center" textRotation="0" wrapText="true" indent="0" shrinkToFit="false"/>
      <protection locked="false" hidden="false"/>
    </xf>
    <xf numFmtId="164" fontId="70" fillId="5" borderId="32" xfId="0" applyFont="true" applyBorder="true" applyAlignment="true" applyProtection="true">
      <alignment horizontal="center" vertical="center" textRotation="0" wrapText="false" indent="0" shrinkToFit="false"/>
      <protection locked="false" hidden="false"/>
    </xf>
    <xf numFmtId="164" fontId="70" fillId="5" borderId="32" xfId="0" applyFont="true" applyBorder="true" applyAlignment="true" applyProtection="true">
      <alignment horizontal="general" vertical="center" textRotation="0" wrapText="true" indent="0" shrinkToFit="false"/>
      <protection locked="false" hidden="false"/>
    </xf>
    <xf numFmtId="164" fontId="0" fillId="5" borderId="32" xfId="0" applyFont="true" applyBorder="true" applyAlignment="true" applyProtection="true">
      <alignment horizontal="general" vertical="center" textRotation="0" wrapText="true" indent="0" shrinkToFit="false"/>
      <protection locked="false" hidden="false"/>
    </xf>
    <xf numFmtId="164" fontId="65" fillId="3" borderId="110" xfId="0" applyFont="true" applyBorder="true" applyAlignment="true" applyProtection="true">
      <alignment horizontal="center" vertical="center" textRotation="0" wrapText="true" indent="0" shrinkToFit="false"/>
      <protection locked="true" hidden="false"/>
    </xf>
    <xf numFmtId="164" fontId="120" fillId="0" borderId="3" xfId="0" applyFont="true" applyBorder="true" applyAlignment="true" applyProtection="true">
      <alignment horizontal="left" vertical="center" textRotation="0" wrapText="true" indent="0" shrinkToFit="false"/>
      <protection locked="false" hidden="false"/>
    </xf>
    <xf numFmtId="164" fontId="120" fillId="0" borderId="111" xfId="0" applyFont="true" applyBorder="true" applyAlignment="true" applyProtection="true">
      <alignment horizontal="center" vertical="center" textRotation="0" wrapText="true" indent="0" shrinkToFit="false"/>
      <protection locked="false" hidden="false"/>
    </xf>
    <xf numFmtId="164" fontId="120" fillId="5" borderId="32" xfId="0" applyFont="true" applyBorder="true" applyAlignment="true" applyProtection="true">
      <alignment horizontal="center" vertical="center" textRotation="0" wrapText="true" indent="0" shrinkToFit="false"/>
      <protection locked="false" hidden="false"/>
    </xf>
    <xf numFmtId="166" fontId="120" fillId="5" borderId="0" xfId="0" applyFont="true" applyBorder="true" applyAlignment="true" applyProtection="true">
      <alignment horizontal="center" vertical="center" textRotation="0" wrapText="true" indent="0" shrinkToFit="false"/>
      <protection locked="false" hidden="false"/>
    </xf>
    <xf numFmtId="178" fontId="100" fillId="3" borderId="0" xfId="0" applyFont="true" applyBorder="true" applyAlignment="true" applyProtection="true">
      <alignment horizontal="general" vertical="center" textRotation="0" wrapText="false" indent="0" shrinkToFit="false"/>
      <protection locked="false" hidden="false"/>
    </xf>
    <xf numFmtId="164" fontId="100" fillId="3" borderId="9" xfId="0" applyFont="true" applyBorder="true" applyAlignment="true" applyProtection="true">
      <alignment horizontal="center" vertical="center" textRotation="0" wrapText="false" indent="0" shrinkToFit="false"/>
      <protection locked="true" hidden="false"/>
    </xf>
    <xf numFmtId="178" fontId="0" fillId="3" borderId="0" xfId="0" applyFont="true" applyBorder="true" applyAlignment="true" applyProtection="true">
      <alignment horizontal="general" vertical="center" textRotation="0" wrapText="true" indent="0" shrinkToFit="false"/>
      <protection locked="false" hidden="false"/>
    </xf>
    <xf numFmtId="164" fontId="120" fillId="3" borderId="0" xfId="0" applyFont="true" applyBorder="true" applyAlignment="true" applyProtection="true">
      <alignment horizontal="center" vertical="center" textRotation="0" wrapText="false" indent="0" shrinkToFit="false"/>
      <protection locked="false" hidden="false"/>
    </xf>
    <xf numFmtId="164" fontId="65" fillId="3" borderId="6" xfId="0" applyFont="true" applyBorder="true" applyAlignment="true" applyProtection="true">
      <alignment horizontal="center" vertical="center" textRotation="0" wrapText="false" indent="0" shrinkToFit="false"/>
      <protection locked="true" hidden="false"/>
    </xf>
    <xf numFmtId="178" fontId="0" fillId="3" borderId="0" xfId="0" applyFont="true" applyBorder="true" applyAlignment="true" applyProtection="true">
      <alignment horizontal="center" vertical="center" textRotation="0" wrapText="true" indent="0" shrinkToFit="false"/>
      <protection locked="false" hidden="false"/>
    </xf>
    <xf numFmtId="164" fontId="0" fillId="3" borderId="15" xfId="0" applyFont="true" applyBorder="true" applyAlignment="true" applyProtection="true">
      <alignment horizontal="center" vertical="center" textRotation="0" wrapText="false" indent="0" shrinkToFit="false"/>
      <protection locked="false" hidden="false"/>
    </xf>
    <xf numFmtId="178" fontId="127" fillId="3" borderId="0" xfId="0" applyFont="true" applyBorder="true" applyAlignment="true" applyProtection="true">
      <alignment horizontal="center" vertical="center" textRotation="0" wrapText="true" indent="0" shrinkToFit="false"/>
      <protection locked="false" hidden="false"/>
    </xf>
    <xf numFmtId="164" fontId="127" fillId="3" borderId="0" xfId="0" applyFont="true" applyBorder="true" applyAlignment="true" applyProtection="true">
      <alignment horizontal="center" vertical="center" textRotation="0" wrapText="false" indent="0" shrinkToFit="false"/>
      <protection locked="false" hidden="false"/>
    </xf>
    <xf numFmtId="164" fontId="127" fillId="3" borderId="15" xfId="0" applyFont="true" applyBorder="true" applyAlignment="true" applyProtection="true">
      <alignment horizontal="center" vertical="center" textRotation="0" wrapText="false" indent="0" shrinkToFit="false"/>
      <protection locked="false" hidden="false"/>
    </xf>
    <xf numFmtId="178" fontId="70" fillId="3" borderId="0" xfId="0" applyFont="true" applyBorder="true" applyAlignment="true" applyProtection="true">
      <alignment horizontal="center" vertical="center" textRotation="0" wrapText="true" indent="0" shrinkToFit="false"/>
      <protection locked="false" hidden="false"/>
    </xf>
    <xf numFmtId="164" fontId="120" fillId="3" borderId="15" xfId="0" applyFont="true" applyBorder="true" applyAlignment="true" applyProtection="true">
      <alignment horizontal="center" vertical="center" textRotation="0" wrapText="false" indent="0" shrinkToFit="false"/>
      <protection locked="false" hidden="false"/>
    </xf>
    <xf numFmtId="164" fontId="0" fillId="0" borderId="10" xfId="0" applyFont="true" applyBorder="true" applyAlignment="true" applyProtection="true">
      <alignment horizontal="center" vertical="center" textRotation="0" wrapText="true" indent="0" shrinkToFit="false"/>
      <protection locked="false" hidden="false"/>
    </xf>
    <xf numFmtId="178" fontId="128" fillId="3" borderId="0" xfId="0" applyFont="true" applyBorder="true" applyAlignment="true" applyProtection="true">
      <alignment horizontal="center" vertical="center" textRotation="0" wrapText="true" indent="0" shrinkToFit="false"/>
      <protection locked="false" hidden="false"/>
    </xf>
    <xf numFmtId="167" fontId="75" fillId="3" borderId="87" xfId="0" applyFont="true" applyBorder="true" applyAlignment="true" applyProtection="true">
      <alignment horizontal="center" vertical="center" textRotation="0" wrapText="true" indent="0" shrinkToFit="false"/>
      <protection locked="true" hidden="false"/>
    </xf>
    <xf numFmtId="164" fontId="73" fillId="3" borderId="87" xfId="0" applyFont="true" applyBorder="true" applyAlignment="true" applyProtection="true">
      <alignment horizontal="right" vertical="center" textRotation="255" wrapText="true" indent="0" shrinkToFit="false"/>
      <protection locked="true" hidden="false"/>
    </xf>
    <xf numFmtId="164" fontId="65" fillId="3" borderId="5" xfId="0" applyFont="true" applyBorder="true" applyAlignment="true" applyProtection="true">
      <alignment horizontal="center" vertical="center" textRotation="255" wrapText="true" indent="0" shrinkToFit="false"/>
      <protection locked="true" hidden="false"/>
    </xf>
    <xf numFmtId="164" fontId="70" fillId="3" borderId="0" xfId="0" applyFont="true" applyBorder="true" applyAlignment="true" applyProtection="true">
      <alignment horizontal="center" vertical="center" textRotation="0" wrapText="false" indent="0" shrinkToFit="false"/>
      <protection locked="false" hidden="false"/>
    </xf>
    <xf numFmtId="164" fontId="70" fillId="3" borderId="15" xfId="0" applyFont="true" applyBorder="true" applyAlignment="true" applyProtection="true">
      <alignment horizontal="center" vertical="center" textRotation="0" wrapText="false" indent="0" shrinkToFit="false"/>
      <protection locked="false" hidden="false"/>
    </xf>
    <xf numFmtId="178" fontId="120" fillId="3" borderId="0" xfId="0" applyFont="true" applyBorder="true" applyAlignment="true" applyProtection="true">
      <alignment horizontal="general" vertical="center" textRotation="0" wrapText="true" indent="0" shrinkToFit="false"/>
      <protection locked="false" hidden="false"/>
    </xf>
    <xf numFmtId="164" fontId="120" fillId="3" borderId="0" xfId="0" applyFont="true" applyBorder="false" applyAlignment="true" applyProtection="true">
      <alignment horizontal="center" vertical="center" textRotation="0" wrapText="false" indent="0" shrinkToFit="false"/>
      <protection locked="false" hidden="false"/>
    </xf>
    <xf numFmtId="178" fontId="120" fillId="3" borderId="0" xfId="0" applyFont="true" applyBorder="false" applyAlignment="true" applyProtection="true">
      <alignment horizontal="center" vertical="center" textRotation="0" wrapText="false" indent="0" shrinkToFit="false"/>
      <protection locked="false" hidden="false"/>
    </xf>
    <xf numFmtId="178" fontId="128" fillId="3" borderId="0" xfId="0" applyFont="true" applyBorder="false" applyAlignment="true" applyProtection="true">
      <alignment horizontal="center" vertical="center" textRotation="0" wrapText="false" indent="0" shrinkToFit="false"/>
      <protection locked="false" hidden="false"/>
    </xf>
    <xf numFmtId="164" fontId="128" fillId="3" borderId="0" xfId="0" applyFont="true" applyBorder="false" applyAlignment="true" applyProtection="true">
      <alignment horizontal="center" vertical="center" textRotation="0" wrapText="false" indent="0" shrinkToFit="false"/>
      <protection locked="false" hidden="false"/>
    </xf>
    <xf numFmtId="164" fontId="120" fillId="0" borderId="0" xfId="0" applyFont="true" applyBorder="true" applyAlignment="true" applyProtection="true">
      <alignment horizontal="general" vertical="bottom" textRotation="0" wrapText="false" indent="0" shrinkToFit="false"/>
      <protection locked="false" hidden="false"/>
    </xf>
    <xf numFmtId="174" fontId="0" fillId="0" borderId="0" xfId="0" applyFont="true" applyBorder="true" applyAlignment="true" applyProtection="true">
      <alignment horizontal="center" vertical="center" textRotation="0" wrapText="false" indent="0" shrinkToFit="false"/>
      <protection locked="false" hidden="false"/>
    </xf>
    <xf numFmtId="164" fontId="0" fillId="0" borderId="44" xfId="0" applyFont="true" applyBorder="true" applyAlignment="true" applyProtection="true">
      <alignment horizontal="center" vertical="center" textRotation="0" wrapText="true" indent="0" shrinkToFit="false"/>
      <protection locked="true" hidden="false"/>
    </xf>
    <xf numFmtId="164" fontId="0" fillId="0" borderId="45" xfId="0" applyFont="true" applyBorder="tru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general" vertical="center" textRotation="0" wrapText="false" indent="0" shrinkToFit="false"/>
      <protection locked="false" hidden="false"/>
    </xf>
    <xf numFmtId="164" fontId="38" fillId="3" borderId="39" xfId="0" applyFont="true" applyBorder="true" applyAlignment="true" applyProtection="true">
      <alignment horizontal="center" vertical="center" textRotation="0" wrapText="true" indent="0" shrinkToFit="false"/>
      <protection locked="true" hidden="false"/>
    </xf>
    <xf numFmtId="164" fontId="0" fillId="0" borderId="0" xfId="0" applyFont="true" applyBorder="true" applyAlignment="true" applyProtection="true">
      <alignment horizontal="center" vertical="center" textRotation="0" wrapText="true" indent="0" shrinkToFit="false"/>
      <protection locked="false" hidden="false"/>
    </xf>
    <xf numFmtId="164" fontId="70" fillId="0" borderId="0" xfId="0" applyFont="true" applyBorder="true" applyAlignment="true" applyProtection="true">
      <alignment horizontal="center" vertical="center" textRotation="0" wrapText="true" indent="0" shrinkToFit="false"/>
      <protection locked="false" hidden="false"/>
    </xf>
    <xf numFmtId="164" fontId="70" fillId="0" borderId="0" xfId="0" applyFont="true" applyBorder="true" applyAlignment="true" applyProtection="true">
      <alignment horizontal="center" vertical="center" textRotation="0" wrapText="false" indent="0" shrinkToFit="false"/>
      <protection locked="false" hidden="false"/>
    </xf>
    <xf numFmtId="164" fontId="70" fillId="0" borderId="0" xfId="0" applyFont="true" applyBorder="true" applyAlignment="true" applyProtection="true">
      <alignment horizontal="general" vertical="center" textRotation="0" wrapText="true" indent="0" shrinkToFit="false"/>
      <protection locked="false" hidden="false"/>
    </xf>
    <xf numFmtId="164" fontId="0" fillId="0" borderId="0" xfId="0" applyFont="true" applyBorder="true" applyAlignment="true" applyProtection="true">
      <alignment horizontal="general" vertical="center" textRotation="0" wrapText="true" indent="0" shrinkToFit="false"/>
      <protection locked="false" hidden="false"/>
    </xf>
    <xf numFmtId="164" fontId="120" fillId="0" borderId="0" xfId="0" applyFont="true" applyBorder="true" applyAlignment="true" applyProtection="true">
      <alignment horizontal="center" vertical="center" textRotation="0" wrapText="true" indent="0" shrinkToFit="false"/>
      <protection locked="false" hidden="false"/>
    </xf>
    <xf numFmtId="166" fontId="120" fillId="0" borderId="0" xfId="0" applyFont="true" applyBorder="true" applyAlignment="true" applyProtection="true">
      <alignment horizontal="center" vertical="center" textRotation="0" wrapText="true" indent="0" shrinkToFit="false"/>
      <protection locked="false" hidden="false"/>
    </xf>
    <xf numFmtId="164" fontId="100" fillId="2" borderId="41" xfId="0" applyFont="true" applyBorder="true" applyAlignment="true" applyProtection="true">
      <alignment horizontal="right" vertical="center" textRotation="0" wrapText="false" indent="0" shrinkToFit="false"/>
      <protection locked="false" hidden="false"/>
    </xf>
    <xf numFmtId="164" fontId="49" fillId="3" borderId="41" xfId="0" applyFont="true" applyBorder="true" applyAlignment="true" applyProtection="true">
      <alignment horizontal="general" vertical="center" textRotation="0" wrapText="false" indent="0" shrinkToFit="false"/>
      <protection locked="false" hidden="false"/>
    </xf>
    <xf numFmtId="164" fontId="100" fillId="3" borderId="41" xfId="0" applyFont="true" applyBorder="true" applyAlignment="true" applyProtection="true">
      <alignment horizontal="general" vertical="center" textRotation="0" wrapText="false" indent="0" shrinkToFit="false"/>
      <protection locked="false" hidden="false"/>
    </xf>
    <xf numFmtId="187" fontId="100" fillId="3" borderId="41" xfId="0" applyFont="true" applyBorder="true" applyAlignment="true" applyProtection="true">
      <alignment horizontal="center" vertical="center" textRotation="0" wrapText="false" indent="0" shrinkToFit="false"/>
      <protection locked="false" hidden="false"/>
    </xf>
    <xf numFmtId="178" fontId="100" fillId="3" borderId="41" xfId="0" applyFont="true" applyBorder="true" applyAlignment="true" applyProtection="true">
      <alignment horizontal="general" vertical="center" textRotation="0" wrapText="false" indent="0" shrinkToFit="false"/>
      <protection locked="false" hidden="false"/>
    </xf>
    <xf numFmtId="164" fontId="100" fillId="3" borderId="41" xfId="0" applyFont="true" applyBorder="true" applyAlignment="true" applyProtection="true">
      <alignment horizontal="center" vertical="center" textRotation="0" wrapText="false" indent="0" shrinkToFit="false"/>
      <protection locked="false" hidden="false"/>
    </xf>
    <xf numFmtId="164" fontId="100" fillId="3" borderId="115" xfId="0" applyFont="true" applyBorder="true" applyAlignment="true" applyProtection="true">
      <alignment horizontal="center" vertical="center" textRotation="0" wrapText="false" indent="0" shrinkToFit="false"/>
      <protection locked="true" hidden="false"/>
    </xf>
    <xf numFmtId="164" fontId="100" fillId="3" borderId="32" xfId="0" applyFont="true" applyBorder="true" applyAlignment="true" applyProtection="true">
      <alignment horizontal="center" vertical="center" textRotation="0" wrapText="false" indent="0" shrinkToFit="false"/>
      <protection locked="true" hidden="false"/>
    </xf>
    <xf numFmtId="164" fontId="4" fillId="3" borderId="64" xfId="0" applyFont="true" applyBorder="true" applyAlignment="true" applyProtection="true">
      <alignment horizontal="center" vertical="center" textRotation="0" wrapText="true" indent="0" shrinkToFit="false"/>
      <protection locked="true" hidden="false"/>
    </xf>
    <xf numFmtId="164" fontId="126" fillId="3" borderId="92" xfId="0" applyFont="true" applyBorder="true" applyAlignment="true" applyProtection="true">
      <alignment horizontal="general" vertical="center" textRotation="0" wrapText="true" indent="0" shrinkToFit="false"/>
      <protection locked="true" hidden="false"/>
    </xf>
    <xf numFmtId="164" fontId="4" fillId="3" borderId="10" xfId="0" applyFont="true" applyBorder="true" applyAlignment="true" applyProtection="true">
      <alignment horizontal="center" vertical="center" textRotation="0" wrapText="true" indent="0" shrinkToFit="false"/>
      <protection locked="true" hidden="false"/>
    </xf>
    <xf numFmtId="164" fontId="124" fillId="3" borderId="92" xfId="0" applyFont="true" applyBorder="true" applyAlignment="true" applyProtection="true">
      <alignment horizontal="general" vertical="center" textRotation="0" wrapText="true" indent="0" shrinkToFit="false"/>
      <protection locked="true" hidden="false"/>
    </xf>
    <xf numFmtId="164" fontId="38" fillId="0" borderId="60" xfId="0" applyFont="true" applyBorder="true" applyAlignment="true" applyProtection="true">
      <alignment horizontal="center" vertical="center" textRotation="0" wrapText="true" indent="0" shrinkToFit="false"/>
      <protection locked="false" hidden="false"/>
    </xf>
    <xf numFmtId="164" fontId="74" fillId="3" borderId="92" xfId="0" applyFont="true" applyBorder="true" applyAlignment="true" applyProtection="true">
      <alignment horizontal="general" vertical="center" textRotation="0" wrapText="true" indent="0" shrinkToFit="false"/>
      <protection locked="true" hidden="false"/>
    </xf>
    <xf numFmtId="164" fontId="124" fillId="3" borderId="93" xfId="0" applyFont="true" applyBorder="true" applyAlignment="true" applyProtection="true">
      <alignment horizontal="general" vertical="center" textRotation="0" wrapText="true" indent="0" shrinkToFit="false"/>
      <protection locked="true" hidden="false"/>
    </xf>
    <xf numFmtId="164" fontId="120" fillId="3" borderId="86" xfId="0" applyFont="true" applyBorder="true" applyAlignment="true" applyProtection="true">
      <alignment horizontal="center" vertical="center" textRotation="0" wrapText="false" indent="0" shrinkToFit="false"/>
      <protection locked="true" hidden="false"/>
    </xf>
    <xf numFmtId="164" fontId="120" fillId="3" borderId="32" xfId="0" applyFont="true" applyBorder="true" applyAlignment="true" applyProtection="true">
      <alignment horizontal="center" vertical="center" textRotation="0" wrapText="true" indent="0" shrinkToFit="false"/>
      <protection locked="true" hidden="false"/>
    </xf>
    <xf numFmtId="164" fontId="38" fillId="0" borderId="63" xfId="0" applyFont="true" applyBorder="true" applyAlignment="true" applyProtection="true">
      <alignment horizontal="center" vertical="center" textRotation="0" wrapText="true" indent="0" shrinkToFit="false"/>
      <protection locked="false" hidden="false"/>
    </xf>
    <xf numFmtId="164" fontId="74" fillId="3" borderId="20" xfId="0" applyFont="true" applyBorder="true" applyAlignment="true" applyProtection="true">
      <alignment horizontal="general" vertical="center" textRotation="0" wrapText="true" indent="0" shrinkToFit="false"/>
      <protection locked="true" hidden="false"/>
    </xf>
    <xf numFmtId="164" fontId="38" fillId="3" borderId="45" xfId="0" applyFont="true" applyBorder="true" applyAlignment="true" applyProtection="true">
      <alignment horizontal="center" vertical="center" textRotation="0" wrapText="true" indent="0" shrinkToFit="false"/>
      <protection locked="true" hidden="false"/>
    </xf>
    <xf numFmtId="167" fontId="38" fillId="3" borderId="100" xfId="0" applyFont="true" applyBorder="true" applyAlignment="true" applyProtection="true">
      <alignment horizontal="center" vertical="center" textRotation="0" wrapText="true" indent="0" shrinkToFit="false"/>
      <protection locked="true" hidden="false"/>
    </xf>
    <xf numFmtId="167" fontId="38" fillId="3" borderId="45" xfId="0" applyFont="true" applyBorder="true" applyAlignment="true" applyProtection="true">
      <alignment horizontal="center" vertical="center" textRotation="0" wrapText="true" indent="0" shrinkToFit="false"/>
      <protection locked="true" hidden="false"/>
    </xf>
    <xf numFmtId="164" fontId="73" fillId="3" borderId="17" xfId="0" applyFont="true" applyBorder="true" applyAlignment="true" applyProtection="true">
      <alignment horizontal="right" vertical="center" textRotation="255" wrapText="true" indent="0" shrinkToFit="false"/>
      <protection locked="true" hidden="false"/>
    </xf>
    <xf numFmtId="167" fontId="75" fillId="3" borderId="66" xfId="0" applyFont="true" applyBorder="true" applyAlignment="true" applyProtection="true">
      <alignment horizontal="center" vertical="center" textRotation="0" wrapText="true" indent="0" shrinkToFit="false"/>
      <protection locked="true" hidden="false"/>
    </xf>
    <xf numFmtId="164" fontId="65" fillId="3" borderId="11" xfId="0" applyFont="true" applyBorder="true" applyAlignment="true" applyProtection="true">
      <alignment horizontal="center" vertical="center" textRotation="255" wrapText="true" indent="0" shrinkToFit="false"/>
      <protection locked="true" hidden="false"/>
    </xf>
    <xf numFmtId="164" fontId="65" fillId="3" borderId="16" xfId="0" applyFont="true" applyBorder="true" applyAlignment="true" applyProtection="true">
      <alignment horizontal="center" vertical="center" textRotation="255" wrapText="true" indent="0" shrinkToFit="false"/>
      <protection locked="true" hidden="false"/>
    </xf>
    <xf numFmtId="164" fontId="129" fillId="3" borderId="20" xfId="0" applyFont="true" applyBorder="true" applyAlignment="true" applyProtection="true">
      <alignment horizontal="right" vertical="center" textRotation="255" wrapText="true" indent="0" shrinkToFit="false"/>
      <protection locked="true" hidden="false"/>
    </xf>
    <xf numFmtId="164" fontId="4" fillId="3" borderId="23" xfId="0" applyFont="true" applyBorder="true" applyAlignment="true" applyProtection="true">
      <alignment horizontal="center" vertical="center" textRotation="0" wrapText="true" indent="0" shrinkToFit="false"/>
      <protection locked="true" hidden="false"/>
    </xf>
    <xf numFmtId="174" fontId="0" fillId="0" borderId="99" xfId="0" applyFont="true" applyBorder="true" applyAlignment="true" applyProtection="true">
      <alignment horizontal="center" vertical="center" textRotation="0" wrapText="true" indent="0" shrinkToFit="false"/>
      <protection locked="false" hidden="false"/>
    </xf>
    <xf numFmtId="164" fontId="124" fillId="3" borderId="20" xfId="0" applyFont="true" applyBorder="true" applyAlignment="true" applyProtection="true">
      <alignment horizontal="right" vertical="center" textRotation="255" wrapText="true" indent="0" shrinkToFit="false"/>
      <protection locked="true" hidden="false"/>
    </xf>
    <xf numFmtId="164" fontId="0" fillId="2" borderId="99" xfId="0" applyFont="true" applyBorder="true" applyAlignment="true" applyProtection="true">
      <alignment horizontal="center" vertical="center" textRotation="0" wrapText="true" indent="0" shrinkToFit="false"/>
      <protection locked="false" hidden="false"/>
    </xf>
    <xf numFmtId="164" fontId="74" fillId="3" borderId="20" xfId="0" applyFont="true" applyBorder="true" applyAlignment="true" applyProtection="true">
      <alignment horizontal="right" vertical="center" textRotation="255" wrapText="true" indent="0" shrinkToFit="false"/>
      <protection locked="true" hidden="false"/>
    </xf>
    <xf numFmtId="164" fontId="124" fillId="3" borderId="75" xfId="0" applyFont="true" applyBorder="true" applyAlignment="true" applyProtection="true">
      <alignment horizontal="right" vertical="center" textRotation="255" wrapText="true" indent="0" shrinkToFit="false"/>
      <protection locked="true" hidden="false"/>
    </xf>
    <xf numFmtId="174" fontId="124" fillId="2" borderId="64" xfId="0" applyFont="true" applyBorder="true" applyAlignment="true" applyProtection="true">
      <alignment horizontal="general" vertical="center" textRotation="0" wrapText="false" indent="0" shrinkToFit="false"/>
      <protection locked="false" hidden="false"/>
    </xf>
    <xf numFmtId="187" fontId="120" fillId="5" borderId="8" xfId="0" applyFont="true" applyBorder="true" applyAlignment="true" applyProtection="true">
      <alignment horizontal="center" vertical="center" textRotation="0" wrapText="false" indent="0" shrinkToFit="false"/>
      <protection locked="false" hidden="false"/>
    </xf>
    <xf numFmtId="187" fontId="120" fillId="5" borderId="5" xfId="0" applyFont="true" applyBorder="true" applyAlignment="true" applyProtection="true">
      <alignment horizontal="center" vertical="center" textRotation="0" wrapText="true" indent="0" shrinkToFit="false"/>
      <protection locked="false" hidden="false"/>
    </xf>
    <xf numFmtId="167" fontId="130" fillId="3" borderId="5" xfId="0" applyFont="true" applyBorder="true" applyAlignment="true" applyProtection="true">
      <alignment horizontal="center" vertical="center" textRotation="0" wrapText="false" indent="0" shrinkToFit="false"/>
      <protection locked="true" hidden="false"/>
    </xf>
    <xf numFmtId="164" fontId="47" fillId="3" borderId="0" xfId="0" applyFont="true" applyBorder="true" applyAlignment="true" applyProtection="true">
      <alignment horizontal="general" vertical="bottom" textRotation="0" wrapText="false" indent="0" shrinkToFit="false"/>
      <protection locked="false" hidden="false"/>
    </xf>
    <xf numFmtId="164" fontId="120" fillId="3" borderId="0" xfId="0" applyFont="true" applyBorder="true" applyAlignment="true" applyProtection="true">
      <alignment horizontal="center" vertical="bottom" textRotation="0" wrapText="false" indent="0" shrinkToFit="false"/>
      <protection locked="false" hidden="false"/>
    </xf>
    <xf numFmtId="164" fontId="38" fillId="3" borderId="39" xfId="0" applyFont="true" applyBorder="true" applyAlignment="true" applyProtection="true">
      <alignment horizontal="center" vertical="center" textRotation="0" wrapText="true" indent="0" shrinkToFit="false"/>
      <protection locked="false" hidden="false"/>
    </xf>
    <xf numFmtId="174" fontId="120" fillId="0" borderId="58" xfId="0" applyFont="true" applyBorder="true" applyAlignment="true" applyProtection="true">
      <alignment horizontal="center" vertical="center" textRotation="0" wrapText="true" indent="0" shrinkToFit="false"/>
      <protection locked="false" hidden="false"/>
    </xf>
    <xf numFmtId="174" fontId="128" fillId="0" borderId="58" xfId="0" applyFont="true" applyBorder="true" applyAlignment="true" applyProtection="true">
      <alignment horizontal="center" vertical="center" textRotation="0" wrapText="true" indent="0" shrinkToFit="false"/>
      <protection locked="false" hidden="false"/>
    </xf>
    <xf numFmtId="174" fontId="128" fillId="0" borderId="58" xfId="0" applyFont="true" applyBorder="true" applyAlignment="true" applyProtection="true">
      <alignment horizontal="left" vertical="center" textRotation="0" wrapText="true" indent="0" shrinkToFit="false"/>
      <protection locked="false" hidden="false"/>
    </xf>
    <xf numFmtId="174" fontId="128" fillId="0" borderId="59" xfId="0" applyFont="true" applyBorder="true" applyAlignment="true" applyProtection="true">
      <alignment horizontal="center" vertical="center" textRotation="0" wrapText="true" indent="0" shrinkToFit="false"/>
      <protection locked="false" hidden="false"/>
    </xf>
    <xf numFmtId="169" fontId="0" fillId="0" borderId="33" xfId="0" applyFont="true" applyBorder="true" applyAlignment="true" applyProtection="true">
      <alignment horizontal="center" vertical="center" textRotation="0" wrapText="true" indent="0" shrinkToFit="false"/>
      <protection locked="false" hidden="false"/>
    </xf>
    <xf numFmtId="164" fontId="0" fillId="5" borderId="15" xfId="0" applyFont="true" applyBorder="true" applyAlignment="true" applyProtection="true">
      <alignment horizontal="center" vertical="center" textRotation="0" wrapText="false" indent="0" shrinkToFit="false"/>
      <protection locked="false" hidden="false"/>
    </xf>
    <xf numFmtId="164" fontId="127" fillId="5" borderId="15" xfId="0" applyFont="true" applyBorder="true" applyAlignment="true" applyProtection="true">
      <alignment horizontal="center" vertical="center" textRotation="0" wrapText="false" indent="0" shrinkToFit="false"/>
      <protection locked="false" hidden="false"/>
    </xf>
    <xf numFmtId="164" fontId="120" fillId="5" borderId="15" xfId="0" applyFont="true" applyBorder="true" applyAlignment="true" applyProtection="true">
      <alignment horizontal="center" vertical="center" textRotation="0" wrapText="false" indent="0" shrinkToFit="false"/>
      <protection locked="false" hidden="false"/>
    </xf>
    <xf numFmtId="164" fontId="0" fillId="0" borderId="69" xfId="0" applyFont="true" applyBorder="true" applyAlignment="true" applyProtection="true">
      <alignment horizontal="center" vertical="center" textRotation="0" wrapText="true" indent="0" shrinkToFit="false"/>
      <protection locked="false" hidden="false"/>
    </xf>
    <xf numFmtId="164" fontId="120" fillId="0" borderId="74" xfId="0" applyFont="true" applyBorder="true" applyAlignment="true" applyProtection="true">
      <alignment horizontal="center" vertical="center" textRotation="0" wrapText="true" indent="0" shrinkToFit="false"/>
      <protection locked="false" hidden="false"/>
    </xf>
    <xf numFmtId="164" fontId="38" fillId="3" borderId="86" xfId="0" applyFont="true" applyBorder="true" applyAlignment="true" applyProtection="true">
      <alignment horizontal="center" vertical="center" textRotation="0" wrapText="true" indent="0" shrinkToFit="false"/>
      <protection locked="true" hidden="false"/>
    </xf>
    <xf numFmtId="167" fontId="38" fillId="3" borderId="32" xfId="0" applyFont="true" applyBorder="true" applyAlignment="true" applyProtection="true">
      <alignment horizontal="center" vertical="center" textRotation="0" wrapText="true" indent="0" shrinkToFit="false"/>
      <protection locked="true" hidden="false"/>
    </xf>
    <xf numFmtId="167" fontId="38" fillId="3" borderId="86" xfId="0" applyFont="true" applyBorder="true" applyAlignment="true" applyProtection="true">
      <alignment horizontal="center" vertical="center" textRotation="0" wrapText="true" indent="0" shrinkToFit="false"/>
      <protection locked="true" hidden="false"/>
    </xf>
    <xf numFmtId="167" fontId="75" fillId="3" borderId="81" xfId="0" applyFont="true" applyBorder="true" applyAlignment="true" applyProtection="true">
      <alignment horizontal="center" vertical="center" textRotation="0" wrapText="true" indent="0" shrinkToFit="false"/>
      <protection locked="true" hidden="false"/>
    </xf>
    <xf numFmtId="164" fontId="70" fillId="5" borderId="15" xfId="0" applyFont="true" applyBorder="true" applyAlignment="true" applyProtection="true">
      <alignment horizontal="center" vertical="center" textRotation="0" wrapText="false" indent="0" shrinkToFit="false"/>
      <protection locked="false" hidden="false"/>
    </xf>
    <xf numFmtId="178" fontId="120" fillId="3" borderId="0" xfId="0" applyFont="true" applyBorder="true" applyAlignment="true" applyProtection="true">
      <alignment horizontal="general" vertical="bottom" textRotation="0" wrapText="false" indent="0" shrinkToFit="false"/>
      <protection locked="true" hidden="false"/>
    </xf>
    <xf numFmtId="174" fontId="0" fillId="5" borderId="0" xfId="0" applyFont="true" applyBorder="true" applyAlignment="true" applyProtection="true">
      <alignment horizontal="center" vertical="center" textRotation="0" wrapText="false" indent="0" shrinkToFit="false"/>
      <protection locked="false" hidden="false"/>
    </xf>
    <xf numFmtId="164" fontId="0" fillId="0" borderId="45" xfId="0" applyFont="true" applyBorder="true" applyAlignment="true" applyProtection="true">
      <alignment horizontal="center" vertical="center" textRotation="0" wrapText="true" indent="0" shrinkToFit="false"/>
      <protection locked="false" hidden="false"/>
    </xf>
    <xf numFmtId="164" fontId="0" fillId="5" borderId="0" xfId="0" applyFont="true" applyBorder="true" applyAlignment="true" applyProtection="true">
      <alignment horizontal="center" vertical="center" textRotation="0" wrapText="true" indent="0" shrinkToFit="false"/>
      <protection locked="false" hidden="false"/>
    </xf>
    <xf numFmtId="164" fontId="70" fillId="5" borderId="0" xfId="0" applyFont="true" applyBorder="true" applyAlignment="true" applyProtection="true">
      <alignment horizontal="center" vertical="center" textRotation="0" wrapText="true" indent="0" shrinkToFit="false"/>
      <protection locked="false" hidden="false"/>
    </xf>
    <xf numFmtId="164" fontId="128" fillId="3" borderId="16" xfId="0" applyFont="true" applyBorder="true" applyAlignment="true" applyProtection="true">
      <alignment horizontal="center" vertical="center" textRotation="0" wrapText="true" indent="0" shrinkToFit="false"/>
      <protection locked="true" hidden="false"/>
    </xf>
    <xf numFmtId="164" fontId="128" fillId="3" borderId="16" xfId="0" applyFont="true" applyBorder="true" applyAlignment="true" applyProtection="true">
      <alignment horizontal="left" vertical="center" textRotation="0" wrapText="true" indent="0" shrinkToFit="false"/>
      <protection locked="true" hidden="false"/>
    </xf>
    <xf numFmtId="164" fontId="128" fillId="3" borderId="86" xfId="0" applyFont="true" applyBorder="true" applyAlignment="true" applyProtection="true">
      <alignment horizontal="center" vertical="center" textRotation="0" wrapText="true" indent="0" shrinkToFit="false"/>
      <protection locked="true" hidden="false"/>
    </xf>
    <xf numFmtId="164" fontId="120" fillId="5" borderId="0" xfId="0" applyFont="true" applyBorder="true" applyAlignment="true" applyProtection="true">
      <alignment horizontal="center" vertical="center" textRotation="0" wrapText="true" indent="0" shrinkToFit="false"/>
      <protection locked="false" hidden="false"/>
    </xf>
    <xf numFmtId="164" fontId="120" fillId="0" borderId="0" xfId="0" applyFont="true" applyBorder="false" applyAlignment="true" applyProtection="true">
      <alignment horizontal="center" vertical="center" textRotation="0" wrapText="false" indent="0" shrinkToFit="false"/>
      <protection locked="true" hidden="false"/>
    </xf>
    <xf numFmtId="187" fontId="120" fillId="0" borderId="0" xfId="0" applyFont="true" applyBorder="false" applyAlignment="true" applyProtection="true">
      <alignment horizontal="center" vertical="center" textRotation="0" wrapText="false" indent="0" shrinkToFit="false"/>
      <protection locked="true" hidden="false"/>
    </xf>
    <xf numFmtId="178" fontId="120" fillId="0" borderId="0" xfId="0" applyFont="true" applyBorder="false" applyAlignment="true" applyProtection="true">
      <alignment horizontal="center" vertical="center" textRotation="0" wrapText="false" indent="0" shrinkToFit="false"/>
      <protection locked="true" hidden="false"/>
    </xf>
    <xf numFmtId="164" fontId="49" fillId="3" borderId="38" xfId="0" applyFont="true" applyBorder="true" applyAlignment="true" applyProtection="true">
      <alignment horizontal="general" vertical="center" textRotation="0" wrapText="false" indent="0" shrinkToFit="false"/>
      <protection locked="true" hidden="false"/>
    </xf>
    <xf numFmtId="164" fontId="100" fillId="3" borderId="60" xfId="0" applyFont="true" applyBorder="true" applyAlignment="true" applyProtection="true">
      <alignment horizontal="right" vertical="center" textRotation="0" wrapText="false" indent="0" shrinkToFit="false"/>
      <protection locked="true" hidden="false"/>
    </xf>
    <xf numFmtId="164" fontId="121" fillId="3" borderId="0" xfId="0" applyFont="true" applyBorder="false" applyAlignment="true" applyProtection="true">
      <alignment horizontal="center" vertical="center" textRotation="0" wrapText="false" indent="0" shrinkToFit="false"/>
      <protection locked="true" hidden="false"/>
    </xf>
    <xf numFmtId="164" fontId="100" fillId="3" borderId="60" xfId="0" applyFont="true" applyBorder="true" applyAlignment="true" applyProtection="true">
      <alignment horizontal="general" vertical="center" textRotation="0" wrapText="false" indent="0" shrinkToFit="false"/>
      <protection locked="true" hidden="false"/>
    </xf>
    <xf numFmtId="164" fontId="49" fillId="3" borderId="60" xfId="0" applyFont="true" applyBorder="true" applyAlignment="true" applyProtection="true">
      <alignment horizontal="general" vertical="center" textRotation="0" wrapText="false" indent="0" shrinkToFit="false"/>
      <protection locked="true" hidden="false"/>
    </xf>
    <xf numFmtId="187" fontId="100" fillId="3" borderId="60" xfId="0" applyFont="true" applyBorder="true" applyAlignment="true" applyProtection="true">
      <alignment horizontal="center" vertical="center" textRotation="0" wrapText="false" indent="0" shrinkToFit="false"/>
      <protection locked="true" hidden="false"/>
    </xf>
    <xf numFmtId="178" fontId="100" fillId="3" borderId="60" xfId="0" applyFont="true" applyBorder="true" applyAlignment="true" applyProtection="true">
      <alignment horizontal="general" vertical="center" textRotation="0" wrapText="false" indent="0" shrinkToFit="false"/>
      <protection locked="true" hidden="false"/>
    </xf>
    <xf numFmtId="164" fontId="100" fillId="3" borderId="60" xfId="0" applyFont="true" applyBorder="true" applyAlignment="true" applyProtection="true">
      <alignment horizontal="center" vertical="center" textRotation="0" wrapText="false" indent="0" shrinkToFit="false"/>
      <protection locked="true" hidden="false"/>
    </xf>
    <xf numFmtId="164" fontId="111" fillId="0" borderId="0" xfId="0" applyFont="true" applyBorder="true" applyAlignment="true" applyProtection="true">
      <alignment horizontal="center" vertical="center" textRotation="0" wrapText="false" indent="0" shrinkToFit="false"/>
      <protection locked="false" hidden="false"/>
    </xf>
    <xf numFmtId="175" fontId="102" fillId="3" borderId="5" xfId="0" applyFont="true" applyBorder="true" applyAlignment="true" applyProtection="true">
      <alignment horizontal="right" vertical="center" textRotation="0" wrapText="false" indent="0" shrinkToFit="false"/>
      <protection locked="true" hidden="false"/>
    </xf>
    <xf numFmtId="164" fontId="100" fillId="0" borderId="25" xfId="0" applyFont="true" applyBorder="true" applyAlignment="true" applyProtection="true">
      <alignment horizontal="general" vertical="center" textRotation="0" wrapText="false" indent="0" shrinkToFit="false"/>
      <protection locked="false" hidden="false"/>
    </xf>
    <xf numFmtId="174" fontId="4" fillId="2" borderId="33" xfId="0" applyFont="true" applyBorder="true" applyAlignment="true" applyProtection="true">
      <alignment horizontal="center" vertical="center" textRotation="0" wrapText="true" indent="0" shrinkToFit="false"/>
      <protection locked="false" hidden="false"/>
    </xf>
    <xf numFmtId="164" fontId="0" fillId="2" borderId="47" xfId="0" applyFont="true" applyBorder="true" applyAlignment="true" applyProtection="true">
      <alignment horizontal="center" vertical="center" textRotation="0" wrapText="true" indent="0" shrinkToFit="false"/>
      <protection locked="false" hidden="false"/>
    </xf>
    <xf numFmtId="164" fontId="31" fillId="3" borderId="8" xfId="0" applyFont="true" applyBorder="true" applyAlignment="true" applyProtection="true">
      <alignment horizontal="center" vertical="center" textRotation="0" wrapText="true" indent="0" shrinkToFit="false"/>
      <protection locked="true" hidden="false"/>
    </xf>
    <xf numFmtId="164" fontId="31" fillId="0" borderId="8" xfId="0" applyFont="true" applyBorder="true" applyAlignment="true" applyProtection="true">
      <alignment horizontal="center" vertical="center" textRotation="0" wrapText="true" indent="0" shrinkToFit="false"/>
      <protection locked="false" hidden="false"/>
    </xf>
    <xf numFmtId="164" fontId="4" fillId="0" borderId="38" xfId="0" applyFont="true" applyBorder="true" applyAlignment="true" applyProtection="true">
      <alignment horizontal="center" vertical="center" textRotation="0" wrapText="true" indent="0" shrinkToFit="false"/>
      <protection locked="false" hidden="false"/>
    </xf>
    <xf numFmtId="164" fontId="120" fillId="0" borderId="22" xfId="0" applyFont="true" applyBorder="true" applyAlignment="true" applyProtection="true">
      <alignment horizontal="center" vertical="center" textRotation="0" wrapText="true" indent="0" shrinkToFit="false"/>
      <protection locked="false" hidden="false"/>
    </xf>
    <xf numFmtId="167" fontId="75" fillId="3" borderId="99" xfId="0" applyFont="true" applyBorder="true" applyAlignment="true" applyProtection="true">
      <alignment horizontal="center" vertical="center" textRotation="0" wrapText="true" indent="0" shrinkToFit="false"/>
      <protection locked="true" hidden="false"/>
    </xf>
    <xf numFmtId="164" fontId="31" fillId="3" borderId="8" xfId="0" applyFont="true" applyBorder="true" applyAlignment="true" applyProtection="true">
      <alignment horizontal="center" vertical="center" textRotation="0" wrapText="true" indent="0" shrinkToFit="false"/>
      <protection locked="false" hidden="false"/>
    </xf>
    <xf numFmtId="164" fontId="0" fillId="2" borderId="94" xfId="0" applyFont="true" applyBorder="true" applyAlignment="true" applyProtection="true">
      <alignment horizontal="center" vertical="center" textRotation="0" wrapText="true" indent="0" shrinkToFit="false"/>
      <protection locked="false" hidden="false"/>
    </xf>
    <xf numFmtId="164" fontId="0" fillId="2" borderId="9" xfId="0" applyFont="true" applyBorder="true" applyAlignment="true" applyProtection="true">
      <alignment horizontal="center" vertical="center" textRotation="0" wrapText="true" indent="0" shrinkToFit="false"/>
      <protection locked="false" hidden="false"/>
    </xf>
    <xf numFmtId="164" fontId="4" fillId="3" borderId="35" xfId="0" applyFont="true" applyBorder="true" applyAlignment="true" applyProtection="true">
      <alignment horizontal="center" vertical="center" textRotation="0" wrapText="true" indent="0" shrinkToFit="false"/>
      <protection locked="true" hidden="false"/>
    </xf>
    <xf numFmtId="164" fontId="120" fillId="3" borderId="20" xfId="0" applyFont="true" applyBorder="true" applyAlignment="true" applyProtection="true">
      <alignment horizontal="center" vertical="center" textRotation="0" wrapText="false" indent="0" shrinkToFit="false"/>
      <protection locked="true" hidden="false"/>
    </xf>
    <xf numFmtId="164" fontId="75" fillId="0" borderId="7" xfId="0" applyFont="true" applyBorder="true" applyAlignment="true" applyProtection="true">
      <alignment horizontal="center" vertical="center" textRotation="0" wrapText="false" indent="0" shrinkToFit="false"/>
      <protection locked="false" hidden="false"/>
    </xf>
    <xf numFmtId="164" fontId="129" fillId="3" borderId="75" xfId="0" applyFont="true" applyBorder="true" applyAlignment="true" applyProtection="true">
      <alignment horizontal="right" vertical="center" textRotation="255" wrapText="true" indent="0" shrinkToFit="false"/>
      <protection locked="true" hidden="false"/>
    </xf>
    <xf numFmtId="164" fontId="79" fillId="0" borderId="76" xfId="0" applyFont="true" applyBorder="true" applyAlignment="true" applyProtection="true">
      <alignment horizontal="center" vertical="center" textRotation="0" wrapText="false" indent="0" shrinkToFit="false"/>
      <protection locked="false" hidden="false"/>
    </xf>
    <xf numFmtId="164" fontId="120" fillId="0" borderId="24" xfId="0" applyFont="true" applyBorder="true" applyAlignment="true" applyProtection="true">
      <alignment horizontal="center" vertical="center" textRotation="0" wrapText="true" indent="0" shrinkToFit="false"/>
      <protection locked="false" hidden="false"/>
    </xf>
    <xf numFmtId="164" fontId="38" fillId="3" borderId="71" xfId="0" applyFont="true" applyBorder="true" applyAlignment="true" applyProtection="true">
      <alignment horizontal="center" vertical="center" textRotation="0" wrapText="true" indent="0" shrinkToFit="false"/>
      <protection locked="true" hidden="false"/>
    </xf>
    <xf numFmtId="164" fontId="120" fillId="0" borderId="70" xfId="0" applyFont="true" applyBorder="true" applyAlignment="true" applyProtection="true">
      <alignment horizontal="center" vertical="center" textRotation="0" wrapText="true" indent="0" shrinkToFit="false"/>
      <protection locked="false" hidden="false"/>
    </xf>
    <xf numFmtId="164" fontId="73" fillId="3" borderId="68" xfId="0" applyFont="true" applyBorder="true" applyAlignment="true" applyProtection="true">
      <alignment horizontal="right" vertical="center" textRotation="255" wrapText="true" indent="0" shrinkToFit="false"/>
      <protection locked="true" hidden="false"/>
    </xf>
    <xf numFmtId="164" fontId="120" fillId="0" borderId="57" xfId="0" applyFont="true" applyBorder="true" applyAlignment="true" applyProtection="true">
      <alignment horizontal="center" vertical="center" textRotation="0" wrapText="true" indent="0" shrinkToFit="false"/>
      <protection locked="false" hidden="false"/>
    </xf>
    <xf numFmtId="166" fontId="0" fillId="2" borderId="99" xfId="0" applyFont="true" applyBorder="true" applyAlignment="true" applyProtection="true">
      <alignment horizontal="center" vertical="center" textRotation="0" wrapText="true" indent="0" shrinkToFit="false"/>
      <protection locked="false" hidden="false"/>
    </xf>
    <xf numFmtId="164" fontId="70" fillId="0" borderId="69" xfId="0" applyFont="true" applyBorder="true" applyAlignment="true" applyProtection="true">
      <alignment horizontal="center" vertical="center" textRotation="0" wrapText="true" indent="0" shrinkToFit="false"/>
      <protection locked="false" hidden="false"/>
    </xf>
    <xf numFmtId="164" fontId="79" fillId="3" borderId="71" xfId="0" applyFont="true" applyBorder="true" applyAlignment="true" applyProtection="true">
      <alignment horizontal="center" vertical="center" textRotation="0" wrapText="true" indent="0" shrinkToFit="false"/>
      <protection locked="true" hidden="false"/>
    </xf>
    <xf numFmtId="164" fontId="139" fillId="3" borderId="8" xfId="0" applyFont="true" applyBorder="true" applyAlignment="true" applyProtection="true">
      <alignment horizontal="center" vertical="center" textRotation="0" wrapText="true" indent="0" shrinkToFit="false"/>
      <protection locked="true" hidden="false"/>
    </xf>
    <xf numFmtId="174" fontId="73" fillId="2" borderId="59" xfId="0" applyFont="true" applyBorder="true" applyAlignment="true" applyProtection="true">
      <alignment horizontal="general" vertical="center" textRotation="0" wrapText="false" indent="0" shrinkToFit="false"/>
      <protection locked="false" hidden="false"/>
    </xf>
    <xf numFmtId="164" fontId="124" fillId="3" borderId="64" xfId="0" applyFont="true" applyBorder="true" applyAlignment="true" applyProtection="true">
      <alignment horizontal="right" vertical="center" textRotation="0" wrapText="true" indent="0" shrinkToFit="false"/>
      <protection locked="true" hidden="false"/>
    </xf>
    <xf numFmtId="164" fontId="124" fillId="3" borderId="50" xfId="0" applyFont="true" applyBorder="true" applyAlignment="true" applyProtection="true">
      <alignment horizontal="general" vertical="center" textRotation="0" wrapText="true" indent="0" shrinkToFit="false"/>
      <protection locked="true" hidden="false"/>
    </xf>
    <xf numFmtId="164" fontId="132" fillId="5" borderId="64" xfId="0" applyFont="true" applyBorder="true" applyAlignment="true" applyProtection="true">
      <alignment horizontal="general" vertical="center" textRotation="0" wrapText="true" indent="0" shrinkToFit="false"/>
      <protection locked="false" hidden="false"/>
    </xf>
    <xf numFmtId="164" fontId="132" fillId="3" borderId="64" xfId="0" applyFont="true" applyBorder="true" applyAlignment="true" applyProtection="true">
      <alignment horizontal="general" vertical="center" textRotation="0" wrapText="true" indent="0" shrinkToFit="false"/>
      <protection locked="true" hidden="false"/>
    </xf>
    <xf numFmtId="164" fontId="132" fillId="5" borderId="47" xfId="0" applyFont="true" applyBorder="true" applyAlignment="true" applyProtection="true">
      <alignment horizontal="general" vertical="center" textRotation="0" wrapText="true" indent="0" shrinkToFit="false"/>
      <protection locked="false" hidden="false"/>
    </xf>
    <xf numFmtId="174" fontId="124" fillId="3" borderId="84" xfId="0" applyFont="true" applyBorder="true" applyAlignment="true" applyProtection="true">
      <alignment horizontal="general" vertical="center" textRotation="0" wrapText="false" indent="0" shrinkToFit="false"/>
      <protection locked="true" hidden="false"/>
    </xf>
    <xf numFmtId="185" fontId="130" fillId="3" borderId="97" xfId="0" applyFont="true" applyBorder="true" applyAlignment="true" applyProtection="true">
      <alignment horizontal="general" vertical="center" textRotation="0" wrapText="true" indent="0" shrinkToFit="false"/>
      <protection locked="true" hidden="false"/>
    </xf>
    <xf numFmtId="185" fontId="130" fillId="3" borderId="69" xfId="0" applyFont="true" applyBorder="true" applyAlignment="true" applyProtection="true">
      <alignment horizontal="general" vertical="center" textRotation="0" wrapText="true" indent="0" shrinkToFit="false"/>
      <protection locked="true" hidden="false"/>
    </xf>
    <xf numFmtId="185" fontId="75" fillId="3" borderId="5" xfId="0" applyFont="true" applyBorder="true" applyAlignment="true" applyProtection="true">
      <alignment horizontal="center" vertical="center" textRotation="0" wrapText="false" indent="0" shrinkToFit="false"/>
      <protection locked="true" hidden="false"/>
    </xf>
    <xf numFmtId="185" fontId="130" fillId="10" borderId="5" xfId="0" applyFont="true" applyBorder="true" applyAlignment="true" applyProtection="true">
      <alignment horizontal="center" vertical="center" textRotation="0" wrapText="false" indent="0" shrinkToFit="false"/>
      <protection locked="true" hidden="false"/>
    </xf>
    <xf numFmtId="170" fontId="120" fillId="3" borderId="0" xfId="0" applyFont="true" applyBorder="false" applyAlignment="true" applyProtection="true">
      <alignment horizontal="center" vertical="center" textRotation="0" wrapText="false" indent="0" shrinkToFit="false"/>
      <protection locked="true" hidden="false"/>
    </xf>
    <xf numFmtId="164" fontId="128" fillId="3" borderId="0" xfId="0" applyFont="true" applyBorder="false" applyAlignment="true" applyProtection="true">
      <alignment horizontal="center" vertical="center" textRotation="0" wrapText="false" indent="0" shrinkToFit="false"/>
      <protection locked="true" hidden="false"/>
    </xf>
    <xf numFmtId="168" fontId="65" fillId="3" borderId="57" xfId="0" applyFont="true" applyBorder="true" applyAlignment="true" applyProtection="true">
      <alignment horizontal="left" vertical="center" textRotation="0" wrapText="false" indent="0" shrinkToFit="false"/>
      <protection locked="true" hidden="false"/>
    </xf>
    <xf numFmtId="170" fontId="65" fillId="3" borderId="58" xfId="0" applyFont="true" applyBorder="true" applyAlignment="true" applyProtection="true">
      <alignment horizontal="center" vertical="center" textRotation="0" wrapText="false" indent="0" shrinkToFit="false"/>
      <protection locked="true" hidden="false"/>
    </xf>
    <xf numFmtId="164" fontId="65" fillId="2" borderId="58" xfId="0" applyFont="true" applyBorder="true" applyAlignment="true" applyProtection="true">
      <alignment horizontal="center" vertical="center" textRotation="0" wrapText="false" indent="0" shrinkToFit="false"/>
      <protection locked="false" hidden="false"/>
    </xf>
    <xf numFmtId="164" fontId="65" fillId="3" borderId="18" xfId="0" applyFont="true" applyBorder="true" applyAlignment="true" applyProtection="true">
      <alignment horizontal="center" vertical="center" textRotation="0" wrapText="true" indent="0" shrinkToFit="false"/>
      <protection locked="false" hidden="false"/>
    </xf>
    <xf numFmtId="164" fontId="65" fillId="3" borderId="81" xfId="0" applyFont="true" applyBorder="true" applyAlignment="true" applyProtection="true">
      <alignment horizontal="center" vertical="center" textRotation="0" wrapText="false" indent="0" shrinkToFit="false"/>
      <protection locked="true" hidden="false"/>
    </xf>
    <xf numFmtId="164" fontId="4" fillId="3" borderId="59" xfId="0" applyFont="true" applyBorder="true" applyAlignment="true" applyProtection="true">
      <alignment horizontal="center" vertical="center" textRotation="0" wrapText="false" indent="0" shrinkToFit="false"/>
      <protection locked="true" hidden="false"/>
    </xf>
    <xf numFmtId="167" fontId="38" fillId="3" borderId="46" xfId="0" applyFont="true" applyBorder="true" applyAlignment="true" applyProtection="true">
      <alignment horizontal="center" vertical="center" textRotation="0" wrapText="false" indent="0" shrinkToFit="false"/>
      <protection locked="true" hidden="false"/>
    </xf>
    <xf numFmtId="164" fontId="76" fillId="3" borderId="0" xfId="0" applyFont="true" applyBorder="false" applyAlignment="true" applyProtection="true">
      <alignment horizontal="left" vertical="center" textRotation="0" wrapText="false" indent="0" shrinkToFit="false"/>
      <protection locked="false" hidden="false"/>
    </xf>
    <xf numFmtId="164" fontId="71" fillId="3" borderId="22" xfId="0" applyFont="true" applyBorder="true" applyAlignment="true" applyProtection="true">
      <alignment horizontal="general" vertical="bottom" textRotation="0" wrapText="false" indent="0" shrinkToFit="false"/>
      <protection locked="true" hidden="false"/>
    </xf>
    <xf numFmtId="185" fontId="77" fillId="3" borderId="5" xfId="22" applyFont="true" applyBorder="true" applyAlignment="true" applyProtection="true">
      <alignment horizontal="center" vertical="bottom" textRotation="0" wrapText="false" indent="0" shrinkToFit="false"/>
      <protection locked="true" hidden="false"/>
    </xf>
    <xf numFmtId="164" fontId="77" fillId="3" borderId="5" xfId="0" applyFont="true" applyBorder="true" applyAlignment="true" applyProtection="true">
      <alignment horizontal="center" vertical="bottom" textRotation="0" wrapText="false" indent="0" shrinkToFit="false"/>
      <protection locked="true" hidden="false"/>
    </xf>
    <xf numFmtId="164" fontId="140" fillId="3" borderId="5" xfId="0" applyFont="true" applyBorder="true" applyAlignment="true" applyProtection="true">
      <alignment horizontal="center" vertical="center" textRotation="0" wrapText="false" indent="0" shrinkToFit="false"/>
      <protection locked="false" hidden="false"/>
    </xf>
    <xf numFmtId="175" fontId="77" fillId="3" borderId="7" xfId="22" applyFont="true" applyBorder="true" applyAlignment="true" applyProtection="true">
      <alignment horizontal="center" vertical="bottom" textRotation="0" wrapText="false" indent="0" shrinkToFit="false"/>
      <protection locked="true" hidden="false"/>
    </xf>
    <xf numFmtId="164" fontId="30" fillId="3" borderId="105" xfId="0" applyFont="true" applyBorder="true" applyAlignment="true" applyProtection="true">
      <alignment horizontal="center" vertical="center" textRotation="0" wrapText="false" indent="0" shrinkToFit="false"/>
      <protection locked="true" hidden="false"/>
    </xf>
    <xf numFmtId="164" fontId="141" fillId="5" borderId="0" xfId="0" applyFont="true" applyBorder="false" applyAlignment="true" applyProtection="true">
      <alignment horizontal="center" vertical="center" textRotation="0" wrapText="false" indent="0" shrinkToFit="false"/>
      <protection locked="false" hidden="false"/>
    </xf>
    <xf numFmtId="164" fontId="141" fillId="0" borderId="0" xfId="0" applyFont="true" applyBorder="false" applyAlignment="true" applyProtection="true">
      <alignment horizontal="center" vertical="center" textRotation="0" wrapText="false" indent="0" shrinkToFit="false"/>
      <protection locked="false" hidden="false"/>
    </xf>
    <xf numFmtId="164" fontId="71" fillId="3" borderId="22" xfId="22" applyFont="true" applyBorder="true" applyAlignment="true" applyProtection="true">
      <alignment horizontal="general" vertical="bottom" textRotation="0" wrapText="false" indent="0" shrinkToFit="false"/>
      <protection locked="true" hidden="false"/>
    </xf>
    <xf numFmtId="167" fontId="77" fillId="3" borderId="5" xfId="0" applyFont="true" applyBorder="true" applyAlignment="true" applyProtection="true">
      <alignment horizontal="center" vertical="center" textRotation="0" wrapText="true" indent="0" shrinkToFit="false"/>
      <protection locked="true" hidden="false"/>
    </xf>
    <xf numFmtId="166" fontId="140" fillId="2" borderId="5" xfId="0" applyFont="true" applyBorder="true" applyAlignment="true" applyProtection="true">
      <alignment horizontal="center" vertical="center" textRotation="0" wrapText="false" indent="0" shrinkToFit="false"/>
      <protection locked="false" hidden="false"/>
    </xf>
    <xf numFmtId="176" fontId="71" fillId="0" borderId="5" xfId="22" applyFont="true" applyBorder="true" applyAlignment="true" applyProtection="true">
      <alignment horizontal="center" vertical="bottom" textRotation="0" wrapText="false" indent="0" shrinkToFit="false"/>
      <protection locked="false" hidden="false"/>
    </xf>
    <xf numFmtId="164" fontId="29" fillId="3" borderId="65" xfId="0" applyFont="true" applyBorder="true" applyAlignment="true" applyProtection="true">
      <alignment horizontal="general" vertical="center" textRotation="0" wrapText="false" indent="0" shrinkToFit="false"/>
      <protection locked="true" hidden="false"/>
    </xf>
    <xf numFmtId="167" fontId="140" fillId="3" borderId="5" xfId="0" applyFont="true" applyBorder="true" applyAlignment="true" applyProtection="true">
      <alignment horizontal="center" vertical="center" textRotation="0" wrapText="false" indent="0" shrinkToFit="false"/>
      <protection locked="true" hidden="false"/>
    </xf>
    <xf numFmtId="164" fontId="53" fillId="0" borderId="105" xfId="0" applyFont="true" applyBorder="true" applyAlignment="true" applyProtection="true">
      <alignment horizontal="center" vertical="center" textRotation="0" wrapText="false" indent="0" shrinkToFit="false"/>
      <protection locked="false" hidden="false"/>
    </xf>
    <xf numFmtId="164" fontId="53" fillId="3" borderId="68" xfId="0" applyFont="true" applyBorder="true" applyAlignment="true" applyProtection="true">
      <alignment horizontal="general" vertical="center" textRotation="0" wrapText="false" indent="0" shrinkToFit="false"/>
      <protection locked="true" hidden="false"/>
    </xf>
    <xf numFmtId="164" fontId="29" fillId="3" borderId="22" xfId="0" applyFont="true" applyBorder="true" applyAlignment="true" applyProtection="true">
      <alignment horizontal="center" vertical="center" textRotation="0" wrapText="false" indent="0" shrinkToFit="false"/>
      <protection locked="true" hidden="false"/>
    </xf>
    <xf numFmtId="164" fontId="142" fillId="2" borderId="22" xfId="0" applyFont="true" applyBorder="true" applyAlignment="true" applyProtection="true">
      <alignment horizontal="center" vertical="center" textRotation="0" wrapText="false" indent="0" shrinkToFit="false"/>
      <protection locked="false" hidden="false"/>
    </xf>
    <xf numFmtId="164" fontId="29" fillId="3" borderId="24" xfId="0" applyFont="true" applyBorder="true" applyAlignment="true" applyProtection="true">
      <alignment horizontal="center" vertical="center" textRotation="0" wrapText="false" indent="0" shrinkToFit="false"/>
      <protection locked="true" hidden="false"/>
    </xf>
    <xf numFmtId="167" fontId="140" fillId="3" borderId="25" xfId="0" applyFont="true" applyBorder="true" applyAlignment="true" applyProtection="true">
      <alignment horizontal="center" vertical="center" textRotation="0" wrapText="false" indent="0" shrinkToFit="false"/>
      <protection locked="true" hidden="false"/>
    </xf>
    <xf numFmtId="167" fontId="30" fillId="3" borderId="71" xfId="0" applyFont="true" applyBorder="true" applyAlignment="true" applyProtection="true">
      <alignment horizontal="center" vertical="center" textRotation="0" wrapText="false" indent="0" shrinkToFit="false"/>
      <protection locked="true" hidden="false"/>
    </xf>
    <xf numFmtId="164" fontId="53" fillId="0" borderId="49" xfId="0" applyFont="true" applyBorder="true" applyAlignment="true" applyProtection="true">
      <alignment horizontal="center" vertical="center" textRotation="0" wrapText="false" indent="0" shrinkToFit="false"/>
      <protection locked="false" hidden="false"/>
    </xf>
    <xf numFmtId="164" fontId="95" fillId="3" borderId="24" xfId="22" applyFont="true" applyBorder="true" applyAlignment="true" applyProtection="true">
      <alignment horizontal="general" vertical="bottom" textRotation="0" wrapText="false" indent="0" shrinkToFit="false"/>
      <protection locked="true" hidden="false"/>
    </xf>
    <xf numFmtId="164" fontId="77" fillId="3" borderId="25" xfId="0" applyFont="true" applyBorder="true" applyAlignment="true" applyProtection="true">
      <alignment horizontal="center" vertical="bottom" textRotation="0" wrapText="false" indent="0" shrinkToFit="false"/>
      <protection locked="true" hidden="false"/>
    </xf>
    <xf numFmtId="175" fontId="97" fillId="3" borderId="71" xfId="0" applyFont="true" applyBorder="true" applyAlignment="true" applyProtection="true">
      <alignment horizontal="center" vertical="bottom" textRotation="0" wrapText="false" indent="0" shrinkToFit="false"/>
      <protection locked="true" hidden="false"/>
    </xf>
    <xf numFmtId="164" fontId="58" fillId="3" borderId="0" xfId="0" applyFont="true" applyBorder="false" applyAlignment="true" applyProtection="true">
      <alignment horizontal="general" vertical="bottom" textRotation="0" wrapText="false" indent="0" shrinkToFit="false"/>
      <protection locked="true" hidden="false"/>
    </xf>
    <xf numFmtId="164" fontId="58" fillId="5" borderId="0" xfId="0" applyFont="true" applyBorder="false" applyAlignment="true" applyProtection="true">
      <alignment horizontal="general" vertical="bottom" textRotation="0" wrapText="false" indent="0" shrinkToFit="false"/>
      <protection locked="false" hidden="false"/>
    </xf>
    <xf numFmtId="168" fontId="120" fillId="3" borderId="0" xfId="0" applyFont="true" applyBorder="false" applyAlignment="true" applyProtection="true">
      <alignment horizontal="center" vertical="center" textRotation="0" wrapText="false" indent="0" shrinkToFit="false"/>
      <protection locked="true" hidden="false"/>
    </xf>
    <xf numFmtId="187" fontId="120" fillId="3" borderId="0" xfId="0" applyFont="true" applyBorder="false" applyAlignment="true" applyProtection="true">
      <alignment horizontal="center" vertical="center" textRotation="0" wrapText="false" indent="0" shrinkToFit="false"/>
      <protection locked="false" hidden="false"/>
    </xf>
    <xf numFmtId="164" fontId="72" fillId="3" borderId="17" xfId="0" applyFont="true" applyBorder="true" applyAlignment="true" applyProtection="true">
      <alignment horizontal="general" vertical="center" textRotation="0" wrapText="false" indent="0" shrinkToFit="false"/>
      <protection locked="true" hidden="false"/>
    </xf>
    <xf numFmtId="164" fontId="74" fillId="3" borderId="107" xfId="0" applyFont="true" applyBorder="true" applyAlignment="true" applyProtection="true">
      <alignment horizontal="general" vertical="center" textRotation="0" wrapText="false" indent="0" shrinkToFit="false"/>
      <protection locked="true" hidden="false"/>
    </xf>
    <xf numFmtId="167" fontId="38" fillId="3" borderId="83" xfId="0" applyFont="true" applyBorder="true" applyAlignment="true" applyProtection="true">
      <alignment horizontal="center" vertical="center" textRotation="0" wrapText="true" indent="0" shrinkToFit="false"/>
      <protection locked="true" hidden="false"/>
    </xf>
    <xf numFmtId="164" fontId="72" fillId="2" borderId="22" xfId="0" applyFont="true" applyBorder="true" applyAlignment="true" applyProtection="true">
      <alignment horizontal="center" vertical="center" textRotation="0" wrapText="true" indent="0" shrinkToFit="false"/>
      <protection locked="false" hidden="false"/>
    </xf>
    <xf numFmtId="164" fontId="0" fillId="0" borderId="7" xfId="0" applyFont="true" applyBorder="true" applyAlignment="true" applyProtection="true">
      <alignment horizontal="center" vertical="center" textRotation="0" wrapText="true" indent="0" shrinkToFit="false"/>
      <protection locked="false" hidden="false"/>
    </xf>
    <xf numFmtId="164" fontId="0" fillId="0" borderId="31" xfId="0" applyFont="true" applyBorder="true" applyAlignment="true" applyProtection="true">
      <alignment horizontal="center" vertical="center" textRotation="0" wrapText="true" indent="0" shrinkToFit="false"/>
      <protection locked="false" hidden="false"/>
    </xf>
    <xf numFmtId="164" fontId="0" fillId="0" borderId="27" xfId="0" applyFont="true" applyBorder="true" applyAlignment="true" applyProtection="true">
      <alignment horizontal="center" vertical="center" textRotation="0" wrapText="true" indent="0" shrinkToFit="false"/>
      <protection locked="false" hidden="false"/>
    </xf>
    <xf numFmtId="164" fontId="70" fillId="5" borderId="0" xfId="0" applyFont="true" applyBorder="true" applyAlignment="true" applyProtection="true">
      <alignment horizontal="general" vertical="center" textRotation="0" wrapText="true" indent="0" shrinkToFit="false"/>
      <protection locked="false" hidden="false"/>
    </xf>
    <xf numFmtId="164" fontId="0" fillId="3" borderId="3" xfId="0" applyFont="true" applyBorder="true" applyAlignment="true" applyProtection="true">
      <alignment horizontal="left" vertical="center" textRotation="0" wrapText="true" indent="0" shrinkToFit="false"/>
      <protection locked="true" hidden="false"/>
    </xf>
    <xf numFmtId="164" fontId="70" fillId="3" borderId="86" xfId="0" applyFont="true" applyBorder="true" applyAlignment="true" applyProtection="true">
      <alignment horizontal="center" vertical="center" textRotation="0" wrapText="true" indent="0" shrinkToFit="false"/>
      <protection locked="true" hidden="false"/>
    </xf>
    <xf numFmtId="164" fontId="120" fillId="0" borderId="11" xfId="0" applyFont="true" applyBorder="true" applyAlignment="true" applyProtection="true">
      <alignment horizontal="center" vertical="center" textRotation="0" wrapText="true" indent="0" shrinkToFit="false"/>
      <protection locked="false" hidden="false"/>
    </xf>
    <xf numFmtId="164" fontId="120" fillId="0" borderId="63" xfId="0" applyFont="true" applyBorder="true" applyAlignment="true" applyProtection="true">
      <alignment horizontal="center" vertical="center" textRotation="0" wrapText="true" indent="0" shrinkToFit="false"/>
      <protection locked="false" hidden="false"/>
    </xf>
    <xf numFmtId="164" fontId="70" fillId="3" borderId="44" xfId="0" applyFont="true" applyBorder="true" applyAlignment="true" applyProtection="true">
      <alignment horizontal="center" vertical="center" textRotation="0" wrapText="true" indent="0" shrinkToFit="false"/>
      <protection locked="true" hidden="false"/>
    </xf>
    <xf numFmtId="164" fontId="65" fillId="0" borderId="106" xfId="0" applyFont="true" applyBorder="true" applyAlignment="true" applyProtection="true">
      <alignment horizontal="center" vertical="center" textRotation="0" wrapText="true" indent="0" shrinkToFit="false"/>
      <protection locked="false" hidden="false"/>
    </xf>
    <xf numFmtId="164" fontId="65" fillId="0" borderId="60" xfId="0" applyFont="true" applyBorder="true" applyAlignment="true" applyProtection="true">
      <alignment horizontal="center" vertical="center" textRotation="0" wrapText="true" indent="0" shrinkToFit="false"/>
      <protection locked="false" hidden="false"/>
    </xf>
    <xf numFmtId="167" fontId="75" fillId="3" borderId="68" xfId="0" applyFont="true" applyBorder="true" applyAlignment="true" applyProtection="true">
      <alignment horizontal="center" vertical="center" textRotation="0" wrapText="true" indent="0" shrinkToFit="false"/>
      <protection locked="true" hidden="false"/>
    </xf>
    <xf numFmtId="164" fontId="75" fillId="0" borderId="23" xfId="0" applyFont="true" applyBorder="true" applyAlignment="true" applyProtection="true">
      <alignment horizontal="center" vertical="center" textRotation="0" wrapText="false" indent="0" shrinkToFit="false"/>
      <protection locked="false" hidden="false"/>
    </xf>
    <xf numFmtId="175" fontId="77" fillId="3" borderId="23" xfId="22" applyFont="true" applyBorder="true" applyAlignment="true" applyProtection="true">
      <alignment horizontal="center" vertical="bottom" textRotation="0" wrapText="false" indent="0" shrinkToFit="false"/>
      <protection locked="true" hidden="false"/>
    </xf>
    <xf numFmtId="164" fontId="53" fillId="0" borderId="5" xfId="0" applyFont="true" applyBorder="true" applyAlignment="true" applyProtection="true">
      <alignment horizontal="center" vertical="center" textRotation="0" wrapText="false" indent="0" shrinkToFit="false"/>
      <protection locked="false" hidden="false"/>
    </xf>
    <xf numFmtId="164" fontId="53" fillId="3" borderId="66" xfId="0" applyFont="true" applyBorder="true" applyAlignment="true" applyProtection="true">
      <alignment horizontal="general" vertical="center" textRotation="0" wrapText="false" indent="0" shrinkToFit="false"/>
      <protection locked="true" hidden="false"/>
    </xf>
    <xf numFmtId="164" fontId="58" fillId="3" borderId="0" xfId="0" applyFont="true" applyBorder="false" applyAlignment="true" applyProtection="true">
      <alignment horizontal="general" vertical="bottom" textRotation="0" wrapText="false" indent="0" shrinkToFit="false"/>
      <protection locked="false" hidden="false"/>
    </xf>
    <xf numFmtId="168" fontId="120" fillId="3" borderId="0" xfId="0" applyFont="true" applyBorder="false" applyAlignment="true" applyProtection="true">
      <alignment horizontal="center" vertical="center" textRotation="0" wrapText="false" indent="0" shrinkToFit="false"/>
      <protection locked="false" hidden="false"/>
    </xf>
    <xf numFmtId="170" fontId="120" fillId="3" borderId="0" xfId="0" applyFont="true" applyBorder="false" applyAlignment="true" applyProtection="true">
      <alignment horizontal="center" vertical="center" textRotation="0" wrapText="false" indent="0" shrinkToFit="false"/>
      <protection locked="false" hidden="false"/>
    </xf>
    <xf numFmtId="164" fontId="72" fillId="3" borderId="99" xfId="0" applyFont="true" applyBorder="true" applyAlignment="true" applyProtection="true">
      <alignment horizontal="center" vertical="center" textRotation="0" wrapText="true" indent="0" shrinkToFit="false"/>
      <protection locked="true" hidden="false"/>
    </xf>
    <xf numFmtId="164" fontId="0" fillId="0" borderId="23" xfId="0" applyFont="true" applyBorder="true" applyAlignment="true" applyProtection="true">
      <alignment horizontal="center" vertical="center" textRotation="0" wrapText="true" indent="0" shrinkToFit="false"/>
      <protection locked="false" hidden="false"/>
    </xf>
    <xf numFmtId="164" fontId="53" fillId="0" borderId="0" xfId="0" applyFont="true" applyBorder="false" applyAlignment="true" applyProtection="true">
      <alignment horizontal="center" vertical="center" textRotation="0" wrapText="false" indent="0" shrinkToFit="false"/>
      <protection locked="false" hidden="false"/>
    </xf>
    <xf numFmtId="164" fontId="29" fillId="3" borderId="25" xfId="0" applyFont="true" applyBorder="true" applyAlignment="true" applyProtection="true">
      <alignment horizontal="center" vertical="center" textRotation="0" wrapText="false" indent="0" shrinkToFit="false"/>
      <protection locked="true" hidden="false"/>
    </xf>
    <xf numFmtId="164" fontId="29" fillId="3" borderId="44" xfId="0" applyFont="true" applyBorder="true" applyAlignment="true" applyProtection="true">
      <alignment horizontal="center" vertical="center" textRotation="0" wrapText="false" indent="0" shrinkToFit="false"/>
      <protection locked="false" hidden="false"/>
    </xf>
    <xf numFmtId="164" fontId="96" fillId="3" borderId="38" xfId="0" applyFont="true" applyBorder="true" applyAlignment="true" applyProtection="true">
      <alignment horizontal="general" vertical="center" textRotation="0" wrapText="true" indent="0" shrinkToFit="false"/>
      <protection locked="false" hidden="false"/>
    </xf>
    <xf numFmtId="164" fontId="29" fillId="3" borderId="17" xfId="0" applyFont="true" applyBorder="true" applyAlignment="true" applyProtection="true">
      <alignment horizontal="center" vertical="center" textRotation="0" wrapText="true" indent="0" shrinkToFit="false"/>
      <protection locked="true" hidden="false"/>
    </xf>
    <xf numFmtId="167" fontId="30" fillId="3" borderId="57" xfId="0" applyFont="true" applyBorder="true" applyAlignment="true" applyProtection="true">
      <alignment horizontal="center" vertical="center" textRotation="0" wrapText="true" indent="0" shrinkToFit="false"/>
      <protection locked="true" hidden="false"/>
    </xf>
    <xf numFmtId="167" fontId="30" fillId="3" borderId="58" xfId="0" applyFont="true" applyBorder="true" applyAlignment="true" applyProtection="true">
      <alignment horizontal="center" vertical="center" textRotation="0" wrapText="true" indent="0" shrinkToFit="false"/>
      <protection locked="true" hidden="false"/>
    </xf>
    <xf numFmtId="167" fontId="30" fillId="3" borderId="50" xfId="0" applyFont="true" applyBorder="true" applyAlignment="true" applyProtection="true">
      <alignment horizontal="center" vertical="center" textRotation="0" wrapText="true" indent="0" shrinkToFit="false"/>
      <protection locked="true" hidden="false"/>
    </xf>
    <xf numFmtId="164" fontId="53" fillId="3" borderId="19" xfId="0" applyFont="true" applyBorder="true" applyAlignment="true" applyProtection="true">
      <alignment horizontal="center" vertical="center" textRotation="0" wrapText="true" indent="0" shrinkToFit="false"/>
      <protection locked="true" hidden="false"/>
    </xf>
    <xf numFmtId="164" fontId="83" fillId="3" borderId="32" xfId="0" applyFont="true" applyBorder="true" applyAlignment="true" applyProtection="true">
      <alignment horizontal="right" vertical="center" textRotation="255" wrapText="true" indent="0" shrinkToFit="false"/>
      <protection locked="false" hidden="false"/>
    </xf>
    <xf numFmtId="164" fontId="53" fillId="3" borderId="20" xfId="0" applyFont="true" applyBorder="true" applyAlignment="true" applyProtection="true">
      <alignment horizontal="center" vertical="center" textRotation="0" wrapText="false" indent="0" shrinkToFit="false"/>
      <protection locked="true" hidden="false"/>
    </xf>
    <xf numFmtId="164" fontId="53" fillId="0" borderId="22" xfId="0" applyFont="true" applyBorder="true" applyAlignment="true" applyProtection="true">
      <alignment horizontal="center" vertical="center" textRotation="0" wrapText="true" indent="0" shrinkToFit="false"/>
      <protection locked="false" hidden="false"/>
    </xf>
    <xf numFmtId="164" fontId="53" fillId="0" borderId="5" xfId="0" applyFont="true" applyBorder="true" applyAlignment="true" applyProtection="true">
      <alignment horizontal="center" vertical="center" textRotation="0" wrapText="true" indent="0" shrinkToFit="false"/>
      <protection locked="false" hidden="false"/>
    </xf>
    <xf numFmtId="164" fontId="53" fillId="0" borderId="5" xfId="0" applyFont="true" applyBorder="true" applyAlignment="true" applyProtection="true">
      <alignment horizontal="left" vertical="center" textRotation="0" wrapText="true" indent="0" shrinkToFit="false"/>
      <protection locked="false" hidden="false"/>
    </xf>
    <xf numFmtId="164" fontId="53" fillId="0" borderId="7" xfId="0" applyFont="true" applyBorder="true" applyAlignment="true" applyProtection="true">
      <alignment horizontal="center" vertical="center" textRotation="0" wrapText="true" indent="0" shrinkToFit="false"/>
      <protection locked="false" hidden="false"/>
    </xf>
    <xf numFmtId="164" fontId="53" fillId="0" borderId="31" xfId="0" applyFont="true" applyBorder="true" applyAlignment="true" applyProtection="true">
      <alignment horizontal="center" vertical="center" textRotation="0" wrapText="true" indent="0" shrinkToFit="false"/>
      <protection locked="false" hidden="false"/>
    </xf>
    <xf numFmtId="164" fontId="67" fillId="3" borderId="61" xfId="0" applyFont="true" applyBorder="true" applyAlignment="true" applyProtection="true">
      <alignment horizontal="center" vertical="center" textRotation="0" wrapText="true" indent="0" shrinkToFit="false"/>
      <protection locked="true" hidden="false"/>
    </xf>
    <xf numFmtId="164" fontId="67" fillId="5" borderId="0" xfId="0" applyFont="true" applyBorder="false" applyAlignment="true" applyProtection="true">
      <alignment horizontal="center" vertical="center" textRotation="0" wrapText="false" indent="0" shrinkToFit="false"/>
      <protection locked="false" hidden="false"/>
    </xf>
    <xf numFmtId="164" fontId="67" fillId="0" borderId="0" xfId="0" applyFont="true" applyBorder="false" applyAlignment="true" applyProtection="true">
      <alignment horizontal="center" vertical="center" textRotation="0" wrapText="false" indent="0" shrinkToFit="false"/>
      <protection locked="false" hidden="false"/>
    </xf>
    <xf numFmtId="164" fontId="83" fillId="3" borderId="32" xfId="0" applyFont="true" applyBorder="true" applyAlignment="true" applyProtection="true">
      <alignment horizontal="general" vertical="center" textRotation="0" wrapText="true" indent="0" shrinkToFit="false"/>
      <protection locked="false" hidden="false"/>
    </xf>
    <xf numFmtId="164" fontId="53" fillId="3" borderId="20" xfId="0" applyFont="true" applyBorder="true" applyAlignment="true" applyProtection="true">
      <alignment horizontal="center" vertical="center" textRotation="0" wrapText="true" indent="0" shrinkToFit="false"/>
      <protection locked="true" hidden="false"/>
    </xf>
    <xf numFmtId="164" fontId="53" fillId="0" borderId="65" xfId="0" applyFont="true" applyBorder="true" applyAlignment="true" applyProtection="true">
      <alignment horizontal="center" vertical="center" textRotation="0" wrapText="true" indent="0" shrinkToFit="false"/>
      <protection locked="false" hidden="false"/>
    </xf>
    <xf numFmtId="164" fontId="58" fillId="0" borderId="11" xfId="0" applyFont="true" applyBorder="true" applyAlignment="true" applyProtection="true">
      <alignment horizontal="center" vertical="center" textRotation="0" wrapText="true" indent="0" shrinkToFit="false"/>
      <protection locked="false" hidden="false"/>
    </xf>
    <xf numFmtId="164" fontId="53" fillId="0" borderId="11" xfId="0" applyFont="true" applyBorder="true" applyAlignment="true" applyProtection="true">
      <alignment horizontal="center" vertical="center" textRotation="0" wrapText="true" indent="0" shrinkToFit="false"/>
      <protection locked="false" hidden="false"/>
    </xf>
    <xf numFmtId="164" fontId="53" fillId="0" borderId="38" xfId="0" applyFont="true" applyBorder="true" applyAlignment="true" applyProtection="true">
      <alignment horizontal="center" vertical="center" textRotation="0" wrapText="true" indent="0" shrinkToFit="false"/>
      <protection locked="false" hidden="false"/>
    </xf>
    <xf numFmtId="164" fontId="53" fillId="0" borderId="61" xfId="0" applyFont="true" applyBorder="true" applyAlignment="true" applyProtection="true">
      <alignment horizontal="center" vertical="center" textRotation="0" wrapText="true" indent="0" shrinkToFit="false"/>
      <protection locked="false" hidden="false"/>
    </xf>
    <xf numFmtId="164" fontId="58" fillId="3" borderId="21" xfId="0" applyFont="true" applyBorder="true" applyAlignment="true" applyProtection="true">
      <alignment horizontal="center" vertical="center" textRotation="0" wrapText="true" indent="0" shrinkToFit="false"/>
      <protection locked="true" hidden="false"/>
    </xf>
    <xf numFmtId="164" fontId="60" fillId="3" borderId="32" xfId="0" applyFont="true" applyBorder="true" applyAlignment="true" applyProtection="true">
      <alignment horizontal="general" vertical="center" textRotation="0" wrapText="true" indent="0" shrinkToFit="false"/>
      <protection locked="false" hidden="false"/>
    </xf>
    <xf numFmtId="164" fontId="55" fillId="0" borderId="116" xfId="0" applyFont="true" applyBorder="true" applyAlignment="true" applyProtection="true">
      <alignment horizontal="center" vertical="center" textRotation="0" wrapText="true" indent="0" shrinkToFit="false"/>
      <protection locked="false" hidden="false"/>
    </xf>
    <xf numFmtId="164" fontId="53" fillId="0" borderId="117" xfId="0" applyFont="true" applyBorder="true" applyAlignment="true" applyProtection="true">
      <alignment horizontal="center" vertical="center" textRotation="0" wrapText="true" indent="0" shrinkToFit="false"/>
      <protection locked="false" hidden="false"/>
    </xf>
    <xf numFmtId="164" fontId="53" fillId="0" borderId="118" xfId="0" applyFont="true" applyBorder="true" applyAlignment="true" applyProtection="true">
      <alignment horizontal="center" vertical="center" textRotation="0" wrapText="true" indent="0" shrinkToFit="false"/>
      <protection locked="false" hidden="false"/>
    </xf>
    <xf numFmtId="164" fontId="53" fillId="0" borderId="118" xfId="0" applyFont="true" applyBorder="true" applyAlignment="true" applyProtection="true">
      <alignment horizontal="left" vertical="center" textRotation="0" wrapText="true" indent="0" shrinkToFit="false"/>
      <protection locked="false" hidden="false"/>
    </xf>
    <xf numFmtId="164" fontId="53" fillId="0" borderId="119" xfId="0" applyFont="true" applyBorder="true" applyAlignment="true" applyProtection="true">
      <alignment horizontal="center" vertical="center" textRotation="0" wrapText="true" indent="0" shrinkToFit="false"/>
      <protection locked="false" hidden="false"/>
    </xf>
    <xf numFmtId="164" fontId="53" fillId="0" borderId="120" xfId="0" applyFont="true" applyBorder="true" applyAlignment="true" applyProtection="true">
      <alignment horizontal="center" vertical="center" textRotation="0" wrapText="true" indent="0" shrinkToFit="false"/>
      <protection locked="false" hidden="false"/>
    </xf>
    <xf numFmtId="164" fontId="53" fillId="0" borderId="121" xfId="0" applyFont="true" applyBorder="true" applyAlignment="true" applyProtection="true">
      <alignment horizontal="center" vertical="center" textRotation="0" wrapText="true" indent="0" shrinkToFit="false"/>
      <protection locked="false" hidden="false"/>
    </xf>
    <xf numFmtId="164" fontId="53" fillId="0" borderId="0" xfId="0" applyFont="true" applyBorder="false" applyAlignment="true" applyProtection="true">
      <alignment horizontal="center" vertical="center" textRotation="0" wrapText="false" indent="0" shrinkToFit="false"/>
      <protection locked="false" hidden="false"/>
    </xf>
    <xf numFmtId="164" fontId="53" fillId="3" borderId="122" xfId="0" applyFont="true" applyBorder="true" applyAlignment="true" applyProtection="true">
      <alignment horizontal="center" vertical="center" textRotation="0" wrapText="true" indent="0" shrinkToFit="false"/>
      <protection locked="true" hidden="false"/>
    </xf>
    <xf numFmtId="164" fontId="30" fillId="3" borderId="123" xfId="0" applyFont="true" applyBorder="true" applyAlignment="true" applyProtection="true">
      <alignment horizontal="center" vertical="center" textRotation="0" wrapText="true" indent="0" shrinkToFit="false"/>
      <protection locked="true" hidden="false"/>
    </xf>
    <xf numFmtId="167" fontId="77" fillId="3" borderId="124" xfId="0" applyFont="true" applyBorder="true" applyAlignment="true" applyProtection="true">
      <alignment horizontal="center" vertical="center" textRotation="0" wrapText="true" indent="0" shrinkToFit="false"/>
      <protection locked="true" hidden="false"/>
    </xf>
    <xf numFmtId="167" fontId="30" fillId="3" borderId="124" xfId="0" applyFont="true" applyBorder="true" applyAlignment="true" applyProtection="true">
      <alignment horizontal="center" vertical="center" textRotation="0" wrapText="true" indent="0" shrinkToFit="false"/>
      <protection locked="true" hidden="false"/>
    </xf>
    <xf numFmtId="164" fontId="58" fillId="3" borderId="125" xfId="0" applyFont="true" applyBorder="true" applyAlignment="true" applyProtection="true">
      <alignment horizontal="center" vertical="center" textRotation="0" wrapText="true" indent="0" shrinkToFit="false"/>
      <protection locked="true" hidden="false"/>
    </xf>
    <xf numFmtId="164" fontId="55" fillId="0" borderId="20" xfId="0" applyFont="true" applyBorder="true" applyAlignment="true" applyProtection="true">
      <alignment horizontal="center" vertical="center" textRotation="0" wrapText="true" indent="0" shrinkToFit="false"/>
      <protection locked="false" hidden="false"/>
    </xf>
    <xf numFmtId="164" fontId="53" fillId="0" borderId="66" xfId="0" applyFont="true" applyBorder="true" applyAlignment="true" applyProtection="true">
      <alignment horizontal="center" vertical="center" textRotation="0" wrapText="true" indent="0" shrinkToFit="false"/>
      <protection locked="false" hidden="false"/>
    </xf>
    <xf numFmtId="164" fontId="53" fillId="0" borderId="6" xfId="0" applyFont="true" applyBorder="true" applyAlignment="true" applyProtection="true">
      <alignment horizontal="center" vertical="center" textRotation="0" wrapText="true" indent="0" shrinkToFit="false"/>
      <protection locked="false" hidden="false"/>
    </xf>
    <xf numFmtId="164" fontId="53" fillId="0" borderId="35" xfId="0" applyFont="true" applyBorder="true" applyAlignment="true" applyProtection="true">
      <alignment horizontal="center" vertical="center" textRotation="0" wrapText="true" indent="0" shrinkToFit="false"/>
      <protection locked="false" hidden="false"/>
    </xf>
    <xf numFmtId="164" fontId="53" fillId="0" borderId="32" xfId="0" applyFont="true" applyBorder="true" applyAlignment="true" applyProtection="true">
      <alignment horizontal="center" vertical="center" textRotation="0" wrapText="false" indent="0" shrinkToFit="false"/>
      <protection locked="false" hidden="false"/>
    </xf>
    <xf numFmtId="164" fontId="53" fillId="0" borderId="16" xfId="0" applyFont="true" applyBorder="true" applyAlignment="true" applyProtection="true">
      <alignment horizontal="center" vertical="center" textRotation="0" wrapText="true" indent="0" shrinkToFit="false"/>
      <protection locked="false" hidden="false"/>
    </xf>
    <xf numFmtId="164" fontId="53" fillId="0" borderId="16" xfId="0" applyFont="true" applyBorder="true" applyAlignment="true" applyProtection="true">
      <alignment horizontal="center" vertical="center" textRotation="0" wrapText="true" indent="0" shrinkToFit="false"/>
      <protection locked="false" hidden="false"/>
    </xf>
    <xf numFmtId="166" fontId="53" fillId="0" borderId="16" xfId="0" applyFont="true" applyBorder="true" applyAlignment="true" applyProtection="true">
      <alignment horizontal="center" vertical="center" textRotation="0" wrapText="true" indent="0" shrinkToFit="false"/>
      <protection locked="false" hidden="false"/>
    </xf>
    <xf numFmtId="164" fontId="53" fillId="0" borderId="16" xfId="0" applyFont="true" applyBorder="true" applyAlignment="true" applyProtection="true">
      <alignment horizontal="center" vertical="center" textRotation="0" wrapText="false" indent="0" shrinkToFit="false"/>
      <protection locked="false" hidden="false"/>
    </xf>
    <xf numFmtId="164" fontId="53" fillId="0" borderId="21" xfId="0" applyFont="true" applyBorder="true" applyAlignment="true" applyProtection="true">
      <alignment horizontal="center" vertical="center" textRotation="0" wrapText="false" indent="0" shrinkToFit="false"/>
      <protection locked="false" hidden="false"/>
    </xf>
    <xf numFmtId="164" fontId="53" fillId="0" borderId="21" xfId="0" applyFont="true" applyBorder="true" applyAlignment="true" applyProtection="true">
      <alignment horizontal="center" vertical="center" textRotation="0" wrapText="true" indent="0" shrinkToFit="false"/>
      <protection locked="false" hidden="false"/>
    </xf>
    <xf numFmtId="164" fontId="53" fillId="0" borderId="6" xfId="0" applyFont="true" applyBorder="true" applyAlignment="true" applyProtection="true">
      <alignment horizontal="left" vertical="center" textRotation="0" wrapText="true" indent="0" shrinkToFit="false"/>
      <protection locked="false" hidden="false"/>
    </xf>
    <xf numFmtId="164" fontId="30" fillId="3" borderId="65" xfId="0" applyFont="true" applyBorder="true" applyAlignment="true" applyProtection="true">
      <alignment horizontal="center" vertical="center" textRotation="0" wrapText="true" indent="0" shrinkToFit="false"/>
      <protection locked="true" hidden="false"/>
    </xf>
    <xf numFmtId="167" fontId="77" fillId="3" borderId="11" xfId="0" applyFont="true" applyBorder="true" applyAlignment="true" applyProtection="true">
      <alignment horizontal="center" vertical="center" textRotation="0" wrapText="true" indent="0" shrinkToFit="false"/>
      <protection locked="true" hidden="false"/>
    </xf>
    <xf numFmtId="167" fontId="30" fillId="3" borderId="11" xfId="0" applyFont="true" applyBorder="true" applyAlignment="true" applyProtection="true">
      <alignment horizontal="center" vertical="center" textRotation="0" wrapText="true" indent="0" shrinkToFit="false"/>
      <protection locked="true" hidden="false"/>
    </xf>
    <xf numFmtId="164" fontId="53" fillId="0" borderId="126" xfId="0" applyFont="true" applyBorder="true" applyAlignment="true" applyProtection="true">
      <alignment horizontal="center" vertical="center" textRotation="0" wrapText="false" indent="0" shrinkToFit="false"/>
      <protection locked="false" hidden="false"/>
    </xf>
    <xf numFmtId="164" fontId="53" fillId="0" borderId="127" xfId="0" applyFont="true" applyBorder="true" applyAlignment="true" applyProtection="true">
      <alignment horizontal="center" vertical="center" textRotation="0" wrapText="true" indent="0" shrinkToFit="false"/>
      <protection locked="false" hidden="false"/>
    </xf>
    <xf numFmtId="164" fontId="53" fillId="0" borderId="127" xfId="0" applyFont="true" applyBorder="true" applyAlignment="true" applyProtection="true">
      <alignment horizontal="center" vertical="center" textRotation="0" wrapText="true" indent="0" shrinkToFit="false"/>
      <protection locked="false" hidden="false"/>
    </xf>
    <xf numFmtId="166" fontId="53" fillId="0" borderId="127" xfId="0" applyFont="true" applyBorder="true" applyAlignment="true" applyProtection="true">
      <alignment horizontal="center" vertical="center" textRotation="0" wrapText="true" indent="0" shrinkToFit="false"/>
      <protection locked="false" hidden="false"/>
    </xf>
    <xf numFmtId="164" fontId="53" fillId="0" borderId="127" xfId="0" applyFont="true" applyBorder="true" applyAlignment="true" applyProtection="true">
      <alignment horizontal="center" vertical="center" textRotation="0" wrapText="false" indent="0" shrinkToFit="false"/>
      <protection locked="false" hidden="false"/>
    </xf>
    <xf numFmtId="164" fontId="53" fillId="0" borderId="121" xfId="0" applyFont="true" applyBorder="true" applyAlignment="true" applyProtection="true">
      <alignment horizontal="center" vertical="center" textRotation="0" wrapText="false" indent="0" shrinkToFit="false"/>
      <protection locked="false" hidden="false"/>
    </xf>
    <xf numFmtId="164" fontId="53" fillId="3" borderId="121" xfId="0" applyFont="true" applyBorder="true" applyAlignment="true" applyProtection="true">
      <alignment horizontal="center" vertical="center" textRotation="0" wrapText="true" indent="0" shrinkToFit="false"/>
      <protection locked="true" hidden="false"/>
    </xf>
    <xf numFmtId="164" fontId="53" fillId="0" borderId="123" xfId="0" applyFont="true" applyBorder="true" applyAlignment="true" applyProtection="true">
      <alignment horizontal="center" vertical="center" textRotation="0" wrapText="true" indent="0" shrinkToFit="false"/>
      <protection locked="false" hidden="false"/>
    </xf>
    <xf numFmtId="164" fontId="58" fillId="0" borderId="124" xfId="0" applyFont="true" applyBorder="true" applyAlignment="true" applyProtection="true">
      <alignment horizontal="center" vertical="center" textRotation="0" wrapText="true" indent="0" shrinkToFit="false"/>
      <protection locked="false" hidden="false"/>
    </xf>
    <xf numFmtId="164" fontId="58" fillId="0" borderId="128" xfId="0" applyFont="true" applyBorder="true" applyAlignment="true" applyProtection="true">
      <alignment horizontal="center" vertical="center" textRotation="0" wrapText="true" indent="0" shrinkToFit="false"/>
      <protection locked="false" hidden="false"/>
    </xf>
    <xf numFmtId="164" fontId="58" fillId="0" borderId="129" xfId="0" applyFont="true" applyBorder="true" applyAlignment="true" applyProtection="true">
      <alignment horizontal="center" vertical="center" textRotation="0" wrapText="true" indent="0" shrinkToFit="false"/>
      <protection locked="false" hidden="false"/>
    </xf>
    <xf numFmtId="164" fontId="58" fillId="0" borderId="38" xfId="0" applyFont="true" applyBorder="true" applyAlignment="true" applyProtection="true">
      <alignment horizontal="center" vertical="center" textRotation="0" wrapText="true" indent="0" shrinkToFit="false"/>
      <protection locked="false" hidden="false"/>
    </xf>
    <xf numFmtId="164" fontId="58" fillId="0" borderId="61" xfId="0" applyFont="true" applyBorder="true" applyAlignment="true" applyProtection="true">
      <alignment horizontal="center" vertical="center" textRotation="0" wrapText="true" indent="0" shrinkToFit="false"/>
      <protection locked="false" hidden="false"/>
    </xf>
    <xf numFmtId="164" fontId="61" fillId="3" borderId="46" xfId="0" applyFont="true" applyBorder="true" applyAlignment="true" applyProtection="true">
      <alignment horizontal="center" vertical="center" textRotation="0" wrapText="true" indent="0" shrinkToFit="false"/>
      <protection locked="true" hidden="false"/>
    </xf>
    <xf numFmtId="164" fontId="29" fillId="14" borderId="17" xfId="0" applyFont="true" applyBorder="true" applyAlignment="true" applyProtection="true">
      <alignment horizontal="center" vertical="center" textRotation="0" wrapText="true" indent="0" shrinkToFit="false"/>
      <protection locked="true" hidden="false"/>
    </xf>
    <xf numFmtId="164" fontId="53" fillId="14" borderId="57" xfId="0" applyFont="true" applyBorder="true" applyAlignment="true" applyProtection="true">
      <alignment horizontal="center" vertical="center" textRotation="0" wrapText="true" indent="0" shrinkToFit="false"/>
      <protection locked="false" hidden="false"/>
    </xf>
    <xf numFmtId="164" fontId="53" fillId="14" borderId="58" xfId="0" applyFont="true" applyBorder="true" applyAlignment="true" applyProtection="true">
      <alignment horizontal="center" vertical="center" textRotation="0" wrapText="true" indent="0" shrinkToFit="false"/>
      <protection locked="false" hidden="false"/>
    </xf>
    <xf numFmtId="164" fontId="53" fillId="14" borderId="58" xfId="0" applyFont="true" applyBorder="true" applyAlignment="true" applyProtection="true">
      <alignment horizontal="left" vertical="center" textRotation="0" wrapText="true" indent="0" shrinkToFit="false"/>
      <protection locked="false" hidden="false"/>
    </xf>
    <xf numFmtId="164" fontId="53" fillId="14" borderId="81" xfId="0" applyFont="true" applyBorder="true" applyAlignment="true" applyProtection="true">
      <alignment horizontal="center" vertical="center" textRotation="0" wrapText="true" indent="0" shrinkToFit="false"/>
      <protection locked="false" hidden="false"/>
    </xf>
    <xf numFmtId="164" fontId="53" fillId="14" borderId="73" xfId="0" applyFont="true" applyBorder="true" applyAlignment="true" applyProtection="true">
      <alignment horizontal="center" vertical="center" textRotation="0" wrapText="false" indent="0" shrinkToFit="false"/>
      <protection locked="false" hidden="false"/>
    </xf>
    <xf numFmtId="164" fontId="53" fillId="14" borderId="72" xfId="0" applyFont="true" applyBorder="true" applyAlignment="true" applyProtection="true">
      <alignment horizontal="center" vertical="center" textRotation="0" wrapText="true" indent="0" shrinkToFit="false"/>
      <protection locked="false" hidden="false"/>
    </xf>
    <xf numFmtId="164" fontId="53" fillId="14" borderId="72" xfId="0" applyFont="true" applyBorder="true" applyAlignment="true" applyProtection="true">
      <alignment horizontal="center" vertical="center" textRotation="0" wrapText="true" indent="0" shrinkToFit="false"/>
      <protection locked="false" hidden="false"/>
    </xf>
    <xf numFmtId="166" fontId="53" fillId="14" borderId="72" xfId="0" applyFont="true" applyBorder="true" applyAlignment="true" applyProtection="true">
      <alignment horizontal="center" vertical="center" textRotation="0" wrapText="true" indent="0" shrinkToFit="false"/>
      <protection locked="false" hidden="false"/>
    </xf>
    <xf numFmtId="164" fontId="53" fillId="14" borderId="72" xfId="0" applyFont="true" applyBorder="true" applyAlignment="true" applyProtection="true">
      <alignment horizontal="center" vertical="center" textRotation="0" wrapText="false" indent="0" shrinkToFit="false"/>
      <protection locked="false" hidden="false"/>
    </xf>
    <xf numFmtId="164" fontId="53" fillId="14" borderId="19" xfId="0" applyFont="true" applyBorder="true" applyAlignment="true" applyProtection="true">
      <alignment horizontal="center" vertical="center" textRotation="0" wrapText="false" indent="0" shrinkToFit="false"/>
      <protection locked="false" hidden="false"/>
    </xf>
    <xf numFmtId="164" fontId="60" fillId="14" borderId="49" xfId="0" applyFont="true" applyBorder="true" applyAlignment="true" applyProtection="true">
      <alignment horizontal="general" vertical="center" textRotation="0" wrapText="true" indent="0" shrinkToFit="false"/>
      <protection locked="false" hidden="false"/>
    </xf>
    <xf numFmtId="164" fontId="53" fillId="14" borderId="75" xfId="0" applyFont="true" applyBorder="true" applyAlignment="true" applyProtection="true">
      <alignment horizontal="center" vertical="center" textRotation="0" wrapText="true" indent="0" shrinkToFit="false"/>
      <protection locked="true" hidden="false"/>
    </xf>
    <xf numFmtId="164" fontId="53" fillId="14" borderId="24" xfId="0" applyFont="true" applyBorder="true" applyAlignment="true" applyProtection="true">
      <alignment horizontal="center" vertical="center" textRotation="0" wrapText="true" indent="0" shrinkToFit="false"/>
      <protection locked="false" hidden="false"/>
    </xf>
    <xf numFmtId="164" fontId="58" fillId="14" borderId="25" xfId="0" applyFont="true" applyBorder="true" applyAlignment="true" applyProtection="true">
      <alignment horizontal="center" vertical="center" textRotation="0" wrapText="true" indent="0" shrinkToFit="false"/>
      <protection locked="false" hidden="false"/>
    </xf>
    <xf numFmtId="164" fontId="58" fillId="14" borderId="76" xfId="0" applyFont="true" applyBorder="true" applyAlignment="true" applyProtection="true">
      <alignment horizontal="center" vertical="center" textRotation="0" wrapText="true" indent="0" shrinkToFit="false"/>
      <protection locked="false" hidden="false"/>
    </xf>
    <xf numFmtId="164" fontId="58" fillId="14" borderId="84" xfId="0" applyFont="true" applyBorder="true" applyAlignment="true" applyProtection="true">
      <alignment horizontal="center" vertical="center" textRotation="0" wrapText="true" indent="0" shrinkToFit="false"/>
      <protection locked="false" hidden="false"/>
    </xf>
    <xf numFmtId="164" fontId="61" fillId="3" borderId="17" xfId="0" applyFont="true" applyBorder="true" applyAlignment="true" applyProtection="true">
      <alignment horizontal="left" vertical="center" textRotation="0" wrapText="false" indent="0" shrinkToFit="false"/>
      <protection locked="false" hidden="false"/>
    </xf>
    <xf numFmtId="164" fontId="53" fillId="3" borderId="18" xfId="0" applyFont="true" applyBorder="true" applyAlignment="true" applyProtection="true">
      <alignment horizontal="center" vertical="center" textRotation="0" wrapText="false" indent="0" shrinkToFit="false"/>
      <protection locked="false" hidden="false"/>
    </xf>
    <xf numFmtId="164" fontId="53" fillId="3" borderId="0" xfId="0" applyFont="true" applyBorder="false" applyAlignment="true" applyProtection="true">
      <alignment horizontal="center" vertical="center" textRotation="0" wrapText="false" indent="0" shrinkToFit="false"/>
      <protection locked="false" hidden="false"/>
    </xf>
    <xf numFmtId="164" fontId="8" fillId="3" borderId="5" xfId="0" applyFont="true" applyBorder="true" applyAlignment="false" applyProtection="true">
      <alignment horizontal="general" vertical="center" textRotation="0" wrapText="false" indent="0" shrinkToFit="false"/>
      <protection locked="true" hidden="false"/>
    </xf>
    <xf numFmtId="167" fontId="26" fillId="3" borderId="5" xfId="0" applyFont="true" applyBorder="true" applyAlignment="true" applyProtection="true">
      <alignment horizontal="center" vertical="center" textRotation="0" wrapText="false" indent="0" shrinkToFit="false"/>
      <protection locked="true" hidden="false"/>
    </xf>
    <xf numFmtId="164" fontId="95" fillId="2" borderId="69" xfId="22" applyFont="true" applyBorder="true" applyAlignment="true" applyProtection="true">
      <alignment horizontal="general" vertical="center" textRotation="0" wrapText="false" indent="0" shrinkToFit="false"/>
      <protection locked="false" hidden="false"/>
    </xf>
    <xf numFmtId="164" fontId="53" fillId="2" borderId="70" xfId="0" applyFont="true" applyBorder="true" applyAlignment="true" applyProtection="true">
      <alignment horizontal="center" vertical="center" textRotation="0" wrapText="false" indent="0" shrinkToFit="false"/>
      <protection locked="false" hidden="false"/>
    </xf>
    <xf numFmtId="164" fontId="101" fillId="2" borderId="71" xfId="22" applyFont="true" applyBorder="true" applyAlignment="true" applyProtection="true">
      <alignment horizontal="general" vertical="center" textRotation="0" wrapText="false" indent="0" shrinkToFit="false"/>
      <protection locked="false" hidden="false"/>
    </xf>
    <xf numFmtId="164" fontId="61" fillId="3" borderId="5" xfId="0" applyFont="true" applyBorder="true" applyAlignment="true" applyProtection="true">
      <alignment horizontal="center" vertical="center" textRotation="0" wrapText="false" indent="0" shrinkToFit="false"/>
      <protection locked="true" hidden="false"/>
    </xf>
    <xf numFmtId="167" fontId="30" fillId="3" borderId="5" xfId="0" applyFont="true" applyBorder="true" applyAlignment="true" applyProtection="true">
      <alignment horizontal="center" vertical="center" textRotation="0" wrapText="false" indent="0" shrinkToFit="false"/>
      <protection locked="true" hidden="false"/>
    </xf>
    <xf numFmtId="164" fontId="53" fillId="5" borderId="0" xfId="0" applyFont="true" applyBorder="false" applyAlignment="true" applyProtection="true">
      <alignment horizontal="center" vertical="center" textRotation="0" wrapText="true" indent="0" shrinkToFit="false"/>
      <protection locked="false" hidden="false"/>
    </xf>
    <xf numFmtId="164" fontId="59" fillId="0" borderId="5" xfId="0" applyFont="true" applyBorder="true" applyAlignment="true" applyProtection="true">
      <alignment horizontal="center" vertical="center" textRotation="0" wrapText="false" indent="0" shrinkToFit="false"/>
      <protection locked="false" hidden="false"/>
    </xf>
    <xf numFmtId="164" fontId="87" fillId="3" borderId="5" xfId="0" applyFont="true" applyBorder="true" applyAlignment="true" applyProtection="true">
      <alignment horizontal="center" vertical="center" textRotation="0" wrapText="false" indent="0" shrinkToFit="false"/>
      <protection locked="true" hidden="false"/>
    </xf>
    <xf numFmtId="164" fontId="60" fillId="2" borderId="5" xfId="0" applyFont="true" applyBorder="true" applyAlignment="true" applyProtection="true">
      <alignment horizontal="center" vertical="center" textRotation="0" wrapText="false" indent="0" shrinkToFit="false"/>
      <protection locked="false" hidden="false"/>
    </xf>
    <xf numFmtId="164" fontId="83" fillId="0" borderId="5" xfId="0" applyFont="true" applyBorder="true" applyAlignment="true" applyProtection="true">
      <alignment horizontal="center" vertical="center" textRotation="0" wrapText="false" indent="0" shrinkToFit="false"/>
      <protection locked="false" hidden="false"/>
    </xf>
    <xf numFmtId="167" fontId="115" fillId="3" borderId="5" xfId="0" applyFont="true" applyBorder="true" applyAlignment="true" applyProtection="true">
      <alignment horizontal="center" vertical="center" textRotation="0" wrapText="false" indent="0" shrinkToFit="false"/>
      <protection locked="true" hidden="false"/>
    </xf>
    <xf numFmtId="164" fontId="83" fillId="5" borderId="0" xfId="0" applyFont="true" applyBorder="false" applyAlignment="false" applyProtection="true">
      <alignment horizontal="general" vertical="center" textRotation="0" wrapText="false" indent="0" shrinkToFit="false"/>
      <protection locked="false" hidden="false"/>
    </xf>
    <xf numFmtId="164" fontId="83" fillId="0" borderId="0" xfId="0" applyFont="true" applyBorder="false" applyAlignment="false" applyProtection="true">
      <alignment horizontal="general" vertical="center" textRotation="0" wrapText="false" indent="0" shrinkToFit="false"/>
      <protection locked="false" hidden="false"/>
    </xf>
    <xf numFmtId="164" fontId="53" fillId="0" borderId="5" xfId="0" applyFont="true" applyBorder="true" applyAlignment="true" applyProtection="true">
      <alignment horizontal="center" vertical="center" textRotation="0" wrapText="false" indent="0" shrinkToFit="false"/>
      <protection locked="false" hidden="false"/>
    </xf>
    <xf numFmtId="164" fontId="83" fillId="2" borderId="5" xfId="0" applyFont="true" applyBorder="true" applyAlignment="true" applyProtection="true">
      <alignment horizontal="center" vertical="center" textRotation="0" wrapText="false" indent="0" shrinkToFit="false"/>
      <protection locked="false" hidden="false"/>
    </xf>
    <xf numFmtId="164" fontId="0" fillId="3" borderId="0" xfId="0" applyFont="true" applyBorder="false" applyAlignment="false" applyProtection="false">
      <alignment horizontal="general" vertical="center" textRotation="0" wrapText="false" indent="0" shrinkToFit="false"/>
      <protection locked="true" hidden="false"/>
    </xf>
    <xf numFmtId="164" fontId="8" fillId="3" borderId="5" xfId="0" applyFont="true" applyBorder="true" applyAlignment="false" applyProtection="false">
      <alignment horizontal="general" vertical="center" textRotation="0" wrapText="false" indent="0" shrinkToFit="false"/>
      <protection locked="true" hidden="false"/>
    </xf>
    <xf numFmtId="167" fontId="38" fillId="3" borderId="5" xfId="0" applyFont="true" applyBorder="true" applyAlignment="true" applyProtection="false">
      <alignment horizontal="left" vertical="center" textRotation="0" wrapText="false" indent="0" shrinkToFit="false"/>
      <protection locked="true" hidden="false"/>
    </xf>
    <xf numFmtId="164" fontId="110" fillId="5" borderId="0" xfId="0" applyFont="true" applyBorder="false" applyAlignment="false" applyProtection="true">
      <alignment horizontal="general" vertical="center" textRotation="0" wrapText="false" indent="0" shrinkToFit="false"/>
      <protection locked="false" hidden="false"/>
    </xf>
    <xf numFmtId="164" fontId="8" fillId="3" borderId="5" xfId="0" applyFont="true" applyBorder="true" applyAlignment="true" applyProtection="false">
      <alignment horizontal="left" vertical="center" textRotation="0" wrapText="true" indent="0" shrinkToFit="false"/>
      <protection locked="true" hidden="false"/>
    </xf>
    <xf numFmtId="164" fontId="8" fillId="3" borderId="5" xfId="0" applyFont="true" applyBorder="true" applyAlignment="true" applyProtection="false">
      <alignment horizontal="center" vertical="center" textRotation="0" wrapText="false" indent="0" shrinkToFit="false"/>
      <protection locked="true" hidden="false"/>
    </xf>
    <xf numFmtId="164" fontId="0" fillId="3" borderId="5" xfId="0" applyFont="true" applyBorder="true" applyAlignment="false" applyProtection="false">
      <alignment horizontal="general" vertical="center" textRotation="0" wrapText="false" indent="0" shrinkToFit="false"/>
      <protection locked="true" hidden="false"/>
    </xf>
    <xf numFmtId="164" fontId="8" fillId="3" borderId="5" xfId="0" applyFont="true" applyBorder="true" applyAlignment="true" applyProtection="false">
      <alignment horizontal="left" vertical="center" textRotation="0" wrapText="false" indent="0" shrinkToFit="false"/>
      <protection locked="true" hidden="false"/>
    </xf>
    <xf numFmtId="164" fontId="8" fillId="2" borderId="5" xfId="0" applyFont="true" applyBorder="true" applyAlignment="true" applyProtection="true">
      <alignment horizontal="left" vertical="center" textRotation="0" wrapText="false" indent="0" shrinkToFit="false"/>
      <protection locked="false" hidden="false"/>
    </xf>
    <xf numFmtId="164" fontId="58" fillId="0" borderId="0" xfId="0" applyFont="true" applyBorder="false" applyAlignment="true" applyProtection="true">
      <alignment horizontal="center" vertical="center" textRotation="0" wrapText="true" indent="0" shrinkToFit="false"/>
      <protection locked="true" hidden="false"/>
    </xf>
    <xf numFmtId="164" fontId="58" fillId="0" borderId="0" xfId="0" applyFont="true" applyBorder="false" applyAlignment="true" applyProtection="true">
      <alignment horizontal="left" vertical="center" textRotation="0" wrapText="true" indent="0" shrinkToFit="false"/>
      <protection locked="true" hidden="false"/>
    </xf>
    <xf numFmtId="164" fontId="58" fillId="0" borderId="0" xfId="0" applyFont="true" applyBorder="false" applyAlignment="true" applyProtection="true">
      <alignment horizontal="general" vertical="center" textRotation="0" wrapText="true" indent="0" shrinkToFit="false"/>
      <protection locked="true" hidden="false"/>
    </xf>
    <xf numFmtId="164" fontId="58" fillId="5" borderId="0" xfId="0" applyFont="true" applyBorder="false" applyAlignment="true" applyProtection="true">
      <alignment horizontal="general" vertical="center" textRotation="0" wrapText="true" indent="0" shrinkToFit="false"/>
      <protection locked="true" hidden="false"/>
    </xf>
    <xf numFmtId="164" fontId="58" fillId="5" borderId="0" xfId="0" applyFont="true" applyBorder="false" applyAlignment="true" applyProtection="true">
      <alignment horizontal="center" vertical="center" textRotation="0" wrapText="true" indent="0" shrinkToFit="false"/>
      <protection locked="true" hidden="false"/>
    </xf>
    <xf numFmtId="164" fontId="101" fillId="3" borderId="64" xfId="22" applyFont="true" applyBorder="true" applyAlignment="true" applyProtection="true">
      <alignment horizontal="general" vertical="center" textRotation="0" wrapText="false" indent="0" shrinkToFit="false"/>
      <protection locked="true" hidden="false"/>
    </xf>
    <xf numFmtId="164" fontId="58" fillId="3" borderId="0" xfId="0" applyFont="true" applyBorder="false" applyAlignment="true" applyProtection="true">
      <alignment horizontal="general" vertical="center" textRotation="0" wrapText="true" indent="0" shrinkToFit="false"/>
      <protection locked="true" hidden="false"/>
    </xf>
    <xf numFmtId="164" fontId="58" fillId="5" borderId="0" xfId="0" applyFont="true" applyBorder="false" applyAlignment="true" applyProtection="true">
      <alignment horizontal="general" vertical="center" textRotation="0" wrapText="true" indent="0" shrinkToFit="false"/>
      <protection locked="false" hidden="false"/>
    </xf>
    <xf numFmtId="164" fontId="4" fillId="3" borderId="57" xfId="0" applyFont="true" applyBorder="true" applyAlignment="true" applyProtection="true">
      <alignment horizontal="center" vertical="center" textRotation="0" wrapText="false" indent="0" shrinkToFit="false"/>
      <protection locked="true" hidden="false"/>
    </xf>
    <xf numFmtId="167" fontId="38" fillId="3" borderId="81" xfId="0" applyFont="true" applyBorder="true" applyAlignment="false" applyProtection="true">
      <alignment horizontal="general" vertical="center" textRotation="0" wrapText="false" indent="0" shrinkToFit="false"/>
      <protection locked="true" hidden="false"/>
    </xf>
    <xf numFmtId="173" fontId="77" fillId="3" borderId="5" xfId="0" applyFont="true" applyBorder="true" applyAlignment="true" applyProtection="true">
      <alignment horizontal="general" vertical="center" textRotation="0" wrapText="true" indent="0" shrinkToFit="false"/>
      <protection locked="true" hidden="false"/>
    </xf>
    <xf numFmtId="164" fontId="58" fillId="0" borderId="0" xfId="0" applyFont="true" applyBorder="false" applyAlignment="true" applyProtection="true">
      <alignment horizontal="general" vertical="center" textRotation="0" wrapText="true" indent="0" shrinkToFit="false"/>
      <protection locked="false" hidden="false"/>
    </xf>
    <xf numFmtId="164" fontId="5" fillId="3" borderId="5" xfId="23" applyFont="true" applyBorder="true" applyAlignment="true" applyProtection="true">
      <alignment horizontal="center" vertical="center" textRotation="0" wrapText="true" indent="0" shrinkToFit="false"/>
      <protection locked="true" hidden="false"/>
    </xf>
    <xf numFmtId="164" fontId="71" fillId="3" borderId="0" xfId="23" applyFont="true" applyBorder="false" applyAlignment="true" applyProtection="true">
      <alignment horizontal="general" vertical="center" textRotation="0" wrapText="true" indent="0" shrinkToFit="false"/>
      <protection locked="false" hidden="false"/>
    </xf>
    <xf numFmtId="164" fontId="71" fillId="3" borderId="0" xfId="23" applyFont="true" applyBorder="false" applyAlignment="true" applyProtection="true">
      <alignment horizontal="center" vertical="center" textRotation="0" wrapText="true" indent="0" shrinkToFit="false"/>
      <protection locked="false" hidden="false"/>
    </xf>
    <xf numFmtId="164" fontId="71" fillId="5" borderId="0" xfId="23" applyFont="true" applyBorder="false" applyAlignment="true" applyProtection="true">
      <alignment horizontal="center" vertical="center" textRotation="0" wrapText="true" indent="0" shrinkToFit="false"/>
      <protection locked="true" hidden="false"/>
    </xf>
    <xf numFmtId="164" fontId="71" fillId="0" borderId="0" xfId="23" applyFont="true" applyBorder="false" applyAlignment="true" applyProtection="true">
      <alignment horizontal="center" vertical="center" textRotation="0" wrapText="true" indent="0" shrinkToFit="false"/>
      <protection locked="true" hidden="false"/>
    </xf>
    <xf numFmtId="164" fontId="101" fillId="3" borderId="7" xfId="22" applyFont="true" applyBorder="true" applyAlignment="true" applyProtection="true">
      <alignment horizontal="general" vertical="center" textRotation="0" wrapText="false" indent="0" shrinkToFit="false"/>
      <protection locked="true" hidden="false"/>
    </xf>
    <xf numFmtId="164" fontId="71" fillId="3" borderId="5" xfId="0" applyFont="true" applyBorder="true" applyAlignment="true" applyProtection="true">
      <alignment horizontal="left" vertical="center" textRotation="0" wrapText="true" indent="0" shrinkToFit="false"/>
      <protection locked="true" hidden="false"/>
    </xf>
    <xf numFmtId="164" fontId="58" fillId="2" borderId="5" xfId="0" applyFont="true" applyBorder="true" applyAlignment="true" applyProtection="true">
      <alignment horizontal="left" vertical="center" textRotation="0" wrapText="true" indent="0" shrinkToFit="false"/>
      <protection locked="false" hidden="false"/>
    </xf>
    <xf numFmtId="167" fontId="77" fillId="3" borderId="5" xfId="0" applyFont="true" applyBorder="true" applyAlignment="true" applyProtection="true">
      <alignment horizontal="center" vertical="center" textRotation="0" wrapText="true" indent="0" shrinkToFit="false"/>
      <protection locked="true" hidden="false"/>
    </xf>
    <xf numFmtId="164" fontId="58" fillId="3" borderId="0" xfId="0" applyFont="true" applyBorder="false" applyAlignment="true" applyProtection="true">
      <alignment horizontal="general" vertical="center" textRotation="0" wrapText="true" indent="0" shrinkToFit="false"/>
      <protection locked="true" hidden="false"/>
    </xf>
    <xf numFmtId="164" fontId="4" fillId="3" borderId="22" xfId="0" applyFont="true" applyBorder="true" applyAlignment="true" applyProtection="true">
      <alignment horizontal="center" vertical="center" textRotation="0" wrapText="false" indent="0" shrinkToFit="false"/>
      <protection locked="true" hidden="false"/>
    </xf>
    <xf numFmtId="167" fontId="38" fillId="3" borderId="7" xfId="0" applyFont="true" applyBorder="true" applyAlignment="false" applyProtection="true">
      <alignment horizontal="general" vertical="center" textRotation="0" wrapText="false" indent="0" shrinkToFit="false"/>
      <protection locked="true" hidden="false"/>
    </xf>
    <xf numFmtId="167" fontId="109" fillId="3" borderId="5" xfId="23" applyFont="true" applyBorder="true" applyAlignment="true" applyProtection="true">
      <alignment horizontal="left" vertical="center" textRotation="0" wrapText="true" indent="0" shrinkToFit="false"/>
      <protection locked="true" hidden="false"/>
    </xf>
    <xf numFmtId="164" fontId="5" fillId="0" borderId="5" xfId="23" applyFont="true" applyBorder="true" applyAlignment="true" applyProtection="true">
      <alignment horizontal="center" vertical="center" textRotation="0" wrapText="true" indent="0" shrinkToFit="false"/>
      <protection locked="false" hidden="false"/>
    </xf>
    <xf numFmtId="164" fontId="71" fillId="2" borderId="5" xfId="0" applyFont="true" applyBorder="true" applyAlignment="true" applyProtection="true">
      <alignment horizontal="general" vertical="center" textRotation="0" wrapText="true" indent="0" shrinkToFit="false"/>
      <protection locked="false" hidden="false"/>
    </xf>
    <xf numFmtId="164" fontId="58" fillId="2" borderId="5" xfId="0" applyFont="true" applyBorder="true" applyAlignment="true" applyProtection="true">
      <alignment horizontal="left" vertical="center" textRotation="0" wrapText="false" indent="0" shrinkToFit="false"/>
      <protection locked="false" hidden="false"/>
    </xf>
    <xf numFmtId="176" fontId="75" fillId="3" borderId="5" xfId="0" applyFont="true" applyBorder="true" applyAlignment="true" applyProtection="true">
      <alignment horizontal="center" vertical="center" textRotation="0" wrapText="true" indent="0" shrinkToFit="false"/>
      <protection locked="true" hidden="false"/>
    </xf>
    <xf numFmtId="175" fontId="120" fillId="0" borderId="5" xfId="0" applyFont="true" applyBorder="true" applyAlignment="true" applyProtection="true">
      <alignment horizontal="center" vertical="center" textRotation="0" wrapText="true" indent="0" shrinkToFit="false"/>
      <protection locked="false" hidden="false"/>
    </xf>
    <xf numFmtId="164" fontId="71" fillId="3" borderId="0" xfId="0" applyFont="true" applyBorder="false" applyAlignment="true" applyProtection="true">
      <alignment horizontal="general" vertical="center" textRotation="0" wrapText="true" indent="0" shrinkToFit="false"/>
      <protection locked="true" hidden="false"/>
    </xf>
    <xf numFmtId="164" fontId="104" fillId="3" borderId="5" xfId="0" applyFont="true" applyBorder="true" applyAlignment="true" applyProtection="true">
      <alignment horizontal="center" vertical="center" textRotation="0" wrapText="true" indent="0" shrinkToFit="false"/>
      <protection locked="true" hidden="false"/>
    </xf>
    <xf numFmtId="174" fontId="130" fillId="3" borderId="11" xfId="0" applyFont="true" applyBorder="true" applyAlignment="true" applyProtection="true">
      <alignment horizontal="left" vertical="center" textRotation="0" wrapText="true" indent="0" shrinkToFit="false"/>
      <protection locked="true" hidden="false"/>
    </xf>
    <xf numFmtId="164" fontId="73" fillId="3" borderId="11" xfId="0" applyFont="true" applyBorder="true" applyAlignment="true" applyProtection="true">
      <alignment horizontal="left" vertical="center" textRotation="0" wrapText="true" indent="0" shrinkToFit="false"/>
      <protection locked="true" hidden="false"/>
    </xf>
    <xf numFmtId="167" fontId="130" fillId="3" borderId="60" xfId="0" applyFont="true" applyBorder="true" applyAlignment="true" applyProtection="true">
      <alignment horizontal="center" vertical="center" textRotation="0" wrapText="false" indent="0" shrinkToFit="false"/>
      <protection locked="true" hidden="false"/>
    </xf>
    <xf numFmtId="167" fontId="143" fillId="3" borderId="25" xfId="0" applyFont="true" applyBorder="true" applyAlignment="true" applyProtection="true">
      <alignment horizontal="center" vertical="center" textRotation="0" wrapText="false" indent="0" shrinkToFit="false"/>
      <protection locked="true" hidden="false"/>
    </xf>
    <xf numFmtId="164" fontId="124" fillId="3" borderId="60" xfId="0" applyFont="true" applyBorder="true" applyAlignment="true" applyProtection="true">
      <alignment horizontal="general" vertical="center" textRotation="0" wrapText="true" indent="0" shrinkToFit="false"/>
      <protection locked="true" hidden="false"/>
    </xf>
    <xf numFmtId="164" fontId="120" fillId="3" borderId="60" xfId="0" applyFont="true" applyBorder="true" applyAlignment="true" applyProtection="true">
      <alignment horizontal="general" vertical="center" textRotation="0" wrapText="true" indent="0" shrinkToFit="false"/>
      <protection locked="true" hidden="false"/>
    </xf>
    <xf numFmtId="164" fontId="120" fillId="3" borderId="39" xfId="0" applyFont="true" applyBorder="true" applyAlignment="true" applyProtection="true">
      <alignment horizontal="general" vertical="center" textRotation="0" wrapText="true" indent="0" shrinkToFit="false"/>
      <protection locked="true" hidden="false"/>
    </xf>
    <xf numFmtId="164" fontId="120" fillId="5" borderId="0" xfId="0" applyFont="true" applyBorder="false" applyAlignment="true" applyProtection="true">
      <alignment horizontal="general" vertical="center" textRotation="0" wrapText="false" indent="0" shrinkToFit="false"/>
      <protection locked="false" hidden="false"/>
    </xf>
    <xf numFmtId="164" fontId="65" fillId="3" borderId="0" xfId="23" applyFont="true" applyBorder="false" applyAlignment="true" applyProtection="true">
      <alignment horizontal="center" vertical="center" textRotation="0" wrapText="true" indent="0" shrinkToFit="false"/>
      <protection locked="false" hidden="false"/>
    </xf>
    <xf numFmtId="164" fontId="65" fillId="5" borderId="0" xfId="23" applyFont="true" applyBorder="false" applyAlignment="true" applyProtection="true">
      <alignment horizontal="center" vertical="center" textRotation="0" wrapText="true" indent="0" shrinkToFit="false"/>
      <protection locked="true" hidden="false"/>
    </xf>
    <xf numFmtId="164" fontId="65" fillId="0" borderId="0" xfId="23" applyFont="true" applyBorder="false" applyAlignment="true" applyProtection="true">
      <alignment horizontal="center" vertical="center" textRotation="0" wrapText="true" indent="0" shrinkToFit="false"/>
      <protection locked="true" hidden="false"/>
    </xf>
    <xf numFmtId="164" fontId="120" fillId="0" borderId="0" xfId="0" applyFont="true" applyBorder="false" applyAlignment="true" applyProtection="true">
      <alignment horizontal="general" vertical="center" textRotation="0" wrapText="true" indent="0" shrinkToFit="false"/>
      <protection locked="true" hidden="false"/>
    </xf>
    <xf numFmtId="174" fontId="95" fillId="3" borderId="33" xfId="0" applyFont="true" applyBorder="true" applyAlignment="true" applyProtection="true">
      <alignment horizontal="center" vertical="center" textRotation="0" wrapText="true" indent="0" shrinkToFit="false"/>
      <protection locked="true" hidden="false"/>
    </xf>
    <xf numFmtId="164" fontId="95" fillId="3" borderId="78" xfId="0" applyFont="true" applyBorder="true" applyAlignment="true" applyProtection="true">
      <alignment horizontal="left" vertical="center" textRotation="0" wrapText="true" indent="0" shrinkToFit="false"/>
      <protection locked="true" hidden="false"/>
    </xf>
    <xf numFmtId="167" fontId="97" fillId="3" borderId="85" xfId="0" applyFont="true" applyBorder="true" applyAlignment="true" applyProtection="true">
      <alignment horizontal="center" vertical="center" textRotation="0" wrapText="false" indent="0" shrinkToFit="false"/>
      <protection locked="true" hidden="false"/>
    </xf>
    <xf numFmtId="164" fontId="67" fillId="3" borderId="85" xfId="0" applyFont="true" applyBorder="true" applyAlignment="true" applyProtection="true">
      <alignment horizontal="general" vertical="center" textRotation="0" wrapText="false" indent="0" shrinkToFit="false"/>
      <protection locked="true" hidden="false"/>
    </xf>
    <xf numFmtId="164" fontId="96" fillId="3" borderId="78" xfId="0" applyFont="true" applyBorder="true" applyAlignment="true" applyProtection="true">
      <alignment horizontal="center" vertical="center" textRotation="0" wrapText="true" indent="0" shrinkToFit="false"/>
      <protection locked="true" hidden="false"/>
    </xf>
    <xf numFmtId="164" fontId="58" fillId="3" borderId="78" xfId="0" applyFont="true" applyBorder="true" applyAlignment="true" applyProtection="true">
      <alignment horizontal="general" vertical="center" textRotation="0" wrapText="true" indent="0" shrinkToFit="false"/>
      <protection locked="true" hidden="false"/>
    </xf>
    <xf numFmtId="164" fontId="58" fillId="3" borderId="79" xfId="0" applyFont="true" applyBorder="true" applyAlignment="true" applyProtection="true">
      <alignment horizontal="general" vertical="center" textRotation="0" wrapText="true" indent="0" shrinkToFit="false"/>
      <protection locked="true" hidden="false"/>
    </xf>
    <xf numFmtId="167" fontId="97" fillId="3" borderId="81" xfId="0" applyFont="true" applyBorder="true" applyAlignment="true" applyProtection="true">
      <alignment horizontal="center" vertical="center" textRotation="0" wrapText="true" indent="0" shrinkToFit="false"/>
      <protection locked="true" hidden="false"/>
    </xf>
    <xf numFmtId="164" fontId="71" fillId="3" borderId="58" xfId="0" applyFont="true" applyBorder="true" applyAlignment="true" applyProtection="true">
      <alignment horizontal="center" vertical="center" textRotation="0" wrapText="true" indent="0" shrinkToFit="false"/>
      <protection locked="true" hidden="false"/>
    </xf>
    <xf numFmtId="164" fontId="58" fillId="0" borderId="58" xfId="0" applyFont="true" applyBorder="true" applyAlignment="true" applyProtection="true">
      <alignment horizontal="center" vertical="center" textRotation="0" wrapText="true" indent="0" shrinkToFit="false"/>
      <protection locked="false" hidden="false"/>
    </xf>
    <xf numFmtId="164" fontId="58" fillId="3" borderId="18" xfId="0" applyFont="true" applyBorder="true" applyAlignment="true" applyProtection="true">
      <alignment horizontal="center" vertical="center" textRotation="0" wrapText="true" indent="0" shrinkToFit="false"/>
      <protection locked="true" hidden="false"/>
    </xf>
    <xf numFmtId="164" fontId="58" fillId="3" borderId="18" xfId="0" applyFont="true" applyBorder="true" applyAlignment="true" applyProtection="true">
      <alignment horizontal="general" vertical="center" textRotation="0" wrapText="true" indent="0" shrinkToFit="false"/>
      <protection locked="true" hidden="false"/>
    </xf>
    <xf numFmtId="164" fontId="58" fillId="3" borderId="19" xfId="0" applyFont="true" applyBorder="true" applyAlignment="true" applyProtection="true">
      <alignment horizontal="general" vertical="center" textRotation="0" wrapText="true" indent="0" shrinkToFit="false"/>
      <protection locked="true" hidden="false"/>
    </xf>
    <xf numFmtId="164" fontId="5" fillId="0" borderId="5" xfId="23" applyFont="true" applyBorder="true" applyAlignment="true" applyProtection="true">
      <alignment horizontal="center" vertical="center" textRotation="0" wrapText="true" indent="0" shrinkToFit="false"/>
      <protection locked="true" hidden="false"/>
    </xf>
    <xf numFmtId="164" fontId="71" fillId="3" borderId="8" xfId="23" applyFont="true" applyBorder="true" applyAlignment="true" applyProtection="true">
      <alignment horizontal="center" vertical="center" textRotation="0" wrapText="true" indent="0" shrinkToFit="false"/>
      <protection locked="false" hidden="false"/>
    </xf>
    <xf numFmtId="167" fontId="77" fillId="3" borderId="5" xfId="23" applyFont="true" applyBorder="true" applyAlignment="true" applyProtection="true">
      <alignment horizontal="center" vertical="center" textRotation="0" wrapText="true" indent="0" shrinkToFit="false"/>
      <protection locked="false" hidden="false"/>
    </xf>
    <xf numFmtId="164" fontId="71" fillId="3" borderId="5" xfId="23" applyFont="true" applyBorder="true" applyAlignment="true" applyProtection="true">
      <alignment horizontal="center" vertical="center" textRotation="0" wrapText="true" indent="0" shrinkToFit="false"/>
      <protection locked="false" hidden="false"/>
    </xf>
    <xf numFmtId="176" fontId="77" fillId="3" borderId="5" xfId="23" applyFont="true" applyBorder="true" applyAlignment="true" applyProtection="true">
      <alignment horizontal="center" vertical="center" textRotation="0" wrapText="true" indent="0" shrinkToFit="false"/>
      <protection locked="false" hidden="false"/>
    </xf>
    <xf numFmtId="174" fontId="58" fillId="3" borderId="68" xfId="0" applyFont="true" applyBorder="true" applyAlignment="true" applyProtection="true">
      <alignment horizontal="general" vertical="center" textRotation="0" wrapText="true" indent="0" shrinkToFit="false"/>
      <protection locked="true" hidden="false"/>
    </xf>
    <xf numFmtId="164" fontId="77" fillId="3" borderId="6" xfId="0" applyFont="true" applyBorder="true" applyAlignment="true" applyProtection="true">
      <alignment horizontal="center" vertical="center" textRotation="0" wrapText="true" indent="0" shrinkToFit="false"/>
      <protection locked="true" hidden="false"/>
    </xf>
    <xf numFmtId="167" fontId="77" fillId="3" borderId="35" xfId="0" applyFont="true" applyBorder="true" applyAlignment="true" applyProtection="true">
      <alignment horizontal="center" vertical="center" textRotation="0" wrapText="true" indent="0" shrinkToFit="false"/>
      <protection locked="true" hidden="false"/>
    </xf>
    <xf numFmtId="164" fontId="71" fillId="3" borderId="7" xfId="0" applyFont="true" applyBorder="true" applyAlignment="true" applyProtection="true">
      <alignment horizontal="general" vertical="center" textRotation="0" wrapText="false" indent="0" shrinkToFit="false"/>
      <protection locked="true" hidden="false"/>
    </xf>
    <xf numFmtId="164" fontId="58" fillId="3" borderId="10" xfId="0" applyFont="true" applyBorder="true" applyAlignment="true" applyProtection="true">
      <alignment horizontal="general" vertical="center" textRotation="0" wrapText="true" indent="0" shrinkToFit="false"/>
      <protection locked="true" hidden="false"/>
    </xf>
    <xf numFmtId="164" fontId="58" fillId="3" borderId="31" xfId="0" applyFont="true" applyBorder="true" applyAlignment="true" applyProtection="true">
      <alignment horizontal="general" vertical="center" textRotation="0" wrapText="true" indent="0" shrinkToFit="false"/>
      <protection locked="true" hidden="false"/>
    </xf>
    <xf numFmtId="164" fontId="71" fillId="3" borderId="8" xfId="23" applyFont="true" applyBorder="true" applyAlignment="true" applyProtection="true">
      <alignment horizontal="right" vertical="center" textRotation="0" wrapText="true" indent="0" shrinkToFit="false"/>
      <protection locked="false" hidden="false"/>
    </xf>
    <xf numFmtId="164" fontId="29" fillId="3" borderId="5" xfId="23" applyFont="true" applyBorder="true" applyAlignment="true" applyProtection="true">
      <alignment horizontal="center" vertical="center" textRotation="0" wrapText="false" indent="0" shrinkToFit="false"/>
      <protection locked="true" hidden="false"/>
    </xf>
    <xf numFmtId="166" fontId="77" fillId="3" borderId="5" xfId="0" applyFont="true" applyBorder="true" applyAlignment="true" applyProtection="true">
      <alignment horizontal="center" vertical="center" textRotation="0" wrapText="true" indent="0" shrinkToFit="false"/>
      <protection locked="true" hidden="false"/>
    </xf>
    <xf numFmtId="164" fontId="30" fillId="3" borderId="5" xfId="23" applyFont="true" applyBorder="true" applyAlignment="true" applyProtection="true">
      <alignment horizontal="left" vertical="center" textRotation="0" wrapText="false" indent="0" shrinkToFit="false"/>
      <protection locked="true" hidden="false"/>
    </xf>
    <xf numFmtId="164" fontId="57" fillId="0" borderId="5" xfId="23" applyFont="true" applyBorder="true" applyAlignment="true" applyProtection="true">
      <alignment horizontal="left" vertical="center" textRotation="0" wrapText="false" indent="0" shrinkToFit="false"/>
      <protection locked="false" hidden="false"/>
    </xf>
    <xf numFmtId="167" fontId="57" fillId="3" borderId="5" xfId="23" applyFont="true" applyBorder="true" applyAlignment="true" applyProtection="true">
      <alignment horizontal="left" vertical="center" textRotation="0" wrapText="false" indent="0" shrinkToFit="false"/>
      <protection locked="true" hidden="false"/>
    </xf>
    <xf numFmtId="167" fontId="57" fillId="3" borderId="5" xfId="23" applyFont="true" applyBorder="true" applyAlignment="true" applyProtection="true">
      <alignment horizontal="left" vertical="center" textRotation="0" wrapText="true" indent="0" shrinkToFit="false"/>
      <protection locked="true" hidden="false"/>
    </xf>
    <xf numFmtId="174" fontId="58" fillId="3" borderId="67" xfId="0" applyFont="true" applyBorder="true" applyAlignment="true" applyProtection="true">
      <alignment horizontal="general" vertical="center" textRotation="0" wrapText="true" indent="0" shrinkToFit="false"/>
      <protection locked="true" hidden="false"/>
    </xf>
    <xf numFmtId="164" fontId="77" fillId="3" borderId="11" xfId="0" applyFont="true" applyBorder="true" applyAlignment="true" applyProtection="true">
      <alignment horizontal="left" vertical="center" textRotation="0" wrapText="true" indent="0" shrinkToFit="false"/>
      <protection locked="true" hidden="false"/>
    </xf>
    <xf numFmtId="167" fontId="77" fillId="3" borderId="11" xfId="0" applyFont="true" applyBorder="true" applyAlignment="true" applyProtection="true">
      <alignment horizontal="center" vertical="center" textRotation="0" wrapText="true" indent="0" shrinkToFit="false"/>
      <protection locked="true" hidden="false"/>
    </xf>
    <xf numFmtId="164" fontId="71" fillId="3" borderId="38" xfId="0" applyFont="true" applyBorder="true" applyAlignment="true" applyProtection="true">
      <alignment horizontal="general" vertical="center" textRotation="0" wrapText="false" indent="0" shrinkToFit="false"/>
      <protection locked="true" hidden="false"/>
    </xf>
    <xf numFmtId="164" fontId="58" fillId="3" borderId="60" xfId="0" applyFont="true" applyBorder="true" applyAlignment="true" applyProtection="true">
      <alignment horizontal="general" vertical="center" textRotation="0" wrapText="true" indent="0" shrinkToFit="false"/>
      <protection locked="true" hidden="false"/>
    </xf>
    <xf numFmtId="164" fontId="58" fillId="3" borderId="61" xfId="0" applyFont="true" applyBorder="true" applyAlignment="true" applyProtection="true">
      <alignment horizontal="general" vertical="center" textRotation="0" wrapText="true" indent="0" shrinkToFit="false"/>
      <protection locked="true" hidden="false"/>
    </xf>
    <xf numFmtId="164" fontId="71" fillId="5" borderId="0" xfId="23" applyFont="true" applyBorder="false" applyAlignment="true" applyProtection="true">
      <alignment horizontal="center" vertical="center" textRotation="0" wrapText="true" indent="0" shrinkToFit="false"/>
      <protection locked="false" hidden="false"/>
    </xf>
    <xf numFmtId="164" fontId="71" fillId="0" borderId="0" xfId="23" applyFont="true" applyBorder="false" applyAlignment="true" applyProtection="true">
      <alignment horizontal="center" vertical="center" textRotation="0" wrapText="true" indent="0" shrinkToFit="false"/>
      <protection locked="false" hidden="false"/>
    </xf>
    <xf numFmtId="164" fontId="95" fillId="3" borderId="102" xfId="0" applyFont="true" applyBorder="true" applyAlignment="true" applyProtection="true">
      <alignment horizontal="left" vertical="center" textRotation="0" wrapText="true" indent="0" shrinkToFit="false"/>
      <protection locked="true" hidden="false"/>
    </xf>
    <xf numFmtId="164" fontId="58" fillId="0" borderId="85" xfId="0" applyFont="true" applyBorder="true" applyAlignment="true" applyProtection="true">
      <alignment horizontal="left" vertical="center" textRotation="0" wrapText="true" indent="0" shrinkToFit="false"/>
      <protection locked="false" hidden="false"/>
    </xf>
    <xf numFmtId="164" fontId="71" fillId="3" borderId="85" xfId="0" applyFont="true" applyBorder="true" applyAlignment="true" applyProtection="true">
      <alignment horizontal="left" vertical="center" textRotation="0" wrapText="true" indent="0" shrinkToFit="false"/>
      <protection locked="true" hidden="false"/>
    </xf>
    <xf numFmtId="164" fontId="68" fillId="3" borderId="85" xfId="0" applyFont="true" applyBorder="true" applyAlignment="true" applyProtection="true">
      <alignment horizontal="left" vertical="center" textRotation="0" wrapText="false" indent="0" shrinkToFit="false"/>
      <protection locked="false" hidden="false"/>
    </xf>
    <xf numFmtId="164" fontId="58" fillId="3" borderId="78" xfId="0" applyFont="true" applyBorder="true" applyAlignment="true" applyProtection="true">
      <alignment horizontal="left" vertical="center" textRotation="0" wrapText="false" indent="0" shrinkToFit="false"/>
      <protection locked="false" hidden="false"/>
    </xf>
    <xf numFmtId="164" fontId="58" fillId="3" borderId="78" xfId="0" applyFont="true" applyBorder="true" applyAlignment="true" applyProtection="true">
      <alignment horizontal="left" vertical="center" textRotation="0" wrapText="true" indent="0" shrinkToFit="false"/>
      <protection locked="false" hidden="false"/>
    </xf>
    <xf numFmtId="164" fontId="58" fillId="3" borderId="79" xfId="0" applyFont="true" applyBorder="true" applyAlignment="true" applyProtection="true">
      <alignment horizontal="left" vertical="center" textRotation="0" wrapText="true" indent="0" shrinkToFit="false"/>
      <protection locked="false" hidden="false"/>
    </xf>
    <xf numFmtId="164" fontId="4" fillId="3" borderId="24" xfId="0" applyFont="true" applyBorder="true" applyAlignment="true" applyProtection="true">
      <alignment horizontal="center" vertical="center" textRotation="0" wrapText="false" indent="0" shrinkToFit="false"/>
      <protection locked="true" hidden="false"/>
    </xf>
    <xf numFmtId="167" fontId="38" fillId="3" borderId="76" xfId="0" applyFont="true" applyBorder="true" applyAlignment="false" applyProtection="true">
      <alignment horizontal="general" vertical="center" textRotation="0" wrapText="false" indent="0" shrinkToFit="false"/>
      <protection locked="true" hidden="false"/>
    </xf>
    <xf numFmtId="164" fontId="95" fillId="3" borderId="72" xfId="0" applyFont="true" applyBorder="true" applyAlignment="true" applyProtection="true">
      <alignment horizontal="left" vertical="center" textRotation="0" wrapText="true" indent="0" shrinkToFit="false"/>
      <protection locked="true" hidden="false"/>
    </xf>
    <xf numFmtId="164" fontId="71" fillId="3" borderId="81" xfId="0" applyFont="true" applyBorder="true" applyAlignment="true" applyProtection="true">
      <alignment horizontal="general" vertical="center" textRotation="0" wrapText="false" indent="0" shrinkToFit="false"/>
      <protection locked="true" hidden="false"/>
    </xf>
    <xf numFmtId="164" fontId="58" fillId="3" borderId="64" xfId="0" applyFont="true" applyBorder="true" applyAlignment="true" applyProtection="true">
      <alignment horizontal="center" vertical="center" textRotation="0" wrapText="true" indent="0" shrinkToFit="false"/>
      <protection locked="true" hidden="false"/>
    </xf>
    <xf numFmtId="164" fontId="58" fillId="3" borderId="64" xfId="0" applyFont="true" applyBorder="true" applyAlignment="true" applyProtection="true">
      <alignment horizontal="general" vertical="center" textRotation="0" wrapText="true" indent="0" shrinkToFit="false"/>
      <protection locked="true" hidden="false"/>
    </xf>
    <xf numFmtId="164" fontId="58" fillId="3" borderId="50" xfId="0" applyFont="true" applyBorder="true" applyAlignment="true" applyProtection="true">
      <alignment horizontal="general" vertical="center" textRotation="0" wrapText="true" indent="0" shrinkToFit="false"/>
      <protection locked="true" hidden="false"/>
    </xf>
    <xf numFmtId="164" fontId="0" fillId="3" borderId="0" xfId="0" applyFont="true" applyBorder="true" applyAlignment="true" applyProtection="true">
      <alignment horizontal="center" vertical="center" textRotation="0" wrapText="false" indent="0" shrinkToFit="false"/>
      <protection locked="true" hidden="false"/>
    </xf>
    <xf numFmtId="164" fontId="0" fillId="3" borderId="0" xfId="0" applyFont="true" applyBorder="true" applyAlignment="false" applyProtection="true">
      <alignment horizontal="general" vertical="center" textRotation="0" wrapText="false" indent="0" shrinkToFit="false"/>
      <protection locked="true" hidden="false"/>
    </xf>
    <xf numFmtId="173" fontId="58" fillId="3" borderId="0" xfId="0" applyFont="true" applyBorder="true" applyAlignment="true" applyProtection="true">
      <alignment horizontal="general" vertical="center" textRotation="0" wrapText="true" indent="0" shrinkToFit="false"/>
      <protection locked="true" hidden="false"/>
    </xf>
    <xf numFmtId="174" fontId="0" fillId="3" borderId="68" xfId="0" applyFont="true" applyBorder="true" applyAlignment="true" applyProtection="true">
      <alignment horizontal="general" vertical="center" textRotation="0" wrapText="true" indent="0" shrinkToFit="false"/>
      <protection locked="true" hidden="false"/>
    </xf>
    <xf numFmtId="164" fontId="71" fillId="0" borderId="5" xfId="0" applyFont="true" applyBorder="true" applyAlignment="true" applyProtection="true">
      <alignment horizontal="left" vertical="center" textRotation="0" wrapText="false" indent="0" shrinkToFit="false"/>
      <protection locked="false" hidden="false"/>
    </xf>
    <xf numFmtId="164" fontId="53" fillId="2" borderId="5" xfId="0" applyFont="true" applyBorder="true" applyAlignment="true" applyProtection="true">
      <alignment horizontal="center" vertical="center" textRotation="0" wrapText="true" indent="0" shrinkToFit="false"/>
      <protection locked="false" hidden="false"/>
    </xf>
    <xf numFmtId="164" fontId="68" fillId="3" borderId="35" xfId="0" applyFont="true" applyBorder="true" applyAlignment="true" applyProtection="true">
      <alignment horizontal="left" vertical="center" textRotation="0" wrapText="false" indent="0" shrinkToFit="false"/>
      <protection locked="true" hidden="false"/>
    </xf>
    <xf numFmtId="164" fontId="120" fillId="3" borderId="0" xfId="0" applyFont="true" applyBorder="false" applyAlignment="true" applyProtection="true">
      <alignment horizontal="left" vertical="center" textRotation="0" wrapText="true" indent="0" shrinkToFit="false"/>
      <protection locked="true" hidden="false"/>
    </xf>
    <xf numFmtId="164" fontId="58" fillId="3" borderId="0" xfId="0" applyFont="true" applyBorder="true" applyAlignment="true" applyProtection="true">
      <alignment horizontal="left" vertical="center" textRotation="0" wrapText="true" indent="0" shrinkToFit="false"/>
      <protection locked="true" hidden="false"/>
    </xf>
    <xf numFmtId="164" fontId="67" fillId="3" borderId="9" xfId="0" applyFont="true" applyBorder="true" applyAlignment="true" applyProtection="true">
      <alignment horizontal="left" vertical="center" textRotation="0" wrapText="false" indent="0" shrinkToFit="false"/>
      <protection locked="true" hidden="false"/>
    </xf>
    <xf numFmtId="164" fontId="67" fillId="3" borderId="101" xfId="0" applyFont="true" applyBorder="true" applyAlignment="true" applyProtection="true">
      <alignment horizontal="left" vertical="center" textRotation="0" wrapText="false" indent="0" shrinkToFit="false"/>
      <protection locked="true" hidden="false"/>
    </xf>
    <xf numFmtId="164" fontId="29" fillId="3" borderId="16" xfId="0" applyFont="true" applyBorder="true" applyAlignment="true" applyProtection="true">
      <alignment horizontal="left" vertical="center" textRotation="0" wrapText="true" indent="0" shrinkToFit="false"/>
      <protection locked="true" hidden="false"/>
    </xf>
    <xf numFmtId="164" fontId="58" fillId="0" borderId="11" xfId="0" applyFont="true" applyBorder="true" applyAlignment="true" applyProtection="true">
      <alignment horizontal="left" vertical="center" textRotation="0" wrapText="true" indent="0" shrinkToFit="false"/>
      <protection locked="false" hidden="false"/>
    </xf>
    <xf numFmtId="164" fontId="77" fillId="0" borderId="63" xfId="0" applyFont="true" applyBorder="true" applyAlignment="true" applyProtection="true">
      <alignment horizontal="left" vertical="center" textRotation="0" wrapText="true" indent="0" shrinkToFit="false"/>
      <protection locked="false" hidden="false"/>
    </xf>
    <xf numFmtId="174" fontId="95" fillId="3" borderId="57" xfId="0" applyFont="true" applyBorder="true" applyAlignment="true" applyProtection="true">
      <alignment horizontal="center" vertical="center" textRotation="0" wrapText="true" indent="0" shrinkToFit="false"/>
      <protection locked="true" hidden="false"/>
    </xf>
    <xf numFmtId="164" fontId="95" fillId="3" borderId="58" xfId="0" applyFont="true" applyBorder="true" applyAlignment="true" applyProtection="true">
      <alignment horizontal="left" vertical="center" textRotation="0" wrapText="true" indent="0" shrinkToFit="false"/>
      <protection locked="true" hidden="false"/>
    </xf>
    <xf numFmtId="167" fontId="77" fillId="3" borderId="58" xfId="0" applyFont="true" applyBorder="true" applyAlignment="true" applyProtection="true">
      <alignment horizontal="left" vertical="center" textRotation="0" wrapText="true" indent="0" shrinkToFit="false"/>
      <protection locked="false" hidden="false"/>
    </xf>
    <xf numFmtId="164" fontId="71" fillId="3" borderId="58" xfId="0" applyFont="true" applyBorder="true" applyAlignment="true" applyProtection="true">
      <alignment horizontal="left" vertical="center" textRotation="0" wrapText="true" indent="0" shrinkToFit="false"/>
      <protection locked="false" hidden="false"/>
    </xf>
    <xf numFmtId="164" fontId="58" fillId="3" borderId="59" xfId="0" applyFont="true" applyBorder="true" applyAlignment="true" applyProtection="true">
      <alignment horizontal="left" vertical="center" textRotation="0" wrapText="true" indent="0" shrinkToFit="false"/>
      <protection locked="false" hidden="false"/>
    </xf>
    <xf numFmtId="164" fontId="58" fillId="5" borderId="0" xfId="0" applyFont="true" applyBorder="false" applyAlignment="true" applyProtection="true">
      <alignment horizontal="center" vertical="center" textRotation="0" wrapText="true" indent="0" shrinkToFit="false"/>
      <protection locked="false" hidden="false"/>
    </xf>
    <xf numFmtId="174" fontId="0" fillId="3" borderId="22" xfId="0" applyFont="true" applyBorder="true" applyAlignment="true" applyProtection="true">
      <alignment horizontal="general" vertical="center" textRotation="0" wrapText="true" indent="0" shrinkToFit="false"/>
      <protection locked="true" hidden="false"/>
    </xf>
    <xf numFmtId="164" fontId="58" fillId="3" borderId="5" xfId="0" applyFont="true" applyBorder="true" applyAlignment="true" applyProtection="true">
      <alignment horizontal="left" vertical="center" textRotation="0" wrapText="true" indent="0" shrinkToFit="false"/>
      <protection locked="false" hidden="false"/>
    </xf>
    <xf numFmtId="164" fontId="71" fillId="3" borderId="5" xfId="0" applyFont="true" applyBorder="true" applyAlignment="true" applyProtection="true">
      <alignment horizontal="left" vertical="center" textRotation="0" wrapText="false" indent="0" shrinkToFit="false"/>
      <protection locked="true" hidden="false"/>
    </xf>
    <xf numFmtId="164" fontId="58" fillId="0" borderId="5" xfId="0" applyFont="true" applyBorder="true" applyAlignment="true" applyProtection="true">
      <alignment horizontal="left" vertical="center" textRotation="0" wrapText="true" indent="0" shrinkToFit="false"/>
      <protection locked="false" hidden="false"/>
    </xf>
    <xf numFmtId="164" fontId="58" fillId="3" borderId="23" xfId="0" applyFont="true" applyBorder="true" applyAlignment="true" applyProtection="true">
      <alignment horizontal="left" vertical="center" textRotation="0" wrapText="true" indent="0" shrinkToFit="false"/>
      <protection locked="false" hidden="false"/>
    </xf>
    <xf numFmtId="173" fontId="58" fillId="5" borderId="0" xfId="0" applyFont="true" applyBorder="false" applyAlignment="true" applyProtection="true">
      <alignment horizontal="center" vertical="center" textRotation="0" wrapText="true" indent="0" shrinkToFit="false"/>
      <protection locked="false" hidden="false"/>
    </xf>
    <xf numFmtId="164" fontId="120" fillId="5" borderId="0" xfId="0" applyFont="true" applyBorder="false" applyAlignment="true" applyProtection="true">
      <alignment horizontal="general" vertical="center" textRotation="0" wrapText="true" indent="0" shrinkToFit="false"/>
      <protection locked="false" hidden="false"/>
    </xf>
    <xf numFmtId="164" fontId="58" fillId="0" borderId="0" xfId="0" applyFont="true" applyBorder="false" applyAlignment="true" applyProtection="true">
      <alignment horizontal="center" vertical="center" textRotation="0" wrapText="true" indent="0" shrinkToFit="false"/>
      <protection locked="false" hidden="false"/>
    </xf>
    <xf numFmtId="164" fontId="120" fillId="0" borderId="0" xfId="0" applyFont="true" applyBorder="false" applyAlignment="true" applyProtection="true">
      <alignment horizontal="general" vertical="center" textRotation="0" wrapText="true" indent="0" shrinkToFit="false"/>
      <protection locked="false" hidden="false"/>
    </xf>
    <xf numFmtId="174" fontId="0" fillId="3" borderId="24" xfId="0" applyFont="true" applyBorder="true" applyAlignment="true" applyProtection="true">
      <alignment horizontal="general" vertical="center" textRotation="0" wrapText="true" indent="0" shrinkToFit="false"/>
      <protection locked="true" hidden="false"/>
    </xf>
    <xf numFmtId="164" fontId="53" fillId="3" borderId="25" xfId="0" applyFont="true" applyBorder="true" applyAlignment="true" applyProtection="true">
      <alignment horizontal="left" vertical="center" textRotation="0" wrapText="true" indent="0" shrinkToFit="false"/>
      <protection locked="true" hidden="false"/>
    </xf>
    <xf numFmtId="164" fontId="58" fillId="3" borderId="25" xfId="0" applyFont="true" applyBorder="true" applyAlignment="true" applyProtection="true">
      <alignment horizontal="left" vertical="center" textRotation="0" wrapText="true" indent="0" shrinkToFit="false"/>
      <protection locked="false" hidden="false"/>
    </xf>
    <xf numFmtId="164" fontId="58" fillId="0" borderId="25" xfId="0" applyFont="true" applyBorder="true" applyAlignment="true" applyProtection="true">
      <alignment horizontal="left" vertical="center" textRotation="0" wrapText="true" indent="0" shrinkToFit="false"/>
      <protection locked="false" hidden="false"/>
    </xf>
    <xf numFmtId="164" fontId="71" fillId="3" borderId="25" xfId="0" applyFont="true" applyBorder="true" applyAlignment="true" applyProtection="true">
      <alignment horizontal="left" vertical="center" textRotation="0" wrapText="true" indent="0" shrinkToFit="false"/>
      <protection locked="false" hidden="false"/>
    </xf>
    <xf numFmtId="164" fontId="58" fillId="3" borderId="71" xfId="0" applyFont="true" applyBorder="true" applyAlignment="true" applyProtection="true">
      <alignment horizontal="left" vertical="center" textRotation="0" wrapText="true" indent="0" shrinkToFit="false"/>
      <protection locked="false" hidden="false"/>
    </xf>
    <xf numFmtId="173" fontId="58" fillId="0" borderId="0" xfId="0" applyFont="true" applyBorder="false" applyAlignment="true" applyProtection="true">
      <alignment horizontal="center" vertical="center" textRotation="0" wrapText="true" indent="0" shrinkToFit="false"/>
      <protection locked="false" hidden="false"/>
    </xf>
    <xf numFmtId="164" fontId="120" fillId="0" borderId="0" xfId="0" applyFont="true" applyBorder="false" applyAlignment="true" applyProtection="true">
      <alignment horizontal="center" vertical="center" textRotation="0" wrapText="true" indent="0" shrinkToFit="false"/>
      <protection locked="false" hidden="false"/>
    </xf>
    <xf numFmtId="164" fontId="120" fillId="0" borderId="0" xfId="0" applyFont="true" applyBorder="false" applyAlignment="true" applyProtection="true">
      <alignment horizontal="center" vertical="center" textRotation="0" wrapText="true" indent="0" shrinkToFit="false"/>
      <protection locked="true" hidden="false"/>
    </xf>
    <xf numFmtId="174" fontId="95" fillId="3" borderId="67" xfId="0" applyFont="true" applyBorder="true" applyAlignment="true" applyProtection="true">
      <alignment horizontal="center" vertical="center" textRotation="0" wrapText="true" indent="0" shrinkToFit="false"/>
      <protection locked="true" hidden="false"/>
    </xf>
    <xf numFmtId="167" fontId="97" fillId="3" borderId="6" xfId="0" applyFont="true" applyBorder="true" applyAlignment="true" applyProtection="true">
      <alignment horizontal="center" vertical="center" textRotation="0" wrapText="true" indent="0" shrinkToFit="false"/>
      <protection locked="true" hidden="false"/>
    </xf>
    <xf numFmtId="164" fontId="71" fillId="3" borderId="81" xfId="0" applyFont="true" applyBorder="true" applyAlignment="true" applyProtection="true">
      <alignment horizontal="general" vertical="center" textRotation="0" wrapText="true" indent="0" shrinkToFit="false"/>
      <protection locked="true" hidden="false"/>
    </xf>
    <xf numFmtId="164" fontId="58" fillId="3" borderId="83" xfId="0" applyFont="true" applyBorder="true" applyAlignment="true" applyProtection="true">
      <alignment horizontal="general" vertical="center" textRotation="0" wrapText="true" indent="0" shrinkToFit="false"/>
      <protection locked="true" hidden="false"/>
    </xf>
    <xf numFmtId="164" fontId="71" fillId="3" borderId="16" xfId="0" applyFont="true" applyBorder="true" applyAlignment="true" applyProtection="true">
      <alignment horizontal="center" vertical="center" textRotation="0" wrapText="true" indent="0" shrinkToFit="false"/>
      <protection locked="true" hidden="false"/>
    </xf>
    <xf numFmtId="164" fontId="58" fillId="2" borderId="6" xfId="0" applyFont="true" applyBorder="true" applyAlignment="true" applyProtection="true">
      <alignment horizontal="center" vertical="center" textRotation="0" wrapText="true" indent="0" shrinkToFit="false"/>
      <protection locked="false" hidden="false"/>
    </xf>
    <xf numFmtId="164" fontId="58" fillId="2" borderId="35" xfId="0" applyFont="true" applyBorder="true" applyAlignment="true" applyProtection="true">
      <alignment horizontal="center" vertical="center" textRotation="0" wrapText="true" indent="0" shrinkToFit="false"/>
      <protection locked="false" hidden="false"/>
    </xf>
    <xf numFmtId="164" fontId="58" fillId="2" borderId="58" xfId="0" applyFont="true" applyBorder="true" applyAlignment="true" applyProtection="true">
      <alignment horizontal="center" vertical="center" textRotation="0" wrapText="true" indent="0" shrinkToFit="false"/>
      <protection locked="false" hidden="false"/>
    </xf>
    <xf numFmtId="164" fontId="58" fillId="2" borderId="59" xfId="0" applyFont="true" applyBorder="true" applyAlignment="true" applyProtection="true">
      <alignment horizontal="center" vertical="center" textRotation="0" wrapText="true" indent="0" shrinkToFit="false"/>
      <protection locked="false" hidden="false"/>
    </xf>
    <xf numFmtId="164" fontId="71" fillId="3" borderId="25" xfId="0" applyFont="true" applyBorder="true" applyAlignment="true" applyProtection="true">
      <alignment horizontal="left" vertical="center" textRotation="0" wrapText="false" indent="0" shrinkToFit="false"/>
      <protection locked="true" hidden="false"/>
    </xf>
    <xf numFmtId="167" fontId="77" fillId="3" borderId="44" xfId="0" applyFont="true" applyBorder="true" applyAlignment="true" applyProtection="true">
      <alignment horizontal="center" vertical="center" textRotation="0" wrapText="true" indent="0" shrinkToFit="false"/>
      <protection locked="true" hidden="false"/>
    </xf>
    <xf numFmtId="167" fontId="77" fillId="3" borderId="25" xfId="0" applyFont="true" applyBorder="true" applyAlignment="true" applyProtection="true">
      <alignment horizontal="center" vertical="center" textRotation="0" wrapText="true" indent="0" shrinkToFit="false"/>
      <protection locked="true" hidden="false"/>
    </xf>
    <xf numFmtId="167" fontId="77" fillId="3" borderId="76" xfId="0" applyFont="true" applyBorder="true" applyAlignment="true" applyProtection="true">
      <alignment horizontal="center" vertical="center" textRotation="0" wrapText="true" indent="0" shrinkToFit="false"/>
      <protection locked="true" hidden="false"/>
    </xf>
    <xf numFmtId="164" fontId="58" fillId="2" borderId="25" xfId="0" applyFont="true" applyBorder="true" applyAlignment="true" applyProtection="true">
      <alignment horizontal="right" vertical="center" textRotation="0" wrapText="true" indent="0" shrinkToFit="false"/>
      <protection locked="false" hidden="false"/>
    </xf>
    <xf numFmtId="167" fontId="77" fillId="3" borderId="70" xfId="0" applyFont="true" applyBorder="true" applyAlignment="true" applyProtection="true">
      <alignment horizontal="center" vertical="center" textRotation="0" wrapText="true" indent="0" shrinkToFit="false"/>
      <protection locked="true" hidden="false"/>
    </xf>
    <xf numFmtId="167" fontId="77" fillId="3" borderId="100" xfId="0" applyFont="true" applyBorder="true" applyAlignment="true" applyProtection="true">
      <alignment horizontal="center" vertical="center" textRotation="0" wrapText="true" indent="0" shrinkToFit="false"/>
      <protection locked="true" hidden="false"/>
    </xf>
    <xf numFmtId="167" fontId="77" fillId="3" borderId="45" xfId="0" applyFont="true" applyBorder="true" applyAlignment="true" applyProtection="true">
      <alignment horizontal="center" vertical="center" textRotation="0" wrapText="true" indent="0" shrinkToFit="false"/>
      <protection locked="true" hidden="false"/>
    </xf>
    <xf numFmtId="174" fontId="130" fillId="3" borderId="67" xfId="0" applyFont="true" applyBorder="true" applyAlignment="true" applyProtection="true">
      <alignment horizontal="left" vertical="center" textRotation="0" wrapText="true" indent="0" shrinkToFit="false"/>
      <protection locked="true" hidden="false"/>
    </xf>
    <xf numFmtId="164" fontId="73" fillId="3" borderId="44" xfId="0" applyFont="true" applyBorder="true" applyAlignment="true" applyProtection="true">
      <alignment horizontal="left" vertical="center" textRotation="0" wrapText="true" indent="0" shrinkToFit="false"/>
      <protection locked="true" hidden="false"/>
    </xf>
    <xf numFmtId="167" fontId="130" fillId="3" borderId="100" xfId="0" applyFont="true" applyBorder="true" applyAlignment="true" applyProtection="true">
      <alignment horizontal="center" vertical="center" textRotation="0" wrapText="true" indent="0" shrinkToFit="false"/>
      <protection locked="true" hidden="false"/>
    </xf>
    <xf numFmtId="164" fontId="58" fillId="3" borderId="100" xfId="0" applyFont="true" applyBorder="true" applyAlignment="true" applyProtection="true">
      <alignment horizontal="general" vertical="center" textRotation="0" wrapText="false" indent="0" shrinkToFit="false"/>
      <protection locked="true" hidden="false"/>
    </xf>
    <xf numFmtId="164" fontId="124" fillId="3" borderId="26" xfId="0" applyFont="true" applyBorder="true" applyAlignment="true" applyProtection="true">
      <alignment horizontal="center" vertical="center" textRotation="0" wrapText="true" indent="0" shrinkToFit="false"/>
      <protection locked="true" hidden="false"/>
    </xf>
    <xf numFmtId="164" fontId="120" fillId="3" borderId="27" xfId="0" applyFont="true" applyBorder="true" applyAlignment="true" applyProtection="true">
      <alignment horizontal="general" vertical="center" textRotation="0" wrapText="true" indent="0" shrinkToFit="false"/>
      <protection locked="true" hidden="false"/>
    </xf>
    <xf numFmtId="168" fontId="58" fillId="5" borderId="0" xfId="0" applyFont="true" applyBorder="false" applyAlignment="true" applyProtection="true">
      <alignment horizontal="center" vertical="center" textRotation="0" wrapText="true" indent="0" shrinkToFit="false"/>
      <protection locked="false" hidden="false"/>
    </xf>
    <xf numFmtId="174" fontId="130" fillId="3" borderId="33" xfId="0" applyFont="true" applyBorder="true" applyAlignment="true" applyProtection="true">
      <alignment horizontal="left" vertical="center" textRotation="0" wrapText="true" indent="0" shrinkToFit="false"/>
      <protection locked="true" hidden="false"/>
    </xf>
    <xf numFmtId="164" fontId="73" fillId="3" borderId="102" xfId="0" applyFont="true" applyBorder="true" applyAlignment="true" applyProtection="true">
      <alignment horizontal="left" vertical="center" textRotation="0" wrapText="true" indent="0" shrinkToFit="false"/>
      <protection locked="true" hidden="false"/>
    </xf>
    <xf numFmtId="184" fontId="130" fillId="3" borderId="102" xfId="0" applyFont="true" applyBorder="true" applyAlignment="true" applyProtection="true">
      <alignment horizontal="center" vertical="center" textRotation="0" wrapText="true" indent="0" shrinkToFit="false"/>
      <protection locked="true" hidden="false"/>
    </xf>
    <xf numFmtId="164" fontId="65" fillId="3" borderId="102" xfId="0" applyFont="true" applyBorder="true" applyAlignment="true" applyProtection="true">
      <alignment horizontal="center" vertical="center" textRotation="0" wrapText="true" indent="0" shrinkToFit="false"/>
      <protection locked="true" hidden="false"/>
    </xf>
    <xf numFmtId="168" fontId="75" fillId="3" borderId="102" xfId="0" applyFont="true" applyBorder="true" applyAlignment="true" applyProtection="true">
      <alignment horizontal="center" vertical="center" textRotation="0" wrapText="true" indent="0" shrinkToFit="false"/>
      <protection locked="true" hidden="false"/>
    </xf>
    <xf numFmtId="168" fontId="75" fillId="3" borderId="78" xfId="0" applyFont="true" applyBorder="true" applyAlignment="true" applyProtection="true">
      <alignment horizontal="center" vertical="center" textRotation="0" wrapText="true" indent="0" shrinkToFit="false"/>
      <protection locked="true" hidden="false"/>
    </xf>
    <xf numFmtId="164" fontId="71" fillId="2" borderId="102" xfId="23" applyFont="true" applyBorder="true" applyAlignment="true" applyProtection="true">
      <alignment horizontal="center" vertical="center" textRotation="0" wrapText="true" indent="0" shrinkToFit="false"/>
      <protection locked="false" hidden="false"/>
    </xf>
    <xf numFmtId="173" fontId="77" fillId="3" borderId="78" xfId="0" applyFont="true" applyBorder="true" applyAlignment="true" applyProtection="true">
      <alignment horizontal="center" vertical="center" textRotation="0" wrapText="true" indent="0" shrinkToFit="false"/>
      <protection locked="true" hidden="false"/>
    </xf>
    <xf numFmtId="164" fontId="58" fillId="2" borderId="79" xfId="0" applyFont="true" applyBorder="true" applyAlignment="true" applyProtection="true">
      <alignment horizontal="general" vertical="center" textRotation="0" wrapText="true" indent="0" shrinkToFit="false"/>
      <protection locked="false" hidden="false"/>
    </xf>
    <xf numFmtId="164" fontId="65" fillId="3" borderId="57" xfId="0" applyFont="true" applyBorder="true" applyAlignment="true" applyProtection="true">
      <alignment horizontal="general" vertical="center" textRotation="0" wrapText="true" indent="0" shrinkToFit="false"/>
      <protection locked="true" hidden="false"/>
    </xf>
    <xf numFmtId="167" fontId="109" fillId="3" borderId="59" xfId="0" applyFont="true" applyBorder="true" applyAlignment="true" applyProtection="true">
      <alignment horizontal="center" vertical="center" textRotation="0" wrapText="true" indent="0" shrinkToFit="false"/>
      <protection locked="true" hidden="false"/>
    </xf>
    <xf numFmtId="164" fontId="71" fillId="3" borderId="78" xfId="0" applyFont="true" applyBorder="true" applyAlignment="true" applyProtection="true">
      <alignment horizontal="center" vertical="center" textRotation="0" wrapText="true" indent="0" shrinkToFit="false"/>
      <protection locked="true" hidden="false"/>
    </xf>
    <xf numFmtId="167" fontId="30" fillId="3" borderId="34" xfId="0" applyFont="true" applyBorder="true" applyAlignment="true" applyProtection="true">
      <alignment horizontal="center" vertical="center" textRotation="0" wrapText="true" indent="0" shrinkToFit="false"/>
      <protection locked="true" hidden="false"/>
    </xf>
    <xf numFmtId="164" fontId="58" fillId="5" borderId="0" xfId="0" applyFont="true" applyBorder="false" applyAlignment="true" applyProtection="true">
      <alignment horizontal="center" vertical="center" textRotation="0" wrapText="true" indent="0" shrinkToFit="false"/>
      <protection locked="false" hidden="false"/>
    </xf>
    <xf numFmtId="174" fontId="130" fillId="3" borderId="87" xfId="0" applyFont="true" applyBorder="true" applyAlignment="true" applyProtection="true">
      <alignment horizontal="left" vertical="center" textRotation="0" wrapText="true" indent="0" shrinkToFit="false"/>
      <protection locked="true" hidden="false"/>
    </xf>
    <xf numFmtId="164" fontId="73" fillId="3" borderId="72" xfId="0" applyFont="true" applyBorder="true" applyAlignment="true" applyProtection="true">
      <alignment horizontal="left" vertical="center" textRotation="0" wrapText="true" indent="0" shrinkToFit="false"/>
      <protection locked="true" hidden="false"/>
    </xf>
    <xf numFmtId="184" fontId="130" fillId="3" borderId="72" xfId="0" applyFont="true" applyBorder="true" applyAlignment="true" applyProtection="true">
      <alignment horizontal="center" vertical="center" textRotation="0" wrapText="true" indent="0" shrinkToFit="false"/>
      <protection locked="true" hidden="false"/>
    </xf>
    <xf numFmtId="164" fontId="71" fillId="3" borderId="72" xfId="0" applyFont="true" applyBorder="true" applyAlignment="true" applyProtection="true">
      <alignment horizontal="center" vertical="center" textRotation="0" wrapText="true" indent="0" shrinkToFit="false"/>
      <protection locked="true" hidden="false"/>
    </xf>
    <xf numFmtId="173" fontId="77" fillId="3" borderId="72" xfId="0" applyFont="true" applyBorder="true" applyAlignment="true" applyProtection="true">
      <alignment horizontal="center" vertical="center" textRotation="0" wrapText="true" indent="0" shrinkToFit="false"/>
      <protection locked="true" hidden="false"/>
    </xf>
    <xf numFmtId="178" fontId="30" fillId="3" borderId="72" xfId="0" applyFont="true" applyBorder="true" applyAlignment="true" applyProtection="true">
      <alignment horizontal="center" vertical="center" textRotation="0" wrapText="true" indent="0" shrinkToFit="false"/>
      <protection locked="true" hidden="false"/>
    </xf>
    <xf numFmtId="167" fontId="77" fillId="3" borderId="73" xfId="0" applyFont="true" applyBorder="true" applyAlignment="true" applyProtection="true">
      <alignment horizontal="center" vertical="center" textRotation="0" wrapText="true" indent="0" shrinkToFit="false"/>
      <protection locked="true" hidden="false"/>
    </xf>
    <xf numFmtId="167" fontId="77" fillId="3" borderId="82" xfId="0" applyFont="true" applyBorder="true" applyAlignment="true" applyProtection="true">
      <alignment horizontal="center" vertical="center" textRotation="0" wrapText="true" indent="0" shrinkToFit="false"/>
      <protection locked="true" hidden="false"/>
    </xf>
    <xf numFmtId="164" fontId="65" fillId="3" borderId="24" xfId="0" applyFont="true" applyBorder="true" applyAlignment="true" applyProtection="true">
      <alignment horizontal="general" vertical="center" textRotation="0" wrapText="true" indent="0" shrinkToFit="false"/>
      <protection locked="true" hidden="false"/>
    </xf>
    <xf numFmtId="167" fontId="109" fillId="3" borderId="71" xfId="0" applyFont="true" applyBorder="true" applyAlignment="true" applyProtection="true">
      <alignment horizontal="center" vertical="center" textRotation="0" wrapText="true" indent="0" shrinkToFit="false"/>
      <protection locked="true" hidden="false"/>
    </xf>
    <xf numFmtId="164" fontId="65" fillId="3" borderId="18" xfId="23" applyFont="true" applyBorder="true" applyAlignment="true" applyProtection="true">
      <alignment horizontal="center" vertical="center" textRotation="0" wrapText="true" indent="0" shrinkToFit="false"/>
      <protection locked="false" hidden="false"/>
    </xf>
    <xf numFmtId="164" fontId="65" fillId="3" borderId="58" xfId="23" applyFont="true" applyBorder="true" applyAlignment="true" applyProtection="true">
      <alignment horizontal="general" vertical="center" textRotation="0" wrapText="true" indent="0" shrinkToFit="false"/>
      <protection locked="false" hidden="false"/>
    </xf>
    <xf numFmtId="164" fontId="65" fillId="3" borderId="19" xfId="23" applyFont="true" applyBorder="true" applyAlignment="true" applyProtection="true">
      <alignment horizontal="general" vertical="center" textRotation="0" wrapText="false" indent="0" shrinkToFit="false"/>
      <protection locked="false" hidden="false"/>
    </xf>
    <xf numFmtId="174" fontId="130" fillId="3" borderId="57" xfId="0" applyFont="true" applyBorder="true" applyAlignment="true" applyProtection="true">
      <alignment horizontal="left" vertical="center" textRotation="0" wrapText="true" indent="0" shrinkToFit="false"/>
      <protection locked="true" hidden="false"/>
    </xf>
    <xf numFmtId="164" fontId="124" fillId="2" borderId="58" xfId="0" applyFont="true" applyBorder="true" applyAlignment="true" applyProtection="true">
      <alignment horizontal="left" vertical="center" textRotation="0" wrapText="true" indent="0" shrinkToFit="false"/>
      <protection locked="false" hidden="false"/>
    </xf>
    <xf numFmtId="167" fontId="75" fillId="3" borderId="58" xfId="0" applyFont="true" applyBorder="true" applyAlignment="true" applyProtection="true">
      <alignment horizontal="center" vertical="center" textRotation="0" wrapText="true" indent="0" shrinkToFit="false"/>
      <protection locked="true" hidden="false"/>
    </xf>
    <xf numFmtId="164" fontId="120" fillId="3" borderId="18" xfId="0" applyFont="true" applyBorder="true" applyAlignment="true" applyProtection="true">
      <alignment horizontal="general" vertical="center" textRotation="0" wrapText="true" indent="0" shrinkToFit="false"/>
      <protection locked="true" hidden="false"/>
    </xf>
    <xf numFmtId="164" fontId="120" fillId="3" borderId="59" xfId="0" applyFont="true" applyBorder="true" applyAlignment="true" applyProtection="true">
      <alignment horizontal="general" vertical="center" textRotation="0" wrapText="true" indent="0" shrinkToFit="false"/>
      <protection locked="true" hidden="false"/>
    </xf>
    <xf numFmtId="164" fontId="65" fillId="3" borderId="22" xfId="23" applyFont="true" applyBorder="true" applyAlignment="true" applyProtection="true">
      <alignment horizontal="center" vertical="center" textRotation="0" wrapText="true" indent="0" shrinkToFit="false"/>
      <protection locked="true" hidden="false"/>
    </xf>
    <xf numFmtId="173" fontId="65" fillId="0" borderId="8" xfId="23" applyFont="true" applyBorder="true" applyAlignment="true" applyProtection="true">
      <alignment horizontal="center" vertical="center" textRotation="0" wrapText="true" indent="0" shrinkToFit="false"/>
      <protection locked="false" hidden="false"/>
    </xf>
    <xf numFmtId="173" fontId="77" fillId="3" borderId="23" xfId="23" applyFont="true" applyBorder="true" applyAlignment="true" applyProtection="true">
      <alignment horizontal="center" vertical="center" textRotation="0" wrapText="true" indent="0" shrinkToFit="false"/>
      <protection locked="true" hidden="false"/>
    </xf>
    <xf numFmtId="174" fontId="65" fillId="3" borderId="65" xfId="0" applyFont="true" applyBorder="true" applyAlignment="true" applyProtection="true">
      <alignment horizontal="center" vertical="center" textRotation="0" wrapText="true" indent="0" shrinkToFit="false"/>
      <protection locked="true" hidden="false"/>
    </xf>
    <xf numFmtId="164" fontId="65" fillId="3" borderId="5" xfId="0" applyFont="true" applyBorder="true" applyAlignment="true" applyProtection="true">
      <alignment horizontal="left" vertical="center" textRotation="0" wrapText="true" indent="0" shrinkToFit="false"/>
      <protection locked="true" hidden="false"/>
    </xf>
    <xf numFmtId="164" fontId="75" fillId="3" borderId="5" xfId="0" applyFont="true" applyBorder="true" applyAlignment="true" applyProtection="true">
      <alignment horizontal="left" vertical="center" textRotation="0" wrapText="true" indent="0" shrinkToFit="false"/>
      <protection locked="true" hidden="false"/>
    </xf>
    <xf numFmtId="167" fontId="75" fillId="3" borderId="23" xfId="0" applyFont="true" applyBorder="true" applyAlignment="true" applyProtection="true">
      <alignment horizontal="center" vertical="center" textRotation="0" wrapText="true" indent="0" shrinkToFit="false"/>
      <protection locked="true" hidden="false"/>
    </xf>
    <xf numFmtId="164" fontId="65" fillId="3" borderId="11" xfId="0" applyFont="true" applyBorder="true" applyAlignment="true" applyProtection="true">
      <alignment horizontal="left" vertical="center" textRotation="0" wrapText="true" indent="0" shrinkToFit="false"/>
      <protection locked="true" hidden="false"/>
    </xf>
    <xf numFmtId="167" fontId="130" fillId="3" borderId="16" xfId="0" applyFont="true" applyBorder="true" applyAlignment="true" applyProtection="true">
      <alignment horizontal="center" vertical="center" textRotation="0" wrapText="true" indent="0" shrinkToFit="false"/>
      <protection locked="true" hidden="false"/>
    </xf>
    <xf numFmtId="164" fontId="58" fillId="3" borderId="0" xfId="0" applyFont="true" applyBorder="true" applyAlignment="true" applyProtection="true">
      <alignment horizontal="general" vertical="center" textRotation="0" wrapText="true" indent="0" shrinkToFit="false"/>
      <protection locked="true" hidden="false"/>
    </xf>
    <xf numFmtId="184" fontId="58" fillId="3" borderId="16" xfId="0" applyFont="true" applyBorder="true" applyAlignment="true" applyProtection="true">
      <alignment horizontal="center" vertical="center" textRotation="0" wrapText="true" indent="0" shrinkToFit="false"/>
      <protection locked="true" hidden="false"/>
    </xf>
    <xf numFmtId="184" fontId="58" fillId="3" borderId="32" xfId="0" applyFont="true" applyBorder="true" applyAlignment="true" applyProtection="true">
      <alignment horizontal="center" vertical="center" textRotation="0" wrapText="true" indent="0" shrinkToFit="false"/>
      <protection locked="true" hidden="false"/>
    </xf>
    <xf numFmtId="164" fontId="58" fillId="3" borderId="39" xfId="0" applyFont="true" applyBorder="true" applyAlignment="true" applyProtection="true">
      <alignment horizontal="general" vertical="center" textRotation="0" wrapText="true" indent="0" shrinkToFit="false"/>
      <protection locked="true" hidden="false"/>
    </xf>
    <xf numFmtId="164" fontId="120" fillId="3" borderId="11" xfId="0" applyFont="true" applyBorder="true" applyAlignment="true" applyProtection="true">
      <alignment horizontal="general" vertical="center" textRotation="0" wrapText="true" indent="0" shrinkToFit="false"/>
      <protection locked="true" hidden="false"/>
    </xf>
    <xf numFmtId="164" fontId="120" fillId="3" borderId="63" xfId="0" applyFont="true" applyBorder="true" applyAlignment="true" applyProtection="true">
      <alignment horizontal="general" vertical="center" textRotation="0" wrapText="true" indent="0" shrinkToFit="false"/>
      <protection locked="true" hidden="false"/>
    </xf>
    <xf numFmtId="164" fontId="58" fillId="3" borderId="78" xfId="0" applyFont="true" applyBorder="true" applyAlignment="true" applyProtection="true">
      <alignment horizontal="general" vertical="center" textRotation="0" wrapText="false" indent="0" shrinkToFit="false"/>
      <protection locked="true" hidden="false"/>
    </xf>
    <xf numFmtId="164" fontId="120" fillId="3" borderId="102" xfId="0" applyFont="true" applyBorder="true" applyAlignment="true" applyProtection="true">
      <alignment horizontal="general" vertical="center" textRotation="0" wrapText="true" indent="0" shrinkToFit="false"/>
      <protection locked="true" hidden="false"/>
    </xf>
    <xf numFmtId="164" fontId="120" fillId="3" borderId="34" xfId="0" applyFont="true" applyBorder="true" applyAlignment="true" applyProtection="true">
      <alignment horizontal="general" vertical="center" textRotation="0" wrapText="true" indent="0" shrinkToFit="false"/>
      <protection locked="true" hidden="false"/>
    </xf>
    <xf numFmtId="164" fontId="65" fillId="3" borderId="24" xfId="23" applyFont="true" applyBorder="true" applyAlignment="true" applyProtection="true">
      <alignment horizontal="center" vertical="center" textRotation="0" wrapText="true" indent="0" shrinkToFit="false"/>
      <protection locked="true" hidden="false"/>
    </xf>
    <xf numFmtId="173" fontId="65" fillId="0" borderId="70" xfId="23" applyFont="true" applyBorder="true" applyAlignment="true" applyProtection="true">
      <alignment horizontal="center" vertical="center" textRotation="0" wrapText="true" indent="0" shrinkToFit="false"/>
      <protection locked="false" hidden="false"/>
    </xf>
    <xf numFmtId="173" fontId="77" fillId="3" borderId="71" xfId="23" applyFont="true" applyBorder="true" applyAlignment="true" applyProtection="true">
      <alignment horizontal="center" vertical="center" textRotation="0" wrapText="true" indent="0" shrinkToFit="false"/>
      <protection locked="true" hidden="false"/>
    </xf>
    <xf numFmtId="164" fontId="73" fillId="3" borderId="81" xfId="0" applyFont="true" applyBorder="true" applyAlignment="true" applyProtection="true">
      <alignment horizontal="left" vertical="center" textRotation="0" wrapText="true" indent="0" shrinkToFit="false"/>
      <protection locked="true" hidden="false"/>
    </xf>
    <xf numFmtId="164" fontId="96" fillId="3" borderId="64" xfId="0" applyFont="true" applyBorder="true" applyAlignment="true" applyProtection="true">
      <alignment horizontal="center" vertical="center" textRotation="0" wrapText="true" indent="0" shrinkToFit="false"/>
      <protection locked="true" hidden="false"/>
    </xf>
    <xf numFmtId="164" fontId="96" fillId="3" borderId="18" xfId="0" applyFont="true" applyBorder="true" applyAlignment="true" applyProtection="true">
      <alignment horizontal="general" vertical="center" textRotation="0" wrapText="true" indent="0" shrinkToFit="false"/>
      <protection locked="true" hidden="false"/>
    </xf>
    <xf numFmtId="164" fontId="65" fillId="3" borderId="87" xfId="23" applyFont="true" applyBorder="true" applyAlignment="true" applyProtection="true">
      <alignment horizontal="center" vertical="center" textRotation="0" wrapText="true" indent="0" shrinkToFit="false"/>
      <protection locked="false" hidden="false"/>
    </xf>
    <xf numFmtId="164" fontId="65" fillId="3" borderId="0" xfId="23" applyFont="true" applyBorder="true" applyAlignment="true" applyProtection="true">
      <alignment horizontal="general" vertical="center" textRotation="0" wrapText="true" indent="0" shrinkToFit="false"/>
      <protection locked="false" hidden="false"/>
    </xf>
    <xf numFmtId="173" fontId="77" fillId="3" borderId="63" xfId="23" applyFont="true" applyBorder="true" applyAlignment="true" applyProtection="true">
      <alignment horizontal="center" vertical="center" textRotation="0" wrapText="true" indent="0" shrinkToFit="false"/>
      <protection locked="true" hidden="false"/>
    </xf>
    <xf numFmtId="174" fontId="124" fillId="3" borderId="68" xfId="0" applyFont="true" applyBorder="true" applyAlignment="true" applyProtection="true">
      <alignment horizontal="center" vertical="center" textRotation="0" wrapText="true" indent="0" shrinkToFit="false"/>
      <protection locked="true" hidden="false"/>
    </xf>
    <xf numFmtId="167" fontId="97" fillId="10" borderId="5" xfId="0" applyFont="true" applyBorder="true" applyAlignment="true" applyProtection="true">
      <alignment horizontal="center" vertical="center" textRotation="0" wrapText="true" indent="0" shrinkToFit="false"/>
      <protection locked="true" hidden="false"/>
    </xf>
    <xf numFmtId="164" fontId="58" fillId="3" borderId="32" xfId="0" applyFont="true" applyBorder="true" applyAlignment="true" applyProtection="true">
      <alignment horizontal="general" vertical="center" textRotation="0" wrapText="true" indent="0" shrinkToFit="false"/>
      <protection locked="true" hidden="false"/>
    </xf>
    <xf numFmtId="164" fontId="96" fillId="3" borderId="0" xfId="0" applyFont="true" applyBorder="true" applyAlignment="true" applyProtection="true">
      <alignment horizontal="general" vertical="center" textRotation="0" wrapText="true" indent="0" shrinkToFit="false"/>
      <protection locked="true" hidden="false"/>
    </xf>
    <xf numFmtId="164" fontId="58" fillId="3" borderId="21" xfId="0" applyFont="true" applyBorder="true" applyAlignment="true" applyProtection="true">
      <alignment horizontal="general" vertical="center" textRotation="0" wrapText="true" indent="0" shrinkToFit="false"/>
      <protection locked="true" hidden="false"/>
    </xf>
    <xf numFmtId="164" fontId="71" fillId="3" borderId="57" xfId="0" applyFont="true" applyBorder="true" applyAlignment="true" applyProtection="true">
      <alignment horizontal="left" vertical="center" textRotation="0" wrapText="true" indent="0" shrinkToFit="false"/>
      <protection locked="true" hidden="false"/>
    </xf>
    <xf numFmtId="164" fontId="71" fillId="3" borderId="58" xfId="0" applyFont="true" applyBorder="true" applyAlignment="true" applyProtection="true">
      <alignment horizontal="left" vertical="center" textRotation="0" wrapText="true" indent="0" shrinkToFit="false"/>
      <protection locked="true" hidden="false"/>
    </xf>
    <xf numFmtId="173" fontId="71" fillId="5" borderId="59" xfId="0" applyFont="true" applyBorder="true" applyAlignment="true" applyProtection="true">
      <alignment horizontal="left" vertical="center" textRotation="0" wrapText="true" indent="0" shrinkToFit="false"/>
      <protection locked="false" hidden="false"/>
    </xf>
    <xf numFmtId="164" fontId="65" fillId="3" borderId="0" xfId="0" applyFont="true" applyBorder="true" applyAlignment="true" applyProtection="true">
      <alignment horizontal="left" vertical="center" textRotation="0" wrapText="true" indent="0" shrinkToFit="false"/>
      <protection locked="true" hidden="false"/>
    </xf>
    <xf numFmtId="167" fontId="97" fillId="3" borderId="16" xfId="0" applyFont="true" applyBorder="true" applyAlignment="true" applyProtection="true">
      <alignment horizontal="center" vertical="center" textRotation="0" wrapText="true" indent="0" shrinkToFit="false"/>
      <protection locked="true" hidden="false"/>
    </xf>
    <xf numFmtId="164" fontId="58" fillId="3" borderId="100" xfId="0" applyFont="true" applyBorder="true" applyAlignment="true" applyProtection="true">
      <alignment horizontal="general" vertical="center" textRotation="0" wrapText="true" indent="0" shrinkToFit="false"/>
      <protection locked="true" hidden="false"/>
    </xf>
    <xf numFmtId="164" fontId="58" fillId="3" borderId="26" xfId="0" applyFont="true" applyBorder="true" applyAlignment="true" applyProtection="true">
      <alignment horizontal="general" vertical="center" textRotation="0" wrapText="true" indent="0" shrinkToFit="false"/>
      <protection locked="true" hidden="false"/>
    </xf>
    <xf numFmtId="164" fontId="96" fillId="3" borderId="26" xfId="0" applyFont="true" applyBorder="true" applyAlignment="true" applyProtection="true">
      <alignment horizontal="general" vertical="center" textRotation="0" wrapText="true" indent="0" shrinkToFit="false"/>
      <protection locked="true" hidden="false"/>
    </xf>
    <xf numFmtId="164" fontId="58" fillId="3" borderId="27" xfId="0" applyFont="true" applyBorder="true" applyAlignment="true" applyProtection="true">
      <alignment horizontal="general" vertical="center" textRotation="0" wrapText="true" indent="0" shrinkToFit="false"/>
      <protection locked="true" hidden="false"/>
    </xf>
    <xf numFmtId="164" fontId="71" fillId="3" borderId="22" xfId="0" applyFont="true" applyBorder="true" applyAlignment="true" applyProtection="true">
      <alignment horizontal="left" vertical="center" textRotation="0" wrapText="true" indent="0" shrinkToFit="false"/>
      <protection locked="true" hidden="false"/>
    </xf>
    <xf numFmtId="164" fontId="77" fillId="3" borderId="23" xfId="0" applyFont="true" applyBorder="true" applyAlignment="true" applyProtection="true">
      <alignment horizontal="left" vertical="center" textRotation="0" wrapText="true" indent="0" shrinkToFit="false"/>
      <protection locked="true" hidden="false"/>
    </xf>
    <xf numFmtId="174" fontId="124" fillId="3" borderId="87" xfId="0" applyFont="true" applyBorder="true" applyAlignment="true" applyProtection="true">
      <alignment horizontal="center" vertical="center" textRotation="0" wrapText="true" indent="0" shrinkToFit="false"/>
      <protection locked="true" hidden="false"/>
    </xf>
    <xf numFmtId="164" fontId="95" fillId="3" borderId="83" xfId="0" applyFont="true" applyBorder="true" applyAlignment="true" applyProtection="true">
      <alignment horizontal="general" vertical="center" textRotation="0" wrapText="true" indent="0" shrinkToFit="false"/>
      <protection locked="true" hidden="false"/>
    </xf>
    <xf numFmtId="164" fontId="73" fillId="3" borderId="58" xfId="0" applyFont="true" applyBorder="true" applyAlignment="true" applyProtection="true">
      <alignment horizontal="center" vertical="center" textRotation="0" wrapText="true" indent="0" shrinkToFit="false"/>
      <protection locked="true" hidden="false"/>
    </xf>
    <xf numFmtId="164" fontId="73" fillId="3" borderId="81" xfId="0" applyFont="true" applyBorder="true" applyAlignment="true" applyProtection="true">
      <alignment horizontal="center" vertical="center" textRotation="0" wrapText="true" indent="0" shrinkToFit="false"/>
      <protection locked="true" hidden="false"/>
    </xf>
    <xf numFmtId="164" fontId="96" fillId="3" borderId="81" xfId="0" applyFont="true" applyBorder="true" applyAlignment="true" applyProtection="true">
      <alignment horizontal="general" vertical="center" textRotation="0" wrapText="true" indent="0" shrinkToFit="false"/>
      <protection locked="true" hidden="false"/>
    </xf>
    <xf numFmtId="166" fontId="71" fillId="3" borderId="24" xfId="0" applyFont="true" applyBorder="true" applyAlignment="true" applyProtection="true">
      <alignment horizontal="left" vertical="center" textRotation="0" wrapText="true" indent="0" shrinkToFit="false"/>
      <protection locked="true" hidden="false"/>
    </xf>
    <xf numFmtId="173" fontId="77" fillId="5" borderId="71" xfId="0" applyFont="true" applyBorder="true" applyAlignment="true" applyProtection="true">
      <alignment horizontal="left" vertical="center" textRotation="0" wrapText="true" indent="0" shrinkToFit="false"/>
      <protection locked="false" hidden="false"/>
    </xf>
    <xf numFmtId="164" fontId="58" fillId="3" borderId="68" xfId="0" applyFont="true" applyBorder="true" applyAlignment="true" applyProtection="true">
      <alignment horizontal="center" vertical="center" textRotation="0" wrapText="true" indent="0" shrinkToFit="false"/>
      <protection locked="true" hidden="false"/>
    </xf>
    <xf numFmtId="164" fontId="71" fillId="3" borderId="8" xfId="0" applyFont="true" applyBorder="true" applyAlignment="true" applyProtection="true">
      <alignment horizontal="left" vertical="center" textRotation="0" wrapText="true" indent="0" shrinkToFit="false"/>
      <protection locked="true" hidden="false"/>
    </xf>
    <xf numFmtId="167" fontId="97" fillId="3" borderId="5" xfId="0" applyFont="true" applyBorder="true" applyAlignment="true" applyProtection="true">
      <alignment horizontal="center" vertical="center" textRotation="0" wrapText="true" indent="0" shrinkToFit="false"/>
      <protection locked="true" hidden="false"/>
    </xf>
    <xf numFmtId="164" fontId="58" fillId="0" borderId="5" xfId="0" applyFont="true" applyBorder="true" applyAlignment="true" applyProtection="true">
      <alignment horizontal="general" vertical="center" textRotation="0" wrapText="true" indent="0" shrinkToFit="false"/>
      <protection locked="false" hidden="false"/>
    </xf>
    <xf numFmtId="164" fontId="71" fillId="5" borderId="0" xfId="0" applyFont="true" applyBorder="false" applyAlignment="true" applyProtection="true">
      <alignment horizontal="left" vertical="center" textRotation="0" wrapText="true" indent="0" shrinkToFit="false"/>
      <protection locked="true" hidden="false"/>
    </xf>
    <xf numFmtId="164" fontId="77" fillId="5" borderId="0" xfId="0" applyFont="true" applyBorder="false" applyAlignment="true" applyProtection="true">
      <alignment horizontal="left" vertical="center" textRotation="0" wrapText="true" indent="0" shrinkToFit="false"/>
      <protection locked="true" hidden="false"/>
    </xf>
    <xf numFmtId="164" fontId="96" fillId="3" borderId="67" xfId="0" applyFont="true" applyBorder="true" applyAlignment="true" applyProtection="true">
      <alignment horizontal="general" vertical="center" textRotation="0" wrapText="true" indent="0" shrinkToFit="false"/>
      <protection locked="true" hidden="false"/>
    </xf>
    <xf numFmtId="164" fontId="71" fillId="3" borderId="70" xfId="0" applyFont="true" applyBorder="true" applyAlignment="true" applyProtection="true">
      <alignment horizontal="left" vertical="center" textRotation="0" wrapText="true" indent="0" shrinkToFit="false"/>
      <protection locked="true" hidden="false"/>
    </xf>
    <xf numFmtId="164" fontId="58" fillId="0" borderId="25" xfId="0" applyFont="true" applyBorder="true" applyAlignment="true" applyProtection="true">
      <alignment horizontal="general" vertical="center" textRotation="0" wrapText="true" indent="0" shrinkToFit="false"/>
      <protection locked="false" hidden="false"/>
    </xf>
    <xf numFmtId="164" fontId="71" fillId="3" borderId="25" xfId="0" applyFont="true" applyBorder="true" applyAlignment="true" applyProtection="true">
      <alignment horizontal="general" vertical="center" textRotation="0" wrapText="false" indent="0" shrinkToFit="false"/>
      <protection locked="true" hidden="false"/>
    </xf>
    <xf numFmtId="164" fontId="58" fillId="3" borderId="97" xfId="0" applyFont="true" applyBorder="true" applyAlignment="true" applyProtection="true">
      <alignment horizontal="general" vertical="center" textRotation="0" wrapText="true" indent="0" shrinkToFit="false"/>
      <protection locked="true" hidden="false"/>
    </xf>
    <xf numFmtId="164" fontId="58" fillId="3" borderId="84" xfId="0" applyFont="true" applyBorder="true" applyAlignment="true" applyProtection="true">
      <alignment horizontal="general" vertical="center" textRotation="0" wrapText="true" indent="0" shrinkToFit="false"/>
      <protection locked="true" hidden="false"/>
    </xf>
    <xf numFmtId="164" fontId="96" fillId="3" borderId="87" xfId="0" applyFont="true" applyBorder="true" applyAlignment="true" applyProtection="true">
      <alignment horizontal="general" vertical="center" textRotation="0" wrapText="true" indent="0" shrinkToFit="false"/>
      <protection locked="true" hidden="false"/>
    </xf>
    <xf numFmtId="164" fontId="95" fillId="3" borderId="107" xfId="0" applyFont="true" applyBorder="true" applyAlignment="true" applyProtection="true">
      <alignment horizontal="left" vertical="center" textRotation="0" wrapText="true" indent="0" shrinkToFit="false"/>
      <protection locked="true" hidden="false"/>
    </xf>
    <xf numFmtId="164" fontId="71" fillId="3" borderId="64" xfId="0" applyFont="true" applyBorder="true" applyAlignment="true" applyProtection="true">
      <alignment horizontal="general" vertical="center" textRotation="0" wrapText="false" indent="0" shrinkToFit="false"/>
      <protection locked="true" hidden="false"/>
    </xf>
    <xf numFmtId="164" fontId="58" fillId="3" borderId="64" xfId="0" applyFont="true" applyBorder="true" applyAlignment="true" applyProtection="true">
      <alignment horizontal="general" vertical="center" textRotation="0" wrapText="false" indent="0" shrinkToFit="false"/>
      <protection locked="true" hidden="false"/>
    </xf>
    <xf numFmtId="164" fontId="58" fillId="3" borderId="83" xfId="0" applyFont="true" applyBorder="true" applyAlignment="true" applyProtection="true">
      <alignment horizontal="general" vertical="center" textRotation="0" wrapText="false" indent="0" shrinkToFit="false"/>
      <protection locked="true" hidden="false"/>
    </xf>
    <xf numFmtId="164" fontId="96" fillId="3" borderId="37" xfId="0" applyFont="true" applyBorder="true" applyAlignment="true" applyProtection="true">
      <alignment horizontal="general" vertical="center" textRotation="0" wrapText="true" indent="0" shrinkToFit="false"/>
      <protection locked="true" hidden="false"/>
    </xf>
    <xf numFmtId="164" fontId="73" fillId="3" borderId="8" xfId="0" applyFont="true" applyBorder="true" applyAlignment="true" applyProtection="true">
      <alignment horizontal="center" vertical="center" textRotation="0" wrapText="true" indent="0" shrinkToFit="false"/>
      <protection locked="true" hidden="false"/>
    </xf>
    <xf numFmtId="164" fontId="73" fillId="3" borderId="5" xfId="0" applyFont="true" applyBorder="true" applyAlignment="true" applyProtection="true">
      <alignment horizontal="center" vertical="center" textRotation="0" wrapText="true" indent="0" shrinkToFit="false"/>
      <protection locked="true" hidden="false"/>
    </xf>
    <xf numFmtId="164" fontId="73" fillId="3" borderId="6" xfId="0" applyFont="true" applyBorder="true" applyAlignment="true" applyProtection="true">
      <alignment horizontal="center" vertical="center" textRotation="0" wrapText="true" indent="0" shrinkToFit="false"/>
      <protection locked="true" hidden="false"/>
    </xf>
    <xf numFmtId="164" fontId="77" fillId="5" borderId="0" xfId="0" applyFont="true" applyBorder="false" applyAlignment="true" applyProtection="true">
      <alignment horizontal="left" vertical="center" textRotation="0" wrapText="true" indent="0" shrinkToFit="false"/>
      <protection locked="false" hidden="false"/>
    </xf>
    <xf numFmtId="173" fontId="77" fillId="5" borderId="0" xfId="0" applyFont="true" applyBorder="false" applyAlignment="true" applyProtection="true">
      <alignment horizontal="left" vertical="center" textRotation="0" wrapText="true" indent="0" shrinkToFit="false"/>
      <protection locked="false" hidden="false"/>
    </xf>
    <xf numFmtId="167" fontId="77" fillId="3" borderId="25" xfId="0" applyFont="true" applyBorder="true" applyAlignment="true" applyProtection="true">
      <alignment horizontal="left" vertical="center" textRotation="0" wrapText="true" indent="0" shrinkToFit="false"/>
      <protection locked="true" hidden="false"/>
    </xf>
    <xf numFmtId="164" fontId="83" fillId="3" borderId="11" xfId="0" applyFont="true" applyBorder="true" applyAlignment="true" applyProtection="true">
      <alignment horizontal="general" vertical="center" textRotation="0" wrapText="true" indent="0" shrinkToFit="false"/>
      <protection locked="true" hidden="false"/>
    </xf>
    <xf numFmtId="164" fontId="29" fillId="3" borderId="37" xfId="0" applyFont="true" applyBorder="true" applyAlignment="true" applyProtection="true">
      <alignment horizontal="center" vertical="center" textRotation="0" wrapText="true" indent="0" shrinkToFit="false"/>
      <protection locked="true" hidden="false"/>
    </xf>
    <xf numFmtId="164" fontId="59" fillId="3" borderId="11" xfId="0" applyFont="true" applyBorder="true" applyAlignment="true" applyProtection="true">
      <alignment horizontal="general" vertical="center" textRotation="0" wrapText="true" indent="0" shrinkToFit="false"/>
      <protection locked="true" hidden="false"/>
    </xf>
    <xf numFmtId="164" fontId="71" fillId="5" borderId="0" xfId="0" applyFont="true" applyBorder="false" applyAlignment="true" applyProtection="true">
      <alignment horizontal="left" vertical="center" textRotation="0" wrapText="true" indent="0" shrinkToFit="false"/>
      <protection locked="false" hidden="false"/>
    </xf>
    <xf numFmtId="164" fontId="83" fillId="3" borderId="16" xfId="0" applyFont="true" applyBorder="true" applyAlignment="true" applyProtection="true">
      <alignment horizontal="general" vertical="center" textRotation="0" wrapText="true" indent="0" shrinkToFit="false"/>
      <protection locked="true" hidden="false"/>
    </xf>
    <xf numFmtId="164" fontId="96" fillId="3" borderId="68" xfId="0" applyFont="true" applyBorder="true" applyAlignment="true" applyProtection="true">
      <alignment horizontal="general" vertical="center" textRotation="0" wrapText="true" indent="0" shrinkToFit="false"/>
      <protection locked="true" hidden="false"/>
    </xf>
    <xf numFmtId="164" fontId="58" fillId="3" borderId="21" xfId="0" applyFont="true" applyBorder="true" applyAlignment="true" applyProtection="true">
      <alignment horizontal="center" vertical="center" textRotation="0" wrapText="true" indent="0" shrinkToFit="false"/>
      <protection locked="true" hidden="false"/>
    </xf>
    <xf numFmtId="164" fontId="71" fillId="3" borderId="17" xfId="0" applyFont="true" applyBorder="true" applyAlignment="true" applyProtection="true">
      <alignment horizontal="general" vertical="center" textRotation="0" wrapText="false" indent="0" shrinkToFit="false"/>
      <protection locked="false" hidden="false"/>
    </xf>
    <xf numFmtId="164" fontId="58" fillId="3" borderId="19" xfId="0" applyFont="true" applyBorder="true" applyAlignment="true" applyProtection="true">
      <alignment horizontal="general" vertical="center" textRotation="0" wrapText="true" indent="0" shrinkToFit="false"/>
      <protection locked="false" hidden="false"/>
    </xf>
    <xf numFmtId="164" fontId="71" fillId="3" borderId="22" xfId="0" applyFont="true" applyBorder="true" applyAlignment="true" applyProtection="true">
      <alignment horizontal="left" vertical="center" textRotation="0" wrapText="false" indent="0" shrinkToFit="false"/>
      <protection locked="true" hidden="false"/>
    </xf>
    <xf numFmtId="166" fontId="77" fillId="3" borderId="23" xfId="0" applyFont="true" applyBorder="true" applyAlignment="true" applyProtection="true">
      <alignment horizontal="center" vertical="center" textRotation="0" wrapText="false" indent="0" shrinkToFit="false"/>
      <protection locked="true" hidden="false"/>
    </xf>
    <xf numFmtId="164" fontId="29" fillId="3" borderId="70" xfId="0" applyFont="true" applyBorder="true" applyAlignment="true" applyProtection="true">
      <alignment horizontal="center" vertical="center" textRotation="0" wrapText="true" indent="0" shrinkToFit="false"/>
      <protection locked="true" hidden="false"/>
    </xf>
    <xf numFmtId="167" fontId="97" fillId="3" borderId="25" xfId="0" applyFont="true" applyBorder="true" applyAlignment="true" applyProtection="true">
      <alignment horizontal="center" vertical="center" textRotation="0" wrapText="true" indent="0" shrinkToFit="false"/>
      <protection locked="true" hidden="false"/>
    </xf>
    <xf numFmtId="164" fontId="58" fillId="3" borderId="27" xfId="0" applyFont="true" applyBorder="true" applyAlignment="true" applyProtection="true">
      <alignment horizontal="center" vertical="center" textRotation="0" wrapText="true" indent="0" shrinkToFit="false"/>
      <protection locked="true" hidden="false"/>
    </xf>
    <xf numFmtId="164" fontId="71" fillId="3" borderId="24" xfId="0" applyFont="true" applyBorder="true" applyAlignment="true" applyProtection="true">
      <alignment horizontal="general" vertical="center" textRotation="0" wrapText="true" indent="0" shrinkToFit="false"/>
      <protection locked="true" hidden="false"/>
    </xf>
    <xf numFmtId="166" fontId="77" fillId="3" borderId="71" xfId="0" applyFont="true" applyBorder="true" applyAlignment="true" applyProtection="true">
      <alignment horizontal="center" vertical="center" textRotation="0" wrapText="true" indent="0" shrinkToFit="false"/>
      <protection locked="true" hidden="false"/>
    </xf>
    <xf numFmtId="164" fontId="71" fillId="3" borderId="5" xfId="0" applyFont="true" applyBorder="true" applyAlignment="true" applyProtection="true">
      <alignment horizontal="center" vertical="center" textRotation="0" wrapText="true" indent="0" shrinkToFit="false"/>
      <protection locked="true" hidden="false"/>
    </xf>
    <xf numFmtId="178" fontId="30" fillId="3" borderId="5" xfId="0" applyFont="true" applyBorder="true" applyAlignment="true" applyProtection="true">
      <alignment horizontal="center" vertical="center" textRotation="0" wrapText="true" indent="0" shrinkToFit="false"/>
      <protection locked="true" hidden="false"/>
    </xf>
    <xf numFmtId="164" fontId="58" fillId="0" borderId="5" xfId="0" applyFont="true" applyBorder="true" applyAlignment="true" applyProtection="true">
      <alignment horizontal="center" vertical="center" textRotation="0" wrapText="true" indent="0" shrinkToFit="false"/>
      <protection locked="false" hidden="false"/>
    </xf>
    <xf numFmtId="164" fontId="58" fillId="5" borderId="0" xfId="0" applyFont="true" applyBorder="false" applyAlignment="true" applyProtection="true">
      <alignment horizontal="left" vertical="center" textRotation="0" wrapText="true" indent="0" shrinkToFit="false"/>
      <protection locked="false" hidden="false"/>
    </xf>
    <xf numFmtId="164" fontId="52" fillId="3" borderId="0" xfId="0" applyFont="true" applyBorder="false" applyAlignment="false" applyProtection="true">
      <alignment horizontal="general" vertical="center" textRotation="0" wrapText="false" indent="0" shrinkToFit="false"/>
      <protection locked="true" hidden="false"/>
    </xf>
    <xf numFmtId="184" fontId="0" fillId="3" borderId="0" xfId="0" applyFont="true" applyBorder="false" applyAlignment="true" applyProtection="true">
      <alignment horizontal="center" vertical="center" textRotation="0" wrapText="true" indent="0" shrinkToFit="false"/>
      <protection locked="true" hidden="false"/>
    </xf>
    <xf numFmtId="164" fontId="52" fillId="3" borderId="47" xfId="0" applyFont="true" applyBorder="true" applyAlignment="true" applyProtection="true">
      <alignment horizontal="general" vertical="center" textRotation="0" wrapText="false" indent="0" shrinkToFit="false"/>
      <protection locked="true" hidden="false"/>
    </xf>
    <xf numFmtId="184" fontId="28" fillId="3" borderId="18" xfId="0" applyFont="true" applyBorder="true" applyAlignment="true" applyProtection="true">
      <alignment horizontal="center" vertical="center" textRotation="0" wrapText="true" indent="0" shrinkToFit="false"/>
      <protection locked="true" hidden="false"/>
    </xf>
    <xf numFmtId="164" fontId="129" fillId="3" borderId="64" xfId="0" applyFont="true" applyBorder="true" applyAlignment="true" applyProtection="true">
      <alignment horizontal="general" vertical="center" textRotation="0" wrapText="false" indent="0" shrinkToFit="false"/>
      <protection locked="true" hidden="false"/>
    </xf>
    <xf numFmtId="164" fontId="129" fillId="3" borderId="50" xfId="0" applyFont="true" applyBorder="true" applyAlignment="true" applyProtection="true">
      <alignment horizontal="center" vertical="center" textRotation="0" wrapText="false" indent="0" shrinkToFit="false"/>
      <protection locked="true" hidden="false"/>
    </xf>
    <xf numFmtId="164" fontId="129" fillId="3" borderId="0" xfId="0" applyFont="true" applyBorder="true" applyAlignment="true" applyProtection="true">
      <alignment horizontal="center" vertical="center" textRotation="0" wrapText="false" indent="0" shrinkToFit="false"/>
      <protection locked="true" hidden="false"/>
    </xf>
    <xf numFmtId="164" fontId="29" fillId="3" borderId="22" xfId="0" applyFont="true" applyBorder="true" applyAlignment="true" applyProtection="true">
      <alignment horizontal="center" vertical="center" textRotation="0" wrapText="true" indent="0" shrinkToFit="false"/>
      <protection locked="true" hidden="false"/>
    </xf>
    <xf numFmtId="164" fontId="71" fillId="3" borderId="23" xfId="0" applyFont="true" applyBorder="true" applyAlignment="true" applyProtection="true">
      <alignment horizontal="center" vertical="center" textRotation="0" wrapText="true" indent="0" shrinkToFit="false"/>
      <protection locked="true" hidden="false"/>
    </xf>
    <xf numFmtId="164" fontId="68" fillId="3" borderId="32" xfId="0" applyFont="true" applyBorder="true" applyAlignment="true" applyProtection="true">
      <alignment horizontal="center" vertical="center" textRotation="0" wrapText="true" indent="0" shrinkToFit="false"/>
      <protection locked="true" hidden="false"/>
    </xf>
    <xf numFmtId="164" fontId="68" fillId="3" borderId="5" xfId="0" applyFont="true" applyBorder="true" applyAlignment="true" applyProtection="true">
      <alignment horizontal="center" vertical="center" textRotation="0" wrapText="true" indent="0" shrinkToFit="false"/>
      <protection locked="true" hidden="false"/>
    </xf>
    <xf numFmtId="164" fontId="4" fillId="3" borderId="5" xfId="0" applyFont="true" applyBorder="true" applyAlignment="true" applyProtection="true">
      <alignment horizontal="center" vertical="center" textRotation="0" wrapText="true" indent="0" shrinkToFit="false"/>
      <protection locked="true" hidden="false"/>
    </xf>
    <xf numFmtId="164" fontId="53" fillId="3" borderId="22" xfId="0" applyFont="true" applyBorder="true" applyAlignment="true" applyProtection="true">
      <alignment horizontal="center" vertical="center" textRotation="0" wrapText="true" indent="0" shrinkToFit="false"/>
      <protection locked="true" hidden="false"/>
    </xf>
    <xf numFmtId="173" fontId="77" fillId="3" borderId="63" xfId="0" applyFont="true" applyBorder="true" applyAlignment="true" applyProtection="true">
      <alignment horizontal="center" vertical="center" textRotation="0" wrapText="true" indent="0" shrinkToFit="false"/>
      <protection locked="true" hidden="false"/>
    </xf>
    <xf numFmtId="173" fontId="77" fillId="3" borderId="0" xfId="0" applyFont="true" applyBorder="true" applyAlignment="true" applyProtection="true">
      <alignment horizontal="center" vertical="center" textRotation="0" wrapText="true" indent="0" shrinkToFit="false"/>
      <protection locked="true" hidden="false"/>
    </xf>
    <xf numFmtId="173" fontId="38" fillId="3" borderId="5" xfId="0" applyFont="true" applyBorder="true" applyAlignment="true" applyProtection="true">
      <alignment horizontal="center" vertical="center" textRotation="0" wrapText="false" indent="0" shrinkToFit="false"/>
      <protection locked="true" hidden="false"/>
    </xf>
    <xf numFmtId="166" fontId="30" fillId="3" borderId="5" xfId="19" applyFont="true" applyBorder="true" applyAlignment="true" applyProtection="true">
      <alignment horizontal="left" vertical="center" textRotation="0" wrapText="true" indent="0" shrinkToFit="false"/>
      <protection locked="true" hidden="false"/>
    </xf>
    <xf numFmtId="173" fontId="75" fillId="3" borderId="5" xfId="0" applyFont="true" applyBorder="true" applyAlignment="true" applyProtection="true">
      <alignment horizontal="center" vertical="center" textRotation="0" wrapText="true" indent="0" shrinkToFit="false"/>
      <protection locked="true" hidden="false"/>
    </xf>
    <xf numFmtId="173" fontId="58" fillId="3" borderId="86" xfId="0" applyFont="true" applyBorder="true" applyAlignment="true" applyProtection="true">
      <alignment horizontal="general" vertical="center" textRotation="0" wrapText="true" indent="0" shrinkToFit="false"/>
      <protection locked="true" hidden="false"/>
    </xf>
    <xf numFmtId="164" fontId="29" fillId="3" borderId="22" xfId="0" applyFont="true" applyBorder="true" applyAlignment="true" applyProtection="true">
      <alignment horizontal="left" vertical="center" textRotation="0" wrapText="true" indent="0" shrinkToFit="false"/>
      <protection locked="true" hidden="false"/>
    </xf>
    <xf numFmtId="164" fontId="55" fillId="0" borderId="5" xfId="0" applyFont="true" applyBorder="true" applyAlignment="true" applyProtection="true">
      <alignment horizontal="center" vertical="center" textRotation="0" wrapText="true" indent="0" shrinkToFit="false"/>
      <protection locked="false" hidden="false"/>
    </xf>
    <xf numFmtId="164" fontId="55" fillId="0" borderId="11" xfId="0" applyFont="true" applyBorder="true" applyAlignment="true" applyProtection="true">
      <alignment horizontal="center" vertical="center" textRotation="0" wrapText="true" indent="0" shrinkToFit="false"/>
      <protection locked="false" hidden="false"/>
    </xf>
    <xf numFmtId="164" fontId="29" fillId="3" borderId="99" xfId="0" applyFont="true" applyBorder="true" applyAlignment="true" applyProtection="true">
      <alignment horizontal="center" vertical="center" textRotation="0" wrapText="true" indent="0" shrinkToFit="false"/>
      <protection locked="true" hidden="false"/>
    </xf>
    <xf numFmtId="164" fontId="29" fillId="3" borderId="24" xfId="0" applyFont="true" applyBorder="true" applyAlignment="true" applyProtection="true">
      <alignment horizontal="center" vertical="center" textRotation="0" wrapText="true" indent="0" shrinkToFit="false"/>
      <protection locked="true" hidden="false"/>
    </xf>
    <xf numFmtId="174" fontId="30" fillId="3" borderId="44" xfId="0" applyFont="true" applyBorder="true" applyAlignment="true" applyProtection="true">
      <alignment horizontal="center" vertical="center" textRotation="0" wrapText="true" indent="0" shrinkToFit="false"/>
      <protection locked="true" hidden="false"/>
    </xf>
    <xf numFmtId="173" fontId="58" fillId="3" borderId="45" xfId="0" applyFont="true" applyBorder="true" applyAlignment="true" applyProtection="true">
      <alignment horizontal="general" vertical="center" textRotation="0" wrapText="true" indent="0" shrinkToFit="false"/>
      <protection locked="true" hidden="false"/>
    </xf>
    <xf numFmtId="166" fontId="30" fillId="3" borderId="25" xfId="19" applyFont="true" applyBorder="true" applyAlignment="true" applyProtection="true">
      <alignment horizontal="left" vertical="center" textRotation="0" wrapText="true" indent="0" shrinkToFit="false"/>
      <protection locked="true" hidden="false"/>
    </xf>
    <xf numFmtId="174" fontId="30" fillId="3" borderId="25" xfId="0" applyFont="true" applyBorder="true" applyAlignment="true" applyProtection="true">
      <alignment horizontal="center" vertical="center" textRotation="0" wrapText="true" indent="0" shrinkToFit="false"/>
      <protection locked="true" hidden="false"/>
    </xf>
    <xf numFmtId="173" fontId="58" fillId="3" borderId="86" xfId="0" applyFont="true" applyBorder="true" applyAlignment="true" applyProtection="true">
      <alignment horizontal="center" vertical="center" textRotation="0" wrapText="true" indent="0" shrinkToFit="false"/>
      <protection locked="true" hidden="false"/>
    </xf>
    <xf numFmtId="164" fontId="54" fillId="0" borderId="25" xfId="0" applyFont="true" applyBorder="true" applyAlignment="true" applyProtection="true">
      <alignment horizontal="center" vertical="center" textRotation="0" wrapText="true" indent="0" shrinkToFit="false"/>
      <protection locked="false" hidden="false"/>
    </xf>
    <xf numFmtId="173" fontId="58" fillId="3" borderId="45" xfId="0" applyFont="true" applyBorder="true" applyAlignment="true" applyProtection="true">
      <alignment horizontal="center" vertical="center" textRotation="0" wrapText="true" indent="0" shrinkToFit="false"/>
      <protection locked="true" hidden="false"/>
    </xf>
    <xf numFmtId="167" fontId="30" fillId="3" borderId="25" xfId="0" applyFont="true" applyBorder="true" applyAlignment="true" applyProtection="true">
      <alignment horizontal="center" vertical="center" textRotation="0" wrapText="true" indent="0" shrinkToFit="false"/>
      <protection locked="true" hidden="false"/>
    </xf>
    <xf numFmtId="164" fontId="129" fillId="3" borderId="47" xfId="0" applyFont="true" applyBorder="true" applyAlignment="true" applyProtection="true">
      <alignment horizontal="left" vertical="center" textRotation="0" wrapText="false" indent="0" shrinkToFit="false"/>
      <protection locked="true" hidden="false"/>
    </xf>
    <xf numFmtId="167" fontId="28" fillId="3" borderId="18" xfId="0" applyFont="true" applyBorder="true" applyAlignment="true" applyProtection="true">
      <alignment horizontal="left" vertical="center" textRotation="0" wrapText="true" indent="0" shrinkToFit="false"/>
      <protection locked="true" hidden="false"/>
    </xf>
    <xf numFmtId="164" fontId="53" fillId="2" borderId="0" xfId="0" applyFont="true" applyBorder="true" applyAlignment="true" applyProtection="true">
      <alignment horizontal="center" vertical="center" textRotation="0" wrapText="true" indent="0" shrinkToFit="false"/>
      <protection locked="false" hidden="false"/>
    </xf>
    <xf numFmtId="173" fontId="53" fillId="3" borderId="0" xfId="0" applyFont="true" applyBorder="true" applyAlignment="true" applyProtection="true">
      <alignment horizontal="center" vertical="center" textRotation="0" wrapText="true" indent="0" shrinkToFit="false"/>
      <protection locked="true" hidden="false"/>
    </xf>
    <xf numFmtId="173" fontId="0" fillId="0" borderId="0" xfId="0" applyFont="true" applyBorder="true" applyAlignment="true" applyProtection="true">
      <alignment horizontal="center" vertical="center" textRotation="0" wrapText="false" indent="0" shrinkToFit="false"/>
      <protection locked="false" hidden="false"/>
    </xf>
    <xf numFmtId="173" fontId="0" fillId="3" borderId="0" xfId="0" applyFont="true" applyBorder="true" applyAlignment="true" applyProtection="true">
      <alignment horizontal="center" vertical="center" textRotation="0" wrapText="false" indent="0" shrinkToFit="false"/>
      <protection locked="true" hidden="false"/>
    </xf>
    <xf numFmtId="166" fontId="53" fillId="3" borderId="0" xfId="19" applyFont="true" applyBorder="true" applyAlignment="true" applyProtection="true">
      <alignment horizontal="left" vertical="center" textRotation="0" wrapText="true" indent="0" shrinkToFit="false"/>
      <protection locked="true" hidden="false"/>
    </xf>
    <xf numFmtId="173" fontId="120" fillId="3" borderId="0" xfId="0" applyFont="true" applyBorder="true" applyAlignment="true" applyProtection="true">
      <alignment horizontal="center" vertical="center" textRotation="0" wrapText="true" indent="0" shrinkToFit="false"/>
      <protection locked="true" hidden="false"/>
    </xf>
    <xf numFmtId="164" fontId="53" fillId="3" borderId="5" xfId="0" applyFont="true" applyBorder="true" applyAlignment="true" applyProtection="true">
      <alignment horizontal="left" vertical="center" textRotation="0" wrapText="true" indent="0" shrinkToFit="false"/>
      <protection locked="true" hidden="false"/>
    </xf>
    <xf numFmtId="164" fontId="29" fillId="3" borderId="5" xfId="0" applyFont="true" applyBorder="true" applyAlignment="true" applyProtection="true">
      <alignment horizontal="left" vertical="center" textRotation="0" wrapText="true" indent="0" shrinkToFit="false"/>
      <protection locked="true" hidden="false"/>
    </xf>
    <xf numFmtId="164" fontId="71" fillId="3" borderId="23" xfId="0" applyFont="true" applyBorder="true" applyAlignment="true" applyProtection="true">
      <alignment horizontal="left" vertical="center" textRotation="0" wrapText="true" indent="0" shrinkToFit="false"/>
      <protection locked="true" hidden="false"/>
    </xf>
    <xf numFmtId="164" fontId="68" fillId="3" borderId="32" xfId="0" applyFont="true" applyBorder="true" applyAlignment="true" applyProtection="true">
      <alignment horizontal="left" vertical="center" textRotation="0" wrapText="true" indent="0" shrinkToFit="false"/>
      <protection locked="true" hidden="false"/>
    </xf>
    <xf numFmtId="164" fontId="68" fillId="3" borderId="5" xfId="0" applyFont="true" applyBorder="true" applyAlignment="true" applyProtection="true">
      <alignment horizontal="left" vertical="center" textRotation="0" wrapText="true" indent="0" shrinkToFit="false"/>
      <protection locked="true" hidden="false"/>
    </xf>
    <xf numFmtId="164" fontId="4" fillId="3" borderId="5" xfId="0" applyFont="true" applyBorder="true" applyAlignment="true" applyProtection="true">
      <alignment horizontal="left" vertical="center" textRotation="0" wrapText="true" indent="0" shrinkToFit="false"/>
      <protection locked="true" hidden="false"/>
    </xf>
    <xf numFmtId="167" fontId="77" fillId="3" borderId="63" xfId="0" applyFont="true" applyBorder="true" applyAlignment="true" applyProtection="true">
      <alignment horizontal="left" vertical="center" textRotation="0" wrapText="true" indent="0" shrinkToFit="false"/>
      <protection locked="true" hidden="false"/>
    </xf>
    <xf numFmtId="173" fontId="38" fillId="3" borderId="5" xfId="19" applyFont="true" applyBorder="true" applyAlignment="true" applyProtection="true">
      <alignment horizontal="left" vertical="center" textRotation="0" wrapText="false" indent="0" shrinkToFit="false"/>
      <protection locked="true" hidden="false"/>
    </xf>
    <xf numFmtId="167" fontId="30" fillId="3" borderId="0" xfId="0" applyFont="true" applyBorder="true" applyAlignment="true" applyProtection="true">
      <alignment horizontal="center" vertical="center" textRotation="0" wrapText="true" indent="0" shrinkToFit="false"/>
      <protection locked="true" hidden="false"/>
    </xf>
    <xf numFmtId="164" fontId="58" fillId="3" borderId="86" xfId="0" applyFont="true" applyBorder="true" applyAlignment="true" applyProtection="true">
      <alignment horizontal="left" vertical="center" textRotation="0" wrapText="true" indent="0" shrinkToFit="false"/>
      <protection locked="true" hidden="false"/>
    </xf>
    <xf numFmtId="164" fontId="55" fillId="0" borderId="5" xfId="0" applyFont="true" applyBorder="true" applyAlignment="true" applyProtection="true">
      <alignment horizontal="left" vertical="center" textRotation="0" wrapText="true" indent="0" shrinkToFit="false"/>
      <protection locked="false" hidden="false"/>
    </xf>
    <xf numFmtId="164" fontId="55" fillId="0" borderId="11" xfId="0" applyFont="true" applyBorder="true" applyAlignment="true" applyProtection="true">
      <alignment horizontal="left" vertical="center" textRotation="0" wrapText="true" indent="0" shrinkToFit="false"/>
      <protection locked="false" hidden="false"/>
    </xf>
    <xf numFmtId="164" fontId="29" fillId="3" borderId="24" xfId="0" applyFont="true" applyBorder="true" applyAlignment="true" applyProtection="true">
      <alignment horizontal="left" vertical="center" textRotation="0" wrapText="true" indent="0" shrinkToFit="false"/>
      <protection locked="true" hidden="false"/>
    </xf>
    <xf numFmtId="174" fontId="30" fillId="3" borderId="0" xfId="0" applyFont="true" applyBorder="true" applyAlignment="true" applyProtection="true">
      <alignment horizontal="center" vertical="center" textRotation="0" wrapText="true" indent="0" shrinkToFit="false"/>
      <protection locked="true" hidden="false"/>
    </xf>
    <xf numFmtId="164" fontId="58" fillId="3" borderId="45" xfId="0" applyFont="true" applyBorder="true" applyAlignment="true" applyProtection="true">
      <alignment horizontal="left" vertical="center" textRotation="0" wrapText="true" indent="0" shrinkToFit="false"/>
      <protection locked="true" hidden="false"/>
    </xf>
    <xf numFmtId="164" fontId="61" fillId="3" borderId="0" xfId="0" applyFont="true" applyBorder="true" applyAlignment="true" applyProtection="true">
      <alignment horizontal="left" vertical="center" textRotation="0" wrapText="false" indent="0" shrinkToFit="false"/>
      <protection locked="true" hidden="false"/>
    </xf>
    <xf numFmtId="164" fontId="60" fillId="3" borderId="0" xfId="0" applyFont="true" applyBorder="false" applyAlignment="true" applyProtection="true">
      <alignment horizontal="left" vertical="center" textRotation="0" wrapText="false" indent="0" shrinkToFit="false"/>
      <protection locked="true" hidden="false"/>
    </xf>
    <xf numFmtId="164" fontId="29" fillId="3" borderId="5" xfId="0" applyFont="true" applyBorder="true" applyAlignment="true" applyProtection="true">
      <alignment horizontal="left" vertical="center" textRotation="0" wrapText="false" indent="0" shrinkToFit="false"/>
      <protection locked="true" hidden="false"/>
    </xf>
    <xf numFmtId="164" fontId="29" fillId="3" borderId="7" xfId="0" applyFont="true" applyBorder="true" applyAlignment="true" applyProtection="true">
      <alignment horizontal="left" vertical="center" textRotation="0" wrapText="false" indent="0" shrinkToFit="false"/>
      <protection locked="true" hidden="false"/>
    </xf>
    <xf numFmtId="164" fontId="53" fillId="3" borderId="10" xfId="0" applyFont="true" applyBorder="true" applyAlignment="true" applyProtection="true">
      <alignment horizontal="left" vertical="center" textRotation="0" wrapText="false" indent="0" shrinkToFit="false"/>
      <protection locked="true" hidden="false"/>
    </xf>
    <xf numFmtId="164" fontId="53" fillId="3" borderId="8" xfId="0" applyFont="true" applyBorder="true" applyAlignment="true" applyProtection="true">
      <alignment horizontal="left" vertical="center" textRotation="0" wrapText="false" indent="0" shrinkToFit="false"/>
      <protection locked="true" hidden="false"/>
    </xf>
    <xf numFmtId="164" fontId="53" fillId="3" borderId="0" xfId="0" applyFont="true" applyBorder="true" applyAlignment="true" applyProtection="true">
      <alignment horizontal="left" vertical="center" textRotation="0" wrapText="false" indent="0" shrinkToFit="false"/>
      <protection locked="true" hidden="false"/>
    </xf>
    <xf numFmtId="164" fontId="30" fillId="3" borderId="5" xfId="0" applyFont="true" applyBorder="true" applyAlignment="true" applyProtection="true">
      <alignment horizontal="left" vertical="center" textRotation="0" wrapText="false" indent="0" shrinkToFit="false"/>
      <protection locked="true" hidden="false"/>
    </xf>
    <xf numFmtId="167" fontId="57" fillId="3" borderId="5" xfId="0" applyFont="true" applyBorder="true" applyAlignment="true" applyProtection="true">
      <alignment horizontal="left" vertical="center" textRotation="0" wrapText="false" indent="0" shrinkToFit="false"/>
      <protection locked="true" hidden="false"/>
    </xf>
    <xf numFmtId="164" fontId="29" fillId="0" borderId="0" xfId="0" applyFont="true" applyBorder="true" applyAlignment="true" applyProtection="true">
      <alignment horizontal="left" vertical="center" textRotation="0" wrapText="false" indent="0" shrinkToFit="false"/>
      <protection locked="true" hidden="false"/>
    </xf>
    <xf numFmtId="164" fontId="53" fillId="0" borderId="0" xfId="0" applyFont="true" applyBorder="false" applyAlignment="true" applyProtection="true">
      <alignment horizontal="left" vertical="center" textRotation="0" wrapText="false" indent="0" shrinkToFit="false"/>
      <protection locked="true" hidden="false"/>
    </xf>
    <xf numFmtId="164" fontId="58" fillId="0" borderId="0" xfId="0" applyFont="true" applyBorder="false" applyAlignment="true" applyProtection="true">
      <alignment horizontal="left" vertical="center" textRotation="0" wrapText="true" indent="0" shrinkToFit="false"/>
      <protection locked="false" hidden="false"/>
    </xf>
    <xf numFmtId="164" fontId="71" fillId="3" borderId="16" xfId="0" applyFont="true" applyBorder="true" applyAlignment="true" applyProtection="true">
      <alignment horizontal="left" vertical="center" textRotation="0" wrapText="true" indent="0" shrinkToFit="false"/>
      <protection locked="true" hidden="false"/>
    </xf>
    <xf numFmtId="176" fontId="57" fillId="3" borderId="16" xfId="0" applyFont="true" applyBorder="true" applyAlignment="true" applyProtection="true">
      <alignment horizontal="left" vertical="center" textRotation="0" wrapText="true" indent="0" shrinkToFit="false"/>
      <protection locked="true" hidden="false"/>
    </xf>
    <xf numFmtId="164" fontId="71" fillId="3" borderId="72" xfId="0" applyFont="true" applyBorder="true" applyAlignment="true" applyProtection="true">
      <alignment horizontal="left" vertical="center" textRotation="0" wrapText="true" indent="0" shrinkToFit="false"/>
      <protection locked="true" hidden="false"/>
    </xf>
    <xf numFmtId="167" fontId="57" fillId="3" borderId="18" xfId="0" applyFont="true" applyBorder="true" applyAlignment="true" applyProtection="true">
      <alignment horizontal="left" vertical="center" textRotation="0" wrapText="true" indent="0" shrinkToFit="false"/>
      <protection locked="true" hidden="false"/>
    </xf>
    <xf numFmtId="167" fontId="144" fillId="3" borderId="5" xfId="26" applyFont="true" applyBorder="true" applyAlignment="true" applyProtection="true">
      <alignment horizontal="left" vertical="center" textRotation="0" wrapText="false" indent="0" shrinkToFit="false"/>
      <protection locked="true" hidden="false"/>
    </xf>
    <xf numFmtId="164" fontId="0" fillId="0" borderId="0" xfId="0" applyFont="true" applyBorder="false" applyAlignment="true" applyProtection="true">
      <alignment horizontal="left" vertical="center" textRotation="0" wrapText="false" indent="0" shrinkToFit="false"/>
      <protection locked="true" hidden="false"/>
    </xf>
    <xf numFmtId="164" fontId="58" fillId="3" borderId="17" xfId="0" applyFont="true" applyBorder="true" applyAlignment="true" applyProtection="true">
      <alignment horizontal="left" vertical="center" textRotation="0" wrapText="true" indent="0" shrinkToFit="false"/>
      <protection locked="true" hidden="false"/>
    </xf>
    <xf numFmtId="164" fontId="71" fillId="3" borderId="58" xfId="26" applyFont="true" applyBorder="true" applyAlignment="true" applyProtection="true">
      <alignment horizontal="left" vertical="center" textRotation="0" wrapText="false" indent="0" shrinkToFit="false"/>
      <protection locked="true" hidden="false"/>
    </xf>
    <xf numFmtId="164" fontId="71" fillId="3" borderId="6" xfId="26" applyFont="true" applyBorder="true" applyAlignment="true" applyProtection="true">
      <alignment horizontal="left" vertical="center" textRotation="0" wrapText="false" indent="0" shrinkToFit="false"/>
      <protection locked="true" hidden="false"/>
    </xf>
    <xf numFmtId="164" fontId="71" fillId="3" borderId="6" xfId="26" applyFont="true" applyBorder="true" applyAlignment="true" applyProtection="true">
      <alignment horizontal="left" vertical="center" textRotation="0" wrapText="true" indent="0" shrinkToFit="false"/>
      <protection locked="true" hidden="false"/>
    </xf>
    <xf numFmtId="164" fontId="71" fillId="3" borderId="72" xfId="26" applyFont="true" applyBorder="true" applyAlignment="true" applyProtection="true">
      <alignment horizontal="left" vertical="center" textRotation="0" wrapText="false" indent="0" shrinkToFit="false"/>
      <protection locked="true" hidden="false"/>
    </xf>
    <xf numFmtId="164" fontId="71" fillId="3" borderId="82" xfId="26" applyFont="true" applyBorder="true" applyAlignment="true" applyProtection="true">
      <alignment horizontal="left" vertical="center" textRotation="0" wrapText="false" indent="0" shrinkToFit="false"/>
      <protection locked="true" hidden="false"/>
    </xf>
    <xf numFmtId="164" fontId="71" fillId="3" borderId="22" xfId="0" applyFont="true" applyBorder="true" applyAlignment="true" applyProtection="true">
      <alignment horizontal="left" vertical="center" textRotation="0" wrapText="true" indent="0" shrinkToFit="false"/>
      <protection locked="true" hidden="false"/>
    </xf>
    <xf numFmtId="167" fontId="57" fillId="3" borderId="23" xfId="0" applyFont="true" applyBorder="true" applyAlignment="true" applyProtection="true">
      <alignment horizontal="left" vertical="center" textRotation="0" wrapText="true" indent="0" shrinkToFit="false"/>
      <protection locked="true" hidden="false"/>
    </xf>
    <xf numFmtId="164" fontId="71" fillId="3" borderId="24" xfId="0" applyFont="true" applyBorder="true" applyAlignment="true" applyProtection="true">
      <alignment horizontal="left" vertical="center" textRotation="0" wrapText="true" indent="0" shrinkToFit="false"/>
      <protection locked="true" hidden="false"/>
    </xf>
    <xf numFmtId="167" fontId="57" fillId="3" borderId="25" xfId="0" applyFont="true" applyBorder="true" applyAlignment="true" applyProtection="true">
      <alignment horizontal="left" vertical="center" textRotation="0" wrapText="true" indent="0" shrinkToFit="false"/>
      <protection locked="true" hidden="false"/>
    </xf>
    <xf numFmtId="167" fontId="57" fillId="3" borderId="71" xfId="0" applyFont="true" applyBorder="true" applyAlignment="true" applyProtection="true">
      <alignment horizontal="left" vertical="center" textRotation="0" wrapText="true" indent="0" shrinkToFit="false"/>
      <protection locked="true" hidden="false"/>
    </xf>
    <xf numFmtId="164" fontId="71" fillId="0" borderId="0" xfId="0" applyFont="true" applyBorder="false" applyAlignment="true" applyProtection="true">
      <alignment horizontal="left" vertical="center" textRotation="0" wrapText="true" indent="0" shrinkToFit="false"/>
      <protection locked="true" hidden="false"/>
    </xf>
    <xf numFmtId="164" fontId="0" fillId="0" borderId="0" xfId="0" applyFont="false" applyBorder="false" applyAlignment="true" applyProtection="true">
      <alignment horizontal="left" vertical="center" textRotation="0" wrapText="false" indent="0" shrinkToFit="false"/>
      <protection locked="true" hidden="false"/>
    </xf>
    <xf numFmtId="164" fontId="0" fillId="3" borderId="87" xfId="0" applyFont="true" applyBorder="true" applyAlignment="true" applyProtection="true">
      <alignment horizontal="left" vertical="center" textRotation="0" wrapText="false" indent="0" shrinkToFit="false"/>
      <protection locked="true" hidden="false"/>
    </xf>
    <xf numFmtId="164" fontId="0" fillId="3" borderId="72" xfId="0" applyFont="true" applyBorder="true" applyAlignment="true" applyProtection="true">
      <alignment horizontal="left" vertical="center" textRotation="0" wrapText="false" indent="0" shrinkToFit="false"/>
      <protection locked="true" hidden="false"/>
    </xf>
    <xf numFmtId="164" fontId="0" fillId="3" borderId="82" xfId="0" applyFont="true" applyBorder="true" applyAlignment="true" applyProtection="true">
      <alignment horizontal="left" vertical="center" textRotation="0" wrapText="false" indent="0" shrinkToFit="false"/>
      <protection locked="true" hidden="false"/>
    </xf>
    <xf numFmtId="164" fontId="0" fillId="3" borderId="57" xfId="0" applyFont="true" applyBorder="true" applyAlignment="true" applyProtection="true">
      <alignment horizontal="left" vertical="center" textRotation="0" wrapText="false" indent="0" shrinkToFit="false"/>
      <protection locked="true" hidden="false"/>
    </xf>
    <xf numFmtId="164" fontId="0" fillId="3" borderId="58" xfId="0" applyFont="false" applyBorder="true" applyAlignment="true" applyProtection="true">
      <alignment horizontal="left" vertical="center" textRotation="0" wrapText="false" indent="0" shrinkToFit="false"/>
      <protection locked="true" hidden="false"/>
    </xf>
    <xf numFmtId="164" fontId="0" fillId="3" borderId="81" xfId="0" applyFont="false" applyBorder="true" applyAlignment="true" applyProtection="true">
      <alignment horizontal="left" vertical="center" textRotation="0" wrapText="false" indent="0" shrinkToFit="false"/>
      <protection locked="true" hidden="false"/>
    </xf>
    <xf numFmtId="164" fontId="0" fillId="3" borderId="59" xfId="0" applyFont="false" applyBorder="true" applyAlignment="true" applyProtection="true">
      <alignment horizontal="left" vertical="center" textRotation="0" wrapText="false" indent="0" shrinkToFit="false"/>
      <protection locked="true" hidden="false"/>
    </xf>
    <xf numFmtId="164" fontId="0" fillId="3" borderId="7" xfId="0" applyFont="false" applyBorder="true" applyAlignment="true" applyProtection="true">
      <alignment horizontal="left" vertical="center" textRotation="0" wrapText="false" indent="0" shrinkToFit="false"/>
      <protection locked="true" hidden="false"/>
    </xf>
    <xf numFmtId="164" fontId="0" fillId="3" borderId="68" xfId="0" applyFont="true" applyBorder="true" applyAlignment="true" applyProtection="true">
      <alignment horizontal="left" vertical="center" textRotation="0" wrapText="false" indent="0" shrinkToFit="false"/>
      <protection locked="true" hidden="false"/>
    </xf>
    <xf numFmtId="164" fontId="0" fillId="3" borderId="32" xfId="0" applyFont="false" applyBorder="true" applyAlignment="true" applyProtection="true">
      <alignment horizontal="left" vertical="center" textRotation="0" wrapText="false" indent="0" shrinkToFit="false"/>
      <protection locked="true" hidden="false"/>
    </xf>
    <xf numFmtId="164" fontId="0" fillId="3" borderId="16" xfId="0" applyFont="false" applyBorder="true" applyAlignment="true" applyProtection="true">
      <alignment horizontal="left" vertical="center" textRotation="0" wrapText="false" indent="0" shrinkToFit="false"/>
      <protection locked="true" hidden="false"/>
    </xf>
    <xf numFmtId="164" fontId="0" fillId="3" borderId="86" xfId="0" applyFont="false" applyBorder="true" applyAlignment="true" applyProtection="true">
      <alignment horizontal="left" vertical="center" textRotation="0" wrapText="false" indent="0" shrinkToFit="false"/>
      <protection locked="true" hidden="false"/>
    </xf>
    <xf numFmtId="164" fontId="0" fillId="3" borderId="76" xfId="0" applyFont="false" applyBorder="true" applyAlignment="true" applyProtection="true">
      <alignment horizontal="left" vertical="center" textRotation="0" wrapText="false" indent="0" shrinkToFit="false"/>
      <protection locked="true" hidden="false"/>
    </xf>
    <xf numFmtId="164" fontId="0" fillId="3" borderId="71" xfId="0" applyFont="false" applyBorder="true" applyAlignment="true" applyProtection="true">
      <alignment horizontal="left" vertical="center" textRotation="0" wrapText="false" indent="0" shrinkToFit="false"/>
      <protection locked="true" hidden="false"/>
    </xf>
    <xf numFmtId="164" fontId="29" fillId="3" borderId="57" xfId="0" applyFont="true" applyBorder="true" applyAlignment="true" applyProtection="true">
      <alignment horizontal="left" vertical="center" textRotation="0" wrapText="true" indent="0" shrinkToFit="false"/>
      <protection locked="true" hidden="false"/>
    </xf>
    <xf numFmtId="164" fontId="29" fillId="3" borderId="58" xfId="0" applyFont="true" applyBorder="true" applyAlignment="true" applyProtection="true">
      <alignment horizontal="left" vertical="center" textRotation="0" wrapText="true" indent="0" shrinkToFit="false"/>
      <protection locked="true" hidden="false"/>
    </xf>
    <xf numFmtId="164" fontId="29" fillId="3" borderId="59" xfId="0" applyFont="true" applyBorder="true" applyAlignment="true" applyProtection="true">
      <alignment horizontal="left" vertical="center" textRotation="0" wrapText="true" indent="0" shrinkToFit="false"/>
      <protection locked="true" hidden="false"/>
    </xf>
    <xf numFmtId="164" fontId="29" fillId="3" borderId="23" xfId="0" applyFont="true" applyBorder="true" applyAlignment="true" applyProtection="true">
      <alignment horizontal="left" vertical="center" textRotation="0" wrapText="true" indent="0" shrinkToFit="false"/>
      <protection locked="true" hidden="false"/>
    </xf>
    <xf numFmtId="164" fontId="29" fillId="3" borderId="65" xfId="0" applyFont="true" applyBorder="true" applyAlignment="true" applyProtection="true">
      <alignment horizontal="left" vertical="center" textRotation="0" wrapText="true" indent="0" shrinkToFit="false"/>
      <protection locked="true" hidden="false"/>
    </xf>
    <xf numFmtId="164" fontId="29" fillId="3" borderId="11" xfId="0" applyFont="true" applyBorder="true" applyAlignment="true" applyProtection="true">
      <alignment horizontal="left" vertical="center" textRotation="0" wrapText="true" indent="0" shrinkToFit="false"/>
      <protection locked="true" hidden="false"/>
    </xf>
    <xf numFmtId="164" fontId="29" fillId="3" borderId="63" xfId="0" applyFont="true" applyBorder="true" applyAlignment="true" applyProtection="true">
      <alignment horizontal="left" vertical="center" textRotation="0" wrapText="true" indent="0" shrinkToFit="false"/>
      <protection locked="true" hidden="false"/>
    </xf>
    <xf numFmtId="164" fontId="45" fillId="3" borderId="9" xfId="0" applyFont="true" applyBorder="true" applyAlignment="true" applyProtection="true">
      <alignment horizontal="left" vertical="center" textRotation="0" wrapText="false" indent="0" shrinkToFit="false"/>
      <protection locked="true" hidden="false"/>
    </xf>
    <xf numFmtId="164" fontId="45" fillId="3" borderId="0" xfId="0" applyFont="true" applyBorder="true" applyAlignment="true" applyProtection="true">
      <alignment horizontal="left" vertical="center" textRotation="0" wrapText="false" indent="0" shrinkToFit="false"/>
      <protection locked="true" hidden="false"/>
    </xf>
    <xf numFmtId="164" fontId="146" fillId="0" borderId="0" xfId="0" applyFont="true" applyBorder="false" applyAlignment="true" applyProtection="true">
      <alignment horizontal="left" vertical="center" textRotation="0" wrapText="false" indent="0" shrinkToFit="false"/>
      <protection locked="true" hidden="false"/>
    </xf>
    <xf numFmtId="164" fontId="29" fillId="3" borderId="38" xfId="0" applyFont="true" applyBorder="true" applyAlignment="true" applyProtection="true">
      <alignment horizontal="left" vertical="center" textRotation="0" wrapText="true" indent="0" shrinkToFit="false"/>
      <protection locked="true" hidden="false"/>
    </xf>
    <xf numFmtId="164" fontId="29" fillId="3" borderId="39" xfId="0" applyFont="true" applyBorder="true" applyAlignment="true" applyProtection="true">
      <alignment horizontal="left" vertical="center" textRotation="0" wrapText="true" indent="0" shrinkToFit="false"/>
      <protection locked="true" hidden="false"/>
    </xf>
    <xf numFmtId="164" fontId="29" fillId="3" borderId="0" xfId="0" applyFont="true" applyBorder="true" applyAlignment="true" applyProtection="true">
      <alignment horizontal="left" vertical="center" textRotation="0" wrapText="true" indent="0" shrinkToFit="false"/>
      <protection locked="true" hidden="false"/>
    </xf>
    <xf numFmtId="164" fontId="29" fillId="3" borderId="33" xfId="0" applyFont="true" applyBorder="true" applyAlignment="true" applyProtection="true">
      <alignment horizontal="left" vertical="center" textRotation="0" wrapText="false" indent="0" shrinkToFit="false"/>
      <protection locked="true" hidden="false"/>
    </xf>
    <xf numFmtId="164" fontId="29" fillId="3" borderId="102" xfId="0" applyFont="true" applyBorder="true" applyAlignment="true" applyProtection="true">
      <alignment horizontal="left" vertical="center" textRotation="0" wrapText="false" indent="0" shrinkToFit="false"/>
      <protection locked="true" hidden="false"/>
    </xf>
    <xf numFmtId="164" fontId="29" fillId="3" borderId="81" xfId="0" applyFont="true" applyBorder="true" applyAlignment="true" applyProtection="true">
      <alignment horizontal="left" vertical="center" textRotation="0" wrapText="false" indent="0" shrinkToFit="false"/>
      <protection locked="true" hidden="false"/>
    </xf>
    <xf numFmtId="164" fontId="29" fillId="3" borderId="83" xfId="0" applyFont="true" applyBorder="true" applyAlignment="true" applyProtection="true">
      <alignment horizontal="left" vertical="center" textRotation="0" wrapText="false" indent="0" shrinkToFit="false"/>
      <protection locked="true" hidden="false"/>
    </xf>
    <xf numFmtId="164" fontId="29" fillId="3" borderId="59" xfId="0" applyFont="true" applyBorder="true" applyAlignment="true" applyProtection="true">
      <alignment horizontal="left" vertical="center" textRotation="0" wrapText="false" indent="0" shrinkToFit="false"/>
      <protection locked="true" hidden="false"/>
    </xf>
    <xf numFmtId="164" fontId="29" fillId="3" borderId="0" xfId="0" applyFont="true" applyBorder="true" applyAlignment="true" applyProtection="true">
      <alignment horizontal="left" vertical="center" textRotation="0" wrapText="false" indent="0" shrinkToFit="false"/>
      <protection locked="true" hidden="false"/>
    </xf>
    <xf numFmtId="164" fontId="29" fillId="3" borderId="8" xfId="0" applyFont="true" applyBorder="true" applyAlignment="true" applyProtection="true">
      <alignment horizontal="left" vertical="center" textRotation="0" wrapText="false" indent="0" shrinkToFit="false"/>
      <protection locked="true" hidden="false"/>
    </xf>
    <xf numFmtId="164" fontId="29" fillId="3" borderId="23" xfId="0" applyFont="true" applyBorder="true" applyAlignment="true" applyProtection="true">
      <alignment horizontal="left" vertical="center" textRotation="0" wrapText="false" indent="0" shrinkToFit="false"/>
      <protection locked="true" hidden="false"/>
    </xf>
    <xf numFmtId="164" fontId="29" fillId="3" borderId="76" xfId="0" applyFont="true" applyBorder="true" applyAlignment="true" applyProtection="true">
      <alignment horizontal="left" vertical="center" textRotation="0" wrapText="false" indent="0" shrinkToFit="false"/>
      <protection locked="true" hidden="false"/>
    </xf>
    <xf numFmtId="164" fontId="29" fillId="3" borderId="70" xfId="0" applyFont="true" applyBorder="true" applyAlignment="true" applyProtection="true">
      <alignment horizontal="left" vertical="center" textRotation="0" wrapText="false" indent="0" shrinkToFit="false"/>
      <protection locked="true" hidden="false"/>
    </xf>
    <xf numFmtId="164" fontId="29" fillId="3" borderId="71" xfId="0" applyFont="true" applyBorder="true" applyAlignment="true" applyProtection="true">
      <alignment horizontal="left" vertical="center" textRotation="0" wrapText="false" indent="0" shrinkToFit="false"/>
      <protection locked="true" hidden="false"/>
    </xf>
    <xf numFmtId="164" fontId="29" fillId="3" borderId="85" xfId="0" applyFont="true" applyBorder="true" applyAlignment="true" applyProtection="true">
      <alignment horizontal="left" vertical="center" textRotation="0" wrapText="false" indent="0" shrinkToFit="false"/>
      <protection locked="true" hidden="false"/>
    </xf>
    <xf numFmtId="164" fontId="29" fillId="3" borderId="95" xfId="0" applyFont="true" applyBorder="true" applyAlignment="true" applyProtection="true">
      <alignment horizontal="left" vertical="center" textRotation="0" wrapText="false" indent="0" shrinkToFit="false"/>
      <protection locked="true" hidden="false"/>
    </xf>
    <xf numFmtId="164" fontId="29" fillId="3" borderId="34" xfId="0" applyFont="true" applyBorder="true" applyAlignment="true" applyProtection="true">
      <alignment horizontal="left" vertical="center" textRotation="0" wrapText="false" indent="0" shrinkToFit="false"/>
      <protection locked="true" hidden="false"/>
    </xf>
    <xf numFmtId="164" fontId="29" fillId="3" borderId="72" xfId="0" applyFont="true" applyBorder="true" applyAlignment="true" applyProtection="true">
      <alignment horizontal="left" vertical="center" textRotation="0" wrapText="false" indent="0" shrinkToFit="false"/>
      <protection locked="true" hidden="false"/>
    </xf>
    <xf numFmtId="164" fontId="29" fillId="3" borderId="25" xfId="0" applyFont="true" applyBorder="true" applyAlignment="true" applyProtection="true">
      <alignment horizontal="left" vertical="center" textRotation="0" wrapText="false" indent="0" shrinkToFit="false"/>
      <protection locked="true" hidden="false"/>
    </xf>
    <xf numFmtId="164" fontId="29" fillId="3" borderId="58" xfId="0" applyFont="true" applyBorder="true" applyAlignment="true" applyProtection="true">
      <alignment horizontal="left" vertical="center" textRotation="0" wrapText="false" indent="0" shrinkToFit="false"/>
      <protection locked="true" hidden="false"/>
    </xf>
    <xf numFmtId="164" fontId="29" fillId="3" borderId="35" xfId="0" applyFont="true" applyBorder="true" applyAlignment="true" applyProtection="true">
      <alignment horizontal="left" vertical="center" textRotation="0" wrapText="true" indent="0" shrinkToFit="false"/>
      <protection locked="true" hidden="false"/>
    </xf>
    <xf numFmtId="164" fontId="29" fillId="3" borderId="6" xfId="0" applyFont="true" applyBorder="true" applyAlignment="true" applyProtection="true">
      <alignment horizontal="left" vertical="center" textRotation="0" wrapText="true" indent="0" shrinkToFit="false"/>
      <protection locked="true" hidden="false"/>
    </xf>
    <xf numFmtId="164" fontId="29" fillId="3" borderId="37" xfId="0" applyFont="true" applyBorder="true" applyAlignment="true" applyProtection="true">
      <alignment horizontal="left" vertical="center" textRotation="0" wrapText="true" indent="0" shrinkToFit="false"/>
      <protection locked="true" hidden="false"/>
    </xf>
    <xf numFmtId="164" fontId="29" fillId="3" borderId="8" xfId="0" applyFont="true" applyBorder="true" applyAlignment="true" applyProtection="true">
      <alignment horizontal="left" vertical="center" textRotation="0" wrapText="true" indent="0" shrinkToFit="false"/>
      <protection locked="true" hidden="false"/>
    </xf>
    <xf numFmtId="164" fontId="29" fillId="3" borderId="6" xfId="0" applyFont="true" applyBorder="true" applyAlignment="true" applyProtection="true">
      <alignment horizontal="left" vertical="center" textRotation="0" wrapText="false" indent="0" shrinkToFit="false"/>
      <protection locked="true" hidden="false"/>
    </xf>
    <xf numFmtId="164" fontId="29" fillId="3" borderId="0" xfId="0" applyFont="true" applyBorder="false" applyAlignment="true" applyProtection="true">
      <alignment horizontal="left" vertical="center" textRotation="0" wrapText="false" indent="0" shrinkToFit="false"/>
      <protection locked="true" hidden="false"/>
    </xf>
    <xf numFmtId="164" fontId="61" fillId="3" borderId="9" xfId="0" applyFont="true" applyBorder="true" applyAlignment="true" applyProtection="true">
      <alignment horizontal="left" vertical="center" textRotation="0" wrapText="false" indent="0" shrinkToFit="false"/>
      <protection locked="true" hidden="false"/>
    </xf>
    <xf numFmtId="170" fontId="51" fillId="0" borderId="0" xfId="0" applyFont="true" applyBorder="false" applyAlignment="true" applyProtection="true">
      <alignment horizontal="left" vertical="center" textRotation="0" wrapText="false" indent="0" shrinkToFit="false"/>
      <protection locked="true" hidden="false"/>
    </xf>
    <xf numFmtId="164" fontId="0" fillId="0" borderId="0" xfId="0" applyFont="false" applyBorder="false" applyAlignment="false" applyProtection="true">
      <alignment horizontal="general" vertical="center" textRotation="0" wrapText="false" indent="0" shrinkToFit="false"/>
      <protection locked="true" hidden="false"/>
    </xf>
    <xf numFmtId="170" fontId="147" fillId="0" borderId="0" xfId="26" applyFont="true" applyBorder="true" applyAlignment="true" applyProtection="true">
      <alignment horizontal="left" vertical="center" textRotation="0" wrapText="false" indent="0" shrinkToFit="false"/>
      <protection locked="true" hidden="false"/>
    </xf>
    <xf numFmtId="164" fontId="148" fillId="0" borderId="9" xfId="26" applyFont="true" applyBorder="true" applyAlignment="true" applyProtection="true">
      <alignment horizontal="general" vertical="center" textRotation="0" wrapText="false" indent="0" shrinkToFit="false"/>
      <protection locked="true" hidden="false"/>
    </xf>
    <xf numFmtId="170" fontId="149" fillId="3" borderId="57" xfId="26" applyFont="true" applyBorder="true" applyAlignment="true" applyProtection="true">
      <alignment horizontal="left" vertical="center" textRotation="0" wrapText="false" indent="0" shrinkToFit="false"/>
      <protection locked="true" hidden="false"/>
    </xf>
    <xf numFmtId="170" fontId="149" fillId="3" borderId="58" xfId="26" applyFont="true" applyBorder="true" applyAlignment="true" applyProtection="true">
      <alignment horizontal="left" vertical="center" textRotation="0" wrapText="false" indent="0" shrinkToFit="false"/>
      <protection locked="true" hidden="false"/>
    </xf>
    <xf numFmtId="170" fontId="149" fillId="3" borderId="58" xfId="26" applyFont="true" applyBorder="true" applyAlignment="true" applyProtection="true">
      <alignment horizontal="left" vertical="center" textRotation="0" wrapText="true" indent="0" shrinkToFit="false"/>
      <protection locked="true" hidden="false"/>
    </xf>
    <xf numFmtId="170" fontId="149" fillId="3" borderId="72" xfId="26" applyFont="true" applyBorder="true" applyAlignment="true" applyProtection="true">
      <alignment horizontal="left" vertical="center" textRotation="0" wrapText="false" indent="0" shrinkToFit="false"/>
      <protection locked="true" hidden="false"/>
    </xf>
    <xf numFmtId="170" fontId="149" fillId="3" borderId="82" xfId="26" applyFont="true" applyBorder="true" applyAlignment="true" applyProtection="true">
      <alignment horizontal="left" vertical="center" textRotation="0" wrapText="false" indent="0" shrinkToFit="false"/>
      <protection locked="true" hidden="false"/>
    </xf>
    <xf numFmtId="170" fontId="51" fillId="3" borderId="5" xfId="0" applyFont="true" applyBorder="true" applyAlignment="true" applyProtection="true">
      <alignment horizontal="left" vertical="center" textRotation="0" wrapText="false" indent="0" shrinkToFit="false"/>
      <protection locked="true" hidden="false"/>
    </xf>
    <xf numFmtId="170" fontId="149" fillId="3" borderId="22" xfId="26" applyFont="true" applyBorder="true" applyAlignment="true" applyProtection="true">
      <alignment horizontal="left" vertical="center" textRotation="0" wrapText="false" indent="0" shrinkToFit="false"/>
      <protection locked="true" hidden="false"/>
    </xf>
    <xf numFmtId="170" fontId="150" fillId="3" borderId="5" xfId="26" applyFont="true" applyBorder="true" applyAlignment="true" applyProtection="true">
      <alignment horizontal="left" vertical="center" textRotation="0" wrapText="false" indent="0" shrinkToFit="false"/>
      <protection locked="true" hidden="false"/>
    </xf>
    <xf numFmtId="170" fontId="150" fillId="3" borderId="23" xfId="26" applyFont="true" applyBorder="true" applyAlignment="true" applyProtection="true">
      <alignment horizontal="left" vertical="center" textRotation="0" wrapText="false" indent="0" shrinkToFit="false"/>
      <protection locked="true" hidden="false"/>
    </xf>
    <xf numFmtId="164" fontId="0" fillId="0" borderId="0" xfId="0" applyFont="true" applyBorder="false" applyAlignment="false" applyProtection="true">
      <alignment horizontal="general" vertical="center" textRotation="0" wrapText="false" indent="0" shrinkToFit="false"/>
      <protection locked="true" hidden="false"/>
    </xf>
    <xf numFmtId="170" fontId="149" fillId="3" borderId="22" xfId="26" applyFont="true" applyBorder="true" applyAlignment="true" applyProtection="true">
      <alignment horizontal="left" vertical="center" textRotation="0" wrapText="true" indent="0" shrinkToFit="false"/>
      <protection locked="true" hidden="false"/>
    </xf>
    <xf numFmtId="170" fontId="149" fillId="3" borderId="24" xfId="26" applyFont="true" applyBorder="true" applyAlignment="true" applyProtection="true">
      <alignment horizontal="left" vertical="center" textRotation="0" wrapText="true" indent="0" shrinkToFit="false"/>
      <protection locked="true" hidden="false"/>
    </xf>
    <xf numFmtId="170" fontId="150" fillId="3" borderId="25" xfId="26" applyFont="true" applyBorder="true" applyAlignment="true" applyProtection="true">
      <alignment horizontal="left" vertical="center" textRotation="0" wrapText="false" indent="0" shrinkToFit="false"/>
      <protection locked="true" hidden="false"/>
    </xf>
    <xf numFmtId="170" fontId="150" fillId="3" borderId="71" xfId="26" applyFont="true" applyBorder="true" applyAlignment="true" applyProtection="true">
      <alignment horizontal="left" vertical="center" textRotation="0" wrapText="false" indent="0" shrinkToFit="false"/>
      <protection locked="true" hidden="false"/>
    </xf>
    <xf numFmtId="170" fontId="146" fillId="0" borderId="0" xfId="0" applyFont="true" applyBorder="false" applyAlignment="true" applyProtection="true">
      <alignment horizontal="left" vertical="center" textRotation="0" wrapText="false" indent="0" shrinkToFit="false"/>
      <protection locked="true" hidden="false"/>
    </xf>
    <xf numFmtId="164" fontId="151" fillId="3" borderId="47" xfId="22" applyFont="true" applyBorder="true" applyAlignment="true" applyProtection="true">
      <alignment horizontal="general" vertical="center" textRotation="0" wrapText="false" indent="0" shrinkToFit="false"/>
      <protection locked="true" hidden="false"/>
    </xf>
    <xf numFmtId="164" fontId="152" fillId="3" borderId="5" xfId="22" applyFont="true" applyBorder="true" applyAlignment="true" applyProtection="true">
      <alignment horizontal="general" vertical="center" textRotation="0" wrapText="false" indent="0" shrinkToFit="false"/>
      <protection locked="true" hidden="false"/>
    </xf>
    <xf numFmtId="164" fontId="152" fillId="3" borderId="0" xfId="22" applyFont="true" applyBorder="true" applyAlignment="true" applyProtection="true">
      <alignment horizontal="general" vertical="center" textRotation="0" wrapText="false" indent="0" shrinkToFit="false"/>
      <protection locked="true" hidden="false"/>
    </xf>
    <xf numFmtId="164" fontId="152" fillId="3" borderId="11" xfId="22" applyFont="true" applyBorder="true" applyAlignment="true" applyProtection="true">
      <alignment horizontal="general" vertical="center" textRotation="0" wrapText="false" indent="0" shrinkToFit="false"/>
      <protection locked="true" hidden="false"/>
    </xf>
    <xf numFmtId="164" fontId="153" fillId="3" borderId="7" xfId="22" applyFont="true" applyBorder="true" applyAlignment="true" applyProtection="true">
      <alignment horizontal="general" vertical="bottom" textRotation="0" wrapText="false" indent="0" shrinkToFit="false"/>
      <protection locked="true" hidden="false"/>
    </xf>
    <xf numFmtId="175" fontId="153" fillId="3" borderId="5" xfId="22" applyFont="true" applyBorder="true" applyAlignment="true" applyProtection="true">
      <alignment horizontal="center" vertical="bottom" textRotation="0" wrapText="false" indent="0" shrinkToFit="false"/>
      <protection locked="true" hidden="false"/>
    </xf>
    <xf numFmtId="164" fontId="153" fillId="3" borderId="5" xfId="22" applyFont="true" applyBorder="true" applyAlignment="true" applyProtection="true">
      <alignment horizontal="center" vertical="bottom" textRotation="0" wrapText="false" indent="0" shrinkToFit="false"/>
      <protection locked="true" hidden="false"/>
    </xf>
    <xf numFmtId="164" fontId="154" fillId="3" borderId="7" xfId="22" applyFont="true" applyBorder="true" applyAlignment="true" applyProtection="true">
      <alignment horizontal="general" vertical="bottom" textRotation="0" wrapText="false" indent="0" shrinkToFit="false"/>
      <protection locked="true" hidden="false"/>
    </xf>
    <xf numFmtId="164" fontId="153" fillId="2" borderId="23" xfId="22" applyFont="true" applyBorder="true" applyAlignment="true" applyProtection="true">
      <alignment horizontal="left" vertical="center" textRotation="0" wrapText="false" indent="0" shrinkToFit="false"/>
      <protection locked="false" hidden="false"/>
    </xf>
    <xf numFmtId="164" fontId="155" fillId="3" borderId="7" xfId="22" applyFont="true" applyBorder="true" applyAlignment="true" applyProtection="true">
      <alignment horizontal="general" vertical="bottom" textRotation="0" wrapText="false" indent="0" shrinkToFit="false"/>
      <protection locked="true" hidden="false"/>
    </xf>
    <xf numFmtId="164" fontId="154" fillId="3" borderId="23" xfId="22" applyFont="true" applyBorder="true" applyAlignment="true" applyProtection="true">
      <alignment horizontal="left" vertical="bottom" textRotation="0" wrapText="false" indent="0" shrinkToFit="false"/>
      <protection locked="true" hidden="false"/>
    </xf>
    <xf numFmtId="164" fontId="153" fillId="3" borderId="23" xfId="0" applyFont="true" applyBorder="true" applyAlignment="true" applyProtection="true">
      <alignment horizontal="general" vertical="center" textRotation="0" wrapText="false" indent="0" shrinkToFit="false"/>
      <protection locked="true" hidden="false"/>
    </xf>
    <xf numFmtId="164" fontId="154" fillId="3" borderId="23" xfId="0" applyFont="true" applyBorder="true" applyAlignment="true" applyProtection="true">
      <alignment horizontal="general" vertical="center" textRotation="0" wrapText="false" indent="0" shrinkToFit="false"/>
      <protection locked="true" hidden="false"/>
    </xf>
    <xf numFmtId="164" fontId="154" fillId="3" borderId="63" xfId="0" applyFont="true" applyBorder="true" applyAlignment="true" applyProtection="true">
      <alignment horizontal="general" vertical="center" textRotation="0" wrapText="true" indent="0" shrinkToFit="false"/>
      <protection locked="true" hidden="false"/>
    </xf>
    <xf numFmtId="164" fontId="153" fillId="3" borderId="7" xfId="22" applyFont="true" applyBorder="true" applyAlignment="true" applyProtection="true">
      <alignment horizontal="general" vertical="center" textRotation="0" wrapText="false" indent="0" shrinkToFit="false"/>
      <protection locked="true" hidden="false"/>
    </xf>
    <xf numFmtId="164" fontId="153" fillId="3" borderId="23" xfId="0" applyFont="true" applyBorder="true" applyAlignment="true" applyProtection="true">
      <alignment horizontal="general" vertical="center" textRotation="0" wrapText="true" indent="0" shrinkToFit="false"/>
      <protection locked="true" hidden="false"/>
    </xf>
    <xf numFmtId="164" fontId="154" fillId="3" borderId="7" xfId="22" applyFont="true" applyBorder="true" applyAlignment="true" applyProtection="true">
      <alignment horizontal="left" vertical="bottom" textRotation="0" wrapText="false" indent="0" shrinkToFit="false"/>
      <protection locked="true" hidden="false"/>
    </xf>
    <xf numFmtId="164" fontId="154" fillId="3" borderId="23" xfId="0" applyFont="true" applyBorder="true" applyAlignment="true" applyProtection="true">
      <alignment horizontal="general" vertical="center" textRotation="0" wrapText="true" indent="0" shrinkToFit="false"/>
      <protection locked="true" hidden="false"/>
    </xf>
    <xf numFmtId="164" fontId="154" fillId="3" borderId="23" xfId="22" applyFont="true" applyBorder="true" applyAlignment="true" applyProtection="true">
      <alignment horizontal="left" vertical="center" textRotation="0" wrapText="false" indent="0" shrinkToFit="false"/>
      <protection locked="true" hidden="false"/>
    </xf>
    <xf numFmtId="164" fontId="154" fillId="3" borderId="23" xfId="0" applyFont="true" applyBorder="true" applyAlignment="true" applyProtection="true">
      <alignment horizontal="left" vertical="center" textRotation="0" wrapText="false" indent="0" shrinkToFit="false"/>
      <protection locked="true" hidden="false"/>
    </xf>
    <xf numFmtId="164" fontId="157" fillId="3" borderId="5" xfId="0" applyFont="true" applyBorder="true" applyAlignment="true" applyProtection="true">
      <alignment horizontal="left" vertical="bottom" textRotation="0" wrapText="false" indent="0" shrinkToFit="false"/>
      <protection locked="true" hidden="false"/>
    </xf>
    <xf numFmtId="164" fontId="158" fillId="3" borderId="5" xfId="0" applyFont="true" applyBorder="true" applyAlignment="true" applyProtection="true">
      <alignment horizontal="general" vertical="bottom" textRotation="0" wrapText="false" indent="0" shrinkToFit="false"/>
      <protection locked="true" hidden="false"/>
    </xf>
    <xf numFmtId="164" fontId="51" fillId="3" borderId="20" xfId="0" applyFont="true" applyBorder="true" applyAlignment="true" applyProtection="true">
      <alignment horizontal="left" vertical="center" textRotation="0" wrapText="false" indent="0" shrinkToFit="false"/>
      <protection locked="true" hidden="false"/>
    </xf>
    <xf numFmtId="164" fontId="159" fillId="3" borderId="21" xfId="0" applyFont="true" applyBorder="true" applyAlignment="true" applyProtection="true">
      <alignment horizontal="center" vertical="center" textRotation="0" wrapText="false" indent="0" shrinkToFit="false"/>
      <protection locked="true" hidden="false"/>
    </xf>
    <xf numFmtId="164" fontId="51" fillId="3" borderId="87" xfId="0" applyFont="true" applyBorder="true" applyAlignment="true" applyProtection="true">
      <alignment horizontal="left" vertical="center" textRotation="0" wrapText="false" indent="0" shrinkToFit="false"/>
      <protection locked="true" hidden="false"/>
    </xf>
    <xf numFmtId="164" fontId="51" fillId="3" borderId="72" xfId="0" applyFont="true" applyBorder="true" applyAlignment="true" applyProtection="true">
      <alignment horizontal="left" vertical="center" textRotation="0" wrapText="false" indent="0" shrinkToFit="false"/>
      <protection locked="true" hidden="false"/>
    </xf>
    <xf numFmtId="164" fontId="51" fillId="3" borderId="82" xfId="0" applyFont="true" applyBorder="true" applyAlignment="true" applyProtection="true">
      <alignment horizontal="left" vertical="center" textRotation="0" wrapText="false" indent="0" shrinkToFit="false"/>
      <protection locked="true" hidden="false"/>
    </xf>
    <xf numFmtId="164" fontId="150" fillId="3" borderId="26" xfId="0" applyFont="true" applyBorder="true" applyAlignment="true" applyProtection="true">
      <alignment horizontal="general" vertical="center" textRotation="0" wrapText="false" indent="0" shrinkToFit="false"/>
      <protection locked="true" hidden="false"/>
    </xf>
    <xf numFmtId="164" fontId="150" fillId="3" borderId="27" xfId="0" applyFont="true" applyBorder="true" applyAlignment="true" applyProtection="true">
      <alignment horizontal="right" vertical="center" textRotation="0" wrapText="false" indent="0" shrinkToFit="false"/>
      <protection locked="true" hidden="false"/>
    </xf>
    <xf numFmtId="164" fontId="150" fillId="3" borderId="58" xfId="0" applyFont="true" applyBorder="true" applyAlignment="true" applyProtection="true">
      <alignment horizontal="left" vertical="center" textRotation="0" wrapText="true" indent="0" shrinkToFit="false"/>
      <protection locked="true" hidden="false"/>
    </xf>
    <xf numFmtId="164" fontId="159" fillId="3" borderId="33" xfId="0" applyFont="true" applyBorder="true" applyAlignment="true" applyProtection="true">
      <alignment horizontal="left" vertical="center" textRotation="0" wrapText="true" indent="0" shrinkToFit="false"/>
      <protection locked="true" hidden="false"/>
    </xf>
    <xf numFmtId="164" fontId="160" fillId="3" borderId="18" xfId="0" applyFont="true" applyBorder="true" applyAlignment="true" applyProtection="true">
      <alignment horizontal="left" vertical="center" textRotation="0" wrapText="false" indent="0" shrinkToFit="false"/>
      <protection locked="true" hidden="false"/>
    </xf>
    <xf numFmtId="164" fontId="159" fillId="3" borderId="81" xfId="0" applyFont="true" applyBorder="true" applyAlignment="true" applyProtection="true">
      <alignment horizontal="left" vertical="center" textRotation="0" wrapText="false" indent="0" shrinkToFit="false"/>
      <protection locked="true" hidden="false"/>
    </xf>
    <xf numFmtId="164" fontId="160" fillId="3" borderId="20" xfId="0" applyFont="true" applyBorder="true" applyAlignment="true" applyProtection="true">
      <alignment horizontal="left" vertical="center" textRotation="0" wrapText="false" indent="0" shrinkToFit="false"/>
      <protection locked="true" hidden="false"/>
    </xf>
    <xf numFmtId="164" fontId="150" fillId="3" borderId="5" xfId="0" applyFont="true" applyBorder="true" applyAlignment="true" applyProtection="true">
      <alignment horizontal="left" vertical="center" textRotation="0" wrapText="true" indent="0" shrinkToFit="false"/>
      <protection locked="true" hidden="false"/>
    </xf>
    <xf numFmtId="164" fontId="150" fillId="3" borderId="6" xfId="0" applyFont="true" applyBorder="true" applyAlignment="true" applyProtection="true">
      <alignment horizontal="left" vertical="center" textRotation="0" wrapText="true" indent="0" shrinkToFit="false"/>
      <protection locked="true" hidden="false"/>
    </xf>
    <xf numFmtId="164" fontId="160" fillId="3" borderId="0" xfId="0" applyFont="true" applyBorder="false" applyAlignment="true" applyProtection="true">
      <alignment horizontal="left" vertical="center" textRotation="0" wrapText="false" indent="0" shrinkToFit="false"/>
      <protection locked="true" hidden="false"/>
    </xf>
    <xf numFmtId="164" fontId="159" fillId="3" borderId="25" xfId="0" applyFont="true" applyBorder="true" applyAlignment="true" applyProtection="true">
      <alignment horizontal="left" vertical="center" textRotation="0" wrapText="false" indent="0" shrinkToFit="false"/>
      <protection locked="true" hidden="false"/>
    </xf>
    <xf numFmtId="164" fontId="159" fillId="3" borderId="76" xfId="0" applyFont="true" applyBorder="true" applyAlignment="true" applyProtection="true">
      <alignment horizontal="left" vertical="center" textRotation="0" wrapText="false" indent="0" shrinkToFit="false"/>
      <protection locked="true" hidden="false"/>
    </xf>
    <xf numFmtId="164" fontId="150" fillId="3" borderId="87" xfId="0" applyFont="true" applyBorder="true" applyAlignment="true" applyProtection="true">
      <alignment horizontal="left" vertical="center" textRotation="0" wrapText="true" indent="0" shrinkToFit="false"/>
      <protection locked="true" hidden="false"/>
    </xf>
    <xf numFmtId="164" fontId="150" fillId="3" borderId="44" xfId="0" applyFont="true" applyBorder="true" applyAlignment="true" applyProtection="true">
      <alignment horizontal="left" vertical="center" textRotation="0" wrapText="true" indent="0" shrinkToFit="false"/>
      <protection locked="true" hidden="false"/>
    </xf>
    <xf numFmtId="164" fontId="150" fillId="3" borderId="25" xfId="0" applyFont="true" applyBorder="true" applyAlignment="true" applyProtection="true">
      <alignment horizontal="left" vertical="center" textRotation="0" wrapText="true" indent="0" shrinkToFit="false"/>
      <protection locked="true" hidden="false"/>
    </xf>
    <xf numFmtId="164" fontId="150" fillId="3" borderId="68" xfId="0" applyFont="true" applyBorder="true" applyAlignment="true" applyProtection="true">
      <alignment horizontal="left" vertical="center" textRotation="0" wrapText="true" indent="0" shrinkToFit="false"/>
      <protection locked="true" hidden="false"/>
    </xf>
    <xf numFmtId="195" fontId="150" fillId="3" borderId="5" xfId="20" applyFont="true" applyBorder="true" applyAlignment="true" applyProtection="true">
      <alignment horizontal="left" vertical="center" textRotation="0" wrapText="true" indent="0" shrinkToFit="false"/>
      <protection locked="true" hidden="false"/>
    </xf>
    <xf numFmtId="164" fontId="150" fillId="3" borderId="16" xfId="0" applyFont="true" applyBorder="true" applyAlignment="true" applyProtection="true">
      <alignment horizontal="left" vertical="center" textRotation="0" wrapText="true" indent="0" shrinkToFit="false"/>
      <protection locked="true" hidden="false"/>
    </xf>
    <xf numFmtId="164" fontId="150" fillId="3" borderId="11" xfId="0" applyFont="true" applyBorder="true" applyAlignment="true" applyProtection="true">
      <alignment horizontal="left" vertical="center" textRotation="0" wrapText="true" indent="0" shrinkToFit="false"/>
      <protection locked="true" hidden="false"/>
    </xf>
    <xf numFmtId="164" fontId="150" fillId="3" borderId="59" xfId="0" applyFont="true" applyBorder="true" applyAlignment="true" applyProtection="true">
      <alignment horizontal="left" vertical="center" textRotation="0" wrapText="true" indent="0" shrinkToFit="false"/>
      <protection locked="true" hidden="false"/>
    </xf>
    <xf numFmtId="164" fontId="150" fillId="3" borderId="23" xfId="0" applyFont="true" applyBorder="true" applyAlignment="true" applyProtection="true">
      <alignment horizontal="left" vertical="center" textRotation="0" wrapText="true" indent="0" shrinkToFit="false"/>
      <protection locked="true" hidden="false"/>
    </xf>
    <xf numFmtId="164" fontId="150" fillId="3" borderId="67" xfId="0" applyFont="true" applyBorder="true" applyAlignment="true" applyProtection="true">
      <alignment horizontal="left" vertical="center" textRotation="0" wrapText="true" indent="0" shrinkToFit="false"/>
      <protection locked="true" hidden="false"/>
    </xf>
    <xf numFmtId="164" fontId="150" fillId="3" borderId="71" xfId="0" applyFont="true" applyBorder="true" applyAlignment="true" applyProtection="true">
      <alignment horizontal="left" vertical="center" textRotation="0" wrapText="true" indent="0" shrinkToFit="false"/>
      <protection locked="true" hidden="false"/>
    </xf>
    <xf numFmtId="164" fontId="150" fillId="3" borderId="63" xfId="0" applyFont="true" applyBorder="true" applyAlignment="true" applyProtection="true">
      <alignment horizontal="left" vertical="center" textRotation="0" wrapText="true" indent="0" shrinkToFit="false"/>
      <protection locked="true" hidden="false"/>
    </xf>
    <xf numFmtId="164" fontId="150" fillId="3" borderId="57" xfId="0" applyFont="true" applyBorder="true" applyAlignment="true" applyProtection="true">
      <alignment horizontal="left" vertical="center" textRotation="0" wrapText="true" indent="0" shrinkToFit="false"/>
      <protection locked="true" hidden="false"/>
    </xf>
    <xf numFmtId="164" fontId="150" fillId="3" borderId="22" xfId="0" applyFont="true" applyBorder="true" applyAlignment="true" applyProtection="true">
      <alignment horizontal="left" vertical="center" textRotation="0" wrapText="true" indent="0" shrinkToFit="false"/>
      <protection locked="true" hidden="false"/>
    </xf>
    <xf numFmtId="164" fontId="150" fillId="3" borderId="24" xfId="0" applyFont="true" applyBorder="true" applyAlignment="true" applyProtection="true">
      <alignment horizontal="left" vertical="center" textRotation="0" wrapText="true" indent="0" shrinkToFit="false"/>
      <protection locked="true" hidden="false"/>
    </xf>
    <xf numFmtId="164" fontId="0" fillId="3" borderId="0" xfId="0" applyFont="false" applyBorder="false" applyAlignment="true" applyProtection="true">
      <alignment horizontal="left" vertical="center" textRotation="0" wrapText="false" indent="0" shrinkToFit="false"/>
      <protection locked="true" hidden="false"/>
    </xf>
    <xf numFmtId="164" fontId="0" fillId="3" borderId="0" xfId="0" applyFont="fals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161" fillId="3" borderId="0" xfId="0" applyFont="true" applyBorder="true" applyAlignment="true" applyProtection="true">
      <alignment horizontal="left" vertical="center" textRotation="0" wrapText="false" indent="0" shrinkToFit="false"/>
      <protection locked="true" hidden="false"/>
    </xf>
    <xf numFmtId="164" fontId="161" fillId="3" borderId="0" xfId="0" applyFont="true" applyBorder="false" applyAlignment="true" applyProtection="true">
      <alignment horizontal="left" vertical="center" textRotation="0" wrapText="false" indent="0" shrinkToFit="false"/>
      <protection locked="true" hidden="false"/>
    </xf>
    <xf numFmtId="164" fontId="162" fillId="3" borderId="73" xfId="0" applyFont="true" applyBorder="true" applyAlignment="true" applyProtection="true">
      <alignment horizontal="left" vertical="center" textRotation="0" wrapText="false" indent="0" shrinkToFit="false"/>
      <protection locked="true" hidden="false"/>
    </xf>
    <xf numFmtId="164" fontId="162" fillId="3" borderId="87" xfId="0" applyFont="true" applyBorder="true" applyAlignment="true" applyProtection="true">
      <alignment horizontal="left" vertical="center" textRotation="0" wrapText="true" indent="0" shrinkToFit="false"/>
      <protection locked="true" hidden="false"/>
    </xf>
    <xf numFmtId="164" fontId="162" fillId="3" borderId="11" xfId="0" applyFont="true" applyBorder="true" applyAlignment="true" applyProtection="true">
      <alignment horizontal="left" vertical="center" textRotation="0" wrapText="false" indent="0" shrinkToFit="false"/>
      <protection locked="true" hidden="false"/>
    </xf>
    <xf numFmtId="164" fontId="163" fillId="3" borderId="57" xfId="0" applyFont="true" applyBorder="true" applyAlignment="true" applyProtection="true">
      <alignment horizontal="left" vertical="center" textRotation="0" wrapText="true" indent="0" shrinkToFit="false"/>
      <protection locked="true" hidden="false"/>
    </xf>
    <xf numFmtId="164" fontId="164" fillId="3" borderId="58" xfId="0" applyFont="true" applyBorder="true" applyAlignment="true" applyProtection="true">
      <alignment horizontal="left" vertical="center" textRotation="0" wrapText="true" indent="0" shrinkToFit="false"/>
      <protection locked="true" hidden="false"/>
    </xf>
    <xf numFmtId="173" fontId="165" fillId="3" borderId="58" xfId="0" applyFont="true" applyBorder="true" applyAlignment="true" applyProtection="false">
      <alignment horizontal="left" vertical="center" textRotation="0" wrapText="true" indent="0" shrinkToFit="false"/>
      <protection locked="true" hidden="false"/>
    </xf>
    <xf numFmtId="173" fontId="165" fillId="3" borderId="59" xfId="0" applyFont="true" applyBorder="true" applyAlignment="true" applyProtection="false">
      <alignment horizontal="left" vertical="center" textRotation="0" wrapText="true" indent="0" shrinkToFit="false"/>
      <protection locked="true" hidden="false"/>
    </xf>
    <xf numFmtId="164" fontId="163" fillId="3" borderId="22" xfId="0" applyFont="true" applyBorder="true" applyAlignment="true" applyProtection="true">
      <alignment horizontal="left" vertical="center" textRotation="0" wrapText="true" indent="0" shrinkToFit="false"/>
      <protection locked="true" hidden="false"/>
    </xf>
    <xf numFmtId="164" fontId="164" fillId="3" borderId="5" xfId="0" applyFont="true" applyBorder="true" applyAlignment="true" applyProtection="true">
      <alignment horizontal="left" vertical="center" textRotation="0" wrapText="true" indent="0" shrinkToFit="false"/>
      <protection locked="true" hidden="false"/>
    </xf>
    <xf numFmtId="173" fontId="165" fillId="3" borderId="5" xfId="0" applyFont="true" applyBorder="true" applyAlignment="true" applyProtection="false">
      <alignment horizontal="left" vertical="center" textRotation="0" wrapText="true" indent="0" shrinkToFit="false"/>
      <protection locked="true" hidden="false"/>
    </xf>
    <xf numFmtId="173" fontId="165" fillId="3" borderId="23" xfId="0" applyFont="true" applyBorder="true" applyAlignment="true" applyProtection="false">
      <alignment horizontal="left" vertical="center" textRotation="0" wrapText="true" indent="0" shrinkToFit="false"/>
      <protection locked="true" hidden="false"/>
    </xf>
    <xf numFmtId="164" fontId="163" fillId="3" borderId="65" xfId="0" applyFont="true" applyBorder="true" applyAlignment="true" applyProtection="true">
      <alignment horizontal="left" vertical="center" textRotation="0" wrapText="true" indent="0" shrinkToFit="false"/>
      <protection locked="true" hidden="false"/>
    </xf>
    <xf numFmtId="164" fontId="164" fillId="3" borderId="11" xfId="0" applyFont="true" applyBorder="true" applyAlignment="true" applyProtection="true">
      <alignment horizontal="left" vertical="center" textRotation="0" wrapText="true" indent="0" shrinkToFit="false"/>
      <protection locked="true" hidden="false"/>
    </xf>
    <xf numFmtId="173" fontId="165" fillId="3" borderId="11" xfId="0" applyFont="true" applyBorder="true" applyAlignment="true" applyProtection="false">
      <alignment horizontal="left" vertical="center" textRotation="0" wrapText="true" indent="0" shrinkToFit="false"/>
      <protection locked="true" hidden="false"/>
    </xf>
    <xf numFmtId="173" fontId="0" fillId="3" borderId="11" xfId="0" applyFont="false" applyBorder="true" applyAlignment="true" applyProtection="false">
      <alignment horizontal="left" vertical="center" textRotation="0" wrapText="false" indent="0" shrinkToFit="false"/>
      <protection locked="true" hidden="false"/>
    </xf>
    <xf numFmtId="173" fontId="165" fillId="3" borderId="63" xfId="0" applyFont="true" applyBorder="true" applyAlignment="true" applyProtection="false">
      <alignment horizontal="left" vertical="center" textRotation="0" wrapText="true" indent="0" shrinkToFit="false"/>
      <protection locked="true" hidden="false"/>
    </xf>
    <xf numFmtId="164" fontId="166" fillId="3" borderId="5" xfId="0" applyFont="true" applyBorder="true" applyAlignment="true" applyProtection="false">
      <alignment horizontal="left" vertical="center" textRotation="0" wrapText="true" indent="0" shrinkToFit="false"/>
      <protection locked="true" hidden="false"/>
    </xf>
    <xf numFmtId="164" fontId="166" fillId="3" borderId="11" xfId="0" applyFont="true" applyBorder="true" applyAlignment="true" applyProtection="false">
      <alignment horizontal="left" vertical="center" textRotation="0" wrapText="true" indent="0" shrinkToFit="false"/>
      <protection locked="true" hidden="false"/>
    </xf>
    <xf numFmtId="164" fontId="164" fillId="3" borderId="57" xfId="0" applyFont="true" applyBorder="true" applyAlignment="true" applyProtection="true">
      <alignment horizontal="left" vertical="center" textRotation="0" wrapText="true" indent="0" shrinkToFit="false"/>
      <protection locked="true" hidden="false"/>
    </xf>
    <xf numFmtId="164" fontId="164" fillId="3" borderId="22" xfId="0" applyFont="true" applyBorder="true" applyAlignment="true" applyProtection="true">
      <alignment horizontal="left" vertical="center" textRotation="0" wrapText="true" indent="0" shrinkToFit="false"/>
      <protection locked="true" hidden="false"/>
    </xf>
    <xf numFmtId="173" fontId="0" fillId="3" borderId="5" xfId="0" applyFont="false" applyBorder="true" applyAlignment="true" applyProtection="false">
      <alignment horizontal="left" vertical="center" textRotation="0" wrapText="false" indent="0" shrinkToFit="false"/>
      <protection locked="true" hidden="false"/>
    </xf>
    <xf numFmtId="173" fontId="0" fillId="3" borderId="23" xfId="0" applyFont="false" applyBorder="true" applyAlignment="true" applyProtection="false">
      <alignment horizontal="left" vertical="center" textRotation="0" wrapText="false" indent="0" shrinkToFit="false"/>
      <protection locked="true" hidden="false"/>
    </xf>
    <xf numFmtId="164" fontId="164" fillId="3" borderId="65" xfId="0" applyFont="true" applyBorder="true" applyAlignment="true" applyProtection="true">
      <alignment horizontal="left" vertical="center" textRotation="0" wrapText="true" indent="0" shrinkToFit="false"/>
      <protection locked="true" hidden="false"/>
    </xf>
    <xf numFmtId="173" fontId="53" fillId="3" borderId="11" xfId="0" applyFont="true" applyBorder="true" applyAlignment="true" applyProtection="false">
      <alignment horizontal="left" vertical="center" textRotation="0" wrapText="true" indent="0" shrinkToFit="false"/>
      <protection locked="true" hidden="false"/>
    </xf>
    <xf numFmtId="173" fontId="0" fillId="3" borderId="63" xfId="0" applyFont="false" applyBorder="true" applyAlignment="true" applyProtection="false">
      <alignment horizontal="left" vertical="center" textRotation="0" wrapText="false" indent="0" shrinkToFit="false"/>
      <protection locked="true" hidden="false"/>
    </xf>
    <xf numFmtId="173" fontId="53" fillId="3" borderId="5" xfId="0" applyFont="true" applyBorder="true" applyAlignment="true" applyProtection="false">
      <alignment horizontal="left" vertical="center" textRotation="0" wrapText="true" indent="0" shrinkToFit="false"/>
      <protection locked="true" hidden="false"/>
    </xf>
    <xf numFmtId="173" fontId="53" fillId="3" borderId="23" xfId="0" applyFont="true" applyBorder="true" applyAlignment="true" applyProtection="false">
      <alignment horizontal="left" vertical="center" textRotation="0" wrapText="true" indent="0" shrinkToFit="false"/>
      <protection locked="true" hidden="false"/>
    </xf>
    <xf numFmtId="173" fontId="53" fillId="3" borderId="63" xfId="0" applyFont="true" applyBorder="true" applyAlignment="true" applyProtection="false">
      <alignment horizontal="left" vertical="center" textRotation="0" wrapText="true" indent="0" shrinkToFit="false"/>
      <protection locked="true" hidden="false"/>
    </xf>
    <xf numFmtId="165" fontId="164" fillId="3" borderId="5" xfId="20" applyFont="true" applyBorder="true" applyAlignment="true" applyProtection="true">
      <alignment horizontal="left" vertical="center" textRotation="0" wrapText="true" indent="0" shrinkToFit="false"/>
      <protection locked="true" hidden="false"/>
    </xf>
    <xf numFmtId="164" fontId="164" fillId="3" borderId="24" xfId="0" applyFont="true" applyBorder="true" applyAlignment="true" applyProtection="true">
      <alignment horizontal="left" vertical="center" textRotation="0" wrapText="true" indent="0" shrinkToFit="false"/>
      <protection locked="true" hidden="false"/>
    </xf>
    <xf numFmtId="164" fontId="164" fillId="3" borderId="25" xfId="0" applyFont="true" applyBorder="true" applyAlignment="true" applyProtection="true">
      <alignment horizontal="left" vertical="center" textRotation="0" wrapText="true" indent="0" shrinkToFit="false"/>
      <protection locked="true" hidden="false"/>
    </xf>
    <xf numFmtId="173" fontId="165" fillId="3" borderId="25" xfId="0" applyFont="true" applyBorder="true" applyAlignment="true" applyProtection="false">
      <alignment horizontal="left" vertical="center" textRotation="0" wrapText="true" indent="0" shrinkToFit="false"/>
      <protection locked="true" hidden="false"/>
    </xf>
    <xf numFmtId="173" fontId="165" fillId="3" borderId="71" xfId="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167" fillId="0" borderId="15" xfId="0" applyFont="true" applyBorder="true" applyAlignment="true" applyProtection="false">
      <alignment horizontal="center" vertical="center" textRotation="0" wrapText="false" indent="0" shrinkToFit="false"/>
      <protection locked="true" hidden="false"/>
    </xf>
    <xf numFmtId="164" fontId="167" fillId="0" borderId="0" xfId="0" applyFont="true" applyBorder="fals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right" vertical="center" textRotation="0" wrapText="false" indent="0" shrinkToFit="false"/>
      <protection locked="true" hidden="false"/>
    </xf>
    <xf numFmtId="164" fontId="168" fillId="0" borderId="5" xfId="0" applyFont="true" applyBorder="true" applyAlignment="true" applyProtection="false">
      <alignment horizontal="left" vertical="center" textRotation="0" wrapText="false" indent="0" shrinkToFit="false"/>
      <protection locked="true" hidden="false"/>
    </xf>
    <xf numFmtId="164" fontId="168" fillId="0" borderId="5" xfId="0" applyFont="true" applyBorder="true" applyAlignment="true" applyProtection="false">
      <alignment horizontal="left" vertical="center" textRotation="0" wrapText="true" indent="0" shrinkToFit="false"/>
      <protection locked="true" hidden="false"/>
    </xf>
    <xf numFmtId="164" fontId="169" fillId="0" borderId="5" xfId="0" applyFont="true" applyBorder="true" applyAlignment="true" applyProtection="false">
      <alignment horizontal="left" vertical="center" textRotation="0" wrapText="true" indent="0" shrinkToFit="false"/>
      <protection locked="true" hidden="false"/>
    </xf>
    <xf numFmtId="168" fontId="0" fillId="3" borderId="0" xfId="0" applyFont="false" applyBorder="false" applyAlignment="true" applyProtection="false">
      <alignment horizontal="left" vertical="center" textRotation="0" wrapText="false" indent="0" shrinkToFit="false"/>
      <protection locked="true" hidden="false"/>
    </xf>
    <xf numFmtId="164" fontId="170" fillId="0" borderId="0" xfId="30" applyFont="true" applyBorder="false" applyAlignment="true" applyProtection="true">
      <alignment horizontal="general" vertical="center" textRotation="0" wrapText="false" indent="0" shrinkToFit="false"/>
      <protection locked="true" hidden="false"/>
    </xf>
    <xf numFmtId="164" fontId="170" fillId="9" borderId="0" xfId="30" applyFont="true" applyBorder="false" applyAlignment="true" applyProtection="true">
      <alignment horizontal="left" vertical="center" textRotation="0" wrapText="false" indent="0" shrinkToFit="false"/>
      <protection locked="true" hidden="false"/>
    </xf>
    <xf numFmtId="164" fontId="61" fillId="0" borderId="0" xfId="30" applyFont="true" applyBorder="true" applyAlignment="true" applyProtection="true">
      <alignment horizontal="left" vertical="center" textRotation="0" wrapText="false" indent="0" shrinkToFit="false"/>
      <protection locked="true" hidden="false"/>
    </xf>
    <xf numFmtId="164" fontId="170" fillId="0" borderId="130" xfId="30" applyFont="true" applyBorder="true" applyAlignment="true" applyProtection="true">
      <alignment horizontal="left" vertical="center" textRotation="0" wrapText="false" indent="0" shrinkToFit="false"/>
      <protection locked="true" hidden="false"/>
    </xf>
    <xf numFmtId="164" fontId="170" fillId="3" borderId="131" xfId="30" applyFont="true" applyBorder="true" applyAlignment="true" applyProtection="true">
      <alignment horizontal="left" vertical="center" textRotation="0" wrapText="false" indent="0" shrinkToFit="false"/>
      <protection locked="true" hidden="false"/>
    </xf>
    <xf numFmtId="164" fontId="170" fillId="3" borderId="130" xfId="30" applyFont="true" applyBorder="true" applyAlignment="true" applyProtection="true">
      <alignment horizontal="left" vertical="center" textRotation="0" wrapText="false" indent="0" shrinkToFit="false"/>
      <protection locked="true" hidden="false"/>
    </xf>
    <xf numFmtId="164" fontId="171" fillId="3" borderId="130" xfId="21" applyFont="true" applyBorder="true" applyAlignment="true" applyProtection="true">
      <alignment horizontal="left" vertical="center" textRotation="0" wrapText="false" indent="0" shrinkToFit="false"/>
      <protection locked="true" hidden="false"/>
    </xf>
    <xf numFmtId="164" fontId="170" fillId="9" borderId="130" xfId="30" applyFont="true" applyBorder="true" applyAlignment="true" applyProtection="true">
      <alignment horizontal="left" vertical="center" textRotation="0" wrapText="false" indent="0" shrinkToFit="false"/>
      <protection locked="true" hidden="false"/>
    </xf>
    <xf numFmtId="164" fontId="172" fillId="15" borderId="0" xfId="30" applyFont="true" applyBorder="false" applyAlignment="true" applyProtection="true">
      <alignment horizontal="left" vertical="center" textRotation="0" wrapText="false" indent="0" shrinkToFit="false"/>
      <protection locked="true" hidden="false"/>
    </xf>
    <xf numFmtId="164" fontId="173" fillId="15" borderId="132" xfId="30" applyFont="true" applyBorder="true" applyAlignment="true" applyProtection="true">
      <alignment horizontal="left" vertical="center" textRotation="0" wrapText="false" indent="0" shrinkToFit="false"/>
      <protection locked="true" hidden="false"/>
    </xf>
    <xf numFmtId="164" fontId="173" fillId="15" borderId="0" xfId="30" applyFont="true" applyBorder="true" applyAlignment="true" applyProtection="true">
      <alignment horizontal="left" vertical="center" textRotation="0" wrapText="false" indent="0" shrinkToFit="false"/>
      <protection locked="true" hidden="false"/>
    </xf>
    <xf numFmtId="164" fontId="173" fillId="9" borderId="0" xfId="30" applyFont="true" applyBorder="false" applyAlignment="true" applyProtection="true">
      <alignment horizontal="left" vertical="center" textRotation="0" wrapText="false" indent="0" shrinkToFit="false"/>
      <protection locked="true" hidden="false"/>
    </xf>
    <xf numFmtId="173" fontId="174" fillId="15" borderId="132" xfId="30" applyFont="true" applyBorder="true" applyAlignment="true" applyProtection="true">
      <alignment horizontal="left" vertical="center" textRotation="0" wrapText="false" indent="0" shrinkToFit="false"/>
      <protection locked="true" hidden="false"/>
    </xf>
    <xf numFmtId="173" fontId="174" fillId="15" borderId="0" xfId="30" applyFont="true" applyBorder="false" applyAlignment="true" applyProtection="true">
      <alignment horizontal="left" vertical="center" textRotation="0" wrapText="false" indent="0" shrinkToFit="false"/>
      <protection locked="true" hidden="false"/>
    </xf>
    <xf numFmtId="167" fontId="56" fillId="15" borderId="0" xfId="30" applyFont="true" applyBorder="false" applyAlignment="true" applyProtection="true">
      <alignment horizontal="left" vertical="center" textRotation="0" wrapText="false" indent="0" shrinkToFit="false"/>
      <protection locked="true" hidden="false"/>
    </xf>
    <xf numFmtId="167" fontId="56" fillId="15" borderId="133" xfId="30" applyFont="true" applyBorder="true" applyAlignment="true" applyProtection="true">
      <alignment horizontal="left" vertical="center" textRotation="0" wrapText="false" indent="0" shrinkToFit="false"/>
      <protection locked="true" hidden="false"/>
    </xf>
    <xf numFmtId="173" fontId="56" fillId="15" borderId="0" xfId="30" applyFont="true" applyBorder="false" applyAlignment="true" applyProtection="true">
      <alignment horizontal="left" vertical="center" textRotation="0" wrapText="false" indent="0" shrinkToFit="false"/>
      <protection locked="true" hidden="false"/>
    </xf>
    <xf numFmtId="173" fontId="56" fillId="15" borderId="133" xfId="30" applyFont="true" applyBorder="true" applyAlignment="true" applyProtection="true">
      <alignment horizontal="left" vertical="center" textRotation="0" wrapText="false" indent="0" shrinkToFit="false"/>
      <protection locked="true" hidden="false"/>
    </xf>
    <xf numFmtId="173" fontId="56" fillId="15" borderId="134" xfId="30" applyFont="true" applyBorder="true" applyAlignment="true" applyProtection="true">
      <alignment horizontal="left" vertical="center" textRotation="0" wrapText="false" indent="0" shrinkToFit="false"/>
      <protection locked="true" hidden="false"/>
    </xf>
    <xf numFmtId="173" fontId="56" fillId="15" borderId="135" xfId="30" applyFont="true" applyBorder="true" applyAlignment="true" applyProtection="true">
      <alignment horizontal="left" vertical="center" textRotation="0" wrapText="false" indent="0" shrinkToFit="false"/>
      <protection locked="true" hidden="false"/>
    </xf>
    <xf numFmtId="164" fontId="173" fillId="15" borderId="0" xfId="30" applyFont="true" applyBorder="false" applyAlignment="true" applyProtection="true">
      <alignment horizontal="left" vertical="center" textRotation="0" wrapText="false" indent="0" shrinkToFit="false"/>
      <protection locked="true" hidden="false"/>
    </xf>
    <xf numFmtId="164" fontId="170" fillId="0" borderId="0" xfId="30" applyFont="true" applyBorder="false" applyAlignment="true" applyProtection="true">
      <alignment horizontal="left" vertical="center" textRotation="0" wrapText="false" indent="0" shrinkToFit="false"/>
      <protection locked="true" hidden="false"/>
    </xf>
    <xf numFmtId="164" fontId="170" fillId="0" borderId="132" xfId="30" applyFont="true" applyBorder="true" applyAlignment="true" applyProtection="true">
      <alignment horizontal="left" vertical="center" textRotation="0" wrapText="false" indent="0" shrinkToFit="false"/>
      <protection locked="true" hidden="false"/>
    </xf>
    <xf numFmtId="164" fontId="170" fillId="0" borderId="0" xfId="30" applyFont="true" applyBorder="true" applyAlignment="true" applyProtection="true">
      <alignment horizontal="left" vertical="center" textRotation="0" wrapText="false" indent="0" shrinkToFit="false"/>
      <protection locked="true" hidden="false"/>
    </xf>
    <xf numFmtId="173" fontId="170" fillId="0" borderId="132" xfId="30" applyFont="true" applyBorder="true" applyAlignment="true" applyProtection="true">
      <alignment horizontal="left" vertical="center" textRotation="0" wrapText="false" indent="0" shrinkToFit="false"/>
      <protection locked="true" hidden="false"/>
    </xf>
    <xf numFmtId="173" fontId="170" fillId="0" borderId="0" xfId="30" applyFont="true" applyBorder="false" applyAlignment="true" applyProtection="true">
      <alignment horizontal="left" vertical="center" textRotation="0" wrapText="false" indent="0" shrinkToFit="false"/>
      <protection locked="true" hidden="false"/>
    </xf>
    <xf numFmtId="164" fontId="158" fillId="0" borderId="0" xfId="30" applyFont="true" applyBorder="false" applyAlignment="true" applyProtection="true">
      <alignment horizontal="left" vertical="center" textRotation="0" wrapText="false" indent="0" shrinkToFit="false"/>
      <protection locked="true" hidden="false"/>
    </xf>
    <xf numFmtId="164" fontId="158" fillId="0" borderId="133" xfId="30" applyFont="true" applyBorder="true" applyAlignment="true" applyProtection="true">
      <alignment horizontal="left" vertical="center" textRotation="0" wrapText="false" indent="0" shrinkToFit="false"/>
      <protection locked="true" hidden="false"/>
    </xf>
    <xf numFmtId="164" fontId="158" fillId="0" borderId="134" xfId="30" applyFont="true" applyBorder="true" applyAlignment="true" applyProtection="true">
      <alignment horizontal="left" vertical="center" textRotation="0" wrapText="false" indent="0" shrinkToFit="false"/>
      <protection locked="true" hidden="false"/>
    </xf>
    <xf numFmtId="164" fontId="158" fillId="0" borderId="135" xfId="30" applyFont="true" applyBorder="true" applyAlignment="true" applyProtection="true">
      <alignment horizontal="left" vertical="center" textRotation="0" wrapText="false" indent="0" shrinkToFit="false"/>
      <protection locked="true" hidden="false"/>
    </xf>
    <xf numFmtId="173" fontId="158" fillId="0" borderId="0" xfId="30" applyFont="true" applyBorder="false" applyAlignment="true" applyProtection="true">
      <alignment horizontal="left" vertical="center" textRotation="0" wrapText="false" indent="0" shrinkToFit="false"/>
      <protection locked="true" hidden="false"/>
    </xf>
    <xf numFmtId="173" fontId="158" fillId="0" borderId="133" xfId="30" applyFont="true" applyBorder="true" applyAlignment="true" applyProtection="true">
      <alignment horizontal="left" vertical="center" textRotation="0" wrapText="false" indent="0" shrinkToFit="false"/>
      <protection locked="true" hidden="false"/>
    </xf>
    <xf numFmtId="173" fontId="158" fillId="0" borderId="134" xfId="30" applyFont="true" applyBorder="true" applyAlignment="true" applyProtection="true">
      <alignment horizontal="left" vertical="center" textRotation="0" wrapText="false" indent="0" shrinkToFit="false"/>
      <protection locked="true" hidden="false"/>
    </xf>
    <xf numFmtId="173" fontId="158" fillId="0" borderId="135" xfId="30" applyFont="true" applyBorder="true" applyAlignment="true" applyProtection="true">
      <alignment horizontal="left" vertical="center" textRotation="0" wrapText="false" indent="0" shrinkToFit="false"/>
      <protection locked="true" hidden="false"/>
    </xf>
    <xf numFmtId="164" fontId="77" fillId="3" borderId="5" xfId="30" applyFont="true" applyBorder="true" applyAlignment="true" applyProtection="true">
      <alignment horizontal="left" vertical="center" textRotation="0" wrapText="true" indent="0" shrinkToFit="false"/>
      <protection locked="true" hidden="false"/>
    </xf>
    <xf numFmtId="164" fontId="175" fillId="16" borderId="136" xfId="30" applyFont="true" applyBorder="true" applyAlignment="true" applyProtection="true">
      <alignment horizontal="left" vertical="center" textRotation="0" wrapText="true" indent="0" shrinkToFit="false"/>
      <protection locked="true" hidden="false"/>
    </xf>
    <xf numFmtId="164" fontId="175" fillId="5" borderId="137" xfId="30" applyFont="true" applyBorder="true" applyAlignment="true" applyProtection="true">
      <alignment horizontal="left" vertical="center" textRotation="0" wrapText="true" indent="0" shrinkToFit="false"/>
      <protection locked="true" hidden="false"/>
    </xf>
    <xf numFmtId="164" fontId="175" fillId="5" borderId="137" xfId="31" applyFont="true" applyBorder="true" applyAlignment="true" applyProtection="true">
      <alignment horizontal="left" vertical="center" textRotation="0" wrapText="true" indent="0" shrinkToFit="false"/>
      <protection locked="true" hidden="false"/>
    </xf>
    <xf numFmtId="167" fontId="175" fillId="5" borderId="138" xfId="31" applyFont="true" applyBorder="true" applyAlignment="true" applyProtection="true">
      <alignment horizontal="left" vertical="center" textRotation="0" wrapText="true" indent="0" shrinkToFit="false"/>
      <protection locked="true" hidden="false"/>
    </xf>
    <xf numFmtId="164" fontId="158" fillId="9" borderId="0" xfId="30" applyFont="true" applyBorder="false" applyAlignment="true" applyProtection="true">
      <alignment horizontal="left" vertical="center" textRotation="0" wrapText="false" indent="0" shrinkToFit="false"/>
      <protection locked="true" hidden="false"/>
    </xf>
    <xf numFmtId="173" fontId="30" fillId="0" borderId="132" xfId="30" applyFont="true" applyBorder="true" applyAlignment="true" applyProtection="true">
      <alignment horizontal="left" vertical="center" textRotation="0" wrapText="false" indent="0" shrinkToFit="false"/>
      <protection locked="true" hidden="false"/>
    </xf>
    <xf numFmtId="167" fontId="30" fillId="0" borderId="0" xfId="30" applyFont="true" applyBorder="false" applyAlignment="true" applyProtection="true">
      <alignment horizontal="left" vertical="center" textRotation="0" wrapText="false" indent="0" shrinkToFit="false"/>
      <protection locked="true" hidden="false"/>
    </xf>
    <xf numFmtId="173" fontId="30" fillId="0" borderId="0" xfId="30" applyFont="true" applyBorder="false" applyAlignment="true" applyProtection="true">
      <alignment horizontal="left" vertical="center" textRotation="0" wrapText="false" indent="0" shrinkToFit="false"/>
      <protection locked="true" hidden="false"/>
    </xf>
    <xf numFmtId="164" fontId="176" fillId="17" borderId="0" xfId="30" applyFont="true" applyBorder="false" applyAlignment="true" applyProtection="true">
      <alignment horizontal="left" vertical="center" textRotation="0" wrapText="false" indent="0" shrinkToFit="false"/>
      <protection locked="true" hidden="false"/>
    </xf>
    <xf numFmtId="164" fontId="97" fillId="18" borderId="5" xfId="30" applyFont="true" applyBorder="true" applyAlignment="true" applyProtection="true">
      <alignment horizontal="left" vertical="center" textRotation="0" wrapText="true" indent="0" shrinkToFit="false"/>
      <protection locked="true" hidden="false"/>
    </xf>
    <xf numFmtId="164" fontId="177" fillId="18" borderId="136" xfId="30" applyFont="true" applyBorder="true" applyAlignment="true" applyProtection="true">
      <alignment horizontal="left" vertical="center" textRotation="0" wrapText="true" indent="0" shrinkToFit="false"/>
      <protection locked="true" hidden="false"/>
    </xf>
    <xf numFmtId="164" fontId="177" fillId="18" borderId="137" xfId="30" applyFont="true" applyBorder="true" applyAlignment="true" applyProtection="true">
      <alignment horizontal="left" vertical="center" textRotation="0" wrapText="true" indent="0" shrinkToFit="false"/>
      <protection locked="true" hidden="false"/>
    </xf>
    <xf numFmtId="164" fontId="177" fillId="18" borderId="137" xfId="31" applyFont="true" applyBorder="true" applyAlignment="true" applyProtection="true">
      <alignment horizontal="left" vertical="center" textRotation="0" wrapText="true" indent="0" shrinkToFit="false"/>
      <protection locked="true" hidden="false"/>
    </xf>
    <xf numFmtId="164" fontId="177" fillId="18" borderId="139" xfId="31" applyFont="true" applyBorder="true" applyAlignment="true" applyProtection="true">
      <alignment horizontal="left" vertical="center" textRotation="0" wrapText="true" indent="0" shrinkToFit="false"/>
      <protection locked="true" hidden="false"/>
    </xf>
    <xf numFmtId="167" fontId="177" fillId="18" borderId="138" xfId="31" applyFont="true" applyBorder="true" applyAlignment="true" applyProtection="true">
      <alignment horizontal="left" vertical="center" textRotation="0" wrapText="true" indent="0" shrinkToFit="false"/>
      <protection locked="true" hidden="false"/>
    </xf>
    <xf numFmtId="164" fontId="170" fillId="18" borderId="0" xfId="30" applyFont="true" applyBorder="false" applyAlignment="true" applyProtection="true">
      <alignment horizontal="left" vertical="center" textRotation="0" wrapText="false" indent="0" shrinkToFit="false"/>
      <protection locked="true" hidden="false"/>
    </xf>
    <xf numFmtId="173" fontId="87" fillId="18" borderId="132" xfId="30" applyFont="true" applyBorder="true" applyAlignment="true" applyProtection="true">
      <alignment horizontal="left" vertical="center" textRotation="0" wrapText="false" indent="0" shrinkToFit="false"/>
      <protection locked="true" hidden="false"/>
    </xf>
    <xf numFmtId="173" fontId="87" fillId="18" borderId="0" xfId="30" applyFont="true" applyBorder="false" applyAlignment="true" applyProtection="true">
      <alignment horizontal="left" vertical="center" textRotation="0" wrapText="false" indent="0" shrinkToFit="false"/>
      <protection locked="true" hidden="false"/>
    </xf>
    <xf numFmtId="164" fontId="176" fillId="18" borderId="0" xfId="30" applyFont="true" applyBorder="false" applyAlignment="true" applyProtection="true">
      <alignment horizontal="left" vertical="center" textRotation="0" wrapText="false" indent="0" shrinkToFit="false"/>
      <protection locked="true" hidden="false"/>
    </xf>
    <xf numFmtId="164" fontId="175" fillId="5" borderId="139" xfId="31" applyFont="true" applyBorder="true" applyAlignment="true" applyProtection="true">
      <alignment horizontal="left" vertical="center" textRotation="0" wrapText="true" indent="0" shrinkToFit="false"/>
      <protection locked="true" hidden="false"/>
    </xf>
    <xf numFmtId="164" fontId="77" fillId="10" borderId="140" xfId="30" applyFont="true" applyBorder="true" applyAlignment="true" applyProtection="true">
      <alignment horizontal="left" vertical="center" textRotation="0" wrapText="true" indent="0" shrinkToFit="false"/>
      <protection locked="true" hidden="false"/>
    </xf>
    <xf numFmtId="164" fontId="175" fillId="10" borderId="141" xfId="30" applyFont="true" applyBorder="true" applyAlignment="true" applyProtection="true">
      <alignment horizontal="left" vertical="center" textRotation="0" wrapText="true" indent="0" shrinkToFit="false"/>
      <protection locked="true" hidden="false"/>
    </xf>
    <xf numFmtId="164" fontId="175" fillId="10" borderId="142" xfId="30" applyFont="true" applyBorder="true" applyAlignment="true" applyProtection="true">
      <alignment horizontal="left" vertical="center" textRotation="0" wrapText="true" indent="0" shrinkToFit="false"/>
      <protection locked="true" hidden="false"/>
    </xf>
    <xf numFmtId="164" fontId="175" fillId="10" borderId="142" xfId="31" applyFont="true" applyBorder="true" applyAlignment="true" applyProtection="true">
      <alignment horizontal="left" vertical="center" textRotation="0" wrapText="true" indent="0" shrinkToFit="false"/>
      <protection locked="true" hidden="false"/>
    </xf>
    <xf numFmtId="164" fontId="175" fillId="10" borderId="143" xfId="31" applyFont="true" applyBorder="true" applyAlignment="true" applyProtection="true">
      <alignment horizontal="left" vertical="center" textRotation="0" wrapText="true" indent="0" shrinkToFit="false"/>
      <protection locked="true" hidden="false"/>
    </xf>
    <xf numFmtId="167" fontId="175" fillId="10" borderId="144" xfId="31" applyFont="true" applyBorder="true" applyAlignment="true" applyProtection="true">
      <alignment horizontal="left" vertical="center" textRotation="0" wrapText="true" indent="0" shrinkToFit="false"/>
      <protection locked="true" hidden="false"/>
    </xf>
    <xf numFmtId="164" fontId="158" fillId="9" borderId="145" xfId="30" applyFont="true" applyBorder="true" applyAlignment="true" applyProtection="true">
      <alignment horizontal="left" vertical="center" textRotation="0" wrapText="false" indent="0" shrinkToFit="false"/>
      <protection locked="true" hidden="false"/>
    </xf>
    <xf numFmtId="173" fontId="30" fillId="10" borderId="146" xfId="30" applyFont="true" applyBorder="true" applyAlignment="true" applyProtection="true">
      <alignment horizontal="left" vertical="center" textRotation="0" wrapText="false" indent="0" shrinkToFit="false"/>
      <protection locked="true" hidden="false"/>
    </xf>
    <xf numFmtId="173" fontId="30" fillId="10" borderId="145" xfId="30" applyFont="true" applyBorder="true" applyAlignment="true" applyProtection="true">
      <alignment horizontal="left" vertical="center" textRotation="0" wrapText="false" indent="0" shrinkToFit="false"/>
      <protection locked="true" hidden="false"/>
    </xf>
    <xf numFmtId="164" fontId="30" fillId="10" borderId="145" xfId="30" applyFont="true" applyBorder="true" applyAlignment="true" applyProtection="true">
      <alignment horizontal="left" vertical="center" textRotation="0" wrapText="false" indent="0" shrinkToFit="false"/>
      <protection locked="true" hidden="false"/>
    </xf>
    <xf numFmtId="164" fontId="176" fillId="10" borderId="145" xfId="30" applyFont="true" applyBorder="true" applyAlignment="true" applyProtection="true">
      <alignment horizontal="left" vertical="center" textRotation="0" wrapText="false" indent="0" shrinkToFit="false"/>
      <protection locked="true" hidden="false"/>
    </xf>
    <xf numFmtId="164" fontId="0" fillId="0" borderId="0" xfId="0" applyFont="false" applyBorder="false" applyAlignment="false" applyProtection="false">
      <alignment horizontal="general" vertical="center" textRotation="0" wrapText="false" indent="0" shrinkToFit="false"/>
      <protection locked="true" hidden="false"/>
    </xf>
    <xf numFmtId="164" fontId="154" fillId="0" borderId="0" xfId="30" applyFont="true" applyBorder="false" applyAlignment="true" applyProtection="true">
      <alignment horizontal="general" vertical="center" textRotation="0" wrapText="false" indent="0" shrinkToFit="false"/>
      <protection locked="true" hidden="false"/>
    </xf>
    <xf numFmtId="164" fontId="0" fillId="0" borderId="0" xfId="0" applyFont="true" applyBorder="false" applyAlignment="false" applyProtection="false">
      <alignment horizontal="general" vertical="center" textRotation="0" wrapText="false" indent="0" shrinkToFit="false"/>
      <protection locked="true" hidden="false"/>
    </xf>
    <xf numFmtId="164" fontId="170" fillId="0" borderId="0" xfId="30" applyFont="true" applyBorder="false" applyAlignment="true" applyProtection="true">
      <alignment horizontal="left" vertical="center" textRotation="0" wrapText="false" indent="0" shrinkToFit="false"/>
      <protection locked="true" hidden="false"/>
    </xf>
    <xf numFmtId="173" fontId="30" fillId="0" borderId="133" xfId="30" applyFont="true" applyBorder="true" applyAlignment="true" applyProtection="true">
      <alignment horizontal="left" vertical="center" textRotation="0" wrapText="false" indent="0" shrinkToFit="false"/>
      <protection locked="true" hidden="false"/>
    </xf>
    <xf numFmtId="173" fontId="158" fillId="0" borderId="135" xfId="30" applyFont="true" applyBorder="true" applyAlignment="true" applyProtection="true">
      <alignment horizontal="left" vertical="center" textRotation="0" wrapText="false" indent="0" shrinkToFit="false"/>
      <protection locked="true" hidden="false"/>
    </xf>
    <xf numFmtId="173" fontId="158" fillId="0" borderId="0" xfId="30" applyFont="true" applyBorder="true" applyAlignment="true" applyProtection="true">
      <alignment horizontal="left" vertical="center" textRotation="0" wrapText="false" indent="0" shrinkToFit="false"/>
      <protection locked="true" hidden="false"/>
    </xf>
    <xf numFmtId="173" fontId="170" fillId="18" borderId="133" xfId="30" applyFont="true" applyBorder="true" applyAlignment="true" applyProtection="true">
      <alignment horizontal="left" vertical="center" textRotation="0" wrapText="false" indent="0" shrinkToFit="false"/>
      <protection locked="true" hidden="false"/>
    </xf>
    <xf numFmtId="173" fontId="170" fillId="18" borderId="134" xfId="30" applyFont="true" applyBorder="true" applyAlignment="true" applyProtection="true">
      <alignment horizontal="left" vertical="center" textRotation="0" wrapText="false" indent="0" shrinkToFit="false"/>
      <protection locked="true" hidden="false"/>
    </xf>
    <xf numFmtId="173" fontId="170" fillId="18" borderId="135" xfId="30" applyFont="true" applyBorder="true" applyAlignment="true" applyProtection="true">
      <alignment horizontal="left" vertical="center" textRotation="0" wrapText="false" indent="0" shrinkToFit="false"/>
      <protection locked="true" hidden="false"/>
    </xf>
    <xf numFmtId="173" fontId="158" fillId="0" borderId="134" xfId="30" applyFont="true" applyBorder="true" applyAlignment="true" applyProtection="true">
      <alignment horizontal="left" vertical="center" textRotation="0" wrapText="false" indent="0" shrinkToFit="false"/>
      <protection locked="true" hidden="false"/>
    </xf>
    <xf numFmtId="173" fontId="30" fillId="10" borderId="147" xfId="30" applyFont="true" applyBorder="true" applyAlignment="true" applyProtection="true">
      <alignment horizontal="left" vertical="center" textRotation="0" wrapText="false" indent="0" shrinkToFit="false"/>
      <protection locked="true" hidden="false"/>
    </xf>
    <xf numFmtId="173" fontId="30" fillId="10" borderId="148" xfId="30" applyFont="true" applyBorder="true" applyAlignment="true" applyProtection="true">
      <alignment horizontal="left" vertical="center" textRotation="0" wrapText="false" indent="0" shrinkToFit="false"/>
      <protection locked="true" hidden="false"/>
    </xf>
    <xf numFmtId="173" fontId="158" fillId="10" borderId="149" xfId="30" applyFont="true" applyBorder="true" applyAlignment="true" applyProtection="true">
      <alignment horizontal="left" vertical="center" textRotation="0" wrapText="false" indent="0" shrinkToFit="false"/>
      <protection locked="true" hidden="false"/>
    </xf>
    <xf numFmtId="164" fontId="158" fillId="0" borderId="0" xfId="30" applyFont="true" applyBorder="false" applyAlignment="true" applyProtection="false">
      <alignment horizontal="left" vertical="center" textRotation="0" wrapText="false" indent="0" shrinkToFit="false"/>
      <protection locked="true" hidden="false"/>
    </xf>
    <xf numFmtId="164" fontId="158" fillId="0" borderId="132" xfId="30" applyFont="true" applyBorder="true" applyAlignment="true" applyProtection="false">
      <alignment horizontal="left" vertical="center" textRotation="0" wrapText="false" indent="0" shrinkToFit="false"/>
      <protection locked="true" hidden="false"/>
    </xf>
    <xf numFmtId="164" fontId="170" fillId="0" borderId="0" xfId="30" applyFont="true" applyBorder="false" applyAlignment="true" applyProtection="false">
      <alignment horizontal="left" vertical="center" textRotation="0" wrapText="false" indent="0" shrinkToFit="false"/>
      <protection locked="true" hidden="false"/>
    </xf>
    <xf numFmtId="164" fontId="170" fillId="0" borderId="0" xfId="30" applyFont="true" applyBorder="true" applyAlignment="true" applyProtection="false">
      <alignment horizontal="left" vertical="center" textRotation="0" wrapText="false" indent="0" shrinkToFit="false"/>
      <protection locked="true" hidden="false"/>
    </xf>
    <xf numFmtId="164" fontId="61" fillId="0" borderId="0" xfId="30" applyFont="true" applyBorder="true" applyAlignment="true" applyProtection="false">
      <alignment horizontal="left" vertical="center" textRotation="0" wrapText="false" indent="0" shrinkToFit="false"/>
      <protection locked="true" hidden="false"/>
    </xf>
    <xf numFmtId="164" fontId="170" fillId="0" borderId="130" xfId="30" applyFont="true" applyBorder="true" applyAlignment="true" applyProtection="false">
      <alignment horizontal="left" vertical="center" textRotation="0" wrapText="false" indent="0" shrinkToFit="false"/>
      <protection locked="true" hidden="false"/>
    </xf>
    <xf numFmtId="164" fontId="171" fillId="3" borderId="130" xfId="21" applyFont="true" applyBorder="true" applyAlignment="true" applyProtection="true">
      <alignment horizontal="left" vertical="center" textRotation="0" wrapText="false" indent="0" shrinkToFit="false"/>
      <protection locked="true" hidden="false"/>
    </xf>
    <xf numFmtId="164" fontId="170" fillId="0" borderId="131" xfId="30" applyFont="true" applyBorder="true" applyAlignment="true" applyProtection="false">
      <alignment horizontal="left" vertical="center" textRotation="0" wrapText="false" indent="0" shrinkToFit="false"/>
      <protection locked="true" hidden="false"/>
    </xf>
    <xf numFmtId="164" fontId="59" fillId="15" borderId="0" xfId="30" applyFont="true" applyBorder="false" applyAlignment="true" applyProtection="false">
      <alignment horizontal="left" vertical="center" textRotation="0" wrapText="false" indent="0" shrinkToFit="false"/>
      <protection locked="true" hidden="false"/>
    </xf>
    <xf numFmtId="164" fontId="4" fillId="15" borderId="0" xfId="21" applyFont="true" applyBorder="false" applyAlignment="true" applyProtection="true">
      <alignment horizontal="left" vertical="center" textRotation="0" wrapText="false" indent="0" shrinkToFit="false"/>
      <protection locked="true" hidden="false"/>
    </xf>
    <xf numFmtId="164" fontId="171" fillId="15" borderId="0" xfId="21" applyFont="true" applyBorder="false" applyAlignment="true" applyProtection="true">
      <alignment horizontal="left" vertical="center" textRotation="0" wrapText="false" indent="0" shrinkToFit="false"/>
      <protection locked="true" hidden="false"/>
    </xf>
    <xf numFmtId="164" fontId="170" fillId="15" borderId="132" xfId="30" applyFont="true" applyBorder="true" applyAlignment="true" applyProtection="false">
      <alignment horizontal="left" vertical="center" textRotation="0" wrapText="false" indent="0" shrinkToFit="false"/>
      <protection locked="true" hidden="false"/>
    </xf>
    <xf numFmtId="164" fontId="170" fillId="15" borderId="0" xfId="30" applyFont="true" applyBorder="true" applyAlignment="true" applyProtection="false">
      <alignment horizontal="left" vertical="center" textRotation="0" wrapText="false" indent="0" shrinkToFit="false"/>
      <protection locked="true" hidden="false"/>
    </xf>
    <xf numFmtId="167" fontId="178" fillId="15" borderId="0" xfId="30" applyFont="true" applyBorder="true" applyAlignment="true" applyProtection="true">
      <alignment horizontal="left" vertical="center" textRotation="0" wrapText="false" indent="0" shrinkToFit="false"/>
      <protection locked="false" hidden="false"/>
    </xf>
    <xf numFmtId="164" fontId="170" fillId="15" borderId="0" xfId="30" applyFont="true" applyBorder="false" applyAlignment="true" applyProtection="false">
      <alignment horizontal="left" vertical="center" textRotation="0" wrapText="false" indent="0" shrinkToFit="false"/>
      <protection locked="true" hidden="false"/>
    </xf>
    <xf numFmtId="164" fontId="61" fillId="15" borderId="0" xfId="30" applyFont="true" applyBorder="false" applyAlignment="true" applyProtection="false">
      <alignment horizontal="left" vertical="center" textRotation="0" wrapText="false" indent="0" shrinkToFit="false"/>
      <protection locked="true" hidden="false"/>
    </xf>
    <xf numFmtId="167" fontId="30" fillId="15" borderId="0" xfId="30" applyFont="true" applyBorder="false" applyAlignment="true" applyProtection="false">
      <alignment horizontal="left" vertical="center" textRotation="0" wrapText="false" indent="0" shrinkToFit="false"/>
      <protection locked="true" hidden="false"/>
    </xf>
    <xf numFmtId="173" fontId="30" fillId="15" borderId="0" xfId="30" applyFont="true" applyBorder="false" applyAlignment="true" applyProtection="false">
      <alignment horizontal="left" vertical="center" textRotation="0" wrapText="false" indent="0" shrinkToFit="false"/>
      <protection locked="true" hidden="false"/>
    </xf>
    <xf numFmtId="164" fontId="170" fillId="0" borderId="0" xfId="30" applyFont="true" applyBorder="false" applyAlignment="true" applyProtection="false">
      <alignment horizontal="left" vertical="center" textRotation="0" wrapText="false" indent="0" shrinkToFit="false"/>
      <protection locked="true" hidden="false"/>
    </xf>
    <xf numFmtId="164" fontId="4" fillId="0" borderId="0" xfId="21" applyFont="true" applyBorder="false" applyAlignment="true" applyProtection="true">
      <alignment horizontal="left" vertical="center" textRotation="0" wrapText="false" indent="0" shrinkToFit="false"/>
      <protection locked="true" hidden="false"/>
    </xf>
    <xf numFmtId="164" fontId="171" fillId="0" borderId="0" xfId="21" applyFont="true" applyBorder="false" applyAlignment="true" applyProtection="true">
      <alignment horizontal="left" vertical="center" textRotation="0" wrapText="false" indent="0" shrinkToFit="false"/>
      <protection locked="true" hidden="false"/>
    </xf>
    <xf numFmtId="164" fontId="170" fillId="0" borderId="132" xfId="30" applyFont="true" applyBorder="true" applyAlignment="true" applyProtection="false">
      <alignment horizontal="left" vertical="center" textRotation="0" wrapText="false" indent="0" shrinkToFit="false"/>
      <protection locked="true" hidden="false"/>
    </xf>
    <xf numFmtId="164" fontId="170" fillId="0" borderId="0" xfId="30" applyFont="true" applyBorder="true" applyAlignment="true" applyProtection="false">
      <alignment horizontal="left" vertical="center" textRotation="0" wrapText="false" indent="0" shrinkToFit="false"/>
      <protection locked="true" hidden="false"/>
    </xf>
    <xf numFmtId="164" fontId="170" fillId="0" borderId="0" xfId="30" applyFont="true" applyBorder="true" applyAlignment="true" applyProtection="true">
      <alignment horizontal="left" vertical="center" textRotation="0" wrapText="false" indent="0" shrinkToFit="false"/>
      <protection locked="false" hidden="false"/>
    </xf>
    <xf numFmtId="173" fontId="158" fillId="0" borderId="0" xfId="30" applyFont="true" applyBorder="false" applyAlignment="true" applyProtection="false">
      <alignment horizontal="left" vertical="center" textRotation="0" wrapText="false" indent="0" shrinkToFit="false"/>
      <protection locked="true" hidden="false"/>
    </xf>
    <xf numFmtId="174" fontId="77" fillId="3" borderId="5" xfId="30" applyFont="true" applyBorder="true" applyAlignment="true" applyProtection="true">
      <alignment horizontal="left" vertical="center" textRotation="0" wrapText="true" indent="0" shrinkToFit="false"/>
      <protection locked="true" hidden="false"/>
    </xf>
    <xf numFmtId="185" fontId="30" fillId="0" borderId="0" xfId="30" applyFont="true" applyBorder="false" applyAlignment="true" applyProtection="false">
      <alignment horizontal="left" vertical="center" textRotation="0" wrapText="false" indent="0" shrinkToFit="false"/>
      <protection locked="true" hidden="false"/>
    </xf>
    <xf numFmtId="164" fontId="175" fillId="16" borderId="136" xfId="30" applyFont="true" applyBorder="true" applyAlignment="true" applyProtection="true">
      <alignment horizontal="left" vertical="center" textRotation="0" wrapText="true" indent="0" shrinkToFit="false"/>
      <protection locked="true" hidden="false"/>
    </xf>
    <xf numFmtId="164" fontId="175" fillId="5" borderId="137" xfId="30" applyFont="true" applyBorder="true" applyAlignment="true" applyProtection="true">
      <alignment horizontal="left" vertical="center" textRotation="0" wrapText="true" indent="0" shrinkToFit="false"/>
      <protection locked="true" hidden="false"/>
    </xf>
    <xf numFmtId="164" fontId="175" fillId="5" borderId="137" xfId="31" applyFont="true" applyBorder="true" applyAlignment="true" applyProtection="true">
      <alignment horizontal="left" vertical="center" textRotation="0" wrapText="true" indent="0" shrinkToFit="false"/>
      <protection locked="true" hidden="false"/>
    </xf>
    <xf numFmtId="164" fontId="175" fillId="5" borderId="138" xfId="31" applyFont="true" applyBorder="true" applyAlignment="true" applyProtection="true">
      <alignment horizontal="left" vertical="center" textRotation="0" wrapText="true" indent="0" shrinkToFit="false"/>
      <protection locked="true" hidden="false"/>
    </xf>
    <xf numFmtId="173" fontId="30" fillId="0" borderId="132" xfId="30" applyFont="true" applyBorder="true" applyAlignment="true" applyProtection="false">
      <alignment horizontal="left" vertical="center" textRotation="0" wrapText="false" indent="0" shrinkToFit="false"/>
      <protection locked="true" hidden="false"/>
    </xf>
    <xf numFmtId="175" fontId="158" fillId="0" borderId="0" xfId="30" applyFont="true" applyBorder="false" applyAlignment="true" applyProtection="false">
      <alignment horizontal="left" vertical="center" textRotation="0" wrapText="false" indent="0" shrinkToFit="false"/>
      <protection locked="true" hidden="false"/>
    </xf>
    <xf numFmtId="164" fontId="158" fillId="0" borderId="0" xfId="30" applyFont="true" applyBorder="false" applyAlignment="true" applyProtection="false">
      <alignment horizontal="left" vertical="center" textRotation="0" wrapText="false" indent="0" shrinkToFit="false"/>
      <protection locked="true" hidden="false"/>
    </xf>
    <xf numFmtId="173" fontId="30" fillId="0" borderId="0" xfId="30" applyFont="true" applyBorder="false" applyAlignment="true" applyProtection="false">
      <alignment horizontal="left" vertical="center" textRotation="0" wrapText="false" indent="0" shrinkToFit="false"/>
      <protection locked="true" hidden="false"/>
    </xf>
    <xf numFmtId="164" fontId="176" fillId="17" borderId="0" xfId="30" applyFont="true" applyBorder="false" applyAlignment="true" applyProtection="false">
      <alignment horizontal="left" vertical="center" textRotation="0" wrapText="false" indent="0" shrinkToFit="false"/>
      <protection locked="true" hidden="false"/>
    </xf>
    <xf numFmtId="174" fontId="77" fillId="17" borderId="5" xfId="30" applyFont="true" applyBorder="true" applyAlignment="true" applyProtection="true">
      <alignment horizontal="left" vertical="center" textRotation="0" wrapText="true" indent="0" shrinkToFit="false"/>
      <protection locked="true" hidden="false"/>
    </xf>
    <xf numFmtId="185" fontId="178" fillId="17" borderId="0" xfId="30" applyFont="true" applyBorder="false" applyAlignment="true" applyProtection="false">
      <alignment horizontal="left" vertical="center" textRotation="0" wrapText="false" indent="0" shrinkToFit="false"/>
      <protection locked="true" hidden="false"/>
    </xf>
    <xf numFmtId="164" fontId="175" fillId="17" borderId="137" xfId="30" applyFont="true" applyBorder="true" applyAlignment="true" applyProtection="true">
      <alignment horizontal="left" vertical="center" textRotation="0" wrapText="true" indent="0" shrinkToFit="false"/>
      <protection locked="true" hidden="false"/>
    </xf>
    <xf numFmtId="164" fontId="178" fillId="17" borderId="0" xfId="30" applyFont="true" applyBorder="true" applyAlignment="true" applyProtection="true">
      <alignment horizontal="left" vertical="center" textRotation="0" wrapText="false" indent="0" shrinkToFit="false"/>
      <protection locked="false" hidden="false"/>
    </xf>
    <xf numFmtId="164" fontId="170" fillId="17" borderId="0" xfId="30" applyFont="true" applyBorder="false" applyAlignment="true" applyProtection="false">
      <alignment horizontal="left" vertical="center" textRotation="0" wrapText="false" indent="0" shrinkToFit="false"/>
      <protection locked="true" hidden="false"/>
    </xf>
    <xf numFmtId="173" fontId="178" fillId="17" borderId="150" xfId="30" applyFont="true" applyBorder="true" applyAlignment="true" applyProtection="false">
      <alignment horizontal="left" vertical="center" textRotation="0" wrapText="false" indent="0" shrinkToFit="false"/>
      <protection locked="true" hidden="false"/>
    </xf>
    <xf numFmtId="164" fontId="170" fillId="17" borderId="132" xfId="30" applyFont="true" applyBorder="true" applyAlignment="true" applyProtection="false">
      <alignment horizontal="left" vertical="center" textRotation="0" wrapText="false" indent="0" shrinkToFit="false"/>
      <protection locked="true" hidden="false"/>
    </xf>
    <xf numFmtId="164" fontId="68" fillId="2" borderId="0" xfId="30" applyFont="true" applyBorder="false" applyAlignment="true" applyProtection="false">
      <alignment horizontal="left" vertical="center" textRotation="0" wrapText="false" indent="0" shrinkToFit="false"/>
      <protection locked="true" hidden="false"/>
    </xf>
    <xf numFmtId="167" fontId="30" fillId="17" borderId="0" xfId="30" applyFont="true" applyBorder="false" applyAlignment="true" applyProtection="false">
      <alignment horizontal="left" vertical="center" textRotation="0" wrapText="false" indent="0" shrinkToFit="false"/>
      <protection locked="true" hidden="false"/>
    </xf>
    <xf numFmtId="173" fontId="30" fillId="17" borderId="0" xfId="30" applyFont="true" applyBorder="false" applyAlignment="true" applyProtection="false">
      <alignment horizontal="left" vertical="center" textRotation="0" wrapText="false" indent="0" shrinkToFit="false"/>
      <protection locked="true" hidden="false"/>
    </xf>
    <xf numFmtId="164" fontId="175" fillId="5" borderId="138" xfId="30" applyFont="true" applyBorder="true" applyAlignment="true" applyProtection="true">
      <alignment horizontal="left" vertical="center" textRotation="0" wrapText="true" indent="0" shrinkToFit="false"/>
      <protection locked="true" hidden="false"/>
    </xf>
    <xf numFmtId="164" fontId="175" fillId="16" borderId="151" xfId="30" applyFont="true" applyBorder="true" applyAlignment="true" applyProtection="true">
      <alignment horizontal="left" vertical="center" textRotation="0" wrapText="true" indent="0" shrinkToFit="false"/>
      <protection locked="true" hidden="false"/>
    </xf>
    <xf numFmtId="164" fontId="175" fillId="16" borderId="152" xfId="30" applyFont="true" applyBorder="true" applyAlignment="true" applyProtection="true">
      <alignment horizontal="left" vertical="center" textRotation="0" wrapText="true" indent="0" shrinkToFit="false"/>
      <protection locked="true" hidden="false"/>
    </xf>
    <xf numFmtId="185" fontId="87" fillId="16" borderId="151" xfId="30" applyFont="true" applyBorder="true" applyAlignment="true" applyProtection="true">
      <alignment horizontal="left" vertical="center" textRotation="0" wrapText="true" indent="0" shrinkToFit="false"/>
      <protection locked="true" hidden="false"/>
    </xf>
    <xf numFmtId="185" fontId="87" fillId="16" borderId="153" xfId="30" applyFont="true" applyBorder="true" applyAlignment="true" applyProtection="true">
      <alignment horizontal="left" vertical="center" textRotation="0" wrapText="true" indent="0" shrinkToFit="false"/>
      <protection locked="true" hidden="false"/>
    </xf>
    <xf numFmtId="164" fontId="175" fillId="16" borderId="154" xfId="30" applyFont="true" applyBorder="true" applyAlignment="true" applyProtection="true">
      <alignment horizontal="left" vertical="center" textRotation="0" wrapText="true" indent="0" shrinkToFit="false"/>
      <protection locked="true" hidden="false"/>
    </xf>
    <xf numFmtId="164" fontId="175" fillId="16" borderId="137" xfId="30" applyFont="true" applyBorder="true" applyAlignment="true" applyProtection="true">
      <alignment horizontal="left" vertical="center" textRotation="0" wrapText="true" indent="0" shrinkToFit="false"/>
      <protection locked="true" hidden="false"/>
    </xf>
    <xf numFmtId="164" fontId="175" fillId="16" borderId="138" xfId="30" applyFont="true" applyBorder="true" applyAlignment="true" applyProtection="true">
      <alignment horizontal="left" vertical="center" textRotation="0" wrapText="true" indent="0" shrinkToFit="false"/>
      <protection locked="true" hidden="false"/>
    </xf>
    <xf numFmtId="185" fontId="87" fillId="16" borderId="151" xfId="30" applyFont="true" applyBorder="true" applyAlignment="true" applyProtection="false">
      <alignment horizontal="left" vertical="center" textRotation="0" wrapText="true" indent="0" shrinkToFit="false"/>
      <protection locked="true" hidden="false"/>
    </xf>
    <xf numFmtId="185" fontId="87" fillId="16" borderId="153" xfId="30" applyFont="true" applyBorder="true" applyAlignment="true" applyProtection="false">
      <alignment horizontal="left" vertical="center" textRotation="0" wrapText="true" indent="0" shrinkToFit="false"/>
      <protection locked="true" hidden="false"/>
    </xf>
    <xf numFmtId="164" fontId="175" fillId="16" borderId="155" xfId="30" applyFont="true" applyBorder="true" applyAlignment="true" applyProtection="true">
      <alignment horizontal="left" vertical="center" textRotation="0" wrapText="true" indent="0" shrinkToFit="false"/>
      <protection locked="true" hidden="false"/>
    </xf>
    <xf numFmtId="178" fontId="158" fillId="0" borderId="132" xfId="30" applyFont="true" applyBorder="true" applyAlignment="true" applyProtection="false">
      <alignment horizontal="left" vertical="center" textRotation="0" wrapText="false" indent="0" shrinkToFit="false"/>
      <protection locked="true" hidden="false"/>
    </xf>
    <xf numFmtId="178" fontId="158" fillId="0" borderId="0" xfId="30" applyFont="true" applyBorder="false" applyAlignment="true" applyProtection="false">
      <alignment horizontal="left" vertical="center" textRotation="0" wrapText="false" indent="0" shrinkToFit="false"/>
      <protection locked="true" hidden="false"/>
    </xf>
    <xf numFmtId="164" fontId="175" fillId="16" borderId="156" xfId="30" applyFont="true" applyBorder="true" applyAlignment="true" applyProtection="true">
      <alignment horizontal="left" vertical="center" textRotation="0" wrapText="true" indent="0" shrinkToFit="false"/>
      <protection locked="true" hidden="false"/>
    </xf>
    <xf numFmtId="173" fontId="30" fillId="0" borderId="150" xfId="30" applyFont="true" applyBorder="true" applyAlignment="true" applyProtection="false">
      <alignment horizontal="left" vertical="center" textRotation="0" wrapText="false" indent="0" shrinkToFit="false"/>
      <protection locked="true" hidden="false"/>
    </xf>
    <xf numFmtId="173" fontId="30" fillId="0" borderId="9" xfId="30" applyFont="true" applyBorder="true" applyAlignment="true" applyProtection="false">
      <alignment horizontal="left" vertical="center" textRotation="0" wrapText="false" indent="0" shrinkToFit="false"/>
      <protection locked="true" hidden="false"/>
    </xf>
    <xf numFmtId="164" fontId="175" fillId="16" borderId="157" xfId="30" applyFont="true" applyBorder="true" applyAlignment="true" applyProtection="true">
      <alignment horizontal="left" vertical="center" textRotation="0" wrapText="true" indent="0" shrinkToFit="false"/>
      <protection locked="true" hidden="false"/>
    </xf>
    <xf numFmtId="164" fontId="175" fillId="16" borderId="158" xfId="30" applyFont="true" applyBorder="true" applyAlignment="true" applyProtection="true">
      <alignment horizontal="left" vertical="center" textRotation="0" wrapText="true" indent="0" shrinkToFit="false"/>
      <protection locked="true" hidden="false"/>
    </xf>
    <xf numFmtId="164" fontId="175" fillId="16" borderId="159" xfId="30" applyFont="true" applyBorder="true" applyAlignment="true" applyProtection="true">
      <alignment horizontal="left" vertical="center" textRotation="0" wrapText="true" indent="0" shrinkToFit="false"/>
      <protection locked="true" hidden="false"/>
    </xf>
    <xf numFmtId="173" fontId="30" fillId="0" borderId="160" xfId="30" applyFont="true" applyBorder="true" applyAlignment="true" applyProtection="false">
      <alignment horizontal="left" vertical="center" textRotation="0" wrapText="false" indent="0" shrinkToFit="false"/>
      <protection locked="true" hidden="false"/>
    </xf>
    <xf numFmtId="173" fontId="30" fillId="0" borderId="60" xfId="30" applyFont="true" applyBorder="true" applyAlignment="true" applyProtection="false">
      <alignment horizontal="left" vertical="center" textRotation="0" wrapText="false" indent="0" shrinkToFit="false"/>
      <protection locked="true" hidden="false"/>
    </xf>
    <xf numFmtId="164" fontId="175" fillId="5" borderId="151" xfId="30" applyFont="true" applyBorder="true" applyAlignment="true" applyProtection="true">
      <alignment horizontal="left" vertical="center" textRotation="0" wrapText="true" indent="0" shrinkToFit="false"/>
      <protection locked="true" hidden="false"/>
    </xf>
    <xf numFmtId="164" fontId="175" fillId="5" borderId="152" xfId="30" applyFont="true" applyBorder="true" applyAlignment="true" applyProtection="true">
      <alignment horizontal="left" vertical="center" textRotation="0" wrapText="true" indent="0" shrinkToFit="false"/>
      <protection locked="true" hidden="false"/>
    </xf>
    <xf numFmtId="173" fontId="30" fillId="0" borderId="0" xfId="30" applyFont="true" applyBorder="true" applyAlignment="true" applyProtection="false">
      <alignment horizontal="left" vertical="center" textRotation="0" wrapText="false" indent="0" shrinkToFit="false"/>
      <protection locked="true" hidden="false"/>
    </xf>
    <xf numFmtId="185" fontId="87" fillId="16" borderId="137" xfId="30" applyFont="true" applyBorder="true" applyAlignment="true" applyProtection="false">
      <alignment horizontal="left" vertical="center" textRotation="0" wrapText="true" indent="0" shrinkToFit="false"/>
      <protection locked="true" hidden="false"/>
    </xf>
    <xf numFmtId="185" fontId="87" fillId="16" borderId="139" xfId="30" applyFont="true" applyBorder="true" applyAlignment="true" applyProtection="false">
      <alignment horizontal="left" vertical="center" textRotation="0" wrapText="true" indent="0" shrinkToFit="false"/>
      <protection locked="true" hidden="false"/>
    </xf>
    <xf numFmtId="164" fontId="30" fillId="5" borderId="151" xfId="30" applyFont="true" applyBorder="true" applyAlignment="true" applyProtection="true">
      <alignment horizontal="left" vertical="center" textRotation="0" wrapText="true" indent="0" shrinkToFit="false"/>
      <protection locked="true" hidden="false"/>
    </xf>
    <xf numFmtId="164" fontId="30" fillId="5" borderId="152" xfId="30" applyFont="true" applyBorder="true" applyAlignment="true" applyProtection="true">
      <alignment horizontal="left" vertical="center" textRotation="0" wrapText="true" indent="0" shrinkToFit="false"/>
      <protection locked="true" hidden="false"/>
    </xf>
    <xf numFmtId="174" fontId="77" fillId="2" borderId="5" xfId="30" applyFont="true" applyBorder="true" applyAlignment="true" applyProtection="true">
      <alignment horizontal="left" vertical="center" textRotation="0" wrapText="true" indent="0" shrinkToFit="false"/>
      <protection locked="true" hidden="false"/>
    </xf>
    <xf numFmtId="185" fontId="30" fillId="2" borderId="0" xfId="30" applyFont="true" applyBorder="false" applyAlignment="true" applyProtection="false">
      <alignment horizontal="left" vertical="center" textRotation="0" wrapText="false" indent="0" shrinkToFit="false"/>
      <protection locked="true" hidden="false"/>
    </xf>
    <xf numFmtId="164" fontId="30" fillId="2" borderId="137" xfId="30" applyFont="true" applyBorder="true" applyAlignment="true" applyProtection="true">
      <alignment horizontal="left" vertical="center" textRotation="0" wrapText="true" indent="0" shrinkToFit="false"/>
      <protection locked="true" hidden="false"/>
    </xf>
    <xf numFmtId="164" fontId="30" fillId="2" borderId="138" xfId="30" applyFont="true" applyBorder="true" applyAlignment="true" applyProtection="true">
      <alignment horizontal="left" vertical="center" textRotation="0" wrapText="true" indent="0" shrinkToFit="false"/>
      <protection locked="true" hidden="false"/>
    </xf>
    <xf numFmtId="164" fontId="158" fillId="2" borderId="0" xfId="30" applyFont="true" applyBorder="false" applyAlignment="true" applyProtection="false">
      <alignment horizontal="left" vertical="center" textRotation="0" wrapText="false" indent="0" shrinkToFit="false"/>
      <protection locked="true" hidden="false"/>
    </xf>
    <xf numFmtId="173" fontId="30" fillId="2" borderId="132" xfId="30" applyFont="true" applyBorder="true" applyAlignment="true" applyProtection="false">
      <alignment horizontal="left" vertical="center" textRotation="0" wrapText="false" indent="0" shrinkToFit="false"/>
      <protection locked="true" hidden="false"/>
    </xf>
    <xf numFmtId="173" fontId="30" fillId="2" borderId="0" xfId="30" applyFont="true" applyBorder="false" applyAlignment="true" applyProtection="false">
      <alignment horizontal="left" vertical="center" textRotation="0" wrapText="false" indent="0" shrinkToFit="false"/>
      <protection locked="true" hidden="false"/>
    </xf>
    <xf numFmtId="175" fontId="158" fillId="2" borderId="0" xfId="30" applyFont="true" applyBorder="false" applyAlignment="true" applyProtection="false">
      <alignment horizontal="left" vertical="center" textRotation="0" wrapText="false" indent="0" shrinkToFit="false"/>
      <protection locked="true" hidden="false"/>
    </xf>
    <xf numFmtId="173" fontId="30" fillId="2" borderId="150" xfId="30" applyFont="true" applyBorder="true" applyAlignment="true" applyProtection="false">
      <alignment horizontal="left" vertical="center" textRotation="0" wrapText="false" indent="0" shrinkToFit="false"/>
      <protection locked="true" hidden="false"/>
    </xf>
    <xf numFmtId="173" fontId="30" fillId="2" borderId="9" xfId="30" applyFont="true" applyBorder="true" applyAlignment="true" applyProtection="false">
      <alignment horizontal="left" vertical="center" textRotation="0" wrapText="false" indent="0" shrinkToFit="false"/>
      <protection locked="true" hidden="false"/>
    </xf>
    <xf numFmtId="164" fontId="29" fillId="2" borderId="0" xfId="30" applyFont="true" applyBorder="false" applyAlignment="true" applyProtection="false">
      <alignment horizontal="left" vertical="center" textRotation="0" wrapText="false" indent="0" shrinkToFit="false"/>
      <protection locked="true" hidden="false"/>
    </xf>
    <xf numFmtId="164" fontId="30" fillId="2" borderId="0" xfId="30" applyFont="true" applyBorder="false" applyAlignment="true" applyProtection="false">
      <alignment horizontal="left" vertical="center" textRotation="0" wrapText="false" indent="0" shrinkToFit="false"/>
      <protection locked="true" hidden="false"/>
    </xf>
    <xf numFmtId="164" fontId="30" fillId="16" borderId="157" xfId="30" applyFont="true" applyBorder="true" applyAlignment="true" applyProtection="true">
      <alignment horizontal="left" vertical="center" textRotation="0" wrapText="true" indent="0" shrinkToFit="false"/>
      <protection locked="true" hidden="false"/>
    </xf>
    <xf numFmtId="164" fontId="30" fillId="16" borderId="158" xfId="30" applyFont="true" applyBorder="true" applyAlignment="true" applyProtection="true">
      <alignment horizontal="left" vertical="center" textRotation="0" wrapText="true" indent="0" shrinkToFit="false"/>
      <protection locked="true" hidden="false"/>
    </xf>
    <xf numFmtId="164" fontId="30" fillId="16" borderId="159" xfId="30" applyFont="true" applyBorder="true" applyAlignment="true" applyProtection="true">
      <alignment horizontal="left" vertical="center" textRotation="0" wrapText="true" indent="0" shrinkToFit="false"/>
      <protection locked="true" hidden="false"/>
    </xf>
    <xf numFmtId="168" fontId="158" fillId="0" borderId="0" xfId="30" applyFont="true" applyBorder="false" applyAlignment="true" applyProtection="false">
      <alignment horizontal="left" vertical="center" textRotation="0" wrapText="false" indent="0" shrinkToFit="false"/>
      <protection locked="true" hidden="false"/>
    </xf>
    <xf numFmtId="164" fontId="29" fillId="0" borderId="0" xfId="30" applyFont="true" applyBorder="false" applyAlignment="true" applyProtection="false">
      <alignment horizontal="left" vertical="center" textRotation="0" wrapText="false" indent="0" shrinkToFit="false"/>
      <protection locked="true" hidden="false"/>
    </xf>
    <xf numFmtId="164" fontId="158" fillId="0" borderId="0" xfId="30" applyFont="true" applyBorder="false" applyAlignment="true" applyProtection="false">
      <alignment horizontal="left" vertical="center" textRotation="0" wrapText="false" indent="0" shrinkToFit="false"/>
      <protection locked="true" hidden="false"/>
    </xf>
    <xf numFmtId="185" fontId="87" fillId="16" borderId="158" xfId="30" applyFont="true" applyBorder="true" applyAlignment="true" applyProtection="false">
      <alignment horizontal="left" vertical="center" textRotation="0" wrapText="true" indent="0" shrinkToFit="false"/>
      <protection locked="true" hidden="false"/>
    </xf>
    <xf numFmtId="185" fontId="87" fillId="16" borderId="161" xfId="30" applyFont="true" applyBorder="true" applyAlignment="true" applyProtection="false">
      <alignment horizontal="left" vertical="center" textRotation="0" wrapText="true" indent="0" shrinkToFit="false"/>
      <protection locked="true" hidden="false"/>
    </xf>
    <xf numFmtId="185" fontId="30" fillId="17" borderId="0" xfId="30" applyFont="true" applyBorder="false" applyAlignment="true" applyProtection="false">
      <alignment horizontal="left" vertical="center" textRotation="0" wrapText="false" indent="0" shrinkToFit="false"/>
      <protection locked="true" hidden="false"/>
    </xf>
    <xf numFmtId="185" fontId="30" fillId="0" borderId="26" xfId="30" applyFont="true" applyBorder="true" applyAlignment="true" applyProtection="false">
      <alignment horizontal="left" vertical="center" textRotation="0" wrapText="false" indent="0" shrinkToFit="false"/>
      <protection locked="true" hidden="false"/>
    </xf>
    <xf numFmtId="164" fontId="175" fillId="5" borderId="162" xfId="30" applyFont="true" applyBorder="true" applyAlignment="true" applyProtection="true">
      <alignment horizontal="left" vertical="center" textRotation="0" wrapText="true" indent="0" shrinkToFit="false"/>
      <protection locked="true" hidden="false"/>
    </xf>
    <xf numFmtId="164" fontId="175" fillId="5" borderId="163" xfId="30" applyFont="true" applyBorder="true" applyAlignment="true" applyProtection="true">
      <alignment horizontal="left" vertical="center" textRotation="0" wrapText="true" indent="0" shrinkToFit="false"/>
      <protection locked="true" hidden="false"/>
    </xf>
    <xf numFmtId="164" fontId="158" fillId="0" borderId="26" xfId="30" applyFont="true" applyBorder="true" applyAlignment="true" applyProtection="false">
      <alignment horizontal="left" vertical="center" textRotation="0" wrapText="false" indent="0" shrinkToFit="false"/>
      <protection locked="true" hidden="false"/>
    </xf>
    <xf numFmtId="173" fontId="30" fillId="0" borderId="164" xfId="30" applyFont="true" applyBorder="true" applyAlignment="true" applyProtection="false">
      <alignment horizontal="left" vertical="center" textRotation="0" wrapText="false" indent="0" shrinkToFit="false"/>
      <protection locked="true" hidden="false"/>
    </xf>
    <xf numFmtId="173" fontId="30" fillId="0" borderId="26" xfId="30" applyFont="true" applyBorder="true" applyAlignment="true" applyProtection="false">
      <alignment horizontal="left" vertical="center" textRotation="0" wrapText="false" indent="0" shrinkToFit="false"/>
      <protection locked="true" hidden="false"/>
    </xf>
    <xf numFmtId="175" fontId="158" fillId="0" borderId="26" xfId="30" applyFont="true" applyBorder="true" applyAlignment="true" applyProtection="false">
      <alignment horizontal="left" vertical="center" textRotation="0" wrapText="false" indent="0" shrinkToFit="false"/>
      <protection locked="true" hidden="false"/>
    </xf>
    <xf numFmtId="164" fontId="175" fillId="16" borderId="165" xfId="30" applyFont="true" applyBorder="true" applyAlignment="true" applyProtection="true">
      <alignment horizontal="left" vertical="center" textRotation="0" wrapText="true" indent="0" shrinkToFit="false"/>
      <protection locked="true" hidden="false"/>
    </xf>
    <xf numFmtId="164" fontId="175" fillId="16" borderId="166" xfId="30" applyFont="true" applyBorder="true" applyAlignment="true" applyProtection="true">
      <alignment horizontal="left" vertical="center" textRotation="0" wrapText="true" indent="0" shrinkToFit="false"/>
      <protection locked="true" hidden="false"/>
    </xf>
    <xf numFmtId="173" fontId="30" fillId="19" borderId="132" xfId="30" applyFont="true" applyBorder="true" applyAlignment="true" applyProtection="false">
      <alignment horizontal="left" vertical="center" textRotation="0" wrapText="false" indent="0" shrinkToFit="false"/>
      <protection locked="true" hidden="false"/>
    </xf>
    <xf numFmtId="173" fontId="30" fillId="19" borderId="0" xfId="30" applyFont="true" applyBorder="false" applyAlignment="true" applyProtection="false">
      <alignment horizontal="left" vertical="center" textRotation="0" wrapText="false" indent="0" shrinkToFit="false"/>
      <protection locked="true" hidden="false"/>
    </xf>
    <xf numFmtId="180" fontId="158" fillId="0" borderId="0" xfId="30" applyFont="true" applyBorder="false" applyAlignment="true" applyProtection="false">
      <alignment horizontal="left" vertical="center" textRotation="0" wrapText="false" indent="0" shrinkToFit="false"/>
      <protection locked="true" hidden="false"/>
    </xf>
    <xf numFmtId="173" fontId="30" fillId="19" borderId="150" xfId="30" applyFont="true" applyBorder="true" applyAlignment="true" applyProtection="false">
      <alignment horizontal="left" vertical="center" textRotation="0" wrapText="false" indent="0" shrinkToFit="false"/>
      <protection locked="true" hidden="false"/>
    </xf>
    <xf numFmtId="173" fontId="30" fillId="19" borderId="9" xfId="30" applyFont="true" applyBorder="true" applyAlignment="true" applyProtection="false">
      <alignment horizontal="left" vertical="center" textRotation="0" wrapText="false" indent="0" shrinkToFit="false"/>
      <protection locked="true" hidden="false"/>
    </xf>
    <xf numFmtId="173" fontId="30" fillId="19" borderId="164" xfId="30" applyFont="true" applyBorder="true" applyAlignment="true" applyProtection="false">
      <alignment horizontal="left" vertical="center" textRotation="0" wrapText="false" indent="0" shrinkToFit="false"/>
      <protection locked="true" hidden="false"/>
    </xf>
    <xf numFmtId="173" fontId="30" fillId="19" borderId="26" xfId="30" applyFont="true" applyBorder="true" applyAlignment="true" applyProtection="false">
      <alignment horizontal="left" vertical="center" textRotation="0" wrapText="false" indent="0" shrinkToFit="false"/>
      <protection locked="true" hidden="false"/>
    </xf>
    <xf numFmtId="180" fontId="158" fillId="0" borderId="26" xfId="30" applyFont="true" applyBorder="true" applyAlignment="true" applyProtection="false">
      <alignment horizontal="left" vertical="center" textRotation="0" wrapText="false" indent="0" shrinkToFit="false"/>
      <protection locked="true" hidden="false"/>
    </xf>
    <xf numFmtId="164" fontId="87" fillId="5" borderId="167" xfId="30" applyFont="true" applyBorder="true" applyAlignment="true" applyProtection="false">
      <alignment horizontal="left" vertical="center" textRotation="0" wrapText="true" indent="0" shrinkToFit="false"/>
      <protection locked="true" hidden="false"/>
    </xf>
    <xf numFmtId="164" fontId="87" fillId="5" borderId="168" xfId="30" applyFont="true" applyBorder="true" applyAlignment="true" applyProtection="false">
      <alignment horizontal="left" vertical="center" textRotation="0" wrapText="true" indent="0" shrinkToFit="false"/>
      <protection locked="true" hidden="false"/>
    </xf>
    <xf numFmtId="177" fontId="158" fillId="0" borderId="0" xfId="30" applyFont="true" applyBorder="false" applyAlignment="true" applyProtection="false">
      <alignment horizontal="left" vertical="center" textRotation="0" wrapText="false" indent="0" shrinkToFit="false"/>
      <protection locked="true" hidden="false"/>
    </xf>
    <xf numFmtId="177" fontId="158" fillId="0" borderId="132" xfId="30" applyFont="true" applyBorder="true" applyAlignment="true" applyProtection="false">
      <alignment horizontal="left" vertical="center" textRotation="0" wrapText="false" indent="0" shrinkToFit="false"/>
      <protection locked="true" hidden="false"/>
    </xf>
    <xf numFmtId="175" fontId="30" fillId="19" borderId="0" xfId="30" applyFont="true" applyBorder="false" applyAlignment="true" applyProtection="false">
      <alignment horizontal="left" vertical="center" textRotation="0" wrapText="false" indent="0" shrinkToFit="false"/>
      <protection locked="true" hidden="false"/>
    </xf>
    <xf numFmtId="164" fontId="175" fillId="5" borderId="158" xfId="30" applyFont="true" applyBorder="true" applyAlignment="true" applyProtection="true">
      <alignment horizontal="left" vertical="center" textRotation="0" wrapText="true" indent="0" shrinkToFit="false"/>
      <protection locked="true" hidden="false"/>
    </xf>
    <xf numFmtId="164" fontId="87" fillId="16" borderId="158" xfId="30" applyFont="true" applyBorder="true" applyAlignment="true" applyProtection="false">
      <alignment horizontal="left" vertical="center" textRotation="0" wrapText="true" indent="0" shrinkToFit="false"/>
      <protection locked="true" hidden="false"/>
    </xf>
    <xf numFmtId="164" fontId="87" fillId="16" borderId="161" xfId="30" applyFont="true" applyBorder="true" applyAlignment="true" applyProtection="false">
      <alignment horizontal="left" vertical="center" textRotation="0" wrapText="true" indent="0" shrinkToFit="false"/>
      <protection locked="true" hidden="false"/>
    </xf>
    <xf numFmtId="164" fontId="175" fillId="2" borderId="137" xfId="30" applyFont="true" applyBorder="true" applyAlignment="true" applyProtection="true">
      <alignment horizontal="left" vertical="center" textRotation="0" wrapText="true" indent="0" shrinkToFit="false"/>
      <protection locked="true" hidden="false"/>
    </xf>
    <xf numFmtId="177" fontId="158" fillId="2" borderId="0" xfId="30" applyFont="true" applyBorder="false" applyAlignment="true" applyProtection="false">
      <alignment horizontal="left" vertical="center" textRotation="0" wrapText="false" indent="0" shrinkToFit="false"/>
      <protection locked="true" hidden="false"/>
    </xf>
    <xf numFmtId="164" fontId="158" fillId="2" borderId="132" xfId="30" applyFont="true" applyBorder="true" applyAlignment="true" applyProtection="false">
      <alignment horizontal="left" vertical="center" textRotation="0" wrapText="false" indent="0" shrinkToFit="false"/>
      <protection locked="true" hidden="false"/>
    </xf>
    <xf numFmtId="180" fontId="158" fillId="2" borderId="0" xfId="30" applyFont="true" applyBorder="false" applyAlignment="true" applyProtection="false">
      <alignment horizontal="left" vertical="center" textRotation="0" wrapText="false" indent="0" shrinkToFit="false"/>
      <protection locked="true" hidden="false"/>
    </xf>
    <xf numFmtId="164" fontId="87" fillId="16" borderId="169" xfId="30" applyFont="true" applyBorder="true" applyAlignment="true" applyProtection="false">
      <alignment horizontal="left" vertical="center" textRotation="0" wrapText="true" indent="0" shrinkToFit="false"/>
      <protection locked="true" hidden="false"/>
    </xf>
    <xf numFmtId="164" fontId="87" fillId="16" borderId="170" xfId="30" applyFont="true" applyBorder="true" applyAlignment="true" applyProtection="false">
      <alignment horizontal="left" vertical="center" textRotation="0" wrapText="true" indent="0" shrinkToFit="false"/>
      <protection locked="true" hidden="false"/>
    </xf>
    <xf numFmtId="164" fontId="87" fillId="16" borderId="171" xfId="30" applyFont="true" applyBorder="true" applyAlignment="true" applyProtection="false">
      <alignment horizontal="left" vertical="center" textRotation="0" wrapText="true" indent="0" shrinkToFit="false"/>
      <protection locked="true" hidden="false"/>
    </xf>
    <xf numFmtId="164" fontId="68" fillId="0" borderId="0" xfId="30" applyFont="true" applyBorder="false" applyAlignment="true" applyProtection="false">
      <alignment horizontal="left" vertical="center" textRotation="0" wrapText="false" indent="0" shrinkToFit="false"/>
      <protection locked="true" hidden="false"/>
    </xf>
    <xf numFmtId="164" fontId="179" fillId="0" borderId="0" xfId="30" applyFont="true" applyBorder="false" applyAlignment="true" applyProtection="false">
      <alignment horizontal="left" vertical="center" textRotation="0" wrapText="false" indent="0" shrinkToFit="false"/>
      <protection locked="true" hidden="false"/>
    </xf>
    <xf numFmtId="164" fontId="179" fillId="0" borderId="132" xfId="30" applyFont="true" applyBorder="true" applyAlignment="true" applyProtection="false">
      <alignment horizontal="left" vertical="center" textRotation="0" wrapText="false" indent="0" shrinkToFit="false"/>
      <protection locked="true" hidden="false"/>
    </xf>
    <xf numFmtId="164" fontId="57" fillId="0" borderId="0" xfId="30" applyFont="true" applyBorder="false" applyAlignment="true" applyProtection="false">
      <alignment horizontal="left" vertical="center" textRotation="0" wrapText="false" indent="0" shrinkToFit="false"/>
      <protection locked="true" hidden="false"/>
    </xf>
    <xf numFmtId="177" fontId="179" fillId="0" borderId="0" xfId="30" applyFont="true" applyBorder="false" applyAlignment="true" applyProtection="false">
      <alignment horizontal="left" vertical="center" textRotation="0" wrapText="false" indent="0" shrinkToFit="false"/>
      <protection locked="true" hidden="false"/>
    </xf>
    <xf numFmtId="177" fontId="179" fillId="0" borderId="132" xfId="30" applyFont="true" applyBorder="true" applyAlignment="true" applyProtection="false">
      <alignment horizontal="left" vertical="center" textRotation="0" wrapText="false" indent="0" shrinkToFit="false"/>
      <protection locked="true" hidden="false"/>
    </xf>
    <xf numFmtId="164" fontId="180" fillId="5" borderId="156" xfId="30" applyFont="true" applyBorder="true" applyAlignment="true" applyProtection="false">
      <alignment horizontal="left" vertical="center" textRotation="0" wrapText="true" indent="0" shrinkToFit="false"/>
      <protection locked="true" hidden="false"/>
    </xf>
    <xf numFmtId="164" fontId="180" fillId="5" borderId="151" xfId="30" applyFont="true" applyBorder="true" applyAlignment="true" applyProtection="false">
      <alignment horizontal="left" vertical="center" textRotation="0" wrapText="true" indent="0" shrinkToFit="false"/>
      <protection locked="true" hidden="false"/>
    </xf>
    <xf numFmtId="164" fontId="175" fillId="16" borderId="157" xfId="30" applyFont="true" applyBorder="true" applyAlignment="true" applyProtection="false">
      <alignment horizontal="left" vertical="center" textRotation="0" wrapText="true" indent="0" shrinkToFit="false"/>
      <protection locked="true" hidden="false"/>
    </xf>
    <xf numFmtId="164" fontId="175" fillId="16" borderId="137" xfId="30" applyFont="true" applyBorder="true" applyAlignment="true" applyProtection="false">
      <alignment horizontal="left" vertical="center" textRotation="0" wrapText="true" indent="0" shrinkToFit="false"/>
      <protection locked="true" hidden="false"/>
    </xf>
    <xf numFmtId="164" fontId="175" fillId="5" borderId="157" xfId="30" applyFont="true" applyBorder="true" applyAlignment="true" applyProtection="false">
      <alignment horizontal="left" vertical="center" textRotation="0" wrapText="true" indent="0" shrinkToFit="false"/>
      <protection locked="true" hidden="false"/>
    </xf>
    <xf numFmtId="164" fontId="175" fillId="5" borderId="137" xfId="30" applyFont="true" applyBorder="true" applyAlignment="true" applyProtection="false">
      <alignment horizontal="left" vertical="center" textRotation="0" wrapText="true" indent="0" shrinkToFit="false"/>
      <protection locked="true" hidden="false"/>
    </xf>
    <xf numFmtId="164" fontId="175" fillId="16" borderId="172" xfId="30" applyFont="true" applyBorder="true" applyAlignment="true" applyProtection="false">
      <alignment horizontal="left" vertical="center" textRotation="0" wrapText="true" indent="0" shrinkToFit="false"/>
      <protection locked="true" hidden="false"/>
    </xf>
    <xf numFmtId="164" fontId="175" fillId="16" borderId="158" xfId="30" applyFont="true" applyBorder="true" applyAlignment="true" applyProtection="false">
      <alignment horizontal="left" vertical="center" textRotation="0" wrapText="true" indent="0" shrinkToFit="false"/>
      <protection locked="true" hidden="false"/>
    </xf>
    <xf numFmtId="174" fontId="95" fillId="12" borderId="5" xfId="0" applyFont="true" applyBorder="true" applyAlignment="true" applyProtection="true">
      <alignment horizontal="left" vertical="center" textRotation="0" wrapText="false" indent="0" shrinkToFit="false"/>
      <protection locked="false" hidden="false"/>
    </xf>
    <xf numFmtId="164" fontId="95" fillId="12" borderId="5" xfId="0" applyFont="true" applyBorder="true" applyAlignment="true" applyProtection="true">
      <alignment horizontal="left" vertical="center" textRotation="0" wrapText="false" indent="0" shrinkToFit="false"/>
      <protection locked="false" hidden="false"/>
    </xf>
    <xf numFmtId="170" fontId="95" fillId="12" borderId="5" xfId="0" applyFont="true" applyBorder="true" applyAlignment="true" applyProtection="true">
      <alignment horizontal="left" vertical="center" textRotation="0" wrapText="false" indent="0" shrinkToFit="false"/>
      <protection locked="false" hidden="false"/>
    </xf>
    <xf numFmtId="185" fontId="95" fillId="12" borderId="5" xfId="0" applyFont="true" applyBorder="true" applyAlignment="true" applyProtection="true">
      <alignment horizontal="left" vertical="center" textRotation="0" wrapText="false" indent="0" shrinkToFit="false"/>
      <protection locked="false" hidden="false"/>
    </xf>
    <xf numFmtId="193" fontId="95" fillId="12" borderId="5" xfId="0" applyFont="true" applyBorder="true" applyAlignment="true" applyProtection="true">
      <alignment horizontal="left" vertical="center" textRotation="0" wrapText="false" indent="0" shrinkToFit="false"/>
      <protection locked="false" hidden="false"/>
    </xf>
    <xf numFmtId="190" fontId="95" fillId="12" borderId="5" xfId="0" applyFont="true" applyBorder="true" applyAlignment="true" applyProtection="true">
      <alignment horizontal="left" vertical="center" textRotation="0" wrapText="false" indent="0" shrinkToFit="false"/>
      <protection locked="false" hidden="false"/>
    </xf>
    <xf numFmtId="164" fontId="95" fillId="12" borderId="5" xfId="0" applyFont="true" applyBorder="true" applyAlignment="true" applyProtection="false">
      <alignment horizontal="left" vertical="center" textRotation="0" wrapText="false" indent="0" shrinkToFit="false"/>
      <protection locked="true" hidden="false"/>
    </xf>
    <xf numFmtId="164" fontId="95" fillId="13" borderId="5" xfId="0" applyFont="true" applyBorder="true" applyAlignment="true" applyProtection="true">
      <alignment horizontal="left" vertical="center" textRotation="0" wrapText="false" indent="0" shrinkToFit="false"/>
      <protection locked="false" hidden="false"/>
    </xf>
    <xf numFmtId="191" fontId="95" fillId="13" borderId="5" xfId="0" applyFont="true" applyBorder="true" applyAlignment="true" applyProtection="true">
      <alignment horizontal="left" vertical="center" textRotation="0" wrapText="false" indent="0" shrinkToFit="false"/>
      <protection locked="false" hidden="false"/>
    </xf>
    <xf numFmtId="174" fontId="95" fillId="13" borderId="5" xfId="0" applyFont="true" applyBorder="true" applyAlignment="true" applyProtection="true">
      <alignment horizontal="left" vertical="center" textRotation="0" wrapText="false" indent="0" shrinkToFit="false"/>
      <protection locked="false" hidden="false"/>
    </xf>
    <xf numFmtId="192" fontId="95" fillId="13" borderId="5" xfId="0" applyFont="true" applyBorder="true" applyAlignment="true" applyProtection="true">
      <alignment horizontal="left" vertical="center" textRotation="0" wrapText="false" indent="0" shrinkToFit="false"/>
      <protection locked="false" hidden="false"/>
    </xf>
    <xf numFmtId="176" fontId="95" fillId="13" borderId="5" xfId="0" applyFont="true" applyBorder="true" applyAlignment="true" applyProtection="true">
      <alignment horizontal="left" vertical="center" textRotation="0" wrapText="false" indent="0" shrinkToFit="false"/>
      <protection locked="false" hidden="false"/>
    </xf>
    <xf numFmtId="190" fontId="95" fillId="13" borderId="5" xfId="0" applyFont="true" applyBorder="true" applyAlignment="true" applyProtection="true">
      <alignment horizontal="left" vertical="center" textRotation="0" wrapText="false" indent="0" shrinkToFit="false"/>
      <protection locked="false" hidden="false"/>
    </xf>
    <xf numFmtId="169" fontId="95" fillId="12" borderId="5" xfId="0" applyFont="true" applyBorder="true" applyAlignment="true" applyProtection="true">
      <alignment horizontal="left" vertical="center" textRotation="0" wrapText="false" indent="0" shrinkToFit="false"/>
      <protection locked="false" hidden="false"/>
    </xf>
    <xf numFmtId="164" fontId="95" fillId="20" borderId="5" xfId="0" applyFont="true" applyBorder="true" applyAlignment="true" applyProtection="true">
      <alignment horizontal="left" vertical="center" textRotation="0" wrapText="false" indent="0" shrinkToFit="false"/>
      <protection locked="false" hidden="false"/>
    </xf>
    <xf numFmtId="164" fontId="95" fillId="0" borderId="0" xfId="0" applyFont="true" applyBorder="true" applyAlignment="true" applyProtection="true">
      <alignment horizontal="left" vertical="center" textRotation="0" wrapText="false" indent="0" shrinkToFit="false"/>
      <protection locked="false" hidden="false"/>
    </xf>
    <xf numFmtId="164" fontId="71" fillId="2" borderId="5" xfId="0" applyFont="true" applyBorder="true" applyAlignment="true" applyProtection="false">
      <alignment horizontal="left" vertical="center" textRotation="0" wrapText="false" indent="0" shrinkToFit="false"/>
      <protection locked="true" hidden="false"/>
    </xf>
    <xf numFmtId="182" fontId="71" fillId="2" borderId="5" xfId="0" applyFont="true" applyBorder="true" applyAlignment="true" applyProtection="false">
      <alignment horizontal="left" vertical="center" textRotation="0" wrapText="false" indent="0" shrinkToFit="false"/>
      <protection locked="true" hidden="false"/>
    </xf>
    <xf numFmtId="193" fontId="71" fillId="2" borderId="5" xfId="0" applyFont="true" applyBorder="true" applyAlignment="true" applyProtection="false">
      <alignment horizontal="left" vertical="center" textRotation="0" wrapText="false" indent="0" shrinkToFit="false"/>
      <protection locked="true" hidden="false"/>
    </xf>
    <xf numFmtId="166" fontId="71" fillId="2" borderId="5" xfId="0" applyFont="true" applyBorder="true" applyAlignment="true" applyProtection="false">
      <alignment horizontal="left" vertical="center" textRotation="0" wrapText="false" indent="0" shrinkToFit="false"/>
      <protection locked="true" hidden="false"/>
    </xf>
    <xf numFmtId="169" fontId="71" fillId="2" borderId="5" xfId="0" applyFont="true" applyBorder="true" applyAlignment="true" applyProtection="false">
      <alignment horizontal="left" vertical="center" textRotation="0" wrapText="false" indent="0" shrinkToFit="false"/>
      <protection locked="true" hidden="false"/>
    </xf>
    <xf numFmtId="164" fontId="71" fillId="2" borderId="5" xfId="0" applyFont="true" applyBorder="true" applyAlignment="true" applyProtection="true">
      <alignment horizontal="left" vertical="center" textRotation="0" wrapText="false" indent="0" shrinkToFit="false"/>
      <protection locked="false" hidden="false"/>
    </xf>
    <xf numFmtId="174" fontId="71" fillId="2" borderId="5" xfId="0" applyFont="true" applyBorder="true" applyAlignment="true" applyProtection="false">
      <alignment horizontal="left" vertical="center" textRotation="0" wrapText="false" indent="0" shrinkToFit="false"/>
      <protection locked="true" hidden="false"/>
    </xf>
    <xf numFmtId="192" fontId="71" fillId="2" borderId="5" xfId="0" applyFont="true" applyBorder="true" applyAlignment="true" applyProtection="false">
      <alignment horizontal="left" vertical="center" textRotation="0" wrapText="false" indent="0" shrinkToFit="false"/>
      <protection locked="true" hidden="false"/>
    </xf>
    <xf numFmtId="176" fontId="71" fillId="2" borderId="5" xfId="0" applyFont="true" applyBorder="true" applyAlignment="true" applyProtection="false">
      <alignment horizontal="left" vertical="center" textRotation="0" wrapText="false" indent="0" shrinkToFit="false"/>
      <protection locked="true" hidden="false"/>
    </xf>
    <xf numFmtId="190" fontId="71" fillId="2" borderId="5" xfId="0" applyFont="true" applyBorder="true" applyAlignment="true" applyProtection="false">
      <alignment horizontal="left" vertical="center" textRotation="0" wrapText="false" indent="0" shrinkToFit="false"/>
      <protection locked="true" hidden="false"/>
    </xf>
    <xf numFmtId="164" fontId="95" fillId="2" borderId="5" xfId="0" applyFont="true" applyBorder="true" applyAlignment="true" applyProtection="true">
      <alignment horizontal="left" vertical="center" textRotation="0" wrapText="false" indent="0" shrinkToFit="false"/>
      <protection locked="false" hidden="false"/>
    </xf>
    <xf numFmtId="164" fontId="95" fillId="2" borderId="5" xfId="0" applyFont="true" applyBorder="true" applyAlignment="true" applyProtection="false">
      <alignment horizontal="left" vertical="center" textRotation="0" wrapText="false" indent="0" shrinkToFit="false"/>
      <protection locked="true" hidden="false"/>
    </xf>
    <xf numFmtId="164" fontId="71" fillId="2" borderId="0" xfId="0" applyFont="true" applyBorder="true" applyAlignment="true" applyProtection="true">
      <alignment horizontal="left" vertical="center" textRotation="0" wrapText="false" indent="0" shrinkToFit="false"/>
      <protection locked="false" hidden="false"/>
    </xf>
    <xf numFmtId="164" fontId="0" fillId="2" borderId="0" xfId="0" applyFont="false" applyBorder="false" applyAlignment="true" applyProtection="false">
      <alignment horizontal="left" vertical="center" textRotation="0" wrapText="false" indent="0" shrinkToFit="false"/>
      <protection locked="true" hidden="false"/>
    </xf>
    <xf numFmtId="196" fontId="71" fillId="2" borderId="5" xfId="0" applyFont="true" applyBorder="true" applyAlignment="true" applyProtection="false">
      <alignment horizontal="left" vertical="center" textRotation="0" wrapText="false" indent="0" shrinkToFit="false"/>
      <protection locked="true" hidden="false"/>
    </xf>
    <xf numFmtId="197" fontId="71" fillId="2" borderId="5" xfId="0" applyFont="true" applyBorder="true" applyAlignment="true" applyProtection="false">
      <alignment horizontal="left" vertical="center" textRotation="0" wrapText="false" indent="0" shrinkToFit="false"/>
      <protection locked="true" hidden="false"/>
    </xf>
    <xf numFmtId="174" fontId="71" fillId="2" borderId="5" xfId="0" applyFont="true" applyBorder="true" applyAlignment="true" applyProtection="true">
      <alignment horizontal="left" vertical="center" textRotation="0" wrapText="false" indent="0" shrinkToFit="false"/>
      <protection locked="false" hidden="false"/>
    </xf>
    <xf numFmtId="192" fontId="71" fillId="2" borderId="5" xfId="0" applyFont="true" applyBorder="true" applyAlignment="true" applyProtection="true">
      <alignment horizontal="left" vertical="center" textRotation="0" wrapText="false" indent="0" shrinkToFit="false"/>
      <protection locked="false" hidden="false"/>
    </xf>
    <xf numFmtId="176" fontId="71" fillId="2" borderId="5" xfId="0" applyFont="true" applyBorder="true" applyAlignment="true" applyProtection="true">
      <alignment horizontal="left" vertical="center" textRotation="0" wrapText="false" indent="0" shrinkToFit="false"/>
      <protection locked="false" hidden="false"/>
    </xf>
    <xf numFmtId="190" fontId="71" fillId="2" borderId="5" xfId="0" applyFont="true" applyBorder="true" applyAlignment="true" applyProtection="true">
      <alignment horizontal="left" vertical="center" textRotation="0" wrapText="false" indent="0" shrinkToFit="false"/>
      <protection locked="false" hidden="false"/>
    </xf>
    <xf numFmtId="169" fontId="71" fillId="2" borderId="5" xfId="0" applyFont="true" applyBorder="true" applyAlignment="true" applyProtection="true">
      <alignment horizontal="left" vertical="center" textRotation="0" wrapText="false" indent="0" shrinkToFit="false"/>
      <protection locked="false" hidden="false"/>
    </xf>
    <xf numFmtId="164" fontId="29" fillId="2" borderId="0" xfId="0" applyFont="true" applyBorder="true" applyAlignment="true" applyProtection="false">
      <alignment horizontal="left" vertical="center" textRotation="0" wrapText="false" indent="0" shrinkToFit="false"/>
      <protection locked="true" hidden="false"/>
    </xf>
    <xf numFmtId="164" fontId="71" fillId="2" borderId="0" xfId="0" applyFont="true" applyBorder="true" applyAlignment="true" applyProtection="false">
      <alignment horizontal="left" vertical="center" textRotation="0" wrapText="false" indent="0" shrinkToFit="false"/>
      <protection locked="true" hidden="false"/>
    </xf>
    <xf numFmtId="170" fontId="71" fillId="2" borderId="5" xfId="0" applyFont="true" applyBorder="true" applyAlignment="true" applyProtection="false">
      <alignment horizontal="left" vertical="center" textRotation="0" wrapText="false" indent="0" shrinkToFit="false"/>
      <protection locked="true" hidden="false"/>
    </xf>
    <xf numFmtId="164" fontId="29" fillId="2" borderId="5" xfId="0" applyFont="true" applyBorder="true" applyAlignment="true" applyProtection="true">
      <alignment horizontal="left" vertical="center" textRotation="0" wrapText="false" indent="0" shrinkToFit="false"/>
      <protection locked="false" hidden="false"/>
    </xf>
    <xf numFmtId="164" fontId="29" fillId="2" borderId="5" xfId="0" applyFont="true" applyBorder="true" applyAlignment="true" applyProtection="false">
      <alignment horizontal="left" vertical="center" textRotation="0" wrapText="false" indent="0" shrinkToFit="false"/>
      <protection locked="true" hidden="false"/>
    </xf>
    <xf numFmtId="164" fontId="71" fillId="0" borderId="5" xfId="0" applyFont="true" applyBorder="true" applyAlignment="true" applyProtection="false">
      <alignment horizontal="left" vertical="center" textRotation="0" wrapText="false" indent="0" shrinkToFit="false"/>
      <protection locked="true" hidden="false"/>
    </xf>
    <xf numFmtId="182" fontId="71" fillId="0" borderId="5" xfId="0" applyFont="true" applyBorder="true" applyAlignment="true" applyProtection="false">
      <alignment horizontal="left" vertical="center" textRotation="0" wrapText="false" indent="0" shrinkToFit="false"/>
      <protection locked="true" hidden="false"/>
    </xf>
    <xf numFmtId="193" fontId="71" fillId="0" borderId="5" xfId="0" applyFont="true" applyBorder="true" applyAlignment="true" applyProtection="false">
      <alignment horizontal="left" vertical="center" textRotation="0" wrapText="false" indent="0" shrinkToFit="false"/>
      <protection locked="true" hidden="false"/>
    </xf>
    <xf numFmtId="166" fontId="71" fillId="0" borderId="5" xfId="0" applyFont="true" applyBorder="true" applyAlignment="true" applyProtection="false">
      <alignment horizontal="left" vertical="center" textRotation="0" wrapText="false" indent="0" shrinkToFit="false"/>
      <protection locked="true" hidden="false"/>
    </xf>
    <xf numFmtId="174" fontId="71" fillId="0" borderId="5" xfId="0" applyFont="true" applyBorder="true" applyAlignment="true" applyProtection="false">
      <alignment horizontal="left" vertical="center" textRotation="0" wrapText="false" indent="0" shrinkToFit="false"/>
      <protection locked="true" hidden="false"/>
    </xf>
    <xf numFmtId="192" fontId="71" fillId="0" borderId="5" xfId="0" applyFont="true" applyBorder="true" applyAlignment="true" applyProtection="false">
      <alignment horizontal="left" vertical="center" textRotation="0" wrapText="false" indent="0" shrinkToFit="false"/>
      <protection locked="true" hidden="false"/>
    </xf>
    <xf numFmtId="176" fontId="71" fillId="0" borderId="5" xfId="0" applyFont="true" applyBorder="true" applyAlignment="true" applyProtection="false">
      <alignment horizontal="left" vertical="center" textRotation="0" wrapText="false" indent="0" shrinkToFit="false"/>
      <protection locked="true" hidden="false"/>
    </xf>
    <xf numFmtId="190" fontId="71" fillId="0" borderId="5" xfId="0" applyFont="true" applyBorder="true" applyAlignment="true" applyProtection="false">
      <alignment horizontal="left" vertical="center" textRotation="0" wrapText="false" indent="0" shrinkToFit="false"/>
      <protection locked="true" hidden="false"/>
    </xf>
    <xf numFmtId="169" fontId="71" fillId="0" borderId="5" xfId="0" applyFont="true" applyBorder="true" applyAlignment="true" applyProtection="false">
      <alignment horizontal="left" vertical="center" textRotation="0" wrapText="false" indent="0" shrinkToFit="false"/>
      <protection locked="true" hidden="false"/>
    </xf>
    <xf numFmtId="164" fontId="29" fillId="0" borderId="0" xfId="0" applyFont="true" applyBorder="true" applyAlignment="true" applyProtection="false">
      <alignment horizontal="left" vertical="center" textRotation="0" wrapText="false" indent="0" shrinkToFit="false"/>
      <protection locked="true" hidden="false"/>
    </xf>
    <xf numFmtId="164" fontId="71" fillId="0" borderId="0" xfId="0" applyFont="true" applyBorder="true" applyAlignment="true" applyProtection="false">
      <alignment horizontal="left" vertical="center" textRotation="0" wrapText="false" indent="0" shrinkToFit="false"/>
      <protection locked="true" hidden="false"/>
    </xf>
    <xf numFmtId="196" fontId="71" fillId="0" borderId="5" xfId="0" applyFont="true" applyBorder="true" applyAlignment="true" applyProtection="false">
      <alignment horizontal="left" vertical="center" textRotation="0" wrapText="false" indent="0" shrinkToFit="false"/>
      <protection locked="true" hidden="false"/>
    </xf>
    <xf numFmtId="164" fontId="71" fillId="0" borderId="5" xfId="0" applyFont="true" applyBorder="true" applyAlignment="true" applyProtection="true">
      <alignment horizontal="left" vertical="center" textRotation="0" wrapText="false" indent="0" shrinkToFit="false"/>
      <protection locked="false" hidden="false"/>
    </xf>
    <xf numFmtId="197" fontId="71" fillId="0" borderId="5" xfId="0" applyFont="true" applyBorder="true" applyAlignment="true" applyProtection="false">
      <alignment horizontal="left" vertical="center" textRotation="0" wrapText="false" indent="0" shrinkToFit="false"/>
      <protection locked="true" hidden="false"/>
    </xf>
    <xf numFmtId="174" fontId="71" fillId="0" borderId="5" xfId="0" applyFont="true" applyBorder="true" applyAlignment="true" applyProtection="true">
      <alignment horizontal="left" vertical="center" textRotation="0" wrapText="false" indent="0" shrinkToFit="false"/>
      <protection locked="false" hidden="false"/>
    </xf>
    <xf numFmtId="192" fontId="71" fillId="0" borderId="5" xfId="0" applyFont="true" applyBorder="true" applyAlignment="true" applyProtection="true">
      <alignment horizontal="left" vertical="center" textRotation="0" wrapText="false" indent="0" shrinkToFit="false"/>
      <protection locked="false" hidden="false"/>
    </xf>
    <xf numFmtId="176" fontId="71" fillId="0" borderId="5" xfId="0" applyFont="true" applyBorder="true" applyAlignment="true" applyProtection="true">
      <alignment horizontal="left" vertical="center" textRotation="0" wrapText="false" indent="0" shrinkToFit="false"/>
      <protection locked="false" hidden="false"/>
    </xf>
    <xf numFmtId="169" fontId="71" fillId="0" borderId="5" xfId="0" applyFont="true" applyBorder="true" applyAlignment="true" applyProtection="true">
      <alignment horizontal="left" vertical="center" textRotation="0" wrapText="false" indent="0" shrinkToFit="false"/>
      <protection locked="false" hidden="false"/>
    </xf>
    <xf numFmtId="164" fontId="29" fillId="0" borderId="5" xfId="0" applyFont="true" applyBorder="true" applyAlignment="true" applyProtection="true">
      <alignment horizontal="left" vertical="center" textRotation="0" wrapText="false" indent="0" shrinkToFit="false"/>
      <protection locked="false" hidden="false"/>
    </xf>
    <xf numFmtId="190" fontId="71" fillId="0" borderId="5" xfId="0" applyFont="true" applyBorder="true" applyAlignment="true" applyProtection="true">
      <alignment horizontal="left" vertical="center" textRotation="0" wrapText="false" indent="0" shrinkToFit="false"/>
      <protection locked="false" hidden="false"/>
    </xf>
    <xf numFmtId="164" fontId="5" fillId="0" borderId="0" xfId="0" applyFont="true" applyBorder="true" applyAlignment="true" applyProtection="false">
      <alignment horizontal="left" vertical="center" textRotation="0" wrapText="false" indent="0" shrinkToFit="false"/>
      <protection locked="true" hidden="false"/>
    </xf>
    <xf numFmtId="164" fontId="71" fillId="0" borderId="0" xfId="0" applyFont="true" applyBorder="true" applyAlignment="true" applyProtection="true">
      <alignment horizontal="left" vertical="center" textRotation="0" wrapText="false" indent="0" shrinkToFit="false"/>
      <protection locked="false" hidden="false"/>
    </xf>
    <xf numFmtId="164" fontId="29" fillId="0" borderId="5" xfId="0" applyFont="true" applyBorder="true" applyAlignment="true" applyProtection="false">
      <alignment horizontal="left" vertical="center" textRotation="0" wrapText="false" indent="0" shrinkToFit="false"/>
      <protection locked="true" hidden="false"/>
    </xf>
    <xf numFmtId="198" fontId="71" fillId="0" borderId="5" xfId="0" applyFont="true" applyBorder="true" applyAlignment="true" applyProtection="false">
      <alignment horizontal="left" vertical="center" textRotation="0" wrapText="false" indent="0" shrinkToFit="false"/>
      <protection locked="true" hidden="false"/>
    </xf>
    <xf numFmtId="174" fontId="71" fillId="12" borderId="5" xfId="0" applyFont="true" applyBorder="true" applyAlignment="true" applyProtection="true">
      <alignment horizontal="left" vertical="center" textRotation="0" wrapText="false" indent="0" shrinkToFit="false"/>
      <protection locked="false" hidden="false"/>
    </xf>
    <xf numFmtId="164" fontId="71" fillId="12" borderId="5" xfId="0" applyFont="true" applyBorder="true" applyAlignment="true" applyProtection="true">
      <alignment horizontal="left" vertical="center" textRotation="0" wrapText="false" indent="0" shrinkToFit="false"/>
      <protection locked="false" hidden="false"/>
    </xf>
    <xf numFmtId="193" fontId="71" fillId="12" borderId="5" xfId="0" applyFont="true" applyBorder="true" applyAlignment="true" applyProtection="true">
      <alignment horizontal="left" vertical="center" textRotation="0" wrapText="false" indent="0" shrinkToFit="false"/>
      <protection locked="false" hidden="false"/>
    </xf>
    <xf numFmtId="169" fontId="71" fillId="12" borderId="5" xfId="0" applyFont="true" applyBorder="true" applyAlignment="true" applyProtection="true">
      <alignment horizontal="left" vertical="center" textRotation="0" wrapText="false" indent="0" shrinkToFit="false"/>
      <protection locked="false" hidden="false"/>
    </xf>
    <xf numFmtId="164" fontId="95" fillId="12" borderId="5" xfId="0" applyFont="true" applyBorder="true" applyAlignment="true" applyProtection="true">
      <alignment horizontal="general" vertical="center" textRotation="0" wrapText="false" indent="0" shrinkToFit="false"/>
      <protection locked="false" hidden="false"/>
    </xf>
    <xf numFmtId="192" fontId="71" fillId="12" borderId="5" xfId="0" applyFont="true" applyBorder="true" applyAlignment="true" applyProtection="true">
      <alignment horizontal="left" vertical="center" textRotation="0" wrapText="false" indent="0" shrinkToFit="false"/>
      <protection locked="false" hidden="false"/>
    </xf>
    <xf numFmtId="176" fontId="71" fillId="12" borderId="5" xfId="0" applyFont="true" applyBorder="true" applyAlignment="true" applyProtection="true">
      <alignment horizontal="left" vertical="center" textRotation="0" wrapText="false" indent="0" shrinkToFit="false"/>
      <protection locked="false" hidden="false"/>
    </xf>
    <xf numFmtId="190" fontId="71" fillId="12" borderId="5" xfId="0" applyFont="true" applyBorder="true" applyAlignment="true" applyProtection="true">
      <alignment horizontal="left" vertical="center" textRotation="0" wrapText="false" indent="0" shrinkToFit="false"/>
      <protection locked="false" hidden="false"/>
    </xf>
    <xf numFmtId="169" fontId="59" fillId="12" borderId="5" xfId="0" applyFont="true" applyBorder="true" applyAlignment="true" applyProtection="true">
      <alignment horizontal="left" vertical="center" textRotation="0" wrapText="false" indent="0" shrinkToFit="false"/>
      <protection locked="false" hidden="false"/>
    </xf>
    <xf numFmtId="174" fontId="71" fillId="12" borderId="5" xfId="0" applyFont="true" applyBorder="true" applyAlignment="true" applyProtection="true">
      <alignment horizontal="left" vertical="bottom" textRotation="0" wrapText="false" indent="0" shrinkToFit="false"/>
      <protection locked="false" hidden="false"/>
    </xf>
    <xf numFmtId="164" fontId="71" fillId="12" borderId="5" xfId="0" applyFont="true" applyBorder="true" applyAlignment="true" applyProtection="true">
      <alignment horizontal="center" vertical="bottom" textRotation="0" wrapText="false" indent="0" shrinkToFit="false"/>
      <protection locked="false" hidden="false"/>
    </xf>
    <xf numFmtId="174" fontId="71" fillId="12" borderId="5" xfId="0" applyFont="true" applyBorder="true" applyAlignment="true" applyProtection="true">
      <alignment horizontal="center" vertical="bottom" textRotation="0" wrapText="false" indent="0" shrinkToFit="false"/>
      <protection locked="false" hidden="false"/>
    </xf>
    <xf numFmtId="164" fontId="71" fillId="12" borderId="5" xfId="0" applyFont="true" applyBorder="true" applyAlignment="true" applyProtection="true">
      <alignment horizontal="general" vertical="bottom" textRotation="0" wrapText="false" indent="0" shrinkToFit="false"/>
      <protection locked="false" hidden="false"/>
    </xf>
    <xf numFmtId="164" fontId="71" fillId="12" borderId="5" xfId="0" applyFont="true" applyBorder="true" applyAlignment="true" applyProtection="true">
      <alignment horizontal="left" vertical="bottom" textRotation="0" wrapText="false" indent="0" shrinkToFit="false"/>
      <protection locked="false" hidden="false"/>
    </xf>
    <xf numFmtId="164" fontId="71" fillId="12" borderId="5" xfId="0" applyFont="true" applyBorder="true" applyAlignment="true" applyProtection="true">
      <alignment horizontal="right" vertical="bottom" textRotation="0" wrapText="false" indent="0" shrinkToFit="false"/>
      <protection locked="false" hidden="false"/>
    </xf>
    <xf numFmtId="193" fontId="71" fillId="12" borderId="5" xfId="0" applyFont="true" applyBorder="true" applyAlignment="true" applyProtection="true">
      <alignment horizontal="left" vertical="bottom" textRotation="0" wrapText="false" indent="0" shrinkToFit="false"/>
      <protection locked="false" hidden="false"/>
    </xf>
    <xf numFmtId="193" fontId="71" fillId="12" borderId="5" xfId="0" applyFont="true" applyBorder="true" applyAlignment="true" applyProtection="true">
      <alignment horizontal="right" vertical="bottom" textRotation="0" wrapText="false" indent="0" shrinkToFit="false"/>
      <protection locked="false" hidden="false"/>
    </xf>
    <xf numFmtId="169" fontId="71" fillId="12" borderId="5" xfId="0" applyFont="true" applyBorder="true" applyAlignment="true" applyProtection="true">
      <alignment horizontal="general" vertical="bottom" textRotation="0" wrapText="false" indent="0" shrinkToFit="false"/>
      <protection locked="false" hidden="false"/>
    </xf>
    <xf numFmtId="164" fontId="95" fillId="12" borderId="5" xfId="0" applyFont="true" applyBorder="true" applyAlignment="true" applyProtection="true">
      <alignment horizontal="center" vertical="bottom" textRotation="0" wrapText="false" indent="0" shrinkToFit="false"/>
      <protection locked="false" hidden="false"/>
    </xf>
    <xf numFmtId="164" fontId="95" fillId="12" borderId="5" xfId="0" applyFont="true" applyBorder="true" applyAlignment="true" applyProtection="false">
      <alignment horizontal="center" vertical="bottom" textRotation="0" wrapText="false" indent="0" shrinkToFit="false"/>
      <protection locked="true" hidden="false"/>
    </xf>
    <xf numFmtId="174" fontId="71" fillId="12" borderId="5" xfId="0" applyFont="true" applyBorder="true" applyAlignment="true" applyProtection="true">
      <alignment horizontal="general" vertical="bottom" textRotation="0" wrapText="false" indent="0" shrinkToFit="false"/>
      <protection locked="false" hidden="false"/>
    </xf>
    <xf numFmtId="192" fontId="71" fillId="12" borderId="5" xfId="0" applyFont="true" applyBorder="true" applyAlignment="true" applyProtection="true">
      <alignment horizontal="general" vertical="bottom" textRotation="0" wrapText="false" indent="0" shrinkToFit="false"/>
      <protection locked="false" hidden="false"/>
    </xf>
    <xf numFmtId="176" fontId="71" fillId="12" borderId="5" xfId="0" applyFont="true" applyBorder="true" applyAlignment="true" applyProtection="true">
      <alignment horizontal="general" vertical="bottom" textRotation="0" wrapText="false" indent="0" shrinkToFit="false"/>
      <protection locked="false" hidden="false"/>
    </xf>
    <xf numFmtId="168" fontId="71" fillId="12" borderId="5" xfId="0" applyFont="true" applyBorder="true" applyAlignment="true" applyProtection="true">
      <alignment horizontal="general" vertical="bottom" textRotation="0" wrapText="false" indent="0" shrinkToFit="false"/>
      <protection locked="false" hidden="false"/>
    </xf>
    <xf numFmtId="168" fontId="95" fillId="12" borderId="5" xfId="0" applyFont="true" applyBorder="true" applyAlignment="true" applyProtection="true">
      <alignment horizontal="center" vertical="bottom" textRotation="0" wrapText="false" indent="0" shrinkToFit="false"/>
      <protection locked="false" hidden="false"/>
    </xf>
    <xf numFmtId="169" fontId="59" fillId="12" borderId="5" xfId="0" applyFont="true" applyBorder="true" applyAlignment="true" applyProtection="true">
      <alignment horizontal="center" vertical="bottom" textRotation="0" wrapText="false" indent="0" shrinkToFit="false"/>
      <protection locked="false" hidden="false"/>
    </xf>
    <xf numFmtId="164" fontId="71" fillId="0" borderId="0" xfId="0" applyFont="true" applyBorder="true" applyAlignment="true" applyProtection="true">
      <alignment horizontal="general" vertical="bottom" textRotation="0" wrapText="false" indent="0" shrinkToFit="false"/>
      <protection locked="false" hidden="false"/>
    </xf>
    <xf numFmtId="174" fontId="95" fillId="12" borderId="5" xfId="0" applyFont="true" applyBorder="true" applyAlignment="true" applyProtection="true">
      <alignment horizontal="center" vertical="bottom" textRotation="0" wrapText="false" indent="0" shrinkToFit="false"/>
      <protection locked="false" hidden="false"/>
    </xf>
    <xf numFmtId="193" fontId="95" fillId="12" borderId="5" xfId="0" applyFont="true" applyBorder="true" applyAlignment="true" applyProtection="true">
      <alignment horizontal="center" vertical="bottom" textRotation="0" wrapText="false" indent="0" shrinkToFit="false"/>
      <protection locked="false" hidden="false"/>
    </xf>
    <xf numFmtId="169" fontId="95" fillId="12" borderId="5" xfId="0" applyFont="true" applyBorder="true" applyAlignment="true" applyProtection="true">
      <alignment horizontal="center" vertical="bottom" textRotation="0" wrapText="false" indent="0" shrinkToFit="false"/>
      <protection locked="false" hidden="false"/>
    </xf>
    <xf numFmtId="191" fontId="95" fillId="12" borderId="5" xfId="0" applyFont="true" applyBorder="true" applyAlignment="true" applyProtection="true">
      <alignment horizontal="center" vertical="bottom" textRotation="0" wrapText="false" indent="0" shrinkToFit="false"/>
      <protection locked="false" hidden="false"/>
    </xf>
    <xf numFmtId="192" fontId="95" fillId="12" borderId="5" xfId="0" applyFont="true" applyBorder="true" applyAlignment="true" applyProtection="true">
      <alignment horizontal="center" vertical="bottom" textRotation="0" wrapText="false" indent="0" shrinkToFit="false"/>
      <protection locked="false" hidden="false"/>
    </xf>
    <xf numFmtId="176" fontId="95" fillId="12" borderId="5" xfId="0" applyFont="true" applyBorder="true" applyAlignment="true" applyProtection="true">
      <alignment horizontal="center" vertical="bottom" textRotation="0" wrapText="false" indent="0" shrinkToFit="false"/>
      <protection locked="false" hidden="false"/>
    </xf>
    <xf numFmtId="190" fontId="95" fillId="12" borderId="5" xfId="0" applyFont="true" applyBorder="true" applyAlignment="true" applyProtection="true">
      <alignment horizontal="center" vertical="bottom" textRotation="0" wrapText="false" indent="0" shrinkToFit="false"/>
      <protection locked="false" hidden="false"/>
    </xf>
    <xf numFmtId="164" fontId="95" fillId="0" borderId="0" xfId="0" applyFont="true" applyBorder="true" applyAlignment="true" applyProtection="true">
      <alignment horizontal="center" vertical="bottom" textRotation="0" wrapText="false" indent="0" shrinkToFit="false"/>
      <protection locked="false" hidden="false"/>
    </xf>
    <xf numFmtId="164" fontId="0" fillId="21" borderId="0" xfId="0" applyFont="true" applyBorder="false" applyAlignment="false" applyProtection="false">
      <alignment horizontal="general" vertical="center" textRotation="0" wrapText="false" indent="0" shrinkToFit="false"/>
      <protection locked="true" hidden="false"/>
    </xf>
    <xf numFmtId="168" fontId="0" fillId="21" borderId="0" xfId="0" applyFont="false" applyBorder="false" applyAlignment="false" applyProtection="false">
      <alignment horizontal="general" vertical="center" textRotation="0" wrapText="false" indent="0" shrinkToFit="false"/>
      <protection locked="true" hidden="false"/>
    </xf>
    <xf numFmtId="167" fontId="0" fillId="21" borderId="0" xfId="0" applyFont="false" applyBorder="false" applyAlignment="false" applyProtection="false">
      <alignment horizontal="general" vertical="center" textRotation="0" wrapText="false" indent="0" shrinkToFit="false"/>
      <protection locked="true" hidden="false"/>
    </xf>
    <xf numFmtId="168" fontId="0" fillId="0" borderId="0" xfId="0" applyFont="false" applyBorder="false" applyAlignment="false" applyProtection="false">
      <alignment horizontal="general" vertical="center" textRotation="0" wrapText="false" indent="0" shrinkToFit="false"/>
      <protection locked="true" hidden="false"/>
    </xf>
    <xf numFmtId="164" fontId="4" fillId="0" borderId="0" xfId="0" applyFont="true" applyBorder="false" applyAlignment="false" applyProtection="false">
      <alignment horizontal="general" vertical="center" textRotation="0" wrapText="false" indent="0" shrinkToFit="false"/>
      <protection locked="true" hidden="false"/>
    </xf>
    <xf numFmtId="164" fontId="4" fillId="22" borderId="0" xfId="0" applyFont="true" applyBorder="false" applyAlignment="false" applyProtection="false">
      <alignment horizontal="general" vertical="center" textRotation="0" wrapText="false" indent="0" shrinkToFit="false"/>
      <protection locked="true" hidden="false"/>
    </xf>
    <xf numFmtId="164" fontId="0" fillId="22" borderId="0" xfId="0" applyFont="true" applyBorder="false" applyAlignment="false" applyProtection="false">
      <alignment horizontal="general" vertical="center" textRotation="0" wrapText="false" indent="0" shrinkToFit="false"/>
      <protection locked="true" hidden="false"/>
    </xf>
    <xf numFmtId="168" fontId="0" fillId="22" borderId="0" xfId="0" applyFont="false" applyBorder="false" applyAlignment="false" applyProtection="false">
      <alignment horizontal="general" vertical="center" textRotation="0" wrapText="false" indent="0" shrinkToFit="false"/>
      <protection locked="true" hidden="false"/>
    </xf>
    <xf numFmtId="168" fontId="0" fillId="5" borderId="0" xfId="0" applyFont="false" applyBorder="false" applyAlignment="false" applyProtection="false">
      <alignment horizontal="general" vertical="center" textRotation="0" wrapText="false" indent="0" shrinkToFit="false"/>
      <protection locked="true" hidden="false"/>
    </xf>
    <xf numFmtId="174" fontId="95" fillId="12" borderId="5" xfId="0" applyFont="true" applyBorder="true" applyAlignment="true" applyProtection="false">
      <alignment horizontal="center" vertical="bottom" textRotation="0" wrapText="false" indent="0" shrinkToFit="false"/>
      <protection locked="true" hidden="false"/>
    </xf>
    <xf numFmtId="166" fontId="95" fillId="12" borderId="5" xfId="0" applyFont="true" applyBorder="true" applyAlignment="true" applyProtection="false">
      <alignment horizontal="center" vertical="bottom" textRotation="0" wrapText="false" indent="0" shrinkToFit="false"/>
      <protection locked="true" hidden="false"/>
    </xf>
    <xf numFmtId="164" fontId="71" fillId="0" borderId="0" xfId="0" applyFont="true" applyBorder="false" applyAlignment="true" applyProtection="false">
      <alignment horizontal="left" vertical="bottom" textRotation="0" wrapText="false" indent="0" shrinkToFit="false"/>
      <protection locked="true" hidden="false"/>
    </xf>
    <xf numFmtId="164" fontId="95" fillId="12" borderId="11" xfId="0" applyFont="true" applyBorder="true" applyAlignment="true" applyProtection="false">
      <alignment horizontal="center" vertical="bottom" textRotation="0" wrapText="false" indent="0" shrinkToFit="false"/>
      <protection locked="true" hidden="false"/>
    </xf>
    <xf numFmtId="174" fontId="95" fillId="12" borderId="11" xfId="0" applyFont="true" applyBorder="true" applyAlignment="true" applyProtection="false">
      <alignment horizontal="center" vertical="bottom" textRotation="0" wrapText="false" indent="0" shrinkToFit="false"/>
      <protection locked="true" hidden="false"/>
    </xf>
    <xf numFmtId="166" fontId="95" fillId="12" borderId="11" xfId="0" applyFont="true" applyBorder="true" applyAlignment="true" applyProtection="false">
      <alignment horizontal="center" vertical="bottom" textRotation="0" wrapText="false" indent="0" shrinkToFit="false"/>
      <protection locked="true" hidden="false"/>
    </xf>
    <xf numFmtId="164" fontId="71" fillId="13" borderId="5" xfId="0" applyFont="true" applyBorder="true" applyAlignment="true" applyProtection="false">
      <alignment horizontal="left" vertical="bottom" textRotation="0" wrapText="false" indent="0" shrinkToFit="false"/>
      <protection locked="true" hidden="false"/>
    </xf>
    <xf numFmtId="174" fontId="71" fillId="13" borderId="5" xfId="0" applyFont="true" applyBorder="true" applyAlignment="true" applyProtection="false">
      <alignment horizontal="general" vertical="bottom" textRotation="0" wrapText="false" indent="0" shrinkToFit="false"/>
      <protection locked="true" hidden="false"/>
    </xf>
    <xf numFmtId="164" fontId="71" fillId="13" borderId="5" xfId="0" applyFont="true" applyBorder="true" applyAlignment="true" applyProtection="false">
      <alignment horizontal="general" vertical="bottom" textRotation="0" wrapText="false" indent="0" shrinkToFit="false"/>
      <protection locked="true" hidden="false"/>
    </xf>
    <xf numFmtId="164" fontId="71" fillId="0" borderId="0" xfId="0" applyFont="true" applyBorder="true" applyAlignment="true" applyProtection="false">
      <alignment horizontal="general" vertical="bottom" textRotation="0" wrapText="false" indent="0" shrinkToFit="false"/>
      <protection locked="true" hidden="false"/>
    </xf>
    <xf numFmtId="164" fontId="71" fillId="13" borderId="5" xfId="0" applyFont="true" applyBorder="true" applyAlignment="true" applyProtection="true">
      <alignment horizontal="general" vertical="bottom" textRotation="0" wrapText="false" indent="0" shrinkToFit="false"/>
      <protection locked="true" hidden="false"/>
    </xf>
    <xf numFmtId="164" fontId="95" fillId="12" borderId="5" xfId="0" applyFont="true" applyBorder="true" applyAlignment="true" applyProtection="true">
      <alignment horizontal="general" vertical="bottom" textRotation="0" wrapText="false" indent="0" shrinkToFit="false"/>
      <protection locked="false" hidden="false"/>
    </xf>
    <xf numFmtId="164" fontId="95" fillId="12" borderId="5" xfId="0" applyFont="true" applyBorder="true" applyAlignment="true" applyProtection="false">
      <alignment horizontal="general" vertical="bottom" textRotation="0" wrapText="false" indent="0" shrinkToFit="false"/>
      <protection locked="true" hidden="false"/>
    </xf>
    <xf numFmtId="164" fontId="71" fillId="0" borderId="0" xfId="0" applyFont="true" applyBorder="false" applyAlignment="true" applyProtection="false">
      <alignment horizontal="right" vertical="bottom" textRotation="0" wrapText="false" indent="0" shrinkToFit="false"/>
      <protection locked="true" hidden="false"/>
    </xf>
    <xf numFmtId="174" fontId="95" fillId="12" borderId="5" xfId="0" applyFont="true" applyBorder="true" applyAlignment="true" applyProtection="true">
      <alignment horizontal="general" vertical="bottom" textRotation="0" wrapText="false" indent="0" shrinkToFit="false"/>
      <protection locked="false" hidden="false"/>
    </xf>
    <xf numFmtId="164" fontId="95" fillId="12" borderId="11" xfId="0" applyFont="true" applyBorder="true" applyAlignment="true" applyProtection="false">
      <alignment horizontal="general" vertical="bottom" textRotation="0" wrapText="false" indent="0" shrinkToFit="false"/>
      <protection locked="true" hidden="false"/>
    </xf>
    <xf numFmtId="190" fontId="71" fillId="13" borderId="5" xfId="0" applyFont="true" applyBorder="true" applyAlignment="true" applyProtection="false">
      <alignment horizontal="general" vertical="bottom" textRotation="0" wrapText="false" indent="0" shrinkToFit="false"/>
      <protection locked="true" hidden="false"/>
    </xf>
    <xf numFmtId="164" fontId="71" fillId="3" borderId="0" xfId="25" applyFont="true" applyBorder="false" applyAlignment="false" applyProtection="false">
      <alignment horizontal="general" vertical="bottom" textRotation="0" wrapText="false" indent="0" shrinkToFit="false"/>
      <protection locked="true" hidden="false"/>
    </xf>
    <xf numFmtId="164" fontId="71" fillId="0" borderId="0" xfId="25"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59" fillId="3" borderId="2" xfId="25" applyFont="true" applyBorder="true" applyAlignment="false" applyProtection="false">
      <alignment horizontal="general" vertical="bottom" textRotation="0" wrapText="false" indent="0" shrinkToFit="false"/>
      <protection locked="true" hidden="false"/>
    </xf>
    <xf numFmtId="164" fontId="61" fillId="3" borderId="1" xfId="25" applyFont="true" applyBorder="true" applyAlignment="true" applyProtection="false">
      <alignment horizontal="center" vertical="bottom" textRotation="0" wrapText="false" indent="0" shrinkToFit="false"/>
      <protection locked="true" hidden="false"/>
    </xf>
    <xf numFmtId="168" fontId="59" fillId="3" borderId="1" xfId="25" applyFont="true" applyBorder="true" applyAlignment="true" applyProtection="true">
      <alignment horizontal="center" vertical="bottom" textRotation="0" wrapText="false" indent="0" shrinkToFit="false"/>
      <protection locked="true" hidden="false"/>
    </xf>
    <xf numFmtId="167" fontId="59" fillId="3" borderId="1" xfId="25" applyFont="true" applyBorder="true" applyAlignment="true" applyProtection="true">
      <alignment horizontal="center" vertical="bottom" textRotation="0" wrapText="false" indent="0" shrinkToFit="false"/>
      <protection locked="true" hidden="false"/>
    </xf>
    <xf numFmtId="173" fontId="59" fillId="3" borderId="1" xfId="25" applyFont="true" applyBorder="true" applyAlignment="true" applyProtection="false">
      <alignment horizontal="center" vertical="bottom" textRotation="0" wrapText="false" indent="0" shrinkToFit="false"/>
      <protection locked="true" hidden="false"/>
    </xf>
    <xf numFmtId="175" fontId="61" fillId="3" borderId="2" xfId="25" applyFont="true" applyBorder="true" applyAlignment="true" applyProtection="false">
      <alignment horizontal="center" vertical="bottom" textRotation="0" wrapText="false" indent="0" shrinkToFit="false"/>
      <protection locked="true" hidden="false"/>
    </xf>
    <xf numFmtId="164" fontId="59" fillId="0" borderId="2" xfId="25" applyFont="true" applyBorder="true" applyAlignment="false" applyProtection="false">
      <alignment horizontal="general" vertical="bottom" textRotation="0" wrapText="false" indent="0" shrinkToFit="false"/>
      <protection locked="true" hidden="false"/>
    </xf>
    <xf numFmtId="164" fontId="52" fillId="0" borderId="2" xfId="0" applyFont="true" applyBorder="true" applyAlignment="true" applyProtection="false">
      <alignment horizontal="general" vertical="bottom" textRotation="0" wrapText="false" indent="0" shrinkToFit="false"/>
      <protection locked="true" hidden="false"/>
    </xf>
    <xf numFmtId="164" fontId="52" fillId="0" borderId="0" xfId="0" applyFont="true" applyBorder="false" applyAlignment="true" applyProtection="false">
      <alignment horizontal="general" vertical="bottom" textRotation="0" wrapText="false" indent="0" shrinkToFit="false"/>
      <protection locked="true" hidden="false"/>
    </xf>
    <xf numFmtId="164" fontId="72" fillId="3" borderId="0" xfId="0" applyFont="true" applyBorder="false" applyAlignment="true" applyProtection="false">
      <alignment horizontal="general" vertical="bottom" textRotation="0" wrapText="false" indent="0" shrinkToFit="false"/>
      <protection locked="true" hidden="false"/>
    </xf>
    <xf numFmtId="164" fontId="95" fillId="3" borderId="0" xfId="25" applyFont="true" applyBorder="false" applyAlignment="false" applyProtection="false">
      <alignment horizontal="general" vertical="bottom" textRotation="0" wrapText="false" indent="0" shrinkToFit="false"/>
      <protection locked="true" hidden="false"/>
    </xf>
    <xf numFmtId="164" fontId="71" fillId="3" borderId="57" xfId="25" applyFont="true" applyBorder="true" applyAlignment="false" applyProtection="false">
      <alignment horizontal="general" vertical="bottom" textRotation="0" wrapText="false" indent="0" shrinkToFit="false"/>
      <protection locked="true" hidden="false"/>
    </xf>
    <xf numFmtId="164" fontId="29" fillId="3" borderId="58" xfId="25" applyFont="true" applyBorder="true" applyAlignment="true" applyProtection="false">
      <alignment horizontal="center" vertical="center" textRotation="0" wrapText="true" indent="0" shrinkToFit="false"/>
      <protection locked="true" hidden="false"/>
    </xf>
    <xf numFmtId="167" fontId="71" fillId="3" borderId="59" xfId="25" applyFont="true" applyBorder="true" applyAlignment="true" applyProtection="false">
      <alignment horizontal="center" vertical="bottom" textRotation="0" wrapText="false" indent="0" shrinkToFit="false"/>
      <protection locked="true" hidden="false"/>
    </xf>
    <xf numFmtId="164" fontId="29" fillId="3" borderId="57" xfId="25" applyFont="true" applyBorder="true" applyAlignment="true" applyProtection="false">
      <alignment horizontal="center" vertical="center" textRotation="0" wrapText="true" indent="0" shrinkToFit="false"/>
      <protection locked="true" hidden="false"/>
    </xf>
    <xf numFmtId="167" fontId="71" fillId="3" borderId="58" xfId="25" applyFont="true" applyBorder="true" applyAlignment="true" applyProtection="false">
      <alignment horizontal="center" vertical="bottom" textRotation="0" wrapText="false" indent="0" shrinkToFit="false"/>
      <protection locked="true" hidden="false"/>
    </xf>
    <xf numFmtId="164" fontId="71" fillId="3" borderId="22" xfId="25" applyFont="true" applyBorder="true" applyAlignment="false" applyProtection="false">
      <alignment horizontal="general" vertical="bottom" textRotation="0" wrapText="false" indent="0" shrinkToFit="false"/>
      <protection locked="true" hidden="false"/>
    </xf>
    <xf numFmtId="164" fontId="29" fillId="3" borderId="5" xfId="25" applyFont="true" applyBorder="true" applyAlignment="true" applyProtection="false">
      <alignment horizontal="center" vertical="center" textRotation="0" wrapText="true" indent="0" shrinkToFit="false"/>
      <protection locked="true" hidden="false"/>
    </xf>
    <xf numFmtId="167" fontId="71" fillId="3" borderId="23" xfId="25" applyFont="true" applyBorder="true" applyAlignment="true" applyProtection="false">
      <alignment horizontal="center" vertical="bottom" textRotation="0" wrapText="false" indent="0" shrinkToFit="false"/>
      <protection locked="true" hidden="false"/>
    </xf>
    <xf numFmtId="164" fontId="29" fillId="3" borderId="22" xfId="25" applyFont="true" applyBorder="true" applyAlignment="true" applyProtection="false">
      <alignment horizontal="center" vertical="center" textRotation="0" wrapText="true" indent="0" shrinkToFit="false"/>
      <protection locked="true" hidden="false"/>
    </xf>
    <xf numFmtId="167" fontId="71" fillId="3" borderId="5" xfId="25" applyFont="true" applyBorder="true" applyAlignment="true" applyProtection="false">
      <alignment horizontal="center" vertical="bottom" textRotation="0" wrapText="false" indent="0" shrinkToFit="false"/>
      <protection locked="true" hidden="false"/>
    </xf>
    <xf numFmtId="164" fontId="71" fillId="3" borderId="24" xfId="25" applyFont="true" applyBorder="true" applyAlignment="false" applyProtection="false">
      <alignment horizontal="general" vertical="bottom" textRotation="0" wrapText="false" indent="0" shrinkToFit="false"/>
      <protection locked="true" hidden="false"/>
    </xf>
    <xf numFmtId="164" fontId="29" fillId="3" borderId="25" xfId="25" applyFont="true" applyBorder="true" applyAlignment="true" applyProtection="false">
      <alignment horizontal="center" vertical="center" textRotation="0" wrapText="true" indent="0" shrinkToFit="false"/>
      <protection locked="true" hidden="false"/>
    </xf>
    <xf numFmtId="167" fontId="71" fillId="3" borderId="71" xfId="25" applyFont="true" applyBorder="true" applyAlignment="true" applyProtection="false">
      <alignment horizontal="center" vertical="bottom" textRotation="0" wrapText="false" indent="0" shrinkToFit="false"/>
      <protection locked="true" hidden="false"/>
    </xf>
    <xf numFmtId="164" fontId="29" fillId="3" borderId="24" xfId="25" applyFont="true" applyBorder="true" applyAlignment="true" applyProtection="false">
      <alignment horizontal="center" vertical="center" textRotation="0" wrapText="true" indent="0" shrinkToFit="false"/>
      <protection locked="true" hidden="false"/>
    </xf>
    <xf numFmtId="167" fontId="71" fillId="3" borderId="25" xfId="25" applyFont="true" applyBorder="true" applyAlignment="true" applyProtection="false">
      <alignment horizontal="center" vertical="bottom" textRotation="0" wrapText="false" indent="0" shrinkToFit="false"/>
      <protection locked="true" hidden="false"/>
    </xf>
    <xf numFmtId="164" fontId="71" fillId="3" borderId="0" xfId="25" applyFont="true" applyBorder="false" applyAlignment="true" applyProtection="false">
      <alignment horizontal="center" vertical="bottom" textRotation="0" wrapText="false" indent="0" shrinkToFit="false"/>
      <protection locked="true" hidden="false"/>
    </xf>
    <xf numFmtId="164" fontId="71" fillId="3" borderId="0" xfId="25" applyFont="true" applyBorder="false" applyAlignment="true" applyProtection="false">
      <alignment horizontal="right" vertical="bottom" textRotation="0" wrapText="false" indent="0" shrinkToFit="false"/>
      <protection locked="true" hidden="false"/>
    </xf>
    <xf numFmtId="168" fontId="71" fillId="3" borderId="0" xfId="25" applyFont="true" applyBorder="false" applyAlignment="true" applyProtection="false">
      <alignment horizontal="center" vertical="bottom" textRotation="0" wrapText="false" indent="0" shrinkToFit="false"/>
      <protection locked="true" hidden="false"/>
    </xf>
    <xf numFmtId="164" fontId="182" fillId="3" borderId="0" xfId="25" applyFont="true" applyBorder="false" applyAlignment="true" applyProtection="false">
      <alignment horizontal="center" vertical="bottom" textRotation="0" wrapText="false" indent="0" shrinkToFit="false"/>
      <protection locked="true" hidden="false"/>
    </xf>
    <xf numFmtId="164" fontId="183" fillId="3" borderId="0" xfId="25" applyFont="true" applyBorder="false" applyAlignment="true" applyProtection="false">
      <alignment horizontal="left" vertical="bottom" textRotation="0" wrapText="false" indent="0" shrinkToFit="false"/>
      <protection locked="true" hidden="false"/>
    </xf>
    <xf numFmtId="168" fontId="182" fillId="3" borderId="0" xfId="25" applyFont="true" applyBorder="false" applyAlignment="true" applyProtection="false">
      <alignment horizontal="center" vertical="bottom" textRotation="0" wrapText="false" indent="0" shrinkToFit="false"/>
      <protection locked="true" hidden="false"/>
    </xf>
    <xf numFmtId="164" fontId="182" fillId="3" borderId="0" xfId="25" applyFont="true" applyBorder="false" applyAlignment="false" applyProtection="false">
      <alignment horizontal="general" vertical="bottom" textRotation="0" wrapText="false" indent="0" shrinkToFit="false"/>
      <protection locked="true" hidden="false"/>
    </xf>
    <xf numFmtId="164" fontId="182" fillId="0" borderId="0" xfId="25" applyFont="true" applyBorder="false" applyAlignment="false" applyProtection="false">
      <alignment horizontal="general" vertical="bottom" textRotation="0" wrapText="false" indent="0" shrinkToFit="false"/>
      <protection locked="true" hidden="false"/>
    </xf>
    <xf numFmtId="164" fontId="182" fillId="0" borderId="0" xfId="0" applyFont="true" applyBorder="false" applyAlignment="true" applyProtection="false">
      <alignment horizontal="general" vertical="bottom" textRotation="0" wrapText="false" indent="0" shrinkToFit="false"/>
      <protection locked="true" hidden="false"/>
    </xf>
    <xf numFmtId="164" fontId="118" fillId="3" borderId="0" xfId="25" applyFont="true" applyBorder="false" applyAlignment="false" applyProtection="false">
      <alignment horizontal="general" vertical="bottom" textRotation="0" wrapText="false" indent="0" shrinkToFit="false"/>
      <protection locked="true" hidden="false"/>
    </xf>
    <xf numFmtId="164" fontId="184" fillId="3" borderId="0" xfId="25" applyFont="true" applyBorder="false" applyAlignment="false" applyProtection="false">
      <alignment horizontal="general" vertical="bottom" textRotation="0" wrapText="false" indent="0" shrinkToFit="false"/>
      <protection locked="true" hidden="false"/>
    </xf>
    <xf numFmtId="164" fontId="118" fillId="0" borderId="0" xfId="25" applyFont="true" applyBorder="false" applyAlignment="false" applyProtection="false">
      <alignment horizontal="general" vertical="bottom" textRotation="0" wrapText="false" indent="0" shrinkToFit="false"/>
      <protection locked="true" hidden="false"/>
    </xf>
    <xf numFmtId="164" fontId="29" fillId="3" borderId="0" xfId="25" applyFont="true" applyBorder="false" applyAlignment="true" applyProtection="false">
      <alignment horizontal="general" vertical="bottom" textRotation="0" wrapText="false" indent="0" shrinkToFit="false"/>
      <protection locked="true" hidden="false"/>
    </xf>
    <xf numFmtId="164" fontId="61" fillId="3" borderId="11" xfId="25" applyFont="true" applyBorder="true" applyAlignment="true" applyProtection="false">
      <alignment horizontal="center" vertical="center" textRotation="0" wrapText="false" indent="0" shrinkToFit="false"/>
      <protection locked="true" hidden="false"/>
    </xf>
    <xf numFmtId="164" fontId="61" fillId="3" borderId="11" xfId="25" applyFont="true" applyBorder="true" applyAlignment="true" applyProtection="false">
      <alignment horizontal="general" vertical="center" textRotation="0" wrapText="false" indent="0" shrinkToFit="false"/>
      <protection locked="true" hidden="false"/>
    </xf>
    <xf numFmtId="164" fontId="61" fillId="3" borderId="7" xfId="25" applyFont="true" applyBorder="true" applyAlignment="true" applyProtection="false">
      <alignment horizontal="general" vertical="center" textRotation="0" wrapText="false" indent="0" shrinkToFit="false"/>
      <protection locked="true" hidden="false"/>
    </xf>
    <xf numFmtId="164" fontId="61" fillId="3" borderId="8" xfId="25" applyFont="true" applyBorder="true" applyAlignment="true" applyProtection="false">
      <alignment horizontal="general" vertical="center" textRotation="0" wrapText="false" indent="0" shrinkToFit="false"/>
      <protection locked="true" hidden="false"/>
    </xf>
    <xf numFmtId="164" fontId="61" fillId="3" borderId="10" xfId="25" applyFont="true" applyBorder="true" applyAlignment="true" applyProtection="false">
      <alignment horizontal="general" vertical="center" textRotation="0" wrapText="false" indent="0" shrinkToFit="false"/>
      <protection locked="true" hidden="false"/>
    </xf>
    <xf numFmtId="164" fontId="29" fillId="0" borderId="0" xfId="25" applyFont="true" applyBorder="false" applyAlignment="true" applyProtection="false">
      <alignment horizontal="general" vertical="bottom" textRotation="0" wrapText="false" indent="0" shrinkToFit="false"/>
      <protection locked="true" hidden="false"/>
    </xf>
    <xf numFmtId="164" fontId="29" fillId="3" borderId="0" xfId="25" applyFont="true" applyBorder="false" applyAlignment="false" applyProtection="false">
      <alignment horizontal="general" vertical="bottom" textRotation="0" wrapText="false" indent="0" shrinkToFit="false"/>
      <protection locked="true" hidden="false"/>
    </xf>
    <xf numFmtId="164" fontId="61" fillId="3" borderId="6" xfId="25" applyFont="true" applyBorder="true" applyAlignment="true" applyProtection="false">
      <alignment horizontal="center" vertical="center" textRotation="0" wrapText="true" indent="0" shrinkToFit="false"/>
      <protection locked="true" hidden="false"/>
    </xf>
    <xf numFmtId="164" fontId="61" fillId="3" borderId="6" xfId="25" applyFont="true" applyBorder="true" applyAlignment="true" applyProtection="false">
      <alignment horizontal="general" vertical="center" textRotation="0" wrapText="true" indent="0" shrinkToFit="false"/>
      <protection locked="true" hidden="false"/>
    </xf>
    <xf numFmtId="164" fontId="71" fillId="3" borderId="5" xfId="25" applyFont="true" applyBorder="true" applyAlignment="false" applyProtection="false">
      <alignment horizontal="general" vertical="bottom" textRotation="0" wrapText="false" indent="0" shrinkToFit="false"/>
      <protection locked="true" hidden="false"/>
    </xf>
    <xf numFmtId="164" fontId="61" fillId="3" borderId="5" xfId="25" applyFont="true" applyBorder="true" applyAlignment="true" applyProtection="false">
      <alignment horizontal="center" vertical="center" textRotation="0" wrapText="true" indent="0" shrinkToFit="false"/>
      <protection locked="true" hidden="false"/>
    </xf>
    <xf numFmtId="164" fontId="29" fillId="0" borderId="0" xfId="25" applyFont="true" applyBorder="false" applyAlignment="false" applyProtection="false">
      <alignment horizontal="general" vertical="bottom" textRotation="0" wrapText="false" indent="0" shrinkToFit="false"/>
      <protection locked="true" hidden="false"/>
    </xf>
    <xf numFmtId="164" fontId="45" fillId="3" borderId="0" xfId="25" applyFont="true" applyBorder="false" applyAlignment="true" applyProtection="false">
      <alignment horizontal="general" vertical="center" textRotation="0" wrapText="false" indent="0" shrinkToFit="false"/>
      <protection locked="true" hidden="false"/>
    </xf>
    <xf numFmtId="164" fontId="45" fillId="3" borderId="5" xfId="25" applyFont="true" applyBorder="true" applyAlignment="true" applyProtection="false">
      <alignment horizontal="left" vertical="center" textRotation="0" wrapText="true" indent="0" shrinkToFit="false"/>
      <protection locked="true" hidden="false"/>
    </xf>
    <xf numFmtId="199" fontId="45" fillId="3" borderId="5" xfId="25" applyFont="true" applyBorder="true" applyAlignment="true" applyProtection="false">
      <alignment horizontal="center" vertical="center" textRotation="0" wrapText="true" indent="0" shrinkToFit="false"/>
      <protection locked="true" hidden="false"/>
    </xf>
    <xf numFmtId="164" fontId="45" fillId="3" borderId="5" xfId="25" applyFont="true" applyBorder="true" applyAlignment="true" applyProtection="false">
      <alignment horizontal="center" vertical="center" textRotation="0" wrapText="true" indent="0" shrinkToFit="false"/>
      <protection locked="true" hidden="false"/>
    </xf>
    <xf numFmtId="168" fontId="45" fillId="3" borderId="5" xfId="25" applyFont="true" applyBorder="true" applyAlignment="true" applyProtection="false">
      <alignment horizontal="center" vertical="center" textRotation="0" wrapText="true" indent="0" shrinkToFit="false"/>
      <protection locked="true" hidden="false"/>
    </xf>
    <xf numFmtId="164" fontId="45" fillId="2" borderId="0" xfId="25" applyFont="true" applyBorder="false" applyAlignment="true" applyProtection="false">
      <alignment horizontal="general" vertical="center" textRotation="0" wrapText="false" indent="0" shrinkToFit="false"/>
      <protection locked="true" hidden="false"/>
    </xf>
    <xf numFmtId="164" fontId="146" fillId="0" borderId="0" xfId="0" applyFont="true" applyBorder="false" applyAlignment="true" applyProtection="false">
      <alignment horizontal="general" vertical="bottom" textRotation="0" wrapText="false" indent="0" shrinkToFit="false"/>
      <protection locked="true" hidden="false"/>
    </xf>
    <xf numFmtId="168" fontId="71" fillId="3" borderId="5" xfId="25" applyFont="true" applyBorder="true" applyAlignment="true" applyProtection="false">
      <alignment horizontal="center" vertical="bottom" textRotation="0" wrapText="true" indent="0" shrinkToFit="false"/>
      <protection locked="true" hidden="false"/>
    </xf>
    <xf numFmtId="164" fontId="71" fillId="3" borderId="5" xfId="25" applyFont="true" applyBorder="true" applyAlignment="true" applyProtection="false">
      <alignment horizontal="center" vertical="bottom" textRotation="0" wrapText="true" indent="0" shrinkToFit="false"/>
      <protection locked="true" hidden="false"/>
    </xf>
    <xf numFmtId="164" fontId="29" fillId="3" borderId="5" xfId="25" applyFont="true" applyBorder="true" applyAlignment="true" applyProtection="false">
      <alignment horizontal="center" vertical="bottom" textRotation="0" wrapText="true" indent="0" shrinkToFit="false"/>
      <protection locked="true" hidden="false"/>
    </xf>
    <xf numFmtId="168" fontId="29" fillId="3" borderId="5" xfId="25" applyFont="true" applyBorder="true" applyAlignment="true" applyProtection="false">
      <alignment horizontal="center" vertical="bottom" textRotation="0" wrapText="true" indent="0" shrinkToFit="false"/>
      <protection locked="true" hidden="false"/>
    </xf>
    <xf numFmtId="176" fontId="185" fillId="3" borderId="5" xfId="25"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true" applyProtection="false">
      <alignment horizontal="general" vertical="bottom" textRotation="0" wrapText="false" indent="0" shrinkToFit="false"/>
      <protection locked="true" hidden="false"/>
    </xf>
    <xf numFmtId="168" fontId="68" fillId="3" borderId="5" xfId="25" applyFont="true" applyBorder="true" applyAlignment="true" applyProtection="false">
      <alignment horizontal="center" vertical="bottom" textRotation="0" wrapText="true" indent="0" shrinkToFit="false"/>
      <protection locked="true" hidden="false"/>
    </xf>
    <xf numFmtId="164" fontId="68" fillId="3" borderId="5" xfId="25" applyFont="true" applyBorder="true" applyAlignment="true" applyProtection="false">
      <alignment horizontal="center" vertical="bottom" textRotation="0" wrapText="true" indent="0" shrinkToFit="false"/>
      <protection locked="true" hidden="false"/>
    </xf>
    <xf numFmtId="164" fontId="8" fillId="3" borderId="0" xfId="25" applyFont="true" applyBorder="false" applyAlignment="true" applyProtection="false">
      <alignment horizontal="general" vertical="center" textRotation="0" wrapText="false" indent="0" shrinkToFit="false"/>
      <protection locked="true" hidden="false"/>
    </xf>
    <xf numFmtId="164" fontId="8" fillId="3" borderId="5" xfId="25" applyFont="true" applyBorder="true" applyAlignment="true" applyProtection="false">
      <alignment horizontal="left" vertical="center" textRotation="0" wrapText="true" indent="0" shrinkToFit="false"/>
      <protection locked="true" hidden="false"/>
    </xf>
    <xf numFmtId="164" fontId="71" fillId="3" borderId="0" xfId="25" applyFont="true" applyBorder="true" applyAlignment="true" applyProtection="false">
      <alignment horizontal="center" vertical="bottom" textRotation="0" wrapText="true" indent="0" shrinkToFit="false"/>
      <protection locked="true" hidden="false"/>
    </xf>
    <xf numFmtId="168" fontId="71" fillId="3" borderId="0" xfId="25" applyFont="true" applyBorder="true" applyAlignment="true" applyProtection="false">
      <alignment horizontal="center" vertical="bottom" textRotation="0" wrapText="true" indent="0" shrinkToFit="false"/>
      <protection locked="tru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常规 11" xfId="20"/>
    <cellStyle name="常规 16" xfId="21"/>
    <cellStyle name="常规 2" xfId="22"/>
    <cellStyle name="常规 2 2" xfId="23"/>
    <cellStyle name="常规 2 2 2 2 3" xfId="24"/>
    <cellStyle name="常规 3" xfId="25"/>
    <cellStyle name="常规 3 2" xfId="26"/>
    <cellStyle name="常规 4" xfId="27"/>
    <cellStyle name="常规 5" xfId="28"/>
    <cellStyle name="常规 6" xfId="29"/>
    <cellStyle name="常规 6 2" xfId="30"/>
    <cellStyle name="常规 6 2 2" xfId="31"/>
    <cellStyle name="常规 6 2 3" xfId="32"/>
    <cellStyle name="常规 7" xfId="33"/>
    <cellStyle name="常规 8" xfId="34"/>
    <cellStyle name="常规 9" xfId="35"/>
    <cellStyle name="百分比 2" xfId="36"/>
  </cellStyles>
  <dxfs count="232">
    <dxf>
      <font>
        <b val="1"/>
        <i val="0"/>
        <color rgb="FFFF0000"/>
      </font>
      <fill>
        <patternFill>
          <bgColor rgb="FFFFFF00"/>
        </patternFill>
      </fill>
    </dxf>
    <dxf>
      <font>
        <color rgb="FFFF0000"/>
        <u val="single"/>
      </font>
    </dxf>
    <dxf>
      <font>
        <b val="1"/>
        <i val="0"/>
        <color rgb="FFFF0000"/>
      </font>
      <fill>
        <patternFill>
          <bgColor rgb="FFFFFF00"/>
        </patternFill>
      </fill>
    </dxf>
    <dxf>
      <font>
        <color rgb="FFFF0000"/>
        <u val="single"/>
      </font>
    </dxf>
    <dxf>
      <font>
        <b val="1"/>
        <i val="0"/>
        <color rgb="FFFF0000"/>
      </font>
      <fill>
        <patternFill>
          <bgColor rgb="FFFFFF00"/>
        </patternFill>
      </fill>
    </dxf>
    <dxf>
      <font>
        <color rgb="FFFF0000"/>
        <u val="single"/>
      </font>
    </dxf>
    <dxf>
      <font>
        <color rgb="FFFF0000"/>
        <u val="single"/>
      </font>
    </dxf>
    <dxf>
      <font>
        <color rgb="FFFF0000"/>
      </font>
    </dxf>
    <dxf>
      <font>
        <b val="1"/>
        <i val="0"/>
        <color rgb="FFFF0000"/>
      </font>
      <fill>
        <patternFill>
          <bgColor rgb="FFFFFF00"/>
        </patternFill>
      </fill>
    </dxf>
    <dxf>
      <font>
        <color rgb="FFFF0000"/>
        <u val="single"/>
      </font>
    </dxf>
    <dxf>
      <font>
        <color rgb="FFFF0000"/>
        <u val="single"/>
      </font>
    </dxf>
    <dxf>
      <font>
        <b val="1"/>
        <i val="0"/>
        <color rgb="FFFF0000"/>
      </font>
      <fill>
        <patternFill>
          <bgColor rgb="FFFFFF00"/>
        </patternFill>
      </fill>
    </dxf>
    <dxf>
      <font>
        <color rgb="FFFF0000"/>
        <u val="single"/>
      </font>
    </dxf>
    <dxf>
      <font>
        <color rgb="FFFF0000"/>
      </font>
    </dxf>
    <dxf>
      <font>
        <color rgb="FFFF0000"/>
        <u val="single"/>
      </font>
    </dxf>
    <dxf>
      <font>
        <b val="1"/>
        <i val="0"/>
        <color rgb="FFFF0000"/>
      </font>
      <fill>
        <patternFill>
          <bgColor rgb="FFFFFF00"/>
        </patternFill>
      </fill>
    </dxf>
    <dxf>
      <font>
        <color rgb="FFFF0000"/>
        <u val="single"/>
      </font>
    </dxf>
    <dxf>
      <font>
        <color rgb="FFFF0000"/>
        <u val="single"/>
      </font>
    </dxf>
    <dxf>
      <font>
        <color rgb="FFFF0000"/>
      </font>
    </dxf>
    <dxf>
      <font>
        <b val="1"/>
        <i val="0"/>
        <color rgb="FFFF0000"/>
      </font>
      <fill>
        <patternFill>
          <bgColor rgb="FFFFFF00"/>
        </patternFill>
      </fill>
    </dxf>
    <dxf>
      <font>
        <color rgb="FFFF0000"/>
        <u val="single"/>
      </font>
    </dxf>
    <dxf>
      <font>
        <b val="1"/>
        <i val="0"/>
        <color rgb="FFFF0000"/>
      </font>
      <fill>
        <patternFill>
          <bgColor rgb="FFFFFF00"/>
        </patternFill>
      </fill>
    </dxf>
    <dxf>
      <font>
        <color rgb="FFFF0000"/>
        <u val="single"/>
      </font>
    </dxf>
    <dxf>
      <font>
        <b val="1"/>
        <i val="0"/>
        <color rgb="FFFF0000"/>
      </font>
      <fill>
        <patternFill>
          <bgColor rgb="FFFFFF00"/>
        </patternFill>
      </fill>
    </dxf>
    <dxf>
      <font>
        <color rgb="FFFF0000"/>
        <u val="single"/>
      </font>
    </dxf>
    <dxf>
      <font>
        <color rgb="FFFF0000"/>
        <u val="single"/>
      </font>
    </dxf>
    <dxf>
      <font>
        <color rgb="FFFF0000"/>
      </font>
    </dxf>
    <dxf>
      <font>
        <b val="1"/>
        <i val="0"/>
        <color rgb="FFFF0000"/>
      </font>
      <fill>
        <patternFill>
          <bgColor rgb="FFFFFF00"/>
        </patternFill>
      </fill>
    </dxf>
    <dxf>
      <font>
        <color rgb="FFFF0000"/>
        <u val="single"/>
      </font>
    </dxf>
    <dxf>
      <font>
        <b val="1"/>
        <i val="0"/>
        <color rgb="FFFF0000"/>
      </font>
      <fill>
        <patternFill>
          <bgColor rgb="FFFFFF00"/>
        </patternFill>
      </fill>
    </dxf>
    <dxf>
      <font>
        <color rgb="FFFF0000"/>
        <u val="single"/>
      </font>
    </dxf>
    <dxf>
      <font>
        <b val="1"/>
        <i val="0"/>
        <color rgb="FFFF0000"/>
      </font>
      <fill>
        <patternFill>
          <bgColor rgb="FFFFFF00"/>
        </patternFill>
      </fill>
    </dxf>
    <dxf>
      <font>
        <color rgb="FFFF0000"/>
        <u val="single"/>
      </font>
    </dxf>
    <dxf>
      <font>
        <b val="1"/>
        <i val="0"/>
        <color rgb="FFFF0000"/>
      </font>
      <fill>
        <patternFill>
          <bgColor rgb="FFFFFF00"/>
        </patternFill>
      </fill>
    </dxf>
    <dxf>
      <font>
        <color rgb="FFFF0000"/>
        <u val="single"/>
      </font>
    </dxf>
    <dxf>
      <font>
        <color rgb="FFFF0000"/>
      </font>
    </dxf>
    <dxf>
      <font>
        <color rgb="FFFF0000"/>
        <u val="single"/>
      </font>
    </dxf>
    <dxf>
      <font>
        <color rgb="FFFF0000"/>
      </font>
    </dxf>
    <dxf>
      <font>
        <color rgb="FFFF0000"/>
      </font>
    </dxf>
    <dxf>
      <font>
        <b val="1"/>
        <i val="0"/>
        <color rgb="FFFF0000"/>
      </font>
      <fill>
        <patternFill>
          <bgColor rgb="FFFFFF00"/>
        </patternFill>
      </fill>
    </dxf>
    <dxf>
      <font>
        <b val="1"/>
        <i val="0"/>
        <color rgb="FFFF0000"/>
      </font>
      <fill>
        <patternFill>
          <bgColor rgb="FFFFFF00"/>
        </patternFill>
      </fill>
    </dxf>
    <dxf>
      <font>
        <b val="0"/>
        <color rgb="FFFF0000"/>
        <u val="single"/>
      </font>
    </dxf>
    <dxf>
      <font>
        <b val="1"/>
        <i val="0"/>
        <color rgb="FFFF0000"/>
      </font>
      <fill>
        <patternFill>
          <bgColor rgb="FFFFFF00"/>
        </patternFill>
      </fill>
    </dxf>
    <dxf>
      <font>
        <b val="0"/>
        <color rgb="FFFF0000"/>
        <u val="single"/>
      </font>
    </dxf>
    <dxf>
      <font>
        <b val="1"/>
        <i val="0"/>
        <color rgb="FFFF0000"/>
      </font>
      <fill>
        <patternFill>
          <bgColor rgb="FFFFFF00"/>
        </patternFill>
      </fill>
    </dxf>
    <dxf>
      <font>
        <color rgb="FFFF0000"/>
        <u val="single"/>
      </font>
    </dxf>
    <dxf>
      <font>
        <color rgb="FFFF0000"/>
      </font>
    </dxf>
    <dxf>
      <font>
        <b val="1"/>
        <i val="0"/>
        <color rgb="FFFF0000"/>
      </font>
      <fill>
        <patternFill>
          <bgColor rgb="FFFFFF00"/>
        </patternFill>
      </fill>
    </dxf>
    <dxf>
      <font>
        <color rgb="FFFF0000"/>
        <u val="single"/>
      </font>
    </dxf>
    <dxf>
      <font>
        <color rgb="FFFF0000"/>
        <u val="single"/>
      </font>
    </dxf>
    <dxf>
      <font>
        <b val="1"/>
        <i val="0"/>
        <color rgb="FFFF0000"/>
      </font>
      <fill>
        <patternFill>
          <bgColor rgb="FFFFFF00"/>
        </patternFill>
      </fill>
    </dxf>
    <dxf>
      <font>
        <color rgb="FFFF0000"/>
        <u val="single"/>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rgb="FFFFFF00"/>
        </patternFill>
      </fill>
    </dxf>
    <dxf>
      <fill>
        <patternFill>
          <bgColor rgb="FFBFBFBF"/>
        </patternFill>
      </fill>
    </dxf>
    <dxf>
      <fill>
        <patternFill>
          <bgColor rgb="FFFFFFF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rgb="00FFFFFF"/>
        </patternFill>
      </fill>
    </dxf>
    <dxf>
      <fill>
        <patternFill>
          <bgColor rgb="00FFFFFF"/>
        </patternFill>
      </fill>
    </dxf>
    <dxf>
      <fill>
        <patternFill>
          <bgColor rgb="00FFFFFF"/>
        </patternFill>
      </fill>
    </dxf>
    <dxf>
      <font>
        <color rgb="FFFF0000"/>
      </font>
    </dxf>
    <dxf>
      <font>
        <color rgb="FFFF0000"/>
      </font>
    </dxf>
    <dxf>
      <fill>
        <patternFill>
          <bgColor rgb="00FFFFFF"/>
        </patternFill>
      </fill>
    </dxf>
    <dxf>
      <fill>
        <patternFill>
          <bgColor rgb="00FFFFFF"/>
        </patternFill>
      </fill>
    </dxf>
    <dxf>
      <fill>
        <patternFill>
          <bgColor rgb="00FFFFFF"/>
        </patternFill>
      </fill>
    </dxf>
    <dxf>
      <font>
        <color rgb="FFFF0000"/>
      </font>
    </dxf>
    <dxf>
      <font>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ill>
        <patternFill>
          <bgColor rgb="FFBFBFBF"/>
        </patternFill>
      </fill>
    </dxf>
    <dxf>
      <fill>
        <patternFill>
          <bgColor rgb="FFBFBFBF"/>
        </patternFill>
      </fill>
    </dxf>
    <dxf>
      <fill>
        <patternFill>
          <bgColor rgb="FFBFBFB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color rgb="FFFFFF00"/>
      </font>
      <fill>
        <patternFill>
          <bgColor rgb="FFFF0000"/>
        </patternFill>
      </fill>
    </dxf>
    <dxf>
      <font>
        <b val="1"/>
        <i val="0"/>
        <color rgb="FFFF0000"/>
      </font>
    </dxf>
    <dxf>
      <font>
        <b val="1"/>
        <i val="0"/>
        <color rgb="FFFF0000"/>
      </font>
    </dxf>
    <dxf>
      <font>
        <b val="1"/>
        <i val="0"/>
        <color rgb="FFFF0000"/>
      </font>
    </dxf>
    <dxf>
      <font>
        <b val="1"/>
        <i val="0"/>
        <color rgb="FFFF0000"/>
      </font>
    </dxf>
    <dxf>
      <font>
        <b val="1"/>
        <i val="0"/>
        <color rgb="FFFF0000"/>
      </font>
    </dxf>
    <dxf>
      <font>
        <b val="1"/>
        <i val="0"/>
        <color rgb="FFFF0000"/>
      </font>
    </dxf>
    <dxf>
      <font>
        <b val="1"/>
        <i val="0"/>
        <color rgb="FFFF0000"/>
      </font>
    </dxf>
    <dxf>
      <font>
        <b val="1"/>
        <i val="0"/>
        <color rgb="FFFF0000"/>
      </font>
    </dxf>
    <dxf>
      <font>
        <b val="1"/>
        <i val="0"/>
        <color rgb="FFFF0000"/>
      </font>
    </dxf>
    <dxf>
      <font>
        <color rgb="FFFF0000"/>
      </font>
    </dxf>
    <dxf>
      <font>
        <color rgb="FFFF000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666666"/>
      <rgbColor rgb="FF800080"/>
      <rgbColor rgb="FF008080"/>
      <rgbColor rgb="FFC0C0C0"/>
      <rgbColor rgb="FF808080"/>
      <rgbColor rgb="FF8EB4E3"/>
      <rgbColor rgb="FF993366"/>
      <rgbColor rgb="FFEBF1DE"/>
      <rgbColor rgb="FFDFE8ED"/>
      <rgbColor rgb="FF660066"/>
      <rgbColor rgb="FFE36C0A"/>
      <rgbColor rgb="FF0066CC"/>
      <rgbColor rgb="FFD9D9D9"/>
      <rgbColor rgb="FF000080"/>
      <rgbColor rgb="FFFF00FF"/>
      <rgbColor rgb="FFB7DEE8"/>
      <rgbColor rgb="FF00FFFF"/>
      <rgbColor rgb="FF800080"/>
      <rgbColor rgb="FF800000"/>
      <rgbColor rgb="FF008080"/>
      <rgbColor rgb="FF0000FF"/>
      <rgbColor rgb="FF00CCFF"/>
      <rgbColor rgb="FFF0F0F0"/>
      <rgbColor rgb="FFD7E4BD"/>
      <rgbColor rgb="FFFFFF99"/>
      <rgbColor rgb="FF99CCFF"/>
      <rgbColor rgb="FFBFBFBF"/>
      <rgbColor rgb="FFB3A2C7"/>
      <rgbColor rgb="FFC3D69B"/>
      <rgbColor rgb="FF558ED5"/>
      <rgbColor rgb="FF57EF57"/>
      <rgbColor rgb="FF92D050"/>
      <rgbColor rgb="FFE6E0EC"/>
      <rgbColor rgb="FFE46C0A"/>
      <rgbColor rgb="FFFF6600"/>
      <rgbColor rgb="FF707070"/>
      <rgbColor rgb="FF9BBB59"/>
      <rgbColor rgb="FF003366"/>
      <rgbColor rgb="FF93CDDD"/>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externalLink" Target="externalLinks/externalLink1.xml"/><Relationship Id="rId51" Type="http://schemas.openxmlformats.org/officeDocument/2006/relationships/externalLink" Target="externalLinks/externalLink2.xml"/><Relationship Id="rId52" Type="http://schemas.openxmlformats.org/officeDocument/2006/relationships/externalLink" Target="externalLinks/externalLink3.xml"/><Relationship Id="rId53"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_rels/drawing2.xml.rels><?xml version="1.0" encoding="UTF-8"?>
<Relationships xmlns="http://schemas.openxmlformats.org/package/2006/relationships"><Relationship Id="rId1"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0</xdr:colOff>
      <xdr:row>25</xdr:row>
      <xdr:rowOff>0</xdr:rowOff>
    </xdr:from>
    <xdr:to>
      <xdr:col>7</xdr:col>
      <xdr:colOff>599760</xdr:colOff>
      <xdr:row>59</xdr:row>
      <xdr:rowOff>16200</xdr:rowOff>
    </xdr:to>
    <xdr:pic>
      <xdr:nvPicPr>
        <xdr:cNvPr id="0" name="图片 1" descr=""/>
        <xdr:cNvPicPr/>
      </xdr:nvPicPr>
      <xdr:blipFill>
        <a:blip r:embed="rId1"/>
        <a:stretch/>
      </xdr:blipFill>
      <xdr:spPr>
        <a:xfrm>
          <a:off x="628560" y="4286160"/>
          <a:ext cx="5733720" cy="5845320"/>
        </a:xfrm>
        <a:prstGeom prst="rect">
          <a:avLst/>
        </a:prstGeom>
        <a:ln w="936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56</xdr:row>
      <xdr:rowOff>0</xdr:rowOff>
    </xdr:from>
    <xdr:to>
      <xdr:col>15</xdr:col>
      <xdr:colOff>160200</xdr:colOff>
      <xdr:row>63</xdr:row>
      <xdr:rowOff>47160</xdr:rowOff>
    </xdr:to>
    <xdr:pic>
      <xdr:nvPicPr>
        <xdr:cNvPr id="1" name="图片 1" descr=""/>
        <xdr:cNvPicPr/>
      </xdr:nvPicPr>
      <xdr:blipFill>
        <a:blip r:embed="rId1"/>
        <a:stretch/>
      </xdr:blipFill>
      <xdr:spPr>
        <a:xfrm>
          <a:off x="0" y="9639000"/>
          <a:ext cx="10247760" cy="1247400"/>
        </a:xfrm>
        <a:prstGeom prst="rect">
          <a:avLst/>
        </a:prstGeom>
        <a:ln>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23828;&#38196;/&#24037;&#20316;/&#20854;&#20182;&#24037;&#20316;/&#25216;&#26415;&#24037;&#20316;/&#27169;&#29256;/&#25253;&#21578;&#21450;&#26041;&#27861;(&#26368;&#26032;)/&#35780;&#20272;&#26041;&#27861;/&#29616;&#34892;&#29256;&#26412;/&#12304;2021&#12305;&#23545;&#20844;&#20107;&#19994;&#37096;&#8212;&#30005;&#31639;&#34920;-&#25151;&#22320;&#20135;-&#39033;&#30446;.xlsx"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02&#24180;&#22522;&#20934;&#22320;&#20215;.xlsx"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12304;2022&#12305;&#22522;&#20934;&#22320;&#20215;&#31995;&#25968;&#20462;&#27491;-&#25913;&#34920;&#39564;&#35777;&#29992;.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抵押物清单（分楼）"/>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汇总）"/>
      <sheetName val="酒店收入计算"/>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使用说明"/>
      <sheetName val="定义"/>
      <sheetName val="估价对象房地状况"/>
      <sheetName val="系统读取表"/>
      <sheetName val="结果表"/>
      <sheetName val="主表"/>
      <sheetName val="2014基准地价"/>
      <sheetName val="2014因素修正幅度"/>
      <sheetName val="2014区片价"/>
      <sheetName val="2014修正"/>
      <sheetName val="2014容积率修正"/>
      <sheetName val="2002基准地价"/>
      <sheetName val="2002地价表"/>
      <sheetName val="2002容积率修正"/>
      <sheetName val="2002因素修正幅度"/>
      <sheetName val="1993基准地价"/>
      <sheetName val="比较法"/>
      <sheetName val="存贷款利率"/>
      <sheetName val="地价"/>
      <sheetName val="Sheet1"/>
      <sheetName val="地价（废）"/>
    </sheetNames>
    <sheetDataSet>
      <sheetData sheetId="0"/>
      <sheetData sheetId="1"/>
      <sheetData sheetId="2"/>
      <sheetData sheetId="3"/>
      <sheetData sheetId="4"/>
      <sheetData sheetId="5"/>
      <sheetData sheetId="6"/>
      <sheetData sheetId="7"/>
      <sheetData sheetId="8"/>
      <sheetData sheetId="9"/>
      <sheetData sheetId="10"/>
      <sheetData sheetId="11">
        <row r="18">
          <cell r="E18">
            <v>422092</v>
          </cell>
        </row>
      </sheetData>
      <sheetData sheetId="12"/>
      <sheetData sheetId="13"/>
      <sheetData sheetId="14"/>
      <sheetData sheetId="15"/>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致函链接"/>
      <sheetName val="预评函-封皮"/>
      <sheetName val="预评函-1"/>
      <sheetName val="预评函-2"/>
      <sheetName val="预评函-3"/>
      <sheetName val="预评函-4"/>
      <sheetName val="预评函-5"/>
      <sheetName val="使用说明"/>
      <sheetName val="估价师及机构信息"/>
      <sheetName val="定义"/>
      <sheetName val="项目基本情况"/>
      <sheetName val="数据-基础表"/>
      <sheetName val="数据-汇总表"/>
      <sheetName val="数据-取费表"/>
      <sheetName val="估价对象房地状况"/>
      <sheetName val="系统读取表"/>
      <sheetName val="结果表"/>
      <sheetName val="成本法"/>
      <sheetName val="成本法 (元)"/>
      <sheetName val="假设开发法"/>
      <sheetName val="收益法"/>
      <sheetName val="收益法 (元)"/>
      <sheetName val="收益法-酒店模型"/>
      <sheetName val="收益法（汇总）"/>
      <sheetName val="比较法-住宅"/>
      <sheetName val="比较法-商业"/>
      <sheetName val="比较法-办公"/>
      <sheetName val="比较法-工业"/>
      <sheetName val="比较法-车位"/>
      <sheetName val="比较法-仓储"/>
      <sheetName val="土地比较法-住宅、综合"/>
      <sheetName val="土地比较法-工业"/>
      <sheetName val="基准地价修正"/>
      <sheetName val="修正"/>
      <sheetName val="容积率修正"/>
      <sheetName val="基准地价（汇总）"/>
      <sheetName val="地价"/>
      <sheetName val="典型户型修正"/>
      <sheetName val="成本法（废）"/>
      <sheetName val="地价-分区"/>
      <sheetName val="区片价"/>
      <sheetName val="因素修正幅度"/>
      <sheetName val="存贷款利率"/>
      <sheetName val="区片价（范围）"/>
    </sheetNames>
    <sheetDataSet>
      <sheetData sheetId="0"/>
      <sheetData sheetId="1"/>
      <sheetData sheetId="2"/>
      <sheetData sheetId="3"/>
      <sheetData sheetId="4"/>
      <sheetData sheetId="5"/>
      <sheetData sheetId="6"/>
      <sheetData sheetId="7"/>
      <sheetData sheetId="8"/>
      <sheetData sheetId="9"/>
      <sheetData sheetId="10">
        <row r="8">
          <cell r="B8">
            <v>0</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1.vml"/>
</Relationships>
</file>

<file path=xl/worksheets/_rels/sheet13.xml.rels><?xml version="1.0" encoding="UTF-8"?>
<Relationships xmlns="http://schemas.openxmlformats.org/package/2006/relationships"><Relationship Id="rId1" Type="http://schemas.openxmlformats.org/officeDocument/2006/relationships/comments" Target="../comments13.xml"/><Relationship Id="rId2" Type="http://schemas.openxmlformats.org/officeDocument/2006/relationships/vmlDrawing" Target="../drawings/vmlDrawing2.vml"/>
</Relationships>
</file>

<file path=xl/worksheets/_rels/sheet14.xml.rels><?xml version="1.0" encoding="UTF-8"?>
<Relationships xmlns="http://schemas.openxmlformats.org/package/2006/relationships"><Relationship Id="rId1" Type="http://schemas.openxmlformats.org/officeDocument/2006/relationships/comments" Target="../comments14.xml"/><Relationship Id="rId2" Type="http://schemas.openxmlformats.org/officeDocument/2006/relationships/vmlDrawing" Target="../drawings/vmlDrawing3.vml"/>
</Relationships>
</file>

<file path=xl/worksheets/_rels/sheet15.xml.rels><?xml version="1.0" encoding="UTF-8"?>
<Relationships xmlns="http://schemas.openxmlformats.org/package/2006/relationships"><Relationship Id="rId1" Type="http://schemas.openxmlformats.org/officeDocument/2006/relationships/comments" Target="../comments15.xml"/><Relationship Id="rId2" Type="http://schemas.openxmlformats.org/officeDocument/2006/relationships/vmlDrawing" Target="../drawings/vmlDrawing4.vml"/>
</Relationships>
</file>

<file path=xl/worksheets/_rels/sheet18.xml.rels><?xml version="1.0" encoding="UTF-8"?>
<Relationships xmlns="http://schemas.openxmlformats.org/package/2006/relationships"><Relationship Id="rId1" Type="http://schemas.openxmlformats.org/officeDocument/2006/relationships/comments" Target="../comments18.xml"/><Relationship Id="rId2" Type="http://schemas.openxmlformats.org/officeDocument/2006/relationships/vmlDrawing" Target="../drawings/vmlDrawing5.vml"/>
</Relationships>
</file>

<file path=xl/worksheets/_rels/sheet19.xml.rels><?xml version="1.0" encoding="UTF-8"?>
<Relationships xmlns="http://schemas.openxmlformats.org/package/2006/relationships"><Relationship Id="rId1" Type="http://schemas.openxmlformats.org/officeDocument/2006/relationships/comments" Target="../comments19.xml"/><Relationship Id="rId2" Type="http://schemas.openxmlformats.org/officeDocument/2006/relationships/vmlDrawing" Target="../drawings/vmlDrawing6.vml"/>
</Relationships>
</file>

<file path=xl/worksheets/_rels/sheet21.xml.rels><?xml version="1.0" encoding="UTF-8"?>
<Relationships xmlns="http://schemas.openxmlformats.org/package/2006/relationships"><Relationship Id="rId1" Type="http://schemas.openxmlformats.org/officeDocument/2006/relationships/comments" Target="../comments21.xml"/><Relationship Id="rId2" Type="http://schemas.openxmlformats.org/officeDocument/2006/relationships/vmlDrawing" Target="../drawings/vmlDrawing7.vml"/>
</Relationships>
</file>

<file path=xl/worksheets/_rels/sheet22.xml.rels><?xml version="1.0" encoding="UTF-8"?>
<Relationships xmlns="http://schemas.openxmlformats.org/package/2006/relationships"><Relationship Id="rId1" Type="http://schemas.openxmlformats.org/officeDocument/2006/relationships/comments" Target="../comments22.xml"/><Relationship Id="rId2" Type="http://schemas.openxmlformats.org/officeDocument/2006/relationships/vmlDrawing" Target="../drawings/vmlDrawing8.vml"/>
</Relationships>
</file>

<file path=xl/worksheets/_rels/sheet23.xml.rels><?xml version="1.0" encoding="UTF-8"?>
<Relationships xmlns="http://schemas.openxmlformats.org/package/2006/relationships"><Relationship Id="rId1" Type="http://schemas.openxmlformats.org/officeDocument/2006/relationships/comments" Target="../comments23.xml"/><Relationship Id="rId2" Type="http://schemas.openxmlformats.org/officeDocument/2006/relationships/vmlDrawing" Target="../drawings/vmlDrawing9.vml"/>
</Relationships>
</file>

<file path=xl/worksheets/_rels/sheet27.xml.rels><?xml version="1.0" encoding="UTF-8"?>
<Relationships xmlns="http://schemas.openxmlformats.org/package/2006/relationships"><Relationship Id="rId1" Type="http://schemas.openxmlformats.org/officeDocument/2006/relationships/comments" Target="../comments27.xml"/><Relationship Id="rId2" Type="http://schemas.openxmlformats.org/officeDocument/2006/relationships/drawing" Target="../drawings/drawing1.xml"/><Relationship Id="rId3" Type="http://schemas.openxmlformats.org/officeDocument/2006/relationships/vmlDrawing" Target="../drawings/vmlDrawing10.vml"/>
</Relationships>
</file>

<file path=xl/worksheets/_rels/sheet31.xml.rels><?xml version="1.0" encoding="UTF-8"?>
<Relationships xmlns="http://schemas.openxmlformats.org/package/2006/relationships"><Relationship Id="rId1" Type="http://schemas.openxmlformats.org/officeDocument/2006/relationships/comments" Target="../comments31.xml"/><Relationship Id="rId2" Type="http://schemas.openxmlformats.org/officeDocument/2006/relationships/vmlDrawing" Target="../drawings/vmlDrawing11.vml"/>
</Relationships>
</file>

<file path=xl/worksheets/_rels/sheet32.xml.rels><?xml version="1.0" encoding="UTF-8"?>
<Relationships xmlns="http://schemas.openxmlformats.org/package/2006/relationships"><Relationship Id="rId1" Type="http://schemas.openxmlformats.org/officeDocument/2006/relationships/comments" Target="../comments32.xml"/><Relationship Id="rId2" Type="http://schemas.openxmlformats.org/officeDocument/2006/relationships/vmlDrawing" Target="../drawings/vmlDrawing12.vml"/>
</Relationships>
</file>

<file path=xl/worksheets/_rels/sheet37.xml.rels><?xml version="1.0" encoding="UTF-8"?>
<Relationships xmlns="http://schemas.openxmlformats.org/package/2006/relationships"><Relationship Id="rId1" Type="http://schemas.openxmlformats.org/officeDocument/2006/relationships/comments" Target="../comments37.xml"/><Relationship Id="rId2" Type="http://schemas.openxmlformats.org/officeDocument/2006/relationships/vmlDrawing" Target="../drawings/vmlDrawing13.vml"/>
</Relationships>
</file>

<file path=xl/worksheets/_rels/sheet46.xml.rels><?xml version="1.0" encoding="UTF-8"?>
<Relationships xmlns="http://schemas.openxmlformats.org/package/2006/relationships"><Relationship Id="rId1" Type="http://schemas.openxmlformats.org/officeDocument/2006/relationships/comments" Target="../comments46.xml"/><Relationship Id="rId2" Type="http://schemas.openxmlformats.org/officeDocument/2006/relationships/vmlDrawing" Target="../drawings/vmlDrawing14.vml"/>
</Relationships>
</file>

<file path=xl/worksheets/_rels/sheet47.xml.rels><?xml version="1.0" encoding="UTF-8"?>
<Relationships xmlns="http://schemas.openxmlformats.org/package/2006/relationships"><Relationship Id="rId1" Type="http://schemas.openxmlformats.org/officeDocument/2006/relationships/comments" Target="../comments47.xml"/><Relationship Id="rId2" Type="http://schemas.openxmlformats.org/officeDocument/2006/relationships/drawing" Target="../drawings/drawing2.xml"/><Relationship Id="rId3" Type="http://schemas.openxmlformats.org/officeDocument/2006/relationships/vmlDrawing" Target="../drawings/vmlDrawing15.v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B74"/>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E24" activeCellId="0" sqref="E24"/>
    </sheetView>
  </sheetViews>
  <sheetFormatPr defaultRowHeight="14.25" zeroHeight="false" outlineLevelRow="0" outlineLevelCol="0"/>
  <cols>
    <col collapsed="false" customWidth="true" hidden="false" outlineLevel="0" max="1" min="1" style="1" width="35.62"/>
    <col collapsed="false" customWidth="true" hidden="false" outlineLevel="0" max="2" min="2" style="2" width="81"/>
    <col collapsed="false" customWidth="true" hidden="false" outlineLevel="0" max="1025" min="3" style="3" width="9"/>
  </cols>
  <sheetData>
    <row r="1" s="6" customFormat="true" ht="15.75" hidden="false" customHeight="false" outlineLevel="0" collapsed="false">
      <c r="A1" s="4" t="s">
        <v>0</v>
      </c>
      <c r="B1" s="5" t="s">
        <v>1</v>
      </c>
    </row>
    <row r="2" s="9" customFormat="true" ht="14.25" hidden="false" customHeight="false" outlineLevel="0" collapsed="false">
      <c r="A2" s="7" t="s">
        <v>2</v>
      </c>
      <c r="B2" s="8" t="str">
        <f aca="false">'预评函-封皮'!B37:I37</f>
        <v>北京市房地产市场价值预评估</v>
      </c>
    </row>
    <row r="3" s="12" customFormat="true" ht="14.25" hidden="false" customHeight="false" outlineLevel="0" collapsed="false">
      <c r="A3" s="10" t="s">
        <v>3</v>
      </c>
      <c r="B3" s="11" t="n">
        <f aca="false">'预评函-封皮'!B40</f>
        <v>0</v>
      </c>
    </row>
    <row r="4" s="12" customFormat="true" ht="14.25" hidden="false" customHeight="false" outlineLevel="0" collapsed="false">
      <c r="A4" s="10" t="s">
        <v>4</v>
      </c>
      <c r="B4" s="11" t="str">
        <f aca="false">'预评函-封皮'!B46</f>
        <v>（注册号：0)、（注册号：0)</v>
      </c>
    </row>
    <row r="5" s="6" customFormat="true" ht="14.25" hidden="false" customHeight="false" outlineLevel="0" collapsed="false">
      <c r="A5" s="13" t="s">
        <v>5</v>
      </c>
      <c r="B5" s="14" t="str">
        <f aca="false">'预评函-封皮'!B49</f>
        <v>康正预评字号</v>
      </c>
    </row>
    <row r="6" s="9" customFormat="true" ht="14.25" hidden="false" customHeight="false" outlineLevel="0" collapsed="false">
      <c r="A6" s="7" t="s">
        <v>6</v>
      </c>
      <c r="B6" s="8" t="str">
        <f aca="false">'预评函-1'!A4</f>
        <v>受贵公司委托，我公司对北京市房地产市场价值进行了预评估。</v>
      </c>
    </row>
    <row r="7" s="12" customFormat="true" ht="14.25" hidden="false" customHeight="false" outlineLevel="0" collapsed="false">
      <c r="A7" s="10" t="s">
        <v>7</v>
      </c>
      <c r="B7" s="11" t="str">
        <f aca="false">'预评函-1'!A7</f>
        <v>估价对象为北京市房地产，为所有。根据《国有土地使用证》[]，估价对象（分摊）出让国有建设用地使用权面积为0平方米，建筑面积为58.3平方米。</v>
      </c>
    </row>
    <row r="8" s="12" customFormat="true" ht="14.25" hidden="false" customHeight="false" outlineLevel="0" collapsed="false">
      <c r="A8" s="10" t="s">
        <v>8</v>
      </c>
      <c r="B8" s="11" t="str">
        <f aca="false">'预评函-1'!A8</f>
        <v>估价对象简述。项目推广名，项目类型（用途），估价对象分布，各用途面积明细情况：XX用途建筑面积XX平方米，XX用途建筑面积XX平方米，……。复杂面积清单需设‘附表’列示：抵押物清单详见附表</v>
      </c>
    </row>
    <row r="9" s="12" customFormat="true" ht="14.25" hidden="false" customHeight="false" outlineLevel="0" collapsed="false">
      <c r="A9" s="10" t="s">
        <v>9</v>
      </c>
      <c r="B9" s="11" t="str">
        <f aca="false">'预评函-1'!A10</f>
        <v>估价对象为北京市房地产,属开发建设的，该项目尚在开发建设中。根据《国有土地使用证》[]，估价对象（分摊）出让国有建设用地使用权面积为0平方米，规划建筑面积为58.3平方米。</v>
      </c>
    </row>
    <row r="10" s="12" customFormat="true" ht="14.25" hidden="false" customHeight="false" outlineLevel="0" collapsed="false">
      <c r="A10" s="10" t="s">
        <v>10</v>
      </c>
      <c r="B10" s="11" t="str">
        <f aca="false">'预评函-1'!A11</f>
        <v>估价对象为局部时需描述范围，各用途面积明细情况：经营性用途用途规划建筑面积XX平方米（其中：），非经营性用途规划建筑面积XX平方米（其中：）。复杂面积或有分楼栋、分户清单时需设‘附表’列示：抵押物清单详见附表。工程进度情况。</v>
      </c>
    </row>
    <row r="11" s="12" customFormat="true" ht="14.25" hidden="false" customHeight="false" outlineLevel="0" collapsed="false">
      <c r="A11" s="10" t="s">
        <v>11</v>
      </c>
      <c r="B11" s="11" t="str">
        <f aca="false">'预评函-1'!A13</f>
        <v>为估价委托人了解估价对象房地产市场价值提供参考依据。</v>
      </c>
    </row>
    <row r="12" s="12" customFormat="true" ht="14.25" hidden="false" customHeight="false" outlineLevel="0" collapsed="false">
      <c r="A12" s="10" t="s">
        <v>12</v>
      </c>
      <c r="B12" s="11" t="str">
        <f aca="false">'预评函-1'!A15</f>
        <v>2006年11月10日</v>
      </c>
    </row>
    <row r="13" s="12" customFormat="true" ht="14.25" hidden="false" customHeight="false" outlineLevel="0" collapsed="false">
      <c r="A13" s="10" t="s">
        <v>13</v>
      </c>
      <c r="B13" s="11" t="str">
        <f aca="false">'预评函-1'!A18</f>
        <v>本次估价的“房地产价值”是指在正常市场情况下，在价值时点2006年11月10日，估价对象规划用途为，土地取得方式为划拨，假定未设立法定优先受偿款下的房地产市场价值。</v>
      </c>
    </row>
    <row r="14" s="12" customFormat="true" ht="14.25" hidden="false" customHeight="false" outlineLevel="0" collapsed="false">
      <c r="A14" s="10" t="s">
        <v>14</v>
      </c>
      <c r="B14" s="11" t="str">
        <f aca="false">'预评函-1'!A19</f>
        <v>其中，“划拨国有建设用地使用权价值”是指估价对象用途为，实际开发程度为宗地红线外“七通”（即、、、、、、）、红线内场地平整条件下，土地性质为划拨的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15" s="12" customFormat="true" ht="14.25" hidden="false" customHeight="false" outlineLevel="0" collapsed="false">
      <c r="A15" s="10" t="s">
        <v>15</v>
      </c>
      <c r="B15" s="11" t="str">
        <f aca="false">'预评函-1'!A20</f>
        <v>——</v>
      </c>
    </row>
    <row r="16" s="12" customFormat="true" ht="14.25" hidden="false" customHeight="false" outlineLevel="0" collapsed="false">
      <c r="A16" s="10" t="s">
        <v>16</v>
      </c>
      <c r="B16" s="11" t="str">
        <f aca="false">'预评函-1'!A21</f>
        <v>——</v>
      </c>
    </row>
    <row r="17" s="12" customFormat="true" ht="14.25" hidden="false" customHeight="false" outlineLevel="0" collapsed="false">
      <c r="A17" s="10" t="s">
        <v>17</v>
      </c>
      <c r="B17" s="11" t="str">
        <f aca="false">'预评函-1'!A22</f>
        <v>——</v>
      </c>
    </row>
    <row r="18" s="6" customFormat="true" ht="14.25" hidden="false" customHeight="false" outlineLevel="0" collapsed="false">
      <c r="A18" s="13" t="s">
        <v>18</v>
      </c>
      <c r="B18" s="14" t="str">
        <f aca="false">'预评函-1'!A24</f>
        <v>本次评估采用的主估价方法为比较法和成本法。</v>
      </c>
    </row>
    <row r="19" s="9" customFormat="true" ht="14.25" hidden="false" customHeight="false" outlineLevel="0" collapsed="false">
      <c r="A19" s="7" t="s">
        <v>19</v>
      </c>
      <c r="B19" s="8" t="str">
        <f aca="false">'预评函-2'!A2</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row>
    <row r="20" s="12" customFormat="true" ht="14.25" hidden="false" customHeight="false" outlineLevel="0" collapsed="false">
      <c r="A20" s="10" t="s">
        <v>20</v>
      </c>
      <c r="B20" s="11" t="e">
        <f aca="false">'预评函-2'!D5</f>
        <v>#VALUE!</v>
      </c>
    </row>
    <row r="21" s="12" customFormat="true" ht="14.25" hidden="false" customHeight="false" outlineLevel="0" collapsed="false">
      <c r="A21" s="10" t="s">
        <v>21</v>
      </c>
      <c r="B21" s="11" t="e">
        <f aca="false">'预评函-2'!D7</f>
        <v>#VALUE!</v>
      </c>
    </row>
    <row r="22" s="12" customFormat="true" ht="14.25" hidden="false" customHeight="false" outlineLevel="0" collapsed="false">
      <c r="A22" s="10" t="s">
        <v>22</v>
      </c>
      <c r="B22" s="11" t="e">
        <f aca="false">'预评函-2'!D6</f>
        <v>#VALUE!</v>
      </c>
    </row>
    <row r="23" s="12" customFormat="true" ht="14.25" hidden="false" customHeight="false" outlineLevel="0" collapsed="false">
      <c r="A23" s="10" t="s">
        <v>23</v>
      </c>
      <c r="B23" s="11" t="str">
        <f aca="false">'预评函-2'!B8</f>
        <v>2.估价师知悉的法定优先受偿款</v>
      </c>
    </row>
    <row r="24" s="12" customFormat="true" ht="14.25" hidden="false" customHeight="false" outlineLevel="0" collapsed="false">
      <c r="A24" s="10" t="s">
        <v>24</v>
      </c>
      <c r="B24" s="11" t="n">
        <f aca="false">'预评函-2'!D8</f>
        <v>0</v>
      </c>
    </row>
    <row r="25" s="12" customFormat="true" ht="14.25" hidden="false" customHeight="false" outlineLevel="0" collapsed="false">
      <c r="A25" s="10" t="s">
        <v>25</v>
      </c>
      <c r="B25" s="11" t="str">
        <f aca="false">'预评函-2'!D9</f>
        <v>零元整</v>
      </c>
    </row>
    <row r="26" s="12" customFormat="true" ht="14.25" hidden="false" customHeight="false" outlineLevel="0" collapsed="false">
      <c r="A26" s="10" t="s">
        <v>26</v>
      </c>
      <c r="B26" s="11" t="n">
        <f aca="false">'预评函-2'!D10</f>
        <v>0</v>
      </c>
    </row>
    <row r="27" s="12" customFormat="true" ht="14.25" hidden="false" customHeight="false" outlineLevel="0" collapsed="false">
      <c r="A27" s="10" t="s">
        <v>27</v>
      </c>
      <c r="B27" s="11" t="n">
        <f aca="false">'预评函-2'!D11</f>
        <v>0</v>
      </c>
    </row>
    <row r="28" s="12" customFormat="true" ht="14.25" hidden="false" customHeight="false" outlineLevel="0" collapsed="false">
      <c r="A28" s="10" t="s">
        <v>28</v>
      </c>
      <c r="B28" s="11" t="n">
        <f aca="false">'预评函-2'!D12</f>
        <v>0</v>
      </c>
    </row>
    <row r="29" s="12" customFormat="true" ht="14.25" hidden="false" customHeight="false" outlineLevel="0" collapsed="false">
      <c r="A29" s="10" t="s">
        <v>29</v>
      </c>
      <c r="B29" s="11" t="str">
        <f aca="false">'预评函-2'!B13</f>
        <v>——</v>
      </c>
    </row>
    <row r="30" s="12" customFormat="true" ht="14.25" hidden="false" customHeight="false" outlineLevel="0" collapsed="false">
      <c r="A30" s="10" t="s">
        <v>30</v>
      </c>
      <c r="B30" s="11" t="str">
        <f aca="false">'预评函-2'!D13</f>
        <v>——</v>
      </c>
    </row>
    <row r="31" s="12" customFormat="true" ht="14.25" hidden="false" customHeight="false" outlineLevel="0" collapsed="false">
      <c r="A31" s="10" t="s">
        <v>31</v>
      </c>
      <c r="B31" s="11" t="e">
        <f aca="false">'预评函-2'!D15</f>
        <v>#VALUE!</v>
      </c>
    </row>
    <row r="32" s="12" customFormat="true" ht="14.25" hidden="false" customHeight="false" outlineLevel="0" collapsed="false">
      <c r="A32" s="10" t="s">
        <v>32</v>
      </c>
      <c r="B32" s="11" t="e">
        <f aca="false">'预评函-2'!D14</f>
        <v>#VALUE!</v>
      </c>
    </row>
    <row r="33" s="12" customFormat="true" ht="14.25" hidden="false" customHeight="false" outlineLevel="0" collapsed="false">
      <c r="A33" s="10" t="s">
        <v>33</v>
      </c>
      <c r="B33" s="11" t="str">
        <f aca="false">'预评函-2'!B16</f>
        <v>3.抵押担保权已注销时的房地产抵押价值</v>
      </c>
    </row>
    <row r="34" s="12" customFormat="true" ht="14.25" hidden="false" customHeight="false" outlineLevel="0" collapsed="false">
      <c r="A34" s="10" t="s">
        <v>34</v>
      </c>
      <c r="B34" s="11" t="e">
        <f aca="false">'预评函-2'!D16</f>
        <v>#VALUE!</v>
      </c>
    </row>
    <row r="35" s="12" customFormat="true" ht="14.25" hidden="false" customHeight="false" outlineLevel="0" collapsed="false">
      <c r="A35" s="10" t="s">
        <v>35</v>
      </c>
      <c r="B35" s="11" t="e">
        <f aca="false">'预评函-2'!D18</f>
        <v>#VALUE!</v>
      </c>
    </row>
    <row r="36" s="12" customFormat="true" ht="14.25" hidden="false" customHeight="false" outlineLevel="0" collapsed="false">
      <c r="A36" s="10" t="s">
        <v>36</v>
      </c>
      <c r="B36" s="11" t="e">
        <f aca="false">'预评函-2'!D17</f>
        <v>#VALUE!</v>
      </c>
    </row>
    <row r="37" s="12" customFormat="true" ht="14.25" hidden="false" customHeight="false" outlineLevel="0" collapsed="false">
      <c r="A37" s="10" t="s">
        <v>37</v>
      </c>
      <c r="B37" s="11" t="str">
        <f aca="false">'预评函-2'!B19</f>
        <v>——</v>
      </c>
    </row>
    <row r="38" s="12" customFormat="true" ht="14.25" hidden="false" customHeight="false" outlineLevel="0" collapsed="false">
      <c r="A38" s="10" t="s">
        <v>38</v>
      </c>
      <c r="B38" s="11" t="str">
        <f aca="false">'预评函-2'!D19</f>
        <v>——</v>
      </c>
    </row>
    <row r="39" s="12" customFormat="true" ht="14.25" hidden="false" customHeight="false" outlineLevel="0" collapsed="false">
      <c r="A39" s="10" t="s">
        <v>39</v>
      </c>
      <c r="B39" s="11" t="str">
        <f aca="false">'预评函-2'!D21</f>
        <v>——</v>
      </c>
    </row>
    <row r="40" s="12" customFormat="true" ht="14.25" hidden="false" customHeight="false" outlineLevel="0" collapsed="false">
      <c r="A40" s="10" t="s">
        <v>40</v>
      </c>
      <c r="B40" s="11" t="e">
        <f aca="false">'预评函-2'!D20</f>
        <v>#VALUE!</v>
      </c>
    </row>
    <row r="41" s="12" customFormat="true" ht="14.25" hidden="false" customHeight="false" outlineLevel="0" collapsed="false">
      <c r="A41" s="10" t="s">
        <v>41</v>
      </c>
      <c r="B41" s="11" t="str">
        <f aca="false">'预评函-3'!A4</f>
        <v>北京市房地产</v>
      </c>
    </row>
    <row r="42" s="12" customFormat="true" ht="14.25" hidden="false" customHeight="false" outlineLevel="0" collapsed="false">
      <c r="A42" s="10" t="s">
        <v>42</v>
      </c>
      <c r="B42" s="11" t="str">
        <f aca="false">'预评函-3'!B2</f>
        <v>建筑面积</v>
      </c>
    </row>
    <row r="43" s="12" customFormat="true" ht="14.25" hidden="false" customHeight="false" outlineLevel="0" collapsed="false">
      <c r="A43" s="10" t="s">
        <v>43</v>
      </c>
      <c r="B43" s="11" t="n">
        <f aca="false">'预评函-3'!B4</f>
        <v>58.3</v>
      </c>
    </row>
    <row r="44" s="12" customFormat="true" ht="14.25" hidden="false" customHeight="false" outlineLevel="0" collapsed="false">
      <c r="A44" s="10" t="s">
        <v>44</v>
      </c>
      <c r="B44" s="11" t="str">
        <f aca="false">'预评函-3'!C2</f>
        <v>(分摊)土地面积</v>
      </c>
    </row>
    <row r="45" s="12" customFormat="true" ht="14.25" hidden="false" customHeight="false" outlineLevel="0" collapsed="false">
      <c r="A45" s="10" t="s">
        <v>45</v>
      </c>
      <c r="B45" s="11" t="n">
        <f aca="false">'预评函-3'!C4</f>
        <v>0</v>
      </c>
    </row>
    <row r="46" s="12" customFormat="true" ht="14.25" hidden="false" customHeight="false" outlineLevel="0" collapsed="false">
      <c r="A46" s="10" t="s">
        <v>46</v>
      </c>
      <c r="B46" s="11" t="str">
        <f aca="false">'预评函-3'!D2</f>
        <v>出让国有建设用地使用权价值</v>
      </c>
    </row>
    <row r="47" s="12" customFormat="true" ht="14.25" hidden="false" customHeight="false" outlineLevel="0" collapsed="false">
      <c r="A47" s="10" t="s">
        <v>47</v>
      </c>
      <c r="B47" s="11" t="e">
        <f aca="false">'预评函-3'!D4</f>
        <v>#VALUE!</v>
      </c>
    </row>
    <row r="48" s="12" customFormat="true" ht="14.25" hidden="false" customHeight="false" outlineLevel="0" collapsed="false">
      <c r="A48" s="10" t="s">
        <v>48</v>
      </c>
      <c r="B48" s="11" t="e">
        <f aca="false">'预评函-3'!E4</f>
        <v>#VALUE!</v>
      </c>
    </row>
    <row r="49" s="12" customFormat="true" ht="14.25" hidden="false" customHeight="false" outlineLevel="0" collapsed="false">
      <c r="A49" s="10" t="s">
        <v>49</v>
      </c>
      <c r="B49" s="11" t="e">
        <f aca="false">'预评函-3'!D5</f>
        <v>#VALUE!</v>
      </c>
    </row>
    <row r="50" s="12" customFormat="true" ht="14.25" hidden="false" customHeight="false" outlineLevel="0" collapsed="false">
      <c r="A50" s="10" t="s">
        <v>50</v>
      </c>
      <c r="B50" s="11" t="str">
        <f aca="false">'预评函-3'!F2</f>
        <v>在建建筑物价值</v>
      </c>
    </row>
    <row r="51" s="12" customFormat="true" ht="14.25" hidden="false" customHeight="false" outlineLevel="0" collapsed="false">
      <c r="A51" s="10" t="s">
        <v>51</v>
      </c>
      <c r="B51" s="11" t="e">
        <f aca="false">'预评函-3'!F4</f>
        <v>#VALUE!</v>
      </c>
    </row>
    <row r="52" s="12" customFormat="true" ht="14.25" hidden="false" customHeight="false" outlineLevel="0" collapsed="false">
      <c r="A52" s="10" t="s">
        <v>52</v>
      </c>
      <c r="B52" s="11" t="e">
        <f aca="false">'预评函-3'!G4</f>
        <v>#VALUE!</v>
      </c>
    </row>
    <row r="53" s="12" customFormat="true" ht="14.25" hidden="false" customHeight="false" outlineLevel="0" collapsed="false">
      <c r="A53" s="10" t="s">
        <v>53</v>
      </c>
      <c r="B53" s="11" t="e">
        <f aca="false">'预评函-3'!F5</f>
        <v>#VALUE!</v>
      </c>
    </row>
    <row r="54" s="12" customFormat="true" ht="14.25" hidden="false" customHeight="false" outlineLevel="0" collapsed="false">
      <c r="A54" s="10" t="s">
        <v>54</v>
      </c>
      <c r="B54" s="11" t="str">
        <f aca="false">'预评函-3'!A8</f>
        <v/>
      </c>
    </row>
    <row r="55" s="12" customFormat="true" ht="14.25" hidden="false" customHeight="false" outlineLevel="0" collapsed="false">
      <c r="A55" s="10" t="s">
        <v>55</v>
      </c>
      <c r="B55" s="11" t="str">
        <f aca="false">'预评函-3'!A10</f>
        <v/>
      </c>
    </row>
    <row r="56" s="12" customFormat="true" ht="14.25" hidden="false" customHeight="false" outlineLevel="0" collapsed="false">
      <c r="A56" s="10" t="s">
        <v>56</v>
      </c>
      <c r="B56" s="11" t="str">
        <f aca="false">'预评函-3'!A12</f>
        <v/>
      </c>
    </row>
    <row r="57" s="6" customFormat="true" ht="14.25" hidden="false" customHeight="false" outlineLevel="0" collapsed="false">
      <c r="A57" s="13" t="s">
        <v>57</v>
      </c>
      <c r="B57" s="14" t="str">
        <f aca="false">'预评函-3'!A6</f>
        <v/>
      </c>
    </row>
    <row r="58" s="9" customFormat="true" ht="14.25" hidden="false" customHeight="false" outlineLevel="0" collapsed="false">
      <c r="A58" s="7" t="s">
        <v>58</v>
      </c>
      <c r="B58" s="8" t="str">
        <f aca="false">'预评函-4'!A12</f>
        <v>2.本次评估设定估价对象房地产权属无争议，未被查封或者以其他形式限制其房地产权利，未设定抵押权等他项权利，不涉及第三方权利义务。</v>
      </c>
    </row>
    <row r="59" s="12" customFormat="true" ht="14.25" hidden="false" customHeight="false" outlineLevel="0" collapsed="false">
      <c r="A59" s="10" t="s">
        <v>59</v>
      </c>
      <c r="B59" s="11" t="str">
        <f aca="false">'预评函-4'!A13</f>
        <v>——</v>
      </c>
    </row>
    <row r="60" s="12" customFormat="true" ht="14.25" hidden="false" customHeight="false" outlineLevel="0" collapsed="false">
      <c r="A60" s="10" t="s">
        <v>60</v>
      </c>
      <c r="B60" s="11" t="str">
        <f aca="false">'预评函-4'!A14</f>
        <v>——</v>
      </c>
    </row>
    <row r="61" s="12" customFormat="true" ht="14.25" hidden="false" customHeight="false" outlineLevel="0" collapsed="false">
      <c r="A61" s="10" t="s">
        <v>61</v>
      </c>
      <c r="B61" s="11" t="str">
        <f aca="false">'预评函-4'!A15</f>
        <v>——</v>
      </c>
    </row>
    <row r="62" s="12" customFormat="true" ht="14.25" hidden="false" customHeight="false" outlineLevel="0" collapsed="false">
      <c r="A62" s="10" t="s">
        <v>62</v>
      </c>
      <c r="B62" s="11" t="str">
        <f aca="false">'预评函-4'!A16</f>
        <v>（2）根据《工程款支付情况说明》，截至价值时点，估价对象不存在应付未付工程款项。（只要没有施工方盖章的，均“设定”进行表述）</v>
      </c>
    </row>
    <row r="63" s="12" customFormat="true" ht="14.25" hidden="false" customHeight="false" outlineLevel="0" collapsed="false">
      <c r="A63" s="10" t="s">
        <v>63</v>
      </c>
      <c r="B63" s="11" t="str">
        <f aca="false">'预评函-4'!A17</f>
        <v>（3）根据《国有建设用地使用权出让合同》及附件[]以及相关款项支付凭证，截至价值时点，估价委托人依据合同已缴纳全部土地成交价款及契税。根据《建设工程规划许可证》[]/《预测报告》，估价对象规划建筑面积未超过《国有建设用地使用权出让合同》及附件的约定，本次评估设定估价对象不存在需补缴政府土地收益。OR根据《建设工程规划许可证》[]，估价对象规划建筑面积超出《国有建设用地使用权出让合同》的约定，新增地上经营性商业用房及地下车库规划建筑面积为XX平方米。根据上述《国有建设用地使用权出让合同》及附件约定的计算标准，该部分需补缴的政府土地收益及契税、印花税为XX万元。上述应补缴的政府土地收益金额仅为测算值，最终应补缴的金额应以土地管理部门的审定结果为准。如上述情况发生变化，估价结果需做相应调整。</v>
      </c>
    </row>
    <row r="64" s="12" customFormat="true" ht="14.25" hidden="false" customHeight="false" outlineLevel="0" collapsed="false">
      <c r="A64" s="10" t="s">
        <v>64</v>
      </c>
      <c r="B64" s="11" t="str">
        <f aca="false">'预评函-4'!A18</f>
        <v>——</v>
      </c>
    </row>
    <row r="65" s="12" customFormat="true" ht="14.25" hidden="false" customHeight="false" outlineLevel="0" collapsed="false">
      <c r="A65" s="10" t="s">
        <v>65</v>
      </c>
      <c r="B65" s="11" t="str">
        <f aca="false">'预评函-4'!A19</f>
        <v>3.本《评估意见函》中数据全部采用电算化连续计算得出，由于在报告中计算的数据均按四舍五入保留两位小数或取整，故可能出现个别等式左右不完全相等的情况，但不影响计算结果及最终评估结论的准确性。</v>
      </c>
    </row>
    <row r="66" s="12" customFormat="true" ht="14.25" hidden="false" customHeight="false" outlineLevel="0" collapsed="false">
      <c r="A66" s="10" t="s">
        <v>66</v>
      </c>
      <c r="B66" s="11" t="str">
        <f aca="false">'预评函-4'!A20</f>
        <v>4.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row>
    <row r="67" s="12" customFormat="true" ht="14.25" hidden="false" customHeight="false" outlineLevel="0" collapsed="false">
      <c r="A67" s="10" t="s">
        <v>67</v>
      </c>
      <c r="B67" s="11" t="str">
        <f aca="false">'预评函-4'!A21</f>
        <v>5.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row>
    <row r="68" s="12" customFormat="true" ht="14.25" hidden="false" customHeight="false" outlineLevel="0" collapsed="false">
      <c r="A68" s="10" t="s">
        <v>68</v>
      </c>
      <c r="B68" s="11" t="str">
        <f aca="false">'预评函-4'!A22</f>
        <v>8.其他需特殊说明事项：无（注意调整序号）</v>
      </c>
    </row>
    <row r="69" s="6" customFormat="true" ht="14.25" hidden="false" customHeight="false" outlineLevel="0" collapsed="false">
      <c r="A69" s="13" t="s">
        <v>69</v>
      </c>
      <c r="B69" s="15" t="n">
        <f aca="false">'预评函-4'!C31</f>
        <v>42551</v>
      </c>
    </row>
    <row r="70" customFormat="false" ht="14.25" hidden="false" customHeight="false" outlineLevel="0" collapsed="false">
      <c r="A70" s="16" t="s">
        <v>70</v>
      </c>
      <c r="B70" s="17" t="n">
        <f aca="false">'预评函-4'!A4</f>
        <v>0</v>
      </c>
    </row>
    <row r="71" customFormat="false" ht="14.25" hidden="false" customHeight="false" outlineLevel="0" collapsed="false">
      <c r="A71" s="10" t="s">
        <v>71</v>
      </c>
      <c r="B71" s="11" t="n">
        <f aca="false">'预评函-4'!B4</f>
        <v>0</v>
      </c>
    </row>
    <row r="72" customFormat="false" ht="14.25" hidden="false" customHeight="false" outlineLevel="0" collapsed="false">
      <c r="A72" s="10" t="s">
        <v>72</v>
      </c>
      <c r="B72" s="18" t="n">
        <f aca="false">'预评函-4'!A5</f>
        <v>0</v>
      </c>
    </row>
    <row r="73" s="6" customFormat="true" ht="14.25" hidden="false" customHeight="false" outlineLevel="0" collapsed="false">
      <c r="A73" s="13" t="s">
        <v>73</v>
      </c>
      <c r="B73" s="14" t="n">
        <f aca="false">'预评函-4'!B5</f>
        <v>0</v>
      </c>
    </row>
    <row r="74" customFormat="false" ht="14.25" hidden="false" customHeight="false" outlineLevel="0" collapsed="false">
      <c r="A74" s="1" t="s">
        <v>74</v>
      </c>
      <c r="B74" s="2" t="str">
        <f aca="false">'预评函-4'!A8</f>
        <v>XX</v>
      </c>
    </row>
  </sheetData>
  <sheetProtection sheet="true"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sheetPr filterMode="false">
    <pageSetUpPr fitToPage="false"/>
  </sheetPr>
  <dimension ref="A1:W127"/>
  <sheetViews>
    <sheetView showFormulas="false" showGridLines="true" showRowColHeaders="true" showZeros="true" rightToLeft="false" tabSelected="false" showOutlineSymbols="true" defaultGridColor="true" view="pageBreakPreview" topLeftCell="C1" colorId="64" zoomScale="100" zoomScaleNormal="100" zoomScalePageLayoutView="100" workbookViewId="0">
      <selection pane="topLeft" activeCell="D26" activeCellId="0" sqref="D26"/>
    </sheetView>
  </sheetViews>
  <sheetFormatPr defaultRowHeight="13.5" zeroHeight="false" outlineLevelRow="0" outlineLevelCol="0"/>
  <cols>
    <col collapsed="false" customWidth="true" hidden="false" outlineLevel="0" max="1" min="1" style="148" width="13.5"/>
    <col collapsed="false" customWidth="true" hidden="false" outlineLevel="0" max="2" min="2" style="85" width="23.25"/>
    <col collapsed="false" customWidth="true" hidden="false" outlineLevel="0" max="3" min="3" style="149" width="13"/>
    <col collapsed="false" customWidth="true" hidden="false" outlineLevel="0" max="4" min="4" style="150" width="5.76"/>
    <col collapsed="false" customWidth="true" hidden="false" outlineLevel="0" max="5" min="5" style="150" width="7.12"/>
    <col collapsed="false" customWidth="true" hidden="false" outlineLevel="0" max="6" min="6" style="150" width="10.62"/>
    <col collapsed="false" customWidth="true" hidden="false" outlineLevel="0" max="7" min="7" style="150" width="7.5"/>
    <col collapsed="false" customWidth="true" hidden="false" outlineLevel="0" max="8" min="8" style="149" width="11.88"/>
    <col collapsed="false" customWidth="true" hidden="false" outlineLevel="0" max="9" min="9" style="149" width="11.62"/>
    <col collapsed="false" customWidth="true" hidden="false" outlineLevel="0" max="10" min="10" style="149" width="9"/>
    <col collapsed="false" customWidth="true" hidden="false" outlineLevel="0" max="19" min="11" style="150" width="9"/>
    <col collapsed="false" customWidth="true" hidden="false" outlineLevel="0" max="23" min="20" style="149" width="9"/>
    <col collapsed="false" customWidth="true" hidden="false" outlineLevel="0" max="24" min="24" style="85" width="21.12"/>
    <col collapsed="false" customWidth="true" hidden="false" outlineLevel="0" max="1025" min="25" style="85" width="9"/>
  </cols>
  <sheetData>
    <row r="1" s="157" customFormat="true" ht="40.5" hidden="false" customHeight="false" outlineLevel="0" collapsed="false">
      <c r="A1" s="151" t="s">
        <v>202</v>
      </c>
      <c r="B1" s="152" t="s">
        <v>203</v>
      </c>
      <c r="C1" s="153" t="s">
        <v>204</v>
      </c>
      <c r="D1" s="154" t="s">
        <v>205</v>
      </c>
      <c r="E1" s="154" t="s">
        <v>206</v>
      </c>
      <c r="F1" s="154" t="s">
        <v>207</v>
      </c>
      <c r="G1" s="154" t="s">
        <v>208</v>
      </c>
      <c r="H1" s="154" t="s">
        <v>209</v>
      </c>
      <c r="I1" s="154" t="s">
        <v>210</v>
      </c>
      <c r="J1" s="154" t="s">
        <v>211</v>
      </c>
      <c r="K1" s="154" t="s">
        <v>212</v>
      </c>
      <c r="L1" s="154" t="s">
        <v>213</v>
      </c>
      <c r="M1" s="154" t="s">
        <v>214</v>
      </c>
      <c r="N1" s="154" t="s">
        <v>215</v>
      </c>
      <c r="O1" s="154" t="s">
        <v>216</v>
      </c>
      <c r="P1" s="154" t="s">
        <v>217</v>
      </c>
      <c r="Q1" s="154" t="s">
        <v>218</v>
      </c>
      <c r="R1" s="155" t="s">
        <v>219</v>
      </c>
      <c r="S1" s="154" t="s">
        <v>220</v>
      </c>
      <c r="T1" s="156" t="s">
        <v>221</v>
      </c>
      <c r="U1" s="154" t="s">
        <v>222</v>
      </c>
      <c r="V1" s="154" t="s">
        <v>223</v>
      </c>
      <c r="W1" s="155" t="s">
        <v>224</v>
      </c>
    </row>
    <row r="2" customFormat="false" ht="13.5" hidden="false" customHeight="false" outlineLevel="0" collapsed="false">
      <c r="A2" s="158" t="s">
        <v>122</v>
      </c>
      <c r="B2" s="159" t="s">
        <v>225</v>
      </c>
      <c r="C2" s="160" t="s">
        <v>226</v>
      </c>
      <c r="D2" s="161" t="s">
        <v>227</v>
      </c>
      <c r="E2" s="161" t="s">
        <v>228</v>
      </c>
      <c r="F2" s="161" t="s">
        <v>156</v>
      </c>
      <c r="G2" s="150" t="n">
        <v>20</v>
      </c>
      <c r="H2" s="161" t="s">
        <v>156</v>
      </c>
      <c r="I2" s="150" t="s">
        <v>229</v>
      </c>
      <c r="J2" s="161" t="s">
        <v>230</v>
      </c>
      <c r="K2" s="161" t="s">
        <v>231</v>
      </c>
      <c r="L2" s="161" t="s">
        <v>231</v>
      </c>
      <c r="M2" s="161" t="s">
        <v>231</v>
      </c>
      <c r="N2" s="161" t="s">
        <v>231</v>
      </c>
      <c r="O2" s="161" t="s">
        <v>231</v>
      </c>
      <c r="P2" s="161" t="s">
        <v>231</v>
      </c>
      <c r="Q2" s="161" t="s">
        <v>231</v>
      </c>
      <c r="R2" s="150" t="s">
        <v>232</v>
      </c>
      <c r="S2" s="161" t="s">
        <v>231</v>
      </c>
      <c r="T2" s="161" t="s">
        <v>233</v>
      </c>
      <c r="U2" s="161" t="s">
        <v>231</v>
      </c>
      <c r="V2" s="161" t="s">
        <v>234</v>
      </c>
      <c r="W2" s="161" t="s">
        <v>231</v>
      </c>
    </row>
    <row r="3" customFormat="false" ht="13.5" hidden="false" customHeight="false" outlineLevel="0" collapsed="false">
      <c r="A3" s="159" t="s">
        <v>235</v>
      </c>
      <c r="B3" s="159" t="s">
        <v>236</v>
      </c>
      <c r="C3" s="162" t="s">
        <v>237</v>
      </c>
      <c r="D3" s="161" t="s">
        <v>238</v>
      </c>
      <c r="E3" s="150" t="s">
        <v>122</v>
      </c>
      <c r="F3" s="161" t="s">
        <v>157</v>
      </c>
      <c r="G3" s="150" t="n">
        <v>40</v>
      </c>
      <c r="H3" s="161" t="s">
        <v>157</v>
      </c>
      <c r="I3" s="150" t="s">
        <v>239</v>
      </c>
      <c r="J3" s="161" t="s">
        <v>240</v>
      </c>
      <c r="K3" s="161" t="s">
        <v>241</v>
      </c>
      <c r="L3" s="161" t="s">
        <v>241</v>
      </c>
      <c r="M3" s="161" t="s">
        <v>241</v>
      </c>
      <c r="N3" s="161" t="s">
        <v>241</v>
      </c>
      <c r="O3" s="161" t="s">
        <v>241</v>
      </c>
      <c r="P3" s="161" t="s">
        <v>241</v>
      </c>
      <c r="Q3" s="161" t="s">
        <v>241</v>
      </c>
      <c r="R3" s="150" t="s">
        <v>242</v>
      </c>
      <c r="S3" s="161" t="s">
        <v>241</v>
      </c>
      <c r="T3" s="161" t="s">
        <v>243</v>
      </c>
      <c r="U3" s="161" t="s">
        <v>241</v>
      </c>
      <c r="V3" s="161" t="s">
        <v>244</v>
      </c>
      <c r="W3" s="161" t="s">
        <v>241</v>
      </c>
    </row>
    <row r="4" customFormat="false" ht="13.5" hidden="false" customHeight="false" outlineLevel="0" collapsed="false">
      <c r="A4" s="159" t="s">
        <v>245</v>
      </c>
      <c r="B4" s="159" t="s">
        <v>246</v>
      </c>
      <c r="C4" s="160" t="s">
        <v>247</v>
      </c>
      <c r="D4" s="150" t="s">
        <v>122</v>
      </c>
      <c r="E4" s="161" t="s">
        <v>248</v>
      </c>
      <c r="F4" s="161" t="s">
        <v>158</v>
      </c>
      <c r="G4" s="150" t="n">
        <v>50</v>
      </c>
      <c r="H4" s="161" t="s">
        <v>158</v>
      </c>
      <c r="I4" s="150" t="s">
        <v>249</v>
      </c>
      <c r="K4" s="161" t="s">
        <v>250</v>
      </c>
      <c r="L4" s="161" t="s">
        <v>250</v>
      </c>
      <c r="M4" s="161" t="s">
        <v>250</v>
      </c>
      <c r="N4" s="161" t="s">
        <v>250</v>
      </c>
      <c r="O4" s="161" t="s">
        <v>250</v>
      </c>
      <c r="P4" s="161" t="s">
        <v>250</v>
      </c>
      <c r="Q4" s="161" t="s">
        <v>250</v>
      </c>
      <c r="R4" s="150" t="s">
        <v>251</v>
      </c>
      <c r="S4" s="161" t="s">
        <v>250</v>
      </c>
      <c r="T4" s="161" t="s">
        <v>252</v>
      </c>
      <c r="U4" s="161" t="s">
        <v>250</v>
      </c>
      <c r="W4" s="161" t="s">
        <v>250</v>
      </c>
    </row>
    <row r="5" customFormat="false" ht="13.5" hidden="false" customHeight="false" outlineLevel="0" collapsed="false">
      <c r="A5" s="159" t="s">
        <v>253</v>
      </c>
      <c r="B5" s="159" t="s">
        <v>254</v>
      </c>
      <c r="C5" s="160" t="s">
        <v>255</v>
      </c>
      <c r="F5" s="161" t="s">
        <v>159</v>
      </c>
      <c r="G5" s="150" t="n">
        <v>70</v>
      </c>
      <c r="H5" s="161" t="s">
        <v>256</v>
      </c>
      <c r="I5" s="150" t="s">
        <v>257</v>
      </c>
      <c r="K5" s="161" t="s">
        <v>258</v>
      </c>
      <c r="L5" s="161" t="s">
        <v>258</v>
      </c>
      <c r="M5" s="161" t="s">
        <v>258</v>
      </c>
      <c r="N5" s="161" t="s">
        <v>258</v>
      </c>
      <c r="O5" s="161" t="s">
        <v>258</v>
      </c>
      <c r="P5" s="161" t="s">
        <v>258</v>
      </c>
      <c r="Q5" s="161" t="s">
        <v>258</v>
      </c>
      <c r="R5" s="150" t="s">
        <v>259</v>
      </c>
      <c r="S5" s="161" t="s">
        <v>258</v>
      </c>
      <c r="T5" s="161" t="s">
        <v>260</v>
      </c>
      <c r="U5" s="161" t="s">
        <v>258</v>
      </c>
      <c r="W5" s="161" t="s">
        <v>258</v>
      </c>
    </row>
    <row r="6" customFormat="false" ht="13.5" hidden="false" customHeight="false" outlineLevel="0" collapsed="false">
      <c r="A6" s="159" t="s">
        <v>261</v>
      </c>
      <c r="B6" s="159" t="s">
        <v>262</v>
      </c>
      <c r="C6" s="163" t="s">
        <v>263</v>
      </c>
      <c r="F6" s="161" t="s">
        <v>256</v>
      </c>
      <c r="H6" s="161" t="s">
        <v>161</v>
      </c>
      <c r="I6" s="150" t="s">
        <v>264</v>
      </c>
      <c r="K6" s="161" t="s">
        <v>265</v>
      </c>
      <c r="L6" s="161" t="s">
        <v>265</v>
      </c>
      <c r="M6" s="161" t="s">
        <v>265</v>
      </c>
      <c r="N6" s="161" t="s">
        <v>265</v>
      </c>
      <c r="O6" s="161" t="s">
        <v>265</v>
      </c>
      <c r="P6" s="161" t="s">
        <v>265</v>
      </c>
      <c r="Q6" s="161" t="s">
        <v>265</v>
      </c>
      <c r="R6" s="150" t="s">
        <v>266</v>
      </c>
      <c r="S6" s="161" t="s">
        <v>265</v>
      </c>
      <c r="T6" s="150"/>
      <c r="U6" s="161" t="s">
        <v>265</v>
      </c>
      <c r="W6" s="161" t="s">
        <v>265</v>
      </c>
    </row>
    <row r="7" customFormat="false" ht="13.5" hidden="false" customHeight="false" outlineLevel="0" collapsed="false">
      <c r="A7" s="159" t="s">
        <v>267</v>
      </c>
      <c r="B7" s="159" t="s">
        <v>268</v>
      </c>
      <c r="C7" s="160" t="s">
        <v>269</v>
      </c>
      <c r="F7" s="161" t="s">
        <v>270</v>
      </c>
      <c r="H7" s="161" t="s">
        <v>159</v>
      </c>
      <c r="I7" s="150" t="s">
        <v>271</v>
      </c>
    </row>
    <row r="8" customFormat="false" ht="13.5" hidden="false" customHeight="false" outlineLevel="0" collapsed="false">
      <c r="A8" s="159" t="s">
        <v>272</v>
      </c>
      <c r="B8" s="159" t="s">
        <v>273</v>
      </c>
      <c r="C8" s="160" t="s">
        <v>274</v>
      </c>
      <c r="F8" s="161" t="s">
        <v>275</v>
      </c>
      <c r="H8" s="150" t="s">
        <v>276</v>
      </c>
      <c r="I8" s="150" t="s">
        <v>277</v>
      </c>
    </row>
    <row r="9" customFormat="false" ht="13.5" hidden="false" customHeight="false" outlineLevel="0" collapsed="false">
      <c r="A9" s="159" t="s">
        <v>278</v>
      </c>
      <c r="B9" s="159" t="s">
        <v>279</v>
      </c>
      <c r="C9" s="160" t="s">
        <v>280</v>
      </c>
      <c r="F9" s="161" t="s">
        <v>161</v>
      </c>
      <c r="H9" s="150"/>
      <c r="I9" s="149" t="s">
        <v>281</v>
      </c>
    </row>
    <row r="10" customFormat="false" ht="13.5" hidden="false" customHeight="false" outlineLevel="0" collapsed="false">
      <c r="A10" s="159" t="s">
        <v>282</v>
      </c>
      <c r="B10" s="159" t="s">
        <v>283</v>
      </c>
      <c r="C10" s="160" t="s">
        <v>284</v>
      </c>
      <c r="F10" s="150" t="s">
        <v>276</v>
      </c>
      <c r="I10" s="149" t="s">
        <v>285</v>
      </c>
    </row>
    <row r="11" customFormat="false" ht="13.5" hidden="false" customHeight="false" outlineLevel="0" collapsed="false">
      <c r="A11" s="159" t="s">
        <v>286</v>
      </c>
      <c r="B11" s="159" t="s">
        <v>287</v>
      </c>
      <c r="C11" s="160" t="s">
        <v>288</v>
      </c>
      <c r="F11" s="150" t="s">
        <v>122</v>
      </c>
      <c r="I11" s="149" t="s">
        <v>289</v>
      </c>
    </row>
    <row r="12" customFormat="false" ht="13.5" hidden="false" customHeight="false" outlineLevel="0" collapsed="false">
      <c r="A12" s="159" t="s">
        <v>290</v>
      </c>
      <c r="B12" s="159" t="s">
        <v>291</v>
      </c>
      <c r="C12" s="160" t="s">
        <v>292</v>
      </c>
      <c r="I12" s="149" t="s">
        <v>293</v>
      </c>
    </row>
    <row r="13" customFormat="false" ht="13.5" hidden="false" customHeight="false" outlineLevel="0" collapsed="false">
      <c r="A13" s="159" t="s">
        <v>294</v>
      </c>
      <c r="B13" s="159" t="s">
        <v>295</v>
      </c>
      <c r="C13" s="160" t="s">
        <v>296</v>
      </c>
      <c r="I13" s="149" t="s">
        <v>297</v>
      </c>
    </row>
    <row r="14" customFormat="false" ht="13.5" hidden="false" customHeight="false" outlineLevel="0" collapsed="false">
      <c r="A14" s="159" t="s">
        <v>298</v>
      </c>
      <c r="B14" s="159" t="s">
        <v>299</v>
      </c>
      <c r="C14" s="150" t="s">
        <v>122</v>
      </c>
      <c r="I14" s="149" t="s">
        <v>300</v>
      </c>
    </row>
    <row r="15" customFormat="false" ht="13.5" hidden="false" customHeight="false" outlineLevel="0" collapsed="false">
      <c r="A15" s="159" t="s">
        <v>301</v>
      </c>
      <c r="B15" s="159" t="s">
        <v>302</v>
      </c>
      <c r="C15" s="160"/>
      <c r="I15" s="149" t="s">
        <v>303</v>
      </c>
    </row>
    <row r="16" customFormat="false" ht="13.5" hidden="false" customHeight="false" outlineLevel="0" collapsed="false">
      <c r="A16" s="159" t="s">
        <v>304</v>
      </c>
      <c r="B16" s="158" t="s">
        <v>305</v>
      </c>
      <c r="C16" s="160"/>
    </row>
    <row r="17" customFormat="false" ht="13.5" hidden="false" customHeight="false" outlineLevel="0" collapsed="false">
      <c r="A17" s="159" t="s">
        <v>306</v>
      </c>
      <c r="B17" s="158" t="s">
        <v>164</v>
      </c>
      <c r="C17" s="160"/>
    </row>
    <row r="18" customFormat="false" ht="13.5" hidden="false" customHeight="false" outlineLevel="0" collapsed="false">
      <c r="A18" s="159" t="s">
        <v>307</v>
      </c>
      <c r="B18" s="158" t="s">
        <v>308</v>
      </c>
      <c r="C18" s="160"/>
    </row>
    <row r="19" customFormat="false" ht="13.5" hidden="false" customHeight="false" outlineLevel="0" collapsed="false">
      <c r="A19" s="159" t="s">
        <v>309</v>
      </c>
      <c r="B19" s="158" t="s">
        <v>310</v>
      </c>
      <c r="C19" s="160"/>
    </row>
    <row r="20" customFormat="false" ht="13.5" hidden="false" customHeight="false" outlineLevel="0" collapsed="false">
      <c r="A20" s="159" t="s">
        <v>311</v>
      </c>
      <c r="B20" s="158" t="s">
        <v>310</v>
      </c>
      <c r="C20" s="160"/>
    </row>
    <row r="21" customFormat="false" ht="13.5" hidden="false" customHeight="false" outlineLevel="0" collapsed="false">
      <c r="A21" s="159" t="s">
        <v>256</v>
      </c>
      <c r="B21" s="158" t="s">
        <v>310</v>
      </c>
      <c r="C21" s="160"/>
    </row>
    <row r="22" customFormat="false" ht="13.5" hidden="false" customHeight="false" outlineLevel="0" collapsed="false">
      <c r="A22" s="159" t="s">
        <v>312</v>
      </c>
      <c r="B22" s="158" t="s">
        <v>310</v>
      </c>
      <c r="C22" s="160"/>
    </row>
    <row r="23" customFormat="false" ht="13.5" hidden="false" customHeight="false" outlineLevel="0" collapsed="false">
      <c r="A23" s="159" t="s">
        <v>313</v>
      </c>
      <c r="B23" s="158" t="s">
        <v>310</v>
      </c>
      <c r="C23" s="160"/>
    </row>
    <row r="24" customFormat="false" ht="13.5" hidden="false" customHeight="false" outlineLevel="0" collapsed="false">
      <c r="A24" s="159" t="s">
        <v>314</v>
      </c>
      <c r="B24" s="158" t="s">
        <v>310</v>
      </c>
      <c r="C24" s="160"/>
    </row>
    <row r="25" customFormat="false" ht="13.5" hidden="false" customHeight="false" outlineLevel="0" collapsed="false">
      <c r="A25" s="159" t="s">
        <v>315</v>
      </c>
      <c r="B25" s="158" t="s">
        <v>310</v>
      </c>
      <c r="C25" s="160"/>
    </row>
    <row r="26" customFormat="false" ht="13.5" hidden="false" customHeight="false" outlineLevel="0" collapsed="false">
      <c r="A26" s="159" t="s">
        <v>316</v>
      </c>
      <c r="B26" s="158" t="s">
        <v>310</v>
      </c>
      <c r="C26" s="160"/>
    </row>
    <row r="27" customFormat="false" ht="13.5" hidden="false" customHeight="false" outlineLevel="0" collapsed="false">
      <c r="A27" s="158" t="s">
        <v>310</v>
      </c>
      <c r="B27" s="158" t="s">
        <v>310</v>
      </c>
      <c r="C27" s="160"/>
    </row>
    <row r="28" customFormat="false" ht="13.5" hidden="false" customHeight="false" outlineLevel="0" collapsed="false">
      <c r="A28" s="158" t="s">
        <v>310</v>
      </c>
      <c r="B28" s="158" t="s">
        <v>310</v>
      </c>
      <c r="C28" s="160"/>
    </row>
    <row r="29" customFormat="false" ht="13.5" hidden="false" customHeight="false" outlineLevel="0" collapsed="false">
      <c r="A29" s="158" t="s">
        <v>310</v>
      </c>
      <c r="B29" s="158" t="s">
        <v>310</v>
      </c>
      <c r="C29" s="160"/>
    </row>
    <row r="30" customFormat="false" ht="13.5" hidden="false" customHeight="false" outlineLevel="0" collapsed="false">
      <c r="A30" s="158" t="s">
        <v>310</v>
      </c>
      <c r="B30" s="158" t="s">
        <v>310</v>
      </c>
      <c r="C30" s="160"/>
    </row>
    <row r="31" customFormat="false" ht="13.5" hidden="false" customHeight="false" outlineLevel="0" collapsed="false">
      <c r="A31" s="158" t="s">
        <v>310</v>
      </c>
      <c r="B31" s="158" t="s">
        <v>310</v>
      </c>
      <c r="C31" s="160"/>
    </row>
    <row r="32" customFormat="false" ht="13.5" hidden="false" customHeight="false" outlineLevel="0" collapsed="false">
      <c r="A32" s="158" t="s">
        <v>310</v>
      </c>
      <c r="B32" s="158" t="s">
        <v>310</v>
      </c>
      <c r="C32" s="160"/>
    </row>
    <row r="33" customFormat="false" ht="13.5" hidden="false" customHeight="false" outlineLevel="0" collapsed="false">
      <c r="A33" s="158" t="s">
        <v>310</v>
      </c>
      <c r="B33" s="158" t="s">
        <v>310</v>
      </c>
      <c r="C33" s="160"/>
    </row>
    <row r="34" customFormat="false" ht="13.5" hidden="false" customHeight="false" outlineLevel="0" collapsed="false">
      <c r="A34" s="158" t="s">
        <v>310</v>
      </c>
      <c r="B34" s="158" t="s">
        <v>310</v>
      </c>
      <c r="C34" s="160"/>
    </row>
    <row r="35" customFormat="false" ht="13.5" hidden="false" customHeight="false" outlineLevel="0" collapsed="false">
      <c r="A35" s="158" t="s">
        <v>310</v>
      </c>
      <c r="B35" s="158" t="s">
        <v>310</v>
      </c>
      <c r="C35" s="160"/>
    </row>
    <row r="36" customFormat="false" ht="13.5" hidden="false" customHeight="false" outlineLevel="0" collapsed="false">
      <c r="A36" s="158" t="s">
        <v>310</v>
      </c>
      <c r="B36" s="158" t="s">
        <v>310</v>
      </c>
      <c r="C36" s="160"/>
    </row>
    <row r="37" customFormat="false" ht="13.5" hidden="false" customHeight="false" outlineLevel="0" collapsed="false">
      <c r="A37" s="158" t="s">
        <v>310</v>
      </c>
      <c r="B37" s="158" t="s">
        <v>310</v>
      </c>
      <c r="C37" s="160"/>
    </row>
    <row r="38" customFormat="false" ht="13.5" hidden="false" customHeight="false" outlineLevel="0" collapsed="false">
      <c r="A38" s="158" t="s">
        <v>310</v>
      </c>
      <c r="B38" s="158" t="s">
        <v>310</v>
      </c>
      <c r="C38" s="160"/>
    </row>
    <row r="39" customFormat="false" ht="13.5" hidden="false" customHeight="false" outlineLevel="0" collapsed="false">
      <c r="A39" s="158" t="s">
        <v>310</v>
      </c>
      <c r="B39" s="158" t="s">
        <v>310</v>
      </c>
      <c r="C39" s="160"/>
    </row>
    <row r="40" customFormat="false" ht="13.5" hidden="false" customHeight="false" outlineLevel="0" collapsed="false">
      <c r="A40" s="158" t="s">
        <v>310</v>
      </c>
      <c r="B40" s="158" t="s">
        <v>310</v>
      </c>
      <c r="C40" s="160"/>
    </row>
    <row r="41" customFormat="false" ht="13.5" hidden="false" customHeight="false" outlineLevel="0" collapsed="false">
      <c r="A41" s="158" t="s">
        <v>310</v>
      </c>
      <c r="B41" s="158" t="s">
        <v>310</v>
      </c>
      <c r="C41" s="160"/>
    </row>
    <row r="42" customFormat="false" ht="13.5" hidden="false" customHeight="false" outlineLevel="0" collapsed="false">
      <c r="A42" s="158" t="s">
        <v>310</v>
      </c>
      <c r="B42" s="158" t="s">
        <v>310</v>
      </c>
      <c r="C42" s="160"/>
    </row>
    <row r="43" customFormat="false" ht="13.5" hidden="false" customHeight="false" outlineLevel="0" collapsed="false">
      <c r="A43" s="158" t="s">
        <v>310</v>
      </c>
      <c r="B43" s="158" t="s">
        <v>310</v>
      </c>
      <c r="C43" s="160"/>
    </row>
    <row r="44" customFormat="false" ht="13.5" hidden="false" customHeight="false" outlineLevel="0" collapsed="false">
      <c r="A44" s="158" t="s">
        <v>310</v>
      </c>
      <c r="B44" s="158" t="s">
        <v>310</v>
      </c>
      <c r="C44" s="160"/>
    </row>
    <row r="45" customFormat="false" ht="13.5" hidden="false" customHeight="false" outlineLevel="0" collapsed="false">
      <c r="A45" s="158" t="s">
        <v>310</v>
      </c>
      <c r="B45" s="158" t="s">
        <v>310</v>
      </c>
      <c r="C45" s="160"/>
    </row>
    <row r="46" customFormat="false" ht="13.5" hidden="false" customHeight="false" outlineLevel="0" collapsed="false">
      <c r="A46" s="158" t="s">
        <v>310</v>
      </c>
      <c r="B46" s="158" t="s">
        <v>310</v>
      </c>
      <c r="C46" s="160"/>
    </row>
    <row r="47" customFormat="false" ht="13.5" hidden="false" customHeight="false" outlineLevel="0" collapsed="false">
      <c r="A47" s="158" t="s">
        <v>310</v>
      </c>
      <c r="B47" s="158" t="s">
        <v>310</v>
      </c>
      <c r="C47" s="160"/>
    </row>
    <row r="48" customFormat="false" ht="13.5" hidden="false" customHeight="false" outlineLevel="0" collapsed="false">
      <c r="A48" s="158" t="s">
        <v>310</v>
      </c>
      <c r="B48" s="158" t="s">
        <v>310</v>
      </c>
      <c r="C48" s="160"/>
    </row>
    <row r="49" customFormat="false" ht="13.5" hidden="false" customHeight="false" outlineLevel="0" collapsed="false">
      <c r="A49" s="158" t="s">
        <v>310</v>
      </c>
      <c r="B49" s="158" t="s">
        <v>310</v>
      </c>
      <c r="C49" s="160"/>
    </row>
    <row r="50" customFormat="false" ht="13.5" hidden="false" customHeight="false" outlineLevel="0" collapsed="false">
      <c r="A50" s="158" t="s">
        <v>310</v>
      </c>
      <c r="B50" s="158" t="s">
        <v>310</v>
      </c>
      <c r="C50" s="160"/>
    </row>
    <row r="51" customFormat="false" ht="13.5" hidden="false" customHeight="false" outlineLevel="0" collapsed="false">
      <c r="A51" s="164" t="s">
        <v>317</v>
      </c>
      <c r="B51" s="165" t="str">
        <f aca="false">"为估价委托人在向"&amp;项目基本情况!B6&amp;"办理贷款手续过程中，确定房地产抵押贷款额度提供参考依据而评估房地产抵押价值。"</f>
        <v>为估价委托人在向办理贷款手续过程中，确定房地产抵押贷款额度提供参考依据而评估房地产抵押价值。</v>
      </c>
      <c r="C51" s="149" t="str">
        <f aca="false">项目基本情况!B7&amp;"拟使用"&amp;项目基本情况!S2&amp;"作为抵押担保物，向"&amp;项目基本情况!B6&amp;"办理贷款手续。"&amp;项目基本情况!B6&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165" t="s">
        <v>318</v>
      </c>
    </row>
    <row r="52" customFormat="false" ht="13.5" hidden="false" customHeight="false" outlineLevel="0" collapsed="false">
      <c r="A52" s="164" t="s">
        <v>319</v>
      </c>
      <c r="B52" s="164" t="s">
        <v>320</v>
      </c>
      <c r="C52" s="149" t="s">
        <v>321</v>
      </c>
      <c r="D52" s="149" t="s">
        <v>322</v>
      </c>
    </row>
    <row r="53" customFormat="false" ht="13.5" hidden="false" customHeight="true" outlineLevel="0" collapsed="false">
      <c r="A53" s="153" t="s">
        <v>323</v>
      </c>
      <c r="B53" s="165" t="s">
        <v>324</v>
      </c>
      <c r="C53" s="149" t="str">
        <f aca="false">"本次估价的“房地产价值”是指在正常市场情况下，在价值时点"&amp;TEXT(项目基本情况!D3,"yyyy年m月d日;;")&amp;"，估价对象规划用途为"&amp;项目基本情况!B16&amp;"土地取得方式为"&amp;"出让，出让国有建设用地使用权剩余土地使用年限为XX年(多用途剩余年限尾数不同时，可只体现小数点后一位)，假定未设立法定优先受偿款下的房地产市场价值。"</f>
        <v>本次估价的“房地产价值”是指在正常市场情况下，在价值时点2006年11月10日，估价对象规划用途为土地取得方式为出让，出让国有建设用地使用权剩余土地使用年限为XX年(多用途剩余年限尾数不同时，可只体现小数点后一位)，假定未设立法定优先受偿款下的房地产市场价值。</v>
      </c>
    </row>
    <row r="54" customFormat="false" ht="13.5" hidden="false" customHeight="false" outlineLevel="0" collapsed="false">
      <c r="A54" s="153"/>
      <c r="B54" s="165" t="s">
        <v>325</v>
      </c>
      <c r="C54" s="149" t="s">
        <v>326</v>
      </c>
    </row>
    <row r="55" customFormat="false" ht="13.5" hidden="false" customHeight="false" outlineLevel="0" collapsed="false">
      <c r="A55" s="153"/>
      <c r="B55" s="165" t="s">
        <v>327</v>
      </c>
      <c r="C55" s="149" t="s">
        <v>328</v>
      </c>
    </row>
    <row r="56" customFormat="false" ht="13.5" hidden="false" customHeight="false" outlineLevel="0" collapsed="false">
      <c r="A56" s="153"/>
      <c r="B56" s="165" t="s">
        <v>329</v>
      </c>
      <c r="C56" s="149" t="s">
        <v>330</v>
      </c>
    </row>
    <row r="57" customFormat="false" ht="13.5" hidden="false" customHeight="false" outlineLevel="0" collapsed="false">
      <c r="A57" s="153"/>
      <c r="B57" s="165" t="s">
        <v>331</v>
      </c>
      <c r="C57" s="149" t="s">
        <v>332</v>
      </c>
    </row>
    <row r="58" customFormat="false" ht="13.5" hidden="false" customHeight="false" outlineLevel="0" collapsed="false">
      <c r="A58" s="166"/>
      <c r="B58" s="149"/>
    </row>
    <row r="59" customFormat="false" ht="13.5" hidden="false" customHeight="false" outlineLevel="0" collapsed="false">
      <c r="A59" s="166"/>
      <c r="B59" s="149"/>
    </row>
    <row r="60" customFormat="false" ht="13.5" hidden="false" customHeight="false" outlineLevel="0" collapsed="false">
      <c r="A60" s="166"/>
      <c r="B60" s="149"/>
    </row>
    <row r="61" customFormat="false" ht="13.5" hidden="false" customHeight="false" outlineLevel="0" collapsed="false">
      <c r="A61" s="166"/>
      <c r="B61" s="149"/>
    </row>
    <row r="62" customFormat="false" ht="13.5" hidden="false" customHeight="false" outlineLevel="0" collapsed="false">
      <c r="A62" s="166"/>
      <c r="B62" s="149"/>
    </row>
    <row r="63" customFormat="false" ht="13.5" hidden="false" customHeight="false" outlineLevel="0" collapsed="false">
      <c r="A63" s="166"/>
      <c r="B63" s="149"/>
    </row>
    <row r="64" customFormat="false" ht="13.5" hidden="false" customHeight="false" outlineLevel="0" collapsed="false">
      <c r="A64" s="166"/>
      <c r="B64" s="149"/>
    </row>
    <row r="65" customFormat="false" ht="13.5" hidden="false" customHeight="false" outlineLevel="0" collapsed="false">
      <c r="A65" s="166"/>
      <c r="B65" s="149"/>
    </row>
    <row r="66" customFormat="false" ht="13.5" hidden="false" customHeight="false" outlineLevel="0" collapsed="false">
      <c r="A66" s="166"/>
      <c r="B66" s="149"/>
    </row>
    <row r="67" customFormat="false" ht="13.5" hidden="false" customHeight="false" outlineLevel="0" collapsed="false">
      <c r="A67" s="166"/>
      <c r="B67" s="149"/>
    </row>
    <row r="68" customFormat="false" ht="13.5" hidden="false" customHeight="false" outlineLevel="0" collapsed="false">
      <c r="A68" s="166"/>
      <c r="B68" s="149"/>
    </row>
    <row r="69" customFormat="false" ht="13.5" hidden="false" customHeight="false" outlineLevel="0" collapsed="false">
      <c r="A69" s="166"/>
      <c r="B69" s="149"/>
    </row>
    <row r="70" customFormat="false" ht="13.5" hidden="false" customHeight="false" outlineLevel="0" collapsed="false">
      <c r="A70" s="166"/>
      <c r="B70" s="149"/>
    </row>
    <row r="71" customFormat="false" ht="13.5" hidden="false" customHeight="false" outlineLevel="0" collapsed="false">
      <c r="A71" s="166"/>
      <c r="B71" s="149"/>
    </row>
    <row r="72" customFormat="false" ht="13.5" hidden="false" customHeight="false" outlineLevel="0" collapsed="false">
      <c r="A72" s="166"/>
      <c r="B72" s="149"/>
    </row>
    <row r="73" customFormat="false" ht="13.5" hidden="false" customHeight="false" outlineLevel="0" collapsed="false">
      <c r="A73" s="166"/>
      <c r="B73" s="149"/>
    </row>
    <row r="74" customFormat="false" ht="13.5" hidden="false" customHeight="false" outlineLevel="0" collapsed="false">
      <c r="A74" s="166"/>
      <c r="B74" s="149"/>
    </row>
    <row r="75" customFormat="false" ht="13.5" hidden="false" customHeight="false" outlineLevel="0" collapsed="false">
      <c r="A75" s="166"/>
      <c r="B75" s="149"/>
    </row>
    <row r="76" customFormat="false" ht="13.5" hidden="false" customHeight="false" outlineLevel="0" collapsed="false">
      <c r="A76" s="166"/>
      <c r="B76" s="149"/>
    </row>
    <row r="77" customFormat="false" ht="13.5" hidden="false" customHeight="false" outlineLevel="0" collapsed="false">
      <c r="A77" s="166"/>
      <c r="B77" s="149"/>
    </row>
    <row r="78" customFormat="false" ht="13.5" hidden="false" customHeight="false" outlineLevel="0" collapsed="false">
      <c r="A78" s="166"/>
      <c r="B78" s="149"/>
    </row>
    <row r="79" customFormat="false" ht="13.5" hidden="false" customHeight="false" outlineLevel="0" collapsed="false">
      <c r="A79" s="166"/>
      <c r="B79" s="149"/>
    </row>
    <row r="80" customFormat="false" ht="13.5" hidden="false" customHeight="false" outlineLevel="0" collapsed="false">
      <c r="A80" s="166"/>
      <c r="B80" s="149"/>
    </row>
    <row r="81" customFormat="false" ht="13.5" hidden="false" customHeight="false" outlineLevel="0" collapsed="false">
      <c r="A81" s="166"/>
      <c r="B81" s="149"/>
    </row>
    <row r="82" customFormat="false" ht="13.5" hidden="false" customHeight="false" outlineLevel="0" collapsed="false">
      <c r="A82" s="166"/>
      <c r="B82" s="149"/>
    </row>
    <row r="83" customFormat="false" ht="13.5" hidden="false" customHeight="false" outlineLevel="0" collapsed="false">
      <c r="A83" s="166"/>
      <c r="B83" s="149"/>
    </row>
    <row r="84" customFormat="false" ht="13.5" hidden="false" customHeight="false" outlineLevel="0" collapsed="false">
      <c r="A84" s="166"/>
      <c r="B84" s="149"/>
    </row>
    <row r="85" customFormat="false" ht="13.5" hidden="false" customHeight="false" outlineLevel="0" collapsed="false">
      <c r="A85" s="166"/>
      <c r="B85" s="149"/>
    </row>
    <row r="86" customFormat="false" ht="13.5" hidden="false" customHeight="false" outlineLevel="0" collapsed="false">
      <c r="A86" s="166"/>
      <c r="B86" s="149"/>
    </row>
    <row r="87" customFormat="false" ht="13.5" hidden="false" customHeight="false" outlineLevel="0" collapsed="false">
      <c r="A87" s="166"/>
      <c r="B87" s="149"/>
    </row>
    <row r="88" customFormat="false" ht="13.5" hidden="false" customHeight="false" outlineLevel="0" collapsed="false">
      <c r="A88" s="166"/>
      <c r="B88" s="149"/>
    </row>
    <row r="89" customFormat="false" ht="13.5" hidden="false" customHeight="false" outlineLevel="0" collapsed="false">
      <c r="A89" s="166"/>
      <c r="B89" s="149"/>
    </row>
    <row r="90" customFormat="false" ht="13.5" hidden="false" customHeight="false" outlineLevel="0" collapsed="false">
      <c r="A90" s="166"/>
      <c r="B90" s="149"/>
    </row>
    <row r="91" customFormat="false" ht="13.5" hidden="false" customHeight="false" outlineLevel="0" collapsed="false">
      <c r="A91" s="166"/>
      <c r="B91" s="149"/>
    </row>
    <row r="92" customFormat="false" ht="13.5" hidden="false" customHeight="false" outlineLevel="0" collapsed="false">
      <c r="A92" s="166"/>
      <c r="B92" s="149"/>
    </row>
    <row r="93" customFormat="false" ht="13.5" hidden="false" customHeight="false" outlineLevel="0" collapsed="false">
      <c r="A93" s="166"/>
      <c r="B93" s="149"/>
    </row>
    <row r="94" customFormat="false" ht="13.5" hidden="false" customHeight="false" outlineLevel="0" collapsed="false">
      <c r="A94" s="166"/>
      <c r="B94" s="149"/>
    </row>
    <row r="95" customFormat="false" ht="13.5" hidden="false" customHeight="false" outlineLevel="0" collapsed="false">
      <c r="A95" s="166"/>
      <c r="B95" s="149"/>
    </row>
    <row r="96" customFormat="false" ht="13.5" hidden="false" customHeight="false" outlineLevel="0" collapsed="false">
      <c r="A96" s="166"/>
      <c r="B96" s="149"/>
    </row>
    <row r="97" customFormat="false" ht="13.5" hidden="false" customHeight="false" outlineLevel="0" collapsed="false">
      <c r="A97" s="166"/>
      <c r="B97" s="149"/>
    </row>
    <row r="98" customFormat="false" ht="13.5" hidden="false" customHeight="false" outlineLevel="0" collapsed="false">
      <c r="A98" s="166"/>
      <c r="B98" s="149"/>
    </row>
    <row r="99" customFormat="false" ht="13.5" hidden="false" customHeight="false" outlineLevel="0" collapsed="false">
      <c r="A99" s="166"/>
      <c r="B99" s="149"/>
    </row>
    <row r="100" customFormat="false" ht="13.5" hidden="false" customHeight="false" outlineLevel="0" collapsed="false">
      <c r="A100" s="166"/>
      <c r="B100" s="149"/>
    </row>
    <row r="101" customFormat="false" ht="13.5" hidden="false" customHeight="false" outlineLevel="0" collapsed="false">
      <c r="A101" s="166"/>
      <c r="B101" s="149"/>
    </row>
    <row r="102" customFormat="false" ht="13.5" hidden="false" customHeight="false" outlineLevel="0" collapsed="false">
      <c r="A102" s="166"/>
      <c r="B102" s="149"/>
    </row>
    <row r="103" customFormat="false" ht="13.5" hidden="false" customHeight="false" outlineLevel="0" collapsed="false">
      <c r="A103" s="166"/>
      <c r="B103" s="149"/>
    </row>
    <row r="104" customFormat="false" ht="13.5" hidden="false" customHeight="false" outlineLevel="0" collapsed="false">
      <c r="A104" s="166"/>
      <c r="B104" s="149"/>
    </row>
    <row r="105" customFormat="false" ht="13.5" hidden="false" customHeight="false" outlineLevel="0" collapsed="false">
      <c r="A105" s="166"/>
      <c r="B105" s="149"/>
    </row>
    <row r="106" customFormat="false" ht="13.5" hidden="false" customHeight="false" outlineLevel="0" collapsed="false">
      <c r="A106" s="166"/>
      <c r="B106" s="149"/>
    </row>
    <row r="107" customFormat="false" ht="13.5" hidden="false" customHeight="false" outlineLevel="0" collapsed="false">
      <c r="A107" s="166"/>
      <c r="B107" s="149"/>
    </row>
    <row r="108" customFormat="false" ht="13.5" hidden="false" customHeight="false" outlineLevel="0" collapsed="false">
      <c r="A108" s="166"/>
      <c r="B108" s="149"/>
    </row>
    <row r="109" customFormat="false" ht="13.5" hidden="false" customHeight="false" outlineLevel="0" collapsed="false">
      <c r="A109" s="166"/>
      <c r="B109" s="149"/>
    </row>
    <row r="110" customFormat="false" ht="13.5" hidden="false" customHeight="false" outlineLevel="0" collapsed="false">
      <c r="A110" s="166"/>
      <c r="B110" s="149"/>
    </row>
    <row r="111" customFormat="false" ht="13.5" hidden="false" customHeight="false" outlineLevel="0" collapsed="false">
      <c r="A111" s="166"/>
      <c r="B111" s="149"/>
    </row>
    <row r="112" customFormat="false" ht="13.5" hidden="false" customHeight="false" outlineLevel="0" collapsed="false">
      <c r="A112" s="166"/>
      <c r="B112" s="149"/>
    </row>
    <row r="113" customFormat="false" ht="13.5" hidden="false" customHeight="false" outlineLevel="0" collapsed="false">
      <c r="A113" s="166"/>
      <c r="B113" s="149"/>
    </row>
    <row r="114" customFormat="false" ht="13.5" hidden="false" customHeight="false" outlineLevel="0" collapsed="false">
      <c r="A114" s="166"/>
      <c r="B114" s="149"/>
    </row>
    <row r="115" customFormat="false" ht="13.5" hidden="false" customHeight="false" outlineLevel="0" collapsed="false">
      <c r="A115" s="166"/>
      <c r="B115" s="149"/>
    </row>
    <row r="116" customFormat="false" ht="13.5" hidden="false" customHeight="false" outlineLevel="0" collapsed="false">
      <c r="A116" s="166"/>
      <c r="B116" s="149"/>
    </row>
    <row r="117" customFormat="false" ht="13.5" hidden="false" customHeight="false" outlineLevel="0" collapsed="false">
      <c r="A117" s="166"/>
      <c r="B117" s="149"/>
    </row>
    <row r="118" customFormat="false" ht="13.5" hidden="false" customHeight="false" outlineLevel="0" collapsed="false">
      <c r="A118" s="166"/>
      <c r="B118" s="149"/>
    </row>
    <row r="119" customFormat="false" ht="13.5" hidden="false" customHeight="false" outlineLevel="0" collapsed="false">
      <c r="A119" s="166"/>
      <c r="B119" s="149"/>
    </row>
    <row r="120" customFormat="false" ht="13.5" hidden="false" customHeight="false" outlineLevel="0" collapsed="false">
      <c r="A120" s="166"/>
      <c r="B120" s="149"/>
    </row>
    <row r="121" customFormat="false" ht="13.5" hidden="false" customHeight="false" outlineLevel="0" collapsed="false">
      <c r="A121" s="166"/>
      <c r="B121" s="149"/>
    </row>
    <row r="122" customFormat="false" ht="13.5" hidden="false" customHeight="false" outlineLevel="0" collapsed="false">
      <c r="A122" s="166"/>
      <c r="B122" s="149"/>
    </row>
    <row r="123" customFormat="false" ht="13.5" hidden="false" customHeight="false" outlineLevel="0" collapsed="false">
      <c r="A123" s="166"/>
      <c r="B123" s="149"/>
    </row>
    <row r="124" customFormat="false" ht="13.5" hidden="false" customHeight="false" outlineLevel="0" collapsed="false">
      <c r="A124" s="166"/>
      <c r="B124" s="149"/>
    </row>
    <row r="125" customFormat="false" ht="13.5" hidden="false" customHeight="false" outlineLevel="0" collapsed="false">
      <c r="A125" s="166"/>
      <c r="B125" s="149"/>
    </row>
    <row r="126" customFormat="false" ht="13.5" hidden="false" customHeight="false" outlineLevel="0" collapsed="false">
      <c r="A126" s="166"/>
      <c r="B126" s="149"/>
    </row>
    <row r="127" customFormat="false" ht="13.5" hidden="false" customHeight="false" outlineLevel="0" collapsed="false">
      <c r="A127" s="166"/>
      <c r="B127" s="149"/>
    </row>
  </sheetData>
  <sheetProtection sheet="true" password="cee9" objects="true" scenarios="true" formatCells="false" formatColumns="false" formatRows="false"/>
  <mergeCells count="1">
    <mergeCell ref="A53:A57"/>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sheetPr filterMode="false">
    <pageSetUpPr fitToPage="false"/>
  </sheetPr>
  <dimension ref="A1:R47"/>
  <sheetViews>
    <sheetView showFormulas="false" showGridLines="true" showRowColHeaders="true" showZeros="true" rightToLeft="false" tabSelected="false" showOutlineSymbols="true" defaultGridColor="true" view="pageBreakPreview" topLeftCell="A16" colorId="64" zoomScale="100" zoomScaleNormal="100" zoomScalePageLayoutView="100" workbookViewId="0">
      <selection pane="topLeft" activeCell="D26" activeCellId="0" sqref="D26"/>
    </sheetView>
  </sheetViews>
  <sheetFormatPr defaultRowHeight="13.5" zeroHeight="false" outlineLevelRow="0" outlineLevelCol="0"/>
  <cols>
    <col collapsed="false" customWidth="true" hidden="false" outlineLevel="0" max="7" min="1" style="167" width="15.26"/>
    <col collapsed="false" customWidth="true" hidden="false" outlineLevel="0" max="8" min="8" style="167" width="5.5"/>
    <col collapsed="false" customWidth="true" hidden="false" outlineLevel="0" max="13" min="9" style="168" width="9.5"/>
    <col collapsed="false" customWidth="true" hidden="false" outlineLevel="0" max="18" min="14" style="167" width="9.5"/>
    <col collapsed="false" customWidth="true" hidden="false" outlineLevel="0" max="1025" min="19" style="167" width="15.26"/>
  </cols>
  <sheetData>
    <row r="1" customFormat="false" ht="13.5" hidden="false" customHeight="false" outlineLevel="0" collapsed="false">
      <c r="A1" s="169" t="s">
        <v>333</v>
      </c>
      <c r="B1" s="170"/>
      <c r="C1" s="170"/>
      <c r="D1" s="170"/>
      <c r="E1" s="170"/>
      <c r="F1" s="171"/>
      <c r="I1" s="172" t="s">
        <v>334</v>
      </c>
      <c r="J1" s="173"/>
      <c r="K1" s="173"/>
      <c r="L1" s="173"/>
      <c r="M1" s="173"/>
      <c r="N1" s="174"/>
      <c r="O1" s="174"/>
      <c r="P1" s="174"/>
      <c r="Q1" s="174"/>
      <c r="R1" s="174"/>
    </row>
    <row r="2" customFormat="false" ht="13.5" hidden="false" customHeight="false" outlineLevel="0" collapsed="false">
      <c r="A2" s="175"/>
      <c r="B2" s="176"/>
      <c r="C2" s="176"/>
      <c r="D2" s="176"/>
      <c r="E2" s="176"/>
      <c r="F2" s="177"/>
      <c r="I2" s="178" t="s">
        <v>335</v>
      </c>
      <c r="J2" s="178"/>
      <c r="K2" s="178"/>
      <c r="L2" s="178"/>
      <c r="M2" s="178"/>
      <c r="N2" s="178"/>
      <c r="O2" s="178"/>
      <c r="P2" s="178"/>
      <c r="Q2" s="178"/>
      <c r="R2" s="178"/>
    </row>
    <row r="3" customFormat="false" ht="13.5" hidden="false" customHeight="false" outlineLevel="0" collapsed="false">
      <c r="A3" s="179" t="s">
        <v>336</v>
      </c>
      <c r="B3" s="180" t="n">
        <f aca="false">项目基本情况!D3</f>
        <v>39031</v>
      </c>
      <c r="C3" s="181"/>
      <c r="D3" s="181"/>
      <c r="E3" s="181"/>
      <c r="F3" s="177"/>
      <c r="I3" s="182"/>
      <c r="J3" s="182" t="s">
        <v>337</v>
      </c>
      <c r="K3" s="182" t="s">
        <v>338</v>
      </c>
      <c r="L3" s="182" t="s">
        <v>339</v>
      </c>
      <c r="M3" s="182" t="s">
        <v>340</v>
      </c>
      <c r="N3" s="183" t="s">
        <v>341</v>
      </c>
      <c r="O3" s="183" t="s">
        <v>342</v>
      </c>
      <c r="P3" s="183" t="s">
        <v>343</v>
      </c>
      <c r="Q3" s="183" t="s">
        <v>344</v>
      </c>
      <c r="R3" s="183" t="s">
        <v>345</v>
      </c>
    </row>
    <row r="4" customFormat="false" ht="13.5" hidden="false" customHeight="false" outlineLevel="0" collapsed="false">
      <c r="A4" s="179" t="s">
        <v>346</v>
      </c>
      <c r="B4" s="181" t="s">
        <v>347</v>
      </c>
      <c r="C4" s="181" t="s">
        <v>348</v>
      </c>
      <c r="D4" s="181" t="s">
        <v>349</v>
      </c>
      <c r="E4" s="181" t="s">
        <v>350</v>
      </c>
      <c r="F4" s="177"/>
      <c r="I4" s="182" t="s">
        <v>351</v>
      </c>
      <c r="J4" s="182" t="n">
        <v>80</v>
      </c>
      <c r="K4" s="182" t="n">
        <v>70</v>
      </c>
      <c r="L4" s="182" t="n">
        <v>20</v>
      </c>
      <c r="M4" s="182" t="n">
        <v>30</v>
      </c>
      <c r="N4" s="181" t="n">
        <v>45</v>
      </c>
      <c r="O4" s="181" t="n">
        <v>60</v>
      </c>
      <c r="P4" s="181" t="n">
        <v>50</v>
      </c>
      <c r="Q4" s="181" t="n">
        <v>20</v>
      </c>
      <c r="R4" s="181" t="n">
        <v>375</v>
      </c>
    </row>
    <row r="5" customFormat="false" ht="13.5" hidden="false" customHeight="false" outlineLevel="0" collapsed="false">
      <c r="A5" s="184" t="n">
        <v>40</v>
      </c>
      <c r="B5" s="180" t="n">
        <v>46375</v>
      </c>
      <c r="C5" s="181" t="n">
        <f aca="false">ROUNDDOWN(MIN((B5-B3)/365,A5),2)</f>
        <v>20.12</v>
      </c>
      <c r="D5" s="185" t="n">
        <f aca="false">IF(ISERROR(ROUND(POWER(1+E5,A5-C5)*(POWER(1+E5,C5)-1)/(POWER(1+E5,A5)-1),3)),0,ROUND(POWER(1+E5,A5-C5)*(POWER(1+E5,C5)-1)/(POWER(1+E5,A5)-1),4))</f>
        <v>0.6893</v>
      </c>
      <c r="E5" s="186" t="n">
        <v>0.04</v>
      </c>
      <c r="F5" s="177"/>
      <c r="I5" s="182" t="s">
        <v>352</v>
      </c>
      <c r="J5" s="182" t="n">
        <v>70</v>
      </c>
      <c r="K5" s="182" t="n">
        <v>60</v>
      </c>
      <c r="L5" s="182" t="n">
        <v>15</v>
      </c>
      <c r="M5" s="182" t="n">
        <v>25</v>
      </c>
      <c r="N5" s="181" t="n">
        <v>40</v>
      </c>
      <c r="O5" s="181" t="n">
        <v>50</v>
      </c>
      <c r="P5" s="181" t="n">
        <v>40</v>
      </c>
      <c r="Q5" s="181" t="n">
        <v>15</v>
      </c>
      <c r="R5" s="181" t="n">
        <v>315</v>
      </c>
    </row>
    <row r="6" customFormat="false" ht="13.5" hidden="false" customHeight="false" outlineLevel="0" collapsed="false">
      <c r="A6" s="184" t="n">
        <v>50</v>
      </c>
      <c r="B6" s="180" t="n">
        <v>50028</v>
      </c>
      <c r="C6" s="181" t="n">
        <f aca="false">ROUNDDOWN(MIN((B6-B3)/365,A6),2)</f>
        <v>30.12</v>
      </c>
      <c r="D6" s="185" t="n">
        <f aca="false">IF(ISERROR(ROUND(POWER(1+E6,A6-C6)*(POWER(1+E6,C6)-1)/(POWER(1+E6,A6)-1),3)),0,ROUND(POWER(1+E6,A6-C6)*(POWER(1+E6,C6)-1)/(POWER(1+E6,A6)-1),4))</f>
        <v>0.8066</v>
      </c>
      <c r="E6" s="186" t="n">
        <v>0.04</v>
      </c>
      <c r="F6" s="177"/>
      <c r="I6" s="182" t="s">
        <v>353</v>
      </c>
      <c r="J6" s="182" t="n">
        <v>60</v>
      </c>
      <c r="K6" s="182" t="n">
        <v>50</v>
      </c>
      <c r="L6" s="182" t="n">
        <v>10</v>
      </c>
      <c r="M6" s="182" t="n">
        <v>20</v>
      </c>
      <c r="N6" s="181" t="n">
        <v>35</v>
      </c>
      <c r="O6" s="181" t="n">
        <v>40</v>
      </c>
      <c r="P6" s="181" t="n">
        <v>30</v>
      </c>
      <c r="Q6" s="181" t="n">
        <v>10</v>
      </c>
      <c r="R6" s="181" t="n">
        <v>255</v>
      </c>
    </row>
    <row r="7" customFormat="false" ht="13.5" hidden="false" customHeight="false" outlineLevel="0" collapsed="false">
      <c r="A7" s="184" t="n">
        <v>70</v>
      </c>
      <c r="B7" s="180" t="n">
        <v>57333</v>
      </c>
      <c r="C7" s="181" t="n">
        <f aca="false">ROUNDDOWN(MIN((B7-B3)/365,A7),2)</f>
        <v>50.14</v>
      </c>
      <c r="D7" s="185" t="n">
        <f aca="false">IF(ISERROR(ROUND(POWER(1+E7,A7-C7)*(POWER(1+E7,C7)-1)/(POWER(1+E7,A7)-1),3)),0,ROUND(POWER(1+E7,A7-C7)*(POWER(1+E7,C7)-1)/(POWER(1+E7,A7)-1),4))</f>
        <v>0.9191</v>
      </c>
      <c r="E7" s="186" t="n">
        <v>0.04</v>
      </c>
      <c r="F7" s="177"/>
    </row>
    <row r="8" customFormat="false" ht="13.5" hidden="false" customHeight="false" outlineLevel="0" collapsed="false">
      <c r="A8" s="175"/>
      <c r="B8" s="176"/>
      <c r="C8" s="176"/>
      <c r="D8" s="176"/>
      <c r="E8" s="176"/>
      <c r="F8" s="177"/>
    </row>
    <row r="9" customFormat="false" ht="13.5" hidden="false" customHeight="false" outlineLevel="0" collapsed="false">
      <c r="A9" s="179" t="s">
        <v>354</v>
      </c>
      <c r="B9" s="181"/>
      <c r="C9" s="181"/>
      <c r="D9" s="181"/>
      <c r="E9" s="181"/>
      <c r="F9" s="187"/>
    </row>
    <row r="10" customFormat="false" ht="13.5" hidden="false" customHeight="false" outlineLevel="0" collapsed="false">
      <c r="A10" s="179" t="s">
        <v>355</v>
      </c>
      <c r="B10" s="181"/>
      <c r="C10" s="181"/>
      <c r="D10" s="181" t="s">
        <v>350</v>
      </c>
      <c r="E10" s="181"/>
      <c r="F10" s="187" t="s">
        <v>349</v>
      </c>
    </row>
    <row r="11" customFormat="false" ht="13.5" hidden="false" customHeight="false" outlineLevel="0" collapsed="false">
      <c r="A11" s="179" t="s">
        <v>356</v>
      </c>
      <c r="B11" s="188" t="n">
        <v>70</v>
      </c>
      <c r="C11" s="181" t="s">
        <v>357</v>
      </c>
      <c r="D11" s="189" t="n">
        <v>0.045</v>
      </c>
      <c r="E11" s="181" t="s">
        <v>358</v>
      </c>
      <c r="F11" s="190" t="n">
        <f aca="false">ROUND(1-(1/(POWER(1+D11,B11))),4)</f>
        <v>0.9541</v>
      </c>
    </row>
    <row r="12" customFormat="false" ht="13.5" hidden="false" customHeight="false" outlineLevel="0" collapsed="false">
      <c r="A12" s="179" t="s">
        <v>359</v>
      </c>
      <c r="B12" s="188" t="n">
        <v>40</v>
      </c>
      <c r="C12" s="181" t="s">
        <v>360</v>
      </c>
      <c r="D12" s="189" t="n">
        <v>0.045</v>
      </c>
      <c r="E12" s="181" t="s">
        <v>361</v>
      </c>
      <c r="F12" s="190" t="n">
        <f aca="false">ROUND(1-(1/(POWER(1+D12,B12))),4)</f>
        <v>0.8281</v>
      </c>
    </row>
    <row r="13" customFormat="false" ht="13.5" hidden="false" customHeight="false" outlineLevel="0" collapsed="false">
      <c r="A13" s="179" t="s">
        <v>362</v>
      </c>
      <c r="B13" s="181"/>
      <c r="C13" s="181"/>
      <c r="D13" s="176"/>
      <c r="E13" s="176"/>
      <c r="F13" s="177"/>
    </row>
    <row r="14" customFormat="false" ht="13.5" hidden="false" customHeight="false" outlineLevel="0" collapsed="false">
      <c r="A14" s="179" t="s">
        <v>363</v>
      </c>
      <c r="B14" s="188" t="n">
        <v>5000</v>
      </c>
      <c r="C14" s="191"/>
      <c r="D14" s="176"/>
      <c r="E14" s="176"/>
      <c r="F14" s="177"/>
    </row>
    <row r="15" customFormat="false" ht="13.5" hidden="false" customHeight="false" outlineLevel="0" collapsed="false">
      <c r="A15" s="179" t="s">
        <v>364</v>
      </c>
      <c r="B15" s="181" t="n">
        <f aca="false">ROUND(B14*F12/F11,2)</f>
        <v>4339.69</v>
      </c>
      <c r="C15" s="181" t="n">
        <f aca="false">ROUND(F12/F11,4)</f>
        <v>0.8679</v>
      </c>
      <c r="D15" s="176"/>
      <c r="E15" s="176"/>
      <c r="F15" s="177"/>
    </row>
    <row r="16" customFormat="false" ht="13.5" hidden="false" customHeight="false" outlineLevel="0" collapsed="false">
      <c r="A16" s="179" t="s">
        <v>365</v>
      </c>
      <c r="B16" s="181"/>
      <c r="C16" s="181"/>
      <c r="D16" s="176"/>
      <c r="E16" s="176"/>
      <c r="F16" s="177"/>
    </row>
    <row r="17" customFormat="false" ht="13.5" hidden="false" customHeight="false" outlineLevel="0" collapsed="false">
      <c r="A17" s="179" t="s">
        <v>364</v>
      </c>
      <c r="B17" s="189" t="n">
        <v>4810</v>
      </c>
      <c r="C17" s="191"/>
      <c r="D17" s="176"/>
      <c r="E17" s="176"/>
      <c r="F17" s="177"/>
    </row>
    <row r="18" customFormat="false" ht="13.5" hidden="false" customHeight="false" outlineLevel="0" collapsed="false">
      <c r="A18" s="192" t="s">
        <v>363</v>
      </c>
      <c r="B18" s="193" t="n">
        <f aca="false">ROUND(B17*F11/F12,2)</f>
        <v>5541.87</v>
      </c>
      <c r="C18" s="193" t="n">
        <f aca="false">ROUND(F11/F12,4)</f>
        <v>1.1522</v>
      </c>
      <c r="D18" s="194"/>
      <c r="E18" s="194"/>
      <c r="F18" s="195"/>
    </row>
    <row r="20" s="199" customFormat="true" ht="13.5" hidden="false" customHeight="false" outlineLevel="0" collapsed="false">
      <c r="A20" s="196" t="s">
        <v>366</v>
      </c>
      <c r="B20" s="197"/>
      <c r="C20" s="197"/>
      <c r="D20" s="197"/>
      <c r="E20" s="197"/>
      <c r="F20" s="197"/>
      <c r="G20" s="198"/>
      <c r="I20" s="200" t="s">
        <v>367</v>
      </c>
      <c r="J20" s="200" t="s">
        <v>368</v>
      </c>
      <c r="K20" s="200"/>
      <c r="L20" s="200"/>
      <c r="M20" s="200"/>
    </row>
    <row r="21" customFormat="false" ht="13.5" hidden="false" customHeight="false" outlineLevel="0" collapsed="false">
      <c r="A21" s="201"/>
      <c r="B21" s="202" t="s">
        <v>369</v>
      </c>
      <c r="C21" s="202" t="s">
        <v>348</v>
      </c>
      <c r="D21" s="202" t="s">
        <v>370</v>
      </c>
      <c r="E21" s="202" t="s">
        <v>349</v>
      </c>
      <c r="F21" s="202" t="s">
        <v>371</v>
      </c>
      <c r="G21" s="203" t="s">
        <v>372</v>
      </c>
      <c r="I21" s="168" t="n">
        <v>5</v>
      </c>
      <c r="J21" s="168" t="n">
        <v>54.2</v>
      </c>
    </row>
    <row r="22" customFormat="false" ht="13.5" hidden="false" customHeight="false" outlineLevel="0" collapsed="false">
      <c r="A22" s="201" t="s">
        <v>373</v>
      </c>
      <c r="B22" s="204" t="n">
        <v>70</v>
      </c>
      <c r="C22" s="204" t="n">
        <v>30</v>
      </c>
      <c r="D22" s="205" t="n">
        <v>0.04</v>
      </c>
      <c r="E22" s="202" t="n">
        <f aca="false">ROUND(POWER(1+D22,B22-C22)*(POWER(1+D22,C22)-1)/(POWER(1+D22,B22)-1),3)</f>
        <v>0.739</v>
      </c>
      <c r="F22" s="205" t="n">
        <v>0.7</v>
      </c>
      <c r="G22" s="203" t="n">
        <f aca="false">ROUND(100*(1-(1-E22)*F22),1)</f>
        <v>81.7</v>
      </c>
      <c r="I22" s="168" t="n">
        <v>10</v>
      </c>
      <c r="J22" s="168" t="n">
        <v>65.4</v>
      </c>
      <c r="K22" s="168" t="n">
        <f aca="false">J22-J21</f>
        <v>11.2</v>
      </c>
    </row>
    <row r="23" customFormat="false" ht="13.5" hidden="false" customHeight="false" outlineLevel="0" collapsed="false">
      <c r="A23" s="201" t="s">
        <v>374</v>
      </c>
      <c r="B23" s="204" t="n">
        <v>70</v>
      </c>
      <c r="C23" s="204" t="n">
        <v>40</v>
      </c>
      <c r="D23" s="205" t="n">
        <v>0.04</v>
      </c>
      <c r="E23" s="202" t="n">
        <f aca="false">ROUND(POWER(1+D23,B23-C23)*(POWER(1+D23,C23)-1)/(POWER(1+D23,B23)-1),3)</f>
        <v>0.846</v>
      </c>
      <c r="F23" s="205" t="n">
        <f aca="false">F22</f>
        <v>0.7</v>
      </c>
      <c r="G23" s="203" t="n">
        <f aca="false">ROUND(100*(1-(1-E23)*F23),1)</f>
        <v>89.2</v>
      </c>
      <c r="I23" s="168" t="n">
        <v>15</v>
      </c>
      <c r="J23" s="168" t="n">
        <v>74.1</v>
      </c>
      <c r="K23" s="168" t="n">
        <f aca="false">J23-J22</f>
        <v>8.69999999999999</v>
      </c>
      <c r="L23" s="168" t="s">
        <v>375</v>
      </c>
      <c r="M23" s="168" t="s">
        <v>376</v>
      </c>
    </row>
    <row r="24" customFormat="false" ht="13.5" hidden="false" customHeight="false" outlineLevel="0" collapsed="false">
      <c r="A24" s="201" t="s">
        <v>377</v>
      </c>
      <c r="B24" s="204" t="n">
        <v>70</v>
      </c>
      <c r="C24" s="204" t="n">
        <v>50</v>
      </c>
      <c r="D24" s="205" t="n">
        <v>0.04</v>
      </c>
      <c r="E24" s="202" t="n">
        <f aca="false">ROUND(POWER(1+D24,B24-C24)*(POWER(1+D24,C24)-1)/(POWER(1+D24,B24)-1),3)</f>
        <v>0.918</v>
      </c>
      <c r="F24" s="205" t="n">
        <f aca="false">F23</f>
        <v>0.7</v>
      </c>
      <c r="G24" s="203" t="n">
        <f aca="false">ROUND(100*(1-(1-E24)*F24),1)</f>
        <v>94.3</v>
      </c>
      <c r="I24" s="168" t="n">
        <v>20</v>
      </c>
      <c r="J24" s="168" t="n">
        <v>81</v>
      </c>
      <c r="K24" s="168" t="n">
        <f aca="false">J24-J23</f>
        <v>6.90000000000001</v>
      </c>
      <c r="L24" s="168" t="s">
        <v>378</v>
      </c>
      <c r="M24" s="168" t="n">
        <v>10</v>
      </c>
    </row>
    <row r="25" customFormat="false" ht="13.5" hidden="false" customHeight="false" outlineLevel="0" collapsed="false">
      <c r="A25" s="201" t="s">
        <v>379</v>
      </c>
      <c r="B25" s="204" t="n">
        <v>70</v>
      </c>
      <c r="C25" s="204" t="n">
        <v>60</v>
      </c>
      <c r="D25" s="205" t="n">
        <v>0.04</v>
      </c>
      <c r="E25" s="202" t="n">
        <f aca="false">ROUND(POWER(1+D25,B25-C25)*(POWER(1+D25,C25)-1)/(POWER(1+D25,B25)-1),3)</f>
        <v>0.967</v>
      </c>
      <c r="F25" s="205" t="n">
        <f aca="false">F24</f>
        <v>0.7</v>
      </c>
      <c r="G25" s="203" t="n">
        <f aca="false">ROUND(100*(1-(1-E25)*F25),1)</f>
        <v>97.7</v>
      </c>
      <c r="I25" s="168" t="n">
        <v>25</v>
      </c>
      <c r="J25" s="168" t="n">
        <v>86.3</v>
      </c>
      <c r="K25" s="168" t="n">
        <f aca="false">J25-J24</f>
        <v>5.3</v>
      </c>
      <c r="L25" s="168" t="s">
        <v>380</v>
      </c>
      <c r="M25" s="168" t="n">
        <v>8</v>
      </c>
    </row>
    <row r="26" customFormat="false" ht="13.5" hidden="false" customHeight="false" outlineLevel="0" collapsed="false">
      <c r="A26" s="206"/>
      <c r="B26" s="207"/>
      <c r="C26" s="207"/>
      <c r="D26" s="207"/>
      <c r="E26" s="207"/>
      <c r="F26" s="207"/>
      <c r="G26" s="208"/>
      <c r="I26" s="168" t="n">
        <v>30</v>
      </c>
      <c r="J26" s="168" t="n">
        <v>90.5</v>
      </c>
      <c r="K26" s="168" t="n">
        <f aca="false">J26-J25</f>
        <v>4.2</v>
      </c>
      <c r="L26" s="168" t="s">
        <v>381</v>
      </c>
      <c r="M26" s="168" t="n">
        <v>5</v>
      </c>
    </row>
    <row r="27" customFormat="false" ht="13.5" hidden="false" customHeight="false" outlineLevel="0" collapsed="false">
      <c r="A27" s="206" t="s">
        <v>382</v>
      </c>
      <c r="B27" s="207"/>
      <c r="C27" s="207"/>
      <c r="D27" s="207"/>
      <c r="E27" s="207"/>
      <c r="F27" s="207"/>
      <c r="G27" s="208"/>
      <c r="I27" s="168" t="n">
        <v>35</v>
      </c>
      <c r="J27" s="168" t="n">
        <v>93.8</v>
      </c>
      <c r="K27" s="168" t="n">
        <f aca="false">J27-J26</f>
        <v>3.3</v>
      </c>
      <c r="L27" s="168" t="s">
        <v>383</v>
      </c>
      <c r="M27" s="168" t="n">
        <v>3</v>
      </c>
    </row>
    <row r="28" customFormat="false" ht="13.5" hidden="false" customHeight="false" outlineLevel="0" collapsed="false">
      <c r="A28" s="206" t="s">
        <v>384</v>
      </c>
      <c r="B28" s="207"/>
      <c r="C28" s="207"/>
      <c r="D28" s="207"/>
      <c r="E28" s="207"/>
      <c r="F28" s="207"/>
      <c r="G28" s="208"/>
      <c r="I28" s="168" t="n">
        <v>40</v>
      </c>
      <c r="J28" s="168" t="n">
        <v>96.4</v>
      </c>
      <c r="K28" s="168" t="n">
        <f aca="false">J28-J27</f>
        <v>2.60000000000001</v>
      </c>
      <c r="L28" s="168" t="s">
        <v>385</v>
      </c>
      <c r="M28" s="168" t="n">
        <v>2</v>
      </c>
    </row>
    <row r="29" customFormat="false" ht="13.5" hidden="false" customHeight="false" outlineLevel="0" collapsed="false">
      <c r="A29" s="206" t="s">
        <v>386</v>
      </c>
      <c r="B29" s="207"/>
      <c r="C29" s="207"/>
      <c r="D29" s="207"/>
      <c r="E29" s="207"/>
      <c r="F29" s="207"/>
      <c r="G29" s="208"/>
      <c r="I29" s="168" t="n">
        <v>45</v>
      </c>
      <c r="J29" s="168" t="n">
        <v>98.4</v>
      </c>
      <c r="K29" s="168" t="n">
        <f aca="false">J29-J28</f>
        <v>2</v>
      </c>
    </row>
    <row r="30" customFormat="false" ht="13.5" hidden="false" customHeight="false" outlineLevel="0" collapsed="false">
      <c r="A30" s="206" t="s">
        <v>387</v>
      </c>
      <c r="B30" s="207"/>
      <c r="C30" s="207"/>
      <c r="D30" s="207"/>
      <c r="E30" s="207"/>
      <c r="F30" s="207"/>
      <c r="G30" s="208"/>
      <c r="I30" s="168" t="n">
        <v>50</v>
      </c>
      <c r="J30" s="168" t="n">
        <v>100</v>
      </c>
      <c r="K30" s="168" t="n">
        <f aca="false">J30-J29</f>
        <v>1.59999999999999</v>
      </c>
    </row>
    <row r="31" customFormat="false" ht="13.5" hidden="false" customHeight="false" outlineLevel="0" collapsed="false">
      <c r="A31" s="206" t="s">
        <v>388</v>
      </c>
      <c r="B31" s="207"/>
      <c r="C31" s="207"/>
      <c r="D31" s="207"/>
      <c r="E31" s="207"/>
      <c r="F31" s="207"/>
      <c r="G31" s="208"/>
      <c r="I31" s="168" t="s">
        <v>389</v>
      </c>
    </row>
    <row r="32" customFormat="false" ht="13.5" hidden="false" customHeight="false" outlineLevel="0" collapsed="false">
      <c r="A32" s="206" t="s">
        <v>390</v>
      </c>
      <c r="B32" s="207"/>
      <c r="C32" s="207"/>
      <c r="D32" s="207"/>
      <c r="E32" s="207"/>
      <c r="F32" s="207"/>
      <c r="G32" s="208"/>
    </row>
    <row r="33" customFormat="false" ht="13.5" hidden="false" customHeight="false" outlineLevel="0" collapsed="false">
      <c r="A33" s="206" t="s">
        <v>391</v>
      </c>
      <c r="B33" s="207"/>
      <c r="C33" s="207"/>
      <c r="D33" s="207"/>
      <c r="E33" s="207"/>
      <c r="F33" s="207"/>
      <c r="G33" s="208"/>
      <c r="I33" s="168" t="s">
        <v>367</v>
      </c>
      <c r="J33" s="168" t="s">
        <v>392</v>
      </c>
    </row>
    <row r="34" customFormat="false" ht="13.5" hidden="false" customHeight="false" outlineLevel="0" collapsed="false">
      <c r="A34" s="206" t="s">
        <v>393</v>
      </c>
      <c r="B34" s="207"/>
      <c r="C34" s="207"/>
      <c r="D34" s="207"/>
      <c r="E34" s="207"/>
      <c r="F34" s="207"/>
      <c r="G34" s="208"/>
      <c r="I34" s="168" t="n">
        <v>5</v>
      </c>
      <c r="J34" s="168" t="n">
        <v>55.1</v>
      </c>
    </row>
    <row r="35" customFormat="false" ht="13.5" hidden="false" customHeight="false" outlineLevel="0" collapsed="false">
      <c r="A35" s="206" t="s">
        <v>394</v>
      </c>
      <c r="B35" s="207"/>
      <c r="C35" s="207"/>
      <c r="D35" s="207"/>
      <c r="E35" s="207"/>
      <c r="F35" s="207"/>
      <c r="G35" s="208"/>
      <c r="I35" s="168" t="n">
        <v>10</v>
      </c>
      <c r="J35" s="168" t="n">
        <v>67</v>
      </c>
      <c r="K35" s="168" t="n">
        <f aca="false">J35-J34</f>
        <v>11.9</v>
      </c>
    </row>
    <row r="36" customFormat="false" ht="13.5" hidden="false" customHeight="false" outlineLevel="0" collapsed="false">
      <c r="A36" s="206" t="s">
        <v>395</v>
      </c>
      <c r="B36" s="207"/>
      <c r="C36" s="207"/>
      <c r="D36" s="207"/>
      <c r="E36" s="207"/>
      <c r="F36" s="207"/>
      <c r="G36" s="208"/>
      <c r="I36" s="168" t="n">
        <v>15</v>
      </c>
      <c r="J36" s="168" t="n">
        <v>76.3</v>
      </c>
      <c r="K36" s="168" t="n">
        <f aca="false">J36-J35</f>
        <v>9.3</v>
      </c>
      <c r="L36" s="168" t="s">
        <v>375</v>
      </c>
      <c r="M36" s="168" t="s">
        <v>376</v>
      </c>
    </row>
    <row r="37" customFormat="false" ht="13.5" hidden="false" customHeight="false" outlineLevel="0" collapsed="false">
      <c r="A37" s="206" t="s">
        <v>396</v>
      </c>
      <c r="B37" s="207"/>
      <c r="C37" s="207"/>
      <c r="D37" s="207"/>
      <c r="E37" s="207"/>
      <c r="F37" s="207"/>
      <c r="G37" s="208"/>
      <c r="I37" s="168" t="n">
        <v>20</v>
      </c>
      <c r="J37" s="168" t="n">
        <v>83.6</v>
      </c>
      <c r="K37" s="168" t="n">
        <f aca="false">J37-J36</f>
        <v>7.3</v>
      </c>
      <c r="L37" s="168" t="s">
        <v>378</v>
      </c>
      <c r="M37" s="168" t="n">
        <v>10</v>
      </c>
    </row>
    <row r="38" customFormat="false" ht="13.5" hidden="false" customHeight="false" outlineLevel="0" collapsed="false">
      <c r="A38" s="206" t="s">
        <v>397</v>
      </c>
      <c r="B38" s="207"/>
      <c r="C38" s="207"/>
      <c r="D38" s="207"/>
      <c r="E38" s="207"/>
      <c r="F38" s="207"/>
      <c r="G38" s="208"/>
      <c r="I38" s="168" t="n">
        <v>25</v>
      </c>
      <c r="J38" s="168" t="n">
        <v>89.3</v>
      </c>
      <c r="K38" s="168" t="n">
        <f aca="false">J38-J37</f>
        <v>5.7</v>
      </c>
      <c r="L38" s="168" t="s">
        <v>380</v>
      </c>
      <c r="M38" s="168" t="n">
        <v>8</v>
      </c>
    </row>
    <row r="39" customFormat="false" ht="13.5" hidden="false" customHeight="false" outlineLevel="0" collapsed="false">
      <c r="A39" s="206"/>
      <c r="B39" s="207"/>
      <c r="C39" s="207"/>
      <c r="D39" s="207"/>
      <c r="E39" s="207"/>
      <c r="F39" s="207"/>
      <c r="G39" s="208"/>
      <c r="I39" s="168" t="n">
        <v>30</v>
      </c>
      <c r="J39" s="168" t="n">
        <v>93.8</v>
      </c>
      <c r="K39" s="168" t="n">
        <f aca="false">J39-J38</f>
        <v>4.5</v>
      </c>
      <c r="L39" s="168" t="s">
        <v>381</v>
      </c>
      <c r="M39" s="168" t="n">
        <v>6</v>
      </c>
    </row>
    <row r="40" customFormat="false" ht="13.5" hidden="false" customHeight="false" outlineLevel="0" collapsed="false">
      <c r="A40" s="209" t="s">
        <v>398</v>
      </c>
      <c r="B40" s="210"/>
      <c r="C40" s="210"/>
      <c r="D40" s="210"/>
      <c r="E40" s="210"/>
      <c r="F40" s="210"/>
      <c r="G40" s="211"/>
      <c r="I40" s="168" t="n">
        <v>35</v>
      </c>
      <c r="J40" s="168" t="n">
        <v>97.2</v>
      </c>
      <c r="K40" s="168" t="n">
        <f aca="false">J40-J39</f>
        <v>3.40000000000001</v>
      </c>
      <c r="L40" s="168" t="s">
        <v>383</v>
      </c>
      <c r="M40" s="168" t="n">
        <v>3</v>
      </c>
    </row>
    <row r="41" customFormat="false" ht="13.5" hidden="false" customHeight="false" outlineLevel="0" collapsed="false">
      <c r="A41" s="212" t="s">
        <v>399</v>
      </c>
      <c r="B41" s="213" t="s">
        <v>400</v>
      </c>
      <c r="C41" s="214" t="s">
        <v>401</v>
      </c>
      <c r="D41" s="214" t="s">
        <v>402</v>
      </c>
      <c r="E41" s="215"/>
      <c r="F41" s="216"/>
      <c r="G41" s="217"/>
      <c r="I41" s="168" t="n">
        <v>40</v>
      </c>
      <c r="J41" s="168" t="n">
        <v>100</v>
      </c>
      <c r="K41" s="168" t="n">
        <f aca="false">J41-J40</f>
        <v>2.8</v>
      </c>
    </row>
    <row r="42" customFormat="false" ht="13.5" hidden="false" customHeight="false" outlineLevel="0" collapsed="false">
      <c r="A42" s="212" t="s">
        <v>159</v>
      </c>
      <c r="B42" s="213" t="s">
        <v>403</v>
      </c>
      <c r="C42" s="214" t="s">
        <v>403</v>
      </c>
      <c r="D42" s="218" t="s">
        <v>404</v>
      </c>
      <c r="E42" s="210" t="s">
        <v>405</v>
      </c>
      <c r="F42" s="210"/>
      <c r="G42" s="211"/>
    </row>
    <row r="43" customFormat="false" ht="13.5" hidden="false" customHeight="false" outlineLevel="0" collapsed="false">
      <c r="A43" s="212" t="s">
        <v>156</v>
      </c>
      <c r="B43" s="213" t="s">
        <v>406</v>
      </c>
      <c r="C43" s="214" t="s">
        <v>407</v>
      </c>
      <c r="D43" s="214" t="s">
        <v>408</v>
      </c>
      <c r="E43" s="215" t="s">
        <v>409</v>
      </c>
      <c r="F43" s="216"/>
      <c r="G43" s="217"/>
      <c r="I43" s="168" t="s">
        <v>367</v>
      </c>
      <c r="J43" s="168" t="s">
        <v>410</v>
      </c>
    </row>
    <row r="44" customFormat="false" ht="13.5" hidden="false" customHeight="false" outlineLevel="0" collapsed="false">
      <c r="A44" s="212" t="s">
        <v>411</v>
      </c>
      <c r="B44" s="213" t="s">
        <v>412</v>
      </c>
      <c r="C44" s="214" t="s">
        <v>413</v>
      </c>
      <c r="D44" s="218" t="n">
        <v>0.5</v>
      </c>
      <c r="E44" s="215" t="s">
        <v>414</v>
      </c>
      <c r="F44" s="216"/>
      <c r="G44" s="217"/>
      <c r="I44" s="168" t="n">
        <v>30</v>
      </c>
      <c r="J44" s="168" t="n">
        <v>81.7</v>
      </c>
    </row>
    <row r="45" customFormat="false" ht="13.5" hidden="false" customHeight="false" outlineLevel="0" collapsed="false">
      <c r="A45" s="219" t="s">
        <v>415</v>
      </c>
      <c r="B45" s="220" t="s">
        <v>403</v>
      </c>
      <c r="C45" s="221" t="s">
        <v>403</v>
      </c>
      <c r="D45" s="221" t="s">
        <v>416</v>
      </c>
      <c r="E45" s="222" t="s">
        <v>417</v>
      </c>
      <c r="F45" s="222"/>
      <c r="G45" s="223"/>
      <c r="I45" s="168" t="n">
        <v>40</v>
      </c>
      <c r="J45" s="168" t="n">
        <v>89.2</v>
      </c>
      <c r="K45" s="168" t="n">
        <f aca="false">J45-J44</f>
        <v>7.5</v>
      </c>
    </row>
    <row r="46" customFormat="false" ht="13.5" hidden="false" customHeight="false" outlineLevel="0" collapsed="false">
      <c r="I46" s="168" t="n">
        <v>50</v>
      </c>
      <c r="J46" s="168" t="n">
        <v>94.3</v>
      </c>
      <c r="K46" s="168" t="n">
        <f aca="false">J46-J45</f>
        <v>5.09999999999999</v>
      </c>
    </row>
    <row r="47" customFormat="false" ht="13.5" hidden="false" customHeight="false" outlineLevel="0" collapsed="false">
      <c r="I47" s="168" t="n">
        <v>60</v>
      </c>
      <c r="J47" s="168" t="n">
        <v>97.7</v>
      </c>
      <c r="K47" s="168" t="n">
        <f aca="false">J47-J46</f>
        <v>3.40000000000001</v>
      </c>
    </row>
  </sheetData>
  <sheetProtection sheet="true" password="cee9" objects="true" scenarios="true"/>
  <mergeCells count="1">
    <mergeCell ref="I2:R2"/>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sheetPr filterMode="false">
    <pageSetUpPr fitToPage="true"/>
  </sheetPr>
  <dimension ref="A1:AD56"/>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D3" activeCellId="0" sqref="D3"/>
    </sheetView>
  </sheetViews>
  <sheetFormatPr defaultRowHeight="12.75" zeroHeight="false" outlineLevelRow="0" outlineLevelCol="0"/>
  <cols>
    <col collapsed="false" customWidth="true" hidden="false" outlineLevel="0" max="1" min="1" style="224" width="16.88"/>
    <col collapsed="false" customWidth="true" hidden="false" outlineLevel="0" max="2" min="2" style="224" width="10"/>
    <col collapsed="false" customWidth="false" hidden="false" outlineLevel="0" max="3" min="3" style="224" width="11.5"/>
    <col collapsed="false" customWidth="true" hidden="false" outlineLevel="0" max="4" min="4" style="224" width="10"/>
    <col collapsed="false" customWidth="true" hidden="false" outlineLevel="0" max="5" min="5" style="224" width="12.62"/>
    <col collapsed="false" customWidth="true" hidden="false" outlineLevel="0" max="6" min="6" style="224" width="10"/>
    <col collapsed="false" customWidth="true" hidden="false" outlineLevel="0" max="7" min="7" style="224" width="10.76"/>
    <col collapsed="false" customWidth="true" hidden="false" outlineLevel="0" max="8" min="8" style="224" width="10"/>
    <col collapsed="false" customWidth="true" hidden="false" outlineLevel="0" max="9" min="9" style="225" width="11.12"/>
    <col collapsed="false" customWidth="true" hidden="false" outlineLevel="0" max="10" min="10" style="226" width="10"/>
    <col collapsed="false" customWidth="true" hidden="false" outlineLevel="0" max="11" min="11" style="227" width="10"/>
    <col collapsed="false" customWidth="true" hidden="false" outlineLevel="0" max="13" min="12" style="228" width="10"/>
    <col collapsed="false" customWidth="true" hidden="false" outlineLevel="0" max="14" min="14" style="226" width="10"/>
    <col collapsed="false" customWidth="true" hidden="false" outlineLevel="0" max="15" min="15" style="229" width="10"/>
    <col collapsed="false" customWidth="true" hidden="false" outlineLevel="0" max="30" min="16" style="226" width="10"/>
    <col collapsed="false" customWidth="true" hidden="false" outlineLevel="0" max="1025" min="31" style="224" width="10"/>
  </cols>
  <sheetData>
    <row r="1" s="224" customFormat="true" ht="12.75" hidden="false" customHeight="false" outlineLevel="0" collapsed="false">
      <c r="A1" s="230" t="s">
        <v>418</v>
      </c>
      <c r="B1" s="231" t="str">
        <f aca="false">IF(B10="北京市","北京市",C10)&amp;F10&amp;IF(结果表!G1="在建","出让国有建设用地使用权及在建建筑物",IF(结果表!G1="土地","出让国有建设用地使用权",))&amp;B9&amp;"预评估"</f>
        <v>北京市房地产市场价值预评估</v>
      </c>
      <c r="C1" s="231"/>
      <c r="D1" s="231"/>
      <c r="E1" s="231"/>
      <c r="F1" s="231"/>
      <c r="G1" s="231"/>
      <c r="H1" s="231"/>
      <c r="I1" s="231"/>
      <c r="J1" s="232"/>
      <c r="K1" s="233"/>
      <c r="L1" s="234"/>
      <c r="M1" s="234"/>
      <c r="N1" s="235"/>
      <c r="O1" s="236"/>
      <c r="P1" s="235"/>
      <c r="Q1" s="235"/>
      <c r="R1" s="235"/>
      <c r="S1" s="237" t="str">
        <f aca="false">IF(B10="北京市","北京市",C10)&amp;F10&amp;IF(结果表!G1="在建","出让国有建设用地使用权及在建建筑物房地产抵押价值",IF(结果表!G1="土地","出让国有建设用地使用权抵押价值",B9))</f>
        <v>北京市房地产市场价值</v>
      </c>
      <c r="AC1" s="226"/>
      <c r="AD1" s="226"/>
    </row>
    <row r="2" s="224" customFormat="true" ht="12.75" hidden="false" customHeight="false" outlineLevel="0" collapsed="false">
      <c r="A2" s="238" t="s">
        <v>419</v>
      </c>
      <c r="B2" s="239"/>
      <c r="C2" s="240"/>
      <c r="D2" s="241"/>
      <c r="E2" s="242"/>
      <c r="F2" s="242"/>
      <c r="G2" s="243"/>
      <c r="H2" s="243"/>
      <c r="I2" s="243"/>
      <c r="J2" s="232"/>
      <c r="K2" s="233"/>
      <c r="L2" s="234"/>
      <c r="M2" s="234"/>
      <c r="N2" s="235"/>
      <c r="O2" s="236"/>
      <c r="P2" s="235"/>
      <c r="Q2" s="235"/>
      <c r="R2" s="235"/>
      <c r="S2" s="237" t="str">
        <f aca="false">IF(B10="北京市","北京市",C10)&amp;F10&amp;IF(结果表!G1="在建","出让国有建设用地使用权及在建建筑物房地产",IF(结果表!G1="土地","出让国有建设用地使用权","房地产"))</f>
        <v>北京市房地产</v>
      </c>
      <c r="AC2" s="226"/>
      <c r="AD2" s="226"/>
    </row>
    <row r="3" s="224" customFormat="true" ht="12.75" hidden="false" customHeight="false" outlineLevel="0" collapsed="false">
      <c r="A3" s="244" t="s">
        <v>420</v>
      </c>
      <c r="B3" s="245"/>
      <c r="C3" s="246" t="s">
        <v>336</v>
      </c>
      <c r="D3" s="245" t="n">
        <v>39031</v>
      </c>
      <c r="E3" s="243"/>
      <c r="F3" s="243"/>
      <c r="G3" s="243"/>
      <c r="H3" s="243"/>
      <c r="I3" s="243"/>
      <c r="J3" s="232"/>
      <c r="K3" s="233"/>
      <c r="L3" s="234"/>
      <c r="M3" s="234"/>
      <c r="N3" s="235"/>
      <c r="O3" s="236"/>
      <c r="P3" s="235"/>
      <c r="Q3" s="235"/>
      <c r="R3" s="235"/>
      <c r="S3" s="237"/>
      <c r="AC3" s="226"/>
      <c r="AD3" s="226"/>
    </row>
    <row r="4" s="224" customFormat="true" ht="12.75" hidden="false" customHeight="false" outlineLevel="0" collapsed="false">
      <c r="A4" s="247" t="s">
        <v>421</v>
      </c>
      <c r="B4" s="248"/>
      <c r="C4" s="249" t="n">
        <f aca="false">SUMIF(注册房地产估价师,B4,估价师及机构信息!B3:B24)</f>
        <v>0</v>
      </c>
      <c r="D4" s="248"/>
      <c r="E4" s="250" t="n">
        <f aca="false">SUMIF(注册房地产估价师,D4,估价师及机构信息!B3:B24)</f>
        <v>0</v>
      </c>
      <c r="F4" s="248"/>
      <c r="G4" s="250" t="n">
        <f aca="false">SUMIF(注册房地产估价师,F4,估价师及机构信息!B3:B24)</f>
        <v>0</v>
      </c>
      <c r="H4" s="248"/>
      <c r="I4" s="250" t="n">
        <f aca="false">SUMIF(注册房地产估价师,H4,估价师及机构信息!B3:B24)</f>
        <v>0</v>
      </c>
      <c r="J4" s="251"/>
      <c r="K4" s="252" t="str">
        <f aca="false">CONCATENATE(B4,"（注册号：",C4,")、",D4,"（注册号：",E4,")")</f>
        <v>（注册号：0)、（注册号：0)</v>
      </c>
      <c r="L4" s="234"/>
      <c r="M4" s="234"/>
      <c r="N4" s="235"/>
      <c r="O4" s="236"/>
      <c r="P4" s="235"/>
      <c r="Q4" s="235"/>
      <c r="R4" s="235"/>
      <c r="S4" s="237"/>
      <c r="AC4" s="226"/>
      <c r="AD4" s="226"/>
    </row>
    <row r="5" s="224" customFormat="true" ht="12.75" hidden="false" customHeight="false" outlineLevel="0" collapsed="false">
      <c r="A5" s="253" t="s">
        <v>422</v>
      </c>
      <c r="B5" s="254"/>
      <c r="C5" s="255"/>
      <c r="D5" s="256"/>
      <c r="E5" s="257"/>
      <c r="F5" s="257"/>
      <c r="G5" s="257"/>
      <c r="H5" s="257"/>
      <c r="I5" s="257"/>
      <c r="J5" s="251"/>
      <c r="K5" s="252" t="str">
        <f aca="false">IF(F4="——","",IF(H4="——",F4&amp;"（注册号："&amp;G4&amp;")",CONCATENATE(F4,"（注册号：",G4,")、",H4,"（注册号：",I4,")")))</f>
        <v>（注册号：0)、（注册号：0)</v>
      </c>
      <c r="L5" s="234"/>
      <c r="M5" s="234"/>
      <c r="N5" s="235"/>
      <c r="O5" s="236"/>
      <c r="P5" s="235"/>
      <c r="Q5" s="235"/>
      <c r="R5" s="235"/>
      <c r="AC5" s="226"/>
      <c r="AD5" s="226"/>
    </row>
    <row r="6" customFormat="false" ht="12.75" hidden="false" customHeight="false" outlineLevel="0" collapsed="false">
      <c r="A6" s="258" t="s">
        <v>423</v>
      </c>
      <c r="B6" s="259"/>
      <c r="C6" s="260"/>
      <c r="D6" s="261"/>
      <c r="E6" s="242"/>
      <c r="F6" s="257"/>
      <c r="G6" s="257"/>
      <c r="H6" s="257"/>
      <c r="I6" s="257"/>
      <c r="J6" s="251"/>
      <c r="K6" s="262" t="str">
        <f aca="false">IF(COUNTIF(B6,"*上海银行*"),"上海银行","")</f>
        <v/>
      </c>
      <c r="L6" s="263"/>
      <c r="M6" s="263"/>
      <c r="N6" s="251"/>
      <c r="O6" s="264"/>
      <c r="P6" s="251"/>
      <c r="Q6" s="251"/>
      <c r="R6" s="251"/>
    </row>
    <row r="7" customFormat="false" ht="12.75" hidden="false" customHeight="false" outlineLevel="0" collapsed="false">
      <c r="A7" s="258" t="s">
        <v>424</v>
      </c>
      <c r="B7" s="265"/>
      <c r="C7" s="260"/>
      <c r="D7" s="261"/>
      <c r="E7" s="242"/>
      <c r="F7" s="257"/>
      <c r="G7" s="257"/>
      <c r="H7" s="257"/>
      <c r="I7" s="257"/>
      <c r="J7" s="251"/>
      <c r="K7" s="266"/>
      <c r="L7" s="263"/>
      <c r="M7" s="263"/>
      <c r="N7" s="251"/>
      <c r="O7" s="264"/>
      <c r="P7" s="251"/>
      <c r="Q7" s="251"/>
      <c r="R7" s="251"/>
    </row>
    <row r="8" customFormat="false" ht="12.75" hidden="false" customHeight="true" outlineLevel="0" collapsed="false">
      <c r="A8" s="267" t="s">
        <v>317</v>
      </c>
      <c r="B8" s="268" t="s">
        <v>425</v>
      </c>
      <c r="C8" s="269"/>
      <c r="D8" s="270" t="s">
        <v>426</v>
      </c>
      <c r="E8" s="271" t="s">
        <v>327</v>
      </c>
      <c r="F8" s="272"/>
      <c r="G8" s="243"/>
      <c r="H8" s="243"/>
      <c r="I8" s="243"/>
      <c r="J8" s="251"/>
      <c r="K8" s="273"/>
      <c r="L8" s="263"/>
      <c r="M8" s="263"/>
      <c r="N8" s="251"/>
      <c r="O8" s="264"/>
      <c r="P8" s="251"/>
      <c r="Q8" s="251"/>
      <c r="R8" s="251"/>
    </row>
    <row r="9" customFormat="false" ht="12.75" hidden="false" customHeight="false" outlineLevel="0" collapsed="false">
      <c r="A9" s="274" t="s">
        <v>427</v>
      </c>
      <c r="B9" s="275" t="s">
        <v>428</v>
      </c>
      <c r="C9" s="276"/>
      <c r="D9" s="270"/>
      <c r="E9" s="275"/>
      <c r="F9" s="277"/>
      <c r="G9" s="278"/>
      <c r="H9" s="278"/>
      <c r="I9" s="278"/>
      <c r="J9" s="251"/>
      <c r="K9" s="266"/>
      <c r="L9" s="263"/>
      <c r="M9" s="263"/>
      <c r="N9" s="251"/>
      <c r="O9" s="264"/>
      <c r="P9" s="251"/>
      <c r="Q9" s="251"/>
      <c r="R9" s="251"/>
    </row>
    <row r="10" customFormat="false" ht="12.75" hidden="false" customHeight="false" outlineLevel="0" collapsed="false">
      <c r="A10" s="279" t="s">
        <v>429</v>
      </c>
      <c r="B10" s="280" t="s">
        <v>430</v>
      </c>
      <c r="C10" s="281"/>
      <c r="D10" s="256"/>
      <c r="E10" s="282" t="s">
        <v>431</v>
      </c>
      <c r="F10" s="283"/>
      <c r="G10" s="255"/>
      <c r="H10" s="284"/>
      <c r="I10" s="256"/>
      <c r="J10" s="251"/>
      <c r="K10" s="266"/>
      <c r="L10" s="263"/>
      <c r="M10" s="263"/>
      <c r="N10" s="251"/>
      <c r="O10" s="264"/>
      <c r="P10" s="251"/>
      <c r="Q10" s="251"/>
      <c r="R10" s="251"/>
    </row>
    <row r="11" customFormat="false" ht="12.75" hidden="false" customHeight="false" outlineLevel="0" collapsed="false">
      <c r="A11" s="285" t="s">
        <v>432</v>
      </c>
      <c r="B11" s="286" t="s">
        <v>433</v>
      </c>
      <c r="C11" s="287"/>
      <c r="D11" s="288"/>
      <c r="E11" s="235"/>
      <c r="F11" s="235"/>
      <c r="G11" s="235"/>
      <c r="H11" s="235"/>
      <c r="I11" s="235"/>
      <c r="J11" s="289"/>
      <c r="K11" s="290"/>
      <c r="L11" s="263"/>
      <c r="M11" s="263"/>
      <c r="N11" s="251"/>
      <c r="O11" s="264"/>
      <c r="P11" s="251"/>
      <c r="Q11" s="251"/>
      <c r="R11" s="251"/>
    </row>
    <row r="12" customFormat="false" ht="12.75" hidden="false" customHeight="false" outlineLevel="0" collapsed="false">
      <c r="A12" s="291" t="s">
        <v>434</v>
      </c>
      <c r="B12" s="292" t="s">
        <v>399</v>
      </c>
      <c r="C12" s="293" t="s">
        <v>156</v>
      </c>
      <c r="D12" s="293" t="s">
        <v>157</v>
      </c>
      <c r="E12" s="293" t="s">
        <v>158</v>
      </c>
      <c r="F12" s="293" t="s">
        <v>256</v>
      </c>
      <c r="G12" s="293" t="s">
        <v>161</v>
      </c>
      <c r="H12" s="293" t="s">
        <v>159</v>
      </c>
      <c r="I12" s="294" t="s">
        <v>276</v>
      </c>
      <c r="J12" s="295"/>
      <c r="K12" s="263"/>
      <c r="L12" s="263"/>
      <c r="M12" s="251"/>
      <c r="N12" s="264"/>
      <c r="O12" s="251"/>
      <c r="P12" s="251"/>
      <c r="Q12" s="251"/>
      <c r="AD12" s="224"/>
    </row>
    <row r="13" customFormat="false" ht="12.75" hidden="false" customHeight="false" outlineLevel="0" collapsed="false">
      <c r="A13" s="296" t="s">
        <v>435</v>
      </c>
      <c r="B13" s="297" t="s">
        <v>347</v>
      </c>
      <c r="C13" s="298"/>
      <c r="D13" s="298"/>
      <c r="E13" s="298"/>
      <c r="F13" s="298"/>
      <c r="G13" s="298"/>
      <c r="H13" s="298"/>
      <c r="I13" s="298"/>
      <c r="J13" s="295"/>
      <c r="K13" s="263"/>
      <c r="L13" s="263"/>
      <c r="M13" s="251"/>
      <c r="N13" s="264"/>
      <c r="O13" s="251"/>
      <c r="P13" s="251"/>
      <c r="Q13" s="251"/>
      <c r="AD13" s="224"/>
    </row>
    <row r="14" customFormat="false" ht="12.75" hidden="false" customHeight="false" outlineLevel="0" collapsed="false">
      <c r="A14" s="299"/>
      <c r="B14" s="297" t="s">
        <v>369</v>
      </c>
      <c r="C14" s="300" t="n">
        <v>70</v>
      </c>
      <c r="D14" s="300"/>
      <c r="E14" s="300"/>
      <c r="F14" s="300"/>
      <c r="G14" s="300"/>
      <c r="H14" s="300"/>
      <c r="I14" s="300"/>
      <c r="J14" s="301"/>
      <c r="K14" s="263"/>
      <c r="L14" s="263"/>
      <c r="M14" s="251"/>
      <c r="N14" s="264"/>
      <c r="O14" s="251"/>
      <c r="P14" s="251"/>
      <c r="Q14" s="251"/>
      <c r="AD14" s="224"/>
    </row>
    <row r="15" customFormat="false" ht="12.75" hidden="false" customHeight="false" outlineLevel="0" collapsed="false">
      <c r="A15" s="302"/>
      <c r="B15" s="303" t="s">
        <v>436</v>
      </c>
      <c r="C15" s="304" t="n">
        <f aca="false">IF(A13="出让",IF(C13="","",ROUNDDOWN(MIN((C13-$D$3)/365,C14),2)),C14)</f>
        <v>70</v>
      </c>
      <c r="D15" s="304" t="n">
        <f aca="false">IF(A13="出让",IF(D13="","",ROUNDDOWN(MIN((D13-$D$3)/365,D14),2)),D14)</f>
        <v>0</v>
      </c>
      <c r="E15" s="304" t="n">
        <f aca="false">IF(A13="出让",IF(E13="","",ROUNDDOWN(MIN((E13-$D$3)/365,E14),2)),E14)</f>
        <v>0</v>
      </c>
      <c r="F15" s="304" t="n">
        <f aca="false">IF(A13="出让",IF(F13="","",ROUNDDOWN(MIN((F13-$D$3)/365,F14),2)),F14)</f>
        <v>0</v>
      </c>
      <c r="G15" s="304" t="n">
        <f aca="false">IF(A13="出让",IF(G13="","",ROUNDDOWN(MIN((G13-$D$3)/365,G14),2)),G14)</f>
        <v>0</v>
      </c>
      <c r="H15" s="304" t="n">
        <f aca="false">IF(A13="出让",IF(H13="","",ROUNDDOWN(MIN((H13-$D$3)/365,H14),2)),H14)</f>
        <v>0</v>
      </c>
      <c r="I15" s="304" t="n">
        <f aca="false">IF(A13="出让",IF(I13="","",ROUNDDOWN(MIN((I13-$D$3)/365,I14),2)),I14)</f>
        <v>0</v>
      </c>
      <c r="J15" s="305"/>
      <c r="K15" s="306"/>
      <c r="L15" s="306"/>
      <c r="M15" s="307"/>
      <c r="N15" s="306"/>
      <c r="O15" s="307"/>
      <c r="P15" s="251"/>
      <c r="Q15" s="251"/>
      <c r="AD15" s="224"/>
    </row>
    <row r="16" customFormat="false" ht="12.75" hidden="false" customHeight="false" outlineLevel="0" collapsed="false">
      <c r="A16" s="282" t="s">
        <v>437</v>
      </c>
      <c r="B16" s="308"/>
      <c r="C16" s="308"/>
      <c r="D16" s="308"/>
      <c r="E16" s="309" t="s">
        <v>438</v>
      </c>
      <c r="F16" s="310"/>
      <c r="G16" s="310"/>
      <c r="H16" s="310"/>
      <c r="I16" s="310"/>
      <c r="J16" s="251"/>
      <c r="K16" s="311"/>
      <c r="L16" s="306"/>
      <c r="M16" s="306"/>
      <c r="N16" s="307"/>
      <c r="O16" s="306"/>
      <c r="P16" s="307"/>
      <c r="Q16" s="251"/>
      <c r="R16" s="251"/>
    </row>
    <row r="17" customFormat="false" ht="12.75" hidden="false" customHeight="false" outlineLevel="0" collapsed="false">
      <c r="A17" s="312" t="s">
        <v>439</v>
      </c>
      <c r="B17" s="244" t="s">
        <v>107</v>
      </c>
      <c r="C17" s="313" t="n">
        <f aca="false">'数据-汇总表'!E3</f>
        <v>58.3</v>
      </c>
      <c r="D17" s="314" t="s">
        <v>440</v>
      </c>
      <c r="E17" s="315" t="s">
        <v>441</v>
      </c>
      <c r="F17" s="315"/>
      <c r="G17" s="315"/>
      <c r="H17" s="315"/>
      <c r="I17" s="315"/>
      <c r="J17" s="251"/>
      <c r="K17" s="316"/>
      <c r="L17" s="306"/>
      <c r="M17" s="306"/>
      <c r="N17" s="307"/>
      <c r="O17" s="306"/>
      <c r="P17" s="307"/>
      <c r="Q17" s="251"/>
      <c r="R17" s="251"/>
      <c r="S17" s="251"/>
      <c r="T17" s="251"/>
      <c r="U17" s="251"/>
      <c r="V17" s="251"/>
    </row>
    <row r="18" customFormat="false" ht="24" hidden="false" customHeight="false" outlineLevel="0" collapsed="false">
      <c r="A18" s="317" t="s">
        <v>442</v>
      </c>
      <c r="B18" s="247" t="s">
        <v>443</v>
      </c>
      <c r="C18" s="318" t="n">
        <f aca="false">'数据-汇总表'!D3</f>
        <v>0</v>
      </c>
      <c r="D18" s="319" t="s">
        <v>440</v>
      </c>
      <c r="E18" s="320" t="s">
        <v>444</v>
      </c>
      <c r="F18" s="320"/>
      <c r="G18" s="320"/>
      <c r="H18" s="320"/>
      <c r="I18" s="320"/>
      <c r="J18" s="251"/>
      <c r="K18" s="316"/>
      <c r="L18" s="306"/>
      <c r="M18" s="306"/>
      <c r="N18" s="307"/>
      <c r="O18" s="306"/>
      <c r="P18" s="307"/>
      <c r="Q18" s="251"/>
      <c r="R18" s="251"/>
      <c r="S18" s="251"/>
      <c r="T18" s="251"/>
      <c r="U18" s="251"/>
      <c r="V18" s="251"/>
    </row>
    <row r="19" customFormat="false" ht="36" hidden="false" customHeight="false" outlineLevel="0" collapsed="false">
      <c r="A19" s="321" t="s">
        <v>445</v>
      </c>
      <c r="B19" s="322" t="s">
        <v>446</v>
      </c>
      <c r="C19" s="323"/>
      <c r="D19" s="324" t="s">
        <v>447</v>
      </c>
      <c r="E19" s="325"/>
      <c r="F19" s="326" t="str">
        <f aca="false">IF(AND(C19="是",E19="否"),"是否提供他项权证或相关说明","")</f>
        <v/>
      </c>
      <c r="G19" s="327"/>
      <c r="H19" s="257"/>
      <c r="I19" s="257"/>
      <c r="J19" s="251"/>
      <c r="K19" s="266"/>
      <c r="L19" s="263"/>
      <c r="M19" s="263"/>
      <c r="N19" s="307"/>
      <c r="O19" s="306"/>
      <c r="P19" s="307"/>
      <c r="Q19" s="251"/>
      <c r="R19" s="251"/>
      <c r="S19" s="251"/>
      <c r="T19" s="251"/>
      <c r="U19" s="251"/>
      <c r="V19" s="251"/>
    </row>
    <row r="20" s="224" customFormat="true" ht="12.75" hidden="false" customHeight="true" outlineLevel="0" collapsed="false">
      <c r="A20" s="328" t="s">
        <v>448</v>
      </c>
      <c r="B20" s="329" t="s">
        <v>449</v>
      </c>
      <c r="C20" s="329"/>
      <c r="D20" s="330" t="s">
        <v>450</v>
      </c>
      <c r="E20" s="330"/>
      <c r="F20" s="331" t="s">
        <v>451</v>
      </c>
      <c r="G20" s="257"/>
      <c r="H20" s="257"/>
      <c r="I20" s="257"/>
      <c r="J20" s="251"/>
      <c r="K20" s="332" t="s">
        <v>452</v>
      </c>
      <c r="L20" s="333" t="str">
        <f aca="false">"根据估价对象"&amp;IF(B22="——",B21&amp;C21,B21&amp;C21&amp;"、"&amp;B22&amp;C22)&amp;"，"&amp;IF(C19="是","截至价值时点，估价对象已设定抵押。","截至价值时点，估价对象抵押权未见登记。")</f>
        <v>根据估价对象《房屋所有权证》原件、《国有土地使用权》复印件，截至价值时点，估价对象抵押权未见登记。</v>
      </c>
      <c r="M20" s="234"/>
      <c r="N20" s="334"/>
      <c r="O20" s="335"/>
      <c r="P20" s="334"/>
      <c r="Q20" s="235"/>
      <c r="R20" s="235"/>
      <c r="S20" s="235"/>
      <c r="T20" s="235"/>
      <c r="U20" s="235"/>
      <c r="V20" s="235"/>
      <c r="AC20" s="226"/>
      <c r="AD20" s="226"/>
    </row>
    <row r="21" s="224" customFormat="true" ht="24" hidden="false" customHeight="false" outlineLevel="0" collapsed="false">
      <c r="A21" s="328"/>
      <c r="B21" s="336" t="s">
        <v>453</v>
      </c>
      <c r="C21" s="337" t="s">
        <v>454</v>
      </c>
      <c r="D21" s="338" t="s">
        <v>455</v>
      </c>
      <c r="E21" s="339" t="s">
        <v>454</v>
      </c>
      <c r="F21" s="340"/>
      <c r="G21" s="257"/>
      <c r="H21" s="257"/>
      <c r="I21" s="257"/>
      <c r="J21" s="251"/>
      <c r="K21" s="332"/>
      <c r="L21" s="333" t="str">
        <f aca="false">IF(C19="否","",IF(E19="是","上述抵押权设定日期为"&amp;TEXT(C23,"yyyy年m月d日;;")&amp;"，权利人为"&amp;C24&amp;"，权利范围为"&amp;C25&amp;"，权利价值为"&amp;C26&amp;"。",IF(AND(E19="否",G19="是"),"上述权属证件中未登记该抵押权的具体情况（债权数额、期限等）。根据"&amp;IF(D21="","不动产权利人出具的"&amp;F21,D21&amp;E21)&amp;"，估价对象已抵押给"&amp;E24&amp;"，权利范围为"&amp;E25&amp;"，权利价值为"&amp;E26&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M21" s="234"/>
      <c r="N21" s="334"/>
      <c r="O21" s="335"/>
      <c r="P21" s="334"/>
      <c r="Q21" s="235"/>
      <c r="R21" s="235"/>
      <c r="S21" s="235"/>
      <c r="T21" s="235"/>
      <c r="U21" s="235"/>
      <c r="V21" s="235"/>
      <c r="AC21" s="226"/>
      <c r="AD21" s="226"/>
    </row>
    <row r="22" s="224" customFormat="true" ht="24" hidden="false" customHeight="false" outlineLevel="0" collapsed="false">
      <c r="A22" s="328"/>
      <c r="B22" s="341" t="s">
        <v>456</v>
      </c>
      <c r="C22" s="337" t="s">
        <v>457</v>
      </c>
      <c r="D22" s="243"/>
      <c r="E22" s="243"/>
      <c r="F22" s="243"/>
      <c r="G22" s="257"/>
      <c r="H22" s="257"/>
      <c r="I22" s="257"/>
      <c r="J22" s="251"/>
      <c r="K22" s="332"/>
      <c r="L22" s="333" t="str">
        <f aca="false">IF(E19="否","",IF(结果表!D36="同一抵押权人同一抵押物续贷","由于本次评估为同一抵押权人的续贷房地产抵押估价，故未将已抵押担保的债权数额（"&amp;C26&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c r="M22" s="234"/>
      <c r="N22" s="334"/>
      <c r="O22" s="335"/>
      <c r="P22" s="334"/>
      <c r="Q22" s="235"/>
      <c r="R22" s="235"/>
      <c r="S22" s="235"/>
      <c r="T22" s="235"/>
      <c r="U22" s="235"/>
      <c r="V22" s="235"/>
      <c r="AC22" s="226"/>
      <c r="AD22" s="226"/>
    </row>
    <row r="23" customFormat="false" ht="12.75" hidden="false" customHeight="false" outlineLevel="0" collapsed="false">
      <c r="A23" s="342" t="s">
        <v>458</v>
      </c>
      <c r="B23" s="343" t="s">
        <v>459</v>
      </c>
      <c r="C23" s="344"/>
      <c r="D23" s="345" t="s">
        <v>459</v>
      </c>
      <c r="E23" s="346"/>
      <c r="F23" s="243"/>
      <c r="G23" s="257"/>
      <c r="H23" s="257"/>
      <c r="I23" s="257"/>
      <c r="J23" s="251"/>
      <c r="K23" s="347"/>
      <c r="L23" s="348"/>
      <c r="M23" s="263"/>
      <c r="N23" s="307"/>
      <c r="O23" s="306"/>
      <c r="P23" s="307"/>
      <c r="Q23" s="251"/>
      <c r="R23" s="251"/>
      <c r="S23" s="251"/>
      <c r="T23" s="251"/>
      <c r="U23" s="251"/>
      <c r="V23" s="251"/>
    </row>
    <row r="24" customFormat="false" ht="12.75" hidden="false" customHeight="false" outlineLevel="0" collapsed="false">
      <c r="A24" s="342"/>
      <c r="B24" s="343" t="s">
        <v>460</v>
      </c>
      <c r="C24" s="349"/>
      <c r="D24" s="342" t="s">
        <v>460</v>
      </c>
      <c r="E24" s="350"/>
      <c r="F24" s="243"/>
      <c r="G24" s="257"/>
      <c r="H24" s="257"/>
      <c r="I24" s="257"/>
      <c r="J24" s="251"/>
      <c r="K24" s="347"/>
      <c r="L24" s="348"/>
      <c r="M24" s="263"/>
      <c r="N24" s="307"/>
      <c r="O24" s="306"/>
      <c r="P24" s="307"/>
      <c r="Q24" s="251"/>
      <c r="R24" s="251"/>
      <c r="S24" s="251"/>
      <c r="T24" s="251"/>
      <c r="U24" s="251"/>
      <c r="V24" s="251"/>
    </row>
    <row r="25" customFormat="false" ht="12.75" hidden="false" customHeight="false" outlineLevel="0" collapsed="false">
      <c r="A25" s="342"/>
      <c r="B25" s="343" t="s">
        <v>461</v>
      </c>
      <c r="C25" s="349"/>
      <c r="D25" s="342" t="s">
        <v>461</v>
      </c>
      <c r="E25" s="350"/>
      <c r="F25" s="243"/>
      <c r="G25" s="257"/>
      <c r="H25" s="257"/>
      <c r="I25" s="257"/>
      <c r="J25" s="251"/>
      <c r="K25" s="266"/>
      <c r="L25" s="263"/>
      <c r="M25" s="263"/>
      <c r="N25" s="307"/>
      <c r="O25" s="306"/>
      <c r="P25" s="307"/>
      <c r="Q25" s="251"/>
      <c r="R25" s="251"/>
      <c r="S25" s="251"/>
      <c r="T25" s="251"/>
      <c r="U25" s="251"/>
      <c r="V25" s="251"/>
    </row>
    <row r="26" customFormat="false" ht="12.75" hidden="false" customHeight="false" outlineLevel="0" collapsed="false">
      <c r="A26" s="351"/>
      <c r="B26" s="352" t="s">
        <v>462</v>
      </c>
      <c r="C26" s="353"/>
      <c r="D26" s="354" t="s">
        <v>462</v>
      </c>
      <c r="E26" s="355"/>
      <c r="F26" s="278"/>
      <c r="G26" s="278"/>
      <c r="H26" s="278"/>
      <c r="I26" s="278"/>
      <c r="J26" s="251"/>
      <c r="K26" s="266"/>
      <c r="L26" s="263"/>
      <c r="M26" s="263"/>
      <c r="N26" s="307"/>
      <c r="O26" s="306"/>
      <c r="P26" s="307"/>
      <c r="Q26" s="251"/>
      <c r="R26" s="251"/>
      <c r="S26" s="251"/>
      <c r="T26" s="251"/>
      <c r="U26" s="251"/>
      <c r="V26" s="251"/>
    </row>
    <row r="27" customFormat="false" ht="12.75" hidden="false" customHeight="false" outlineLevel="0" collapsed="false">
      <c r="A27" s="356" t="s">
        <v>463</v>
      </c>
      <c r="B27" s="356" t="s">
        <v>464</v>
      </c>
      <c r="C27" s="357"/>
      <c r="D27" s="358"/>
      <c r="E27" s="257"/>
      <c r="F27" s="257"/>
      <c r="G27" s="257"/>
      <c r="H27" s="257"/>
      <c r="I27" s="257"/>
      <c r="J27" s="251"/>
      <c r="K27" s="311"/>
      <c r="L27" s="306"/>
      <c r="M27" s="306"/>
      <c r="N27" s="307"/>
      <c r="O27" s="306"/>
      <c r="P27" s="307"/>
      <c r="Q27" s="251"/>
      <c r="R27" s="251"/>
      <c r="S27" s="251"/>
      <c r="T27" s="251"/>
      <c r="U27" s="251"/>
      <c r="V27" s="251"/>
    </row>
    <row r="28" customFormat="false" ht="12.75" hidden="false" customHeight="false" outlineLevel="0" collapsed="false">
      <c r="A28" s="356"/>
      <c r="B28" s="244" t="s">
        <v>465</v>
      </c>
      <c r="C28" s="359"/>
      <c r="D28" s="360"/>
      <c r="E28" s="257"/>
      <c r="F28" s="257"/>
      <c r="G28" s="257"/>
      <c r="H28" s="257"/>
      <c r="I28" s="257"/>
      <c r="J28" s="251"/>
      <c r="K28" s="266"/>
      <c r="L28" s="263"/>
      <c r="M28" s="263"/>
      <c r="N28" s="251"/>
      <c r="O28" s="264"/>
      <c r="P28" s="251"/>
      <c r="Q28" s="251"/>
      <c r="R28" s="251"/>
      <c r="S28" s="251"/>
      <c r="T28" s="251"/>
      <c r="U28" s="251"/>
      <c r="V28" s="251"/>
    </row>
    <row r="29" customFormat="false" ht="12.75" hidden="false" customHeight="false" outlineLevel="0" collapsed="false">
      <c r="A29" s="356"/>
      <c r="B29" s="244" t="s">
        <v>466</v>
      </c>
      <c r="C29" s="361"/>
      <c r="D29" s="362"/>
      <c r="E29" s="257"/>
      <c r="F29" s="257"/>
      <c r="G29" s="257"/>
      <c r="H29" s="257"/>
      <c r="I29" s="257"/>
      <c r="J29" s="251"/>
      <c r="K29" s="266"/>
      <c r="L29" s="263"/>
      <c r="M29" s="263"/>
      <c r="N29" s="251"/>
      <c r="O29" s="264"/>
      <c r="P29" s="251"/>
      <c r="Q29" s="251"/>
      <c r="R29" s="251"/>
      <c r="S29" s="251"/>
      <c r="T29" s="251"/>
      <c r="U29" s="251"/>
      <c r="V29" s="251"/>
    </row>
    <row r="30" customFormat="false" ht="12.75" hidden="false" customHeight="false" outlineLevel="0" collapsed="false">
      <c r="A30" s="356"/>
      <c r="B30" s="244" t="s">
        <v>467</v>
      </c>
      <c r="C30" s="363"/>
      <c r="D30" s="363"/>
      <c r="E30" s="257"/>
      <c r="F30" s="257"/>
      <c r="G30" s="257"/>
      <c r="H30" s="257"/>
      <c r="I30" s="257"/>
      <c r="J30" s="251"/>
      <c r="K30" s="266"/>
      <c r="L30" s="263"/>
      <c r="M30" s="263"/>
      <c r="N30" s="251"/>
      <c r="O30" s="264"/>
      <c r="P30" s="251"/>
      <c r="Q30" s="251"/>
      <c r="R30" s="251"/>
      <c r="S30" s="251"/>
      <c r="T30" s="251"/>
      <c r="U30" s="251"/>
      <c r="V30" s="251"/>
    </row>
    <row r="31" customFormat="false" ht="12.75" hidden="false" customHeight="false" outlineLevel="0" collapsed="false">
      <c r="A31" s="364" t="s">
        <v>468</v>
      </c>
      <c r="B31" s="365"/>
      <c r="C31" s="366" t="str">
        <f aca="false">IF(B31="现房","成新及维护状况正常否",IF(B31="在建","工程状态是否正常",IF(B31="土地","是否闲置","-")))</f>
        <v>-</v>
      </c>
      <c r="D31" s="367"/>
      <c r="E31" s="368"/>
      <c r="F31" s="257"/>
      <c r="G31" s="257"/>
      <c r="H31" s="257"/>
      <c r="I31" s="257"/>
      <c r="J31" s="251"/>
      <c r="K31" s="262"/>
      <c r="L31" s="263"/>
      <c r="M31" s="263"/>
      <c r="N31" s="251"/>
      <c r="O31" s="264"/>
      <c r="P31" s="251"/>
      <c r="Q31" s="251"/>
      <c r="R31" s="251"/>
      <c r="S31" s="251"/>
      <c r="T31" s="251"/>
      <c r="U31" s="251"/>
      <c r="V31" s="251"/>
    </row>
    <row r="32" customFormat="false" ht="12.75" hidden="false" customHeight="false" outlineLevel="0" collapsed="false">
      <c r="A32" s="364"/>
      <c r="B32" s="365"/>
      <c r="C32" s="366" t="str">
        <f aca="false">IF(B32="现房","成新及维护状况是否正常",IF(B32="在建","工程状态是否正常",IF(B32="土地","是否闲置","-")))</f>
        <v>-</v>
      </c>
      <c r="D32" s="367"/>
      <c r="E32" s="368"/>
      <c r="F32" s="257"/>
      <c r="G32" s="257"/>
      <c r="H32" s="257"/>
      <c r="I32" s="257"/>
      <c r="J32" s="251"/>
      <c r="K32" s="266"/>
      <c r="L32" s="263"/>
      <c r="M32" s="263"/>
      <c r="N32" s="251"/>
      <c r="O32" s="264"/>
      <c r="P32" s="251"/>
      <c r="Q32" s="251"/>
      <c r="R32" s="251"/>
      <c r="S32" s="251"/>
      <c r="T32" s="251"/>
      <c r="U32" s="251"/>
      <c r="V32" s="251"/>
    </row>
    <row r="33" customFormat="false" ht="12.75" hidden="false" customHeight="false" outlineLevel="0" collapsed="false">
      <c r="A33" s="364"/>
      <c r="B33" s="369"/>
      <c r="C33" s="370" t="str">
        <f aca="false">IF(B33="现房","成新及维护状况是否正常",IF(B33="在建","工程状态是否正常",IF(B33="土地","是否闲置","-")))</f>
        <v>-</v>
      </c>
      <c r="D33" s="371"/>
      <c r="E33" s="372"/>
      <c r="F33" s="257"/>
      <c r="G33" s="257"/>
      <c r="H33" s="257"/>
      <c r="I33" s="257"/>
      <c r="J33" s="251"/>
      <c r="K33" s="266"/>
      <c r="L33" s="263"/>
      <c r="M33" s="263"/>
      <c r="N33" s="251"/>
      <c r="O33" s="264"/>
      <c r="P33" s="251"/>
      <c r="Q33" s="251"/>
      <c r="R33" s="251"/>
      <c r="S33" s="251"/>
      <c r="T33" s="251"/>
      <c r="U33" s="251"/>
      <c r="V33" s="251"/>
    </row>
    <row r="34" customFormat="false" ht="12.75" hidden="false" customHeight="true" outlineLevel="0" collapsed="false">
      <c r="A34" s="244" t="s">
        <v>469</v>
      </c>
      <c r="B34" s="373"/>
      <c r="C34" s="373"/>
      <c r="D34" s="373"/>
      <c r="E34" s="373"/>
      <c r="F34" s="373"/>
      <c r="G34" s="373"/>
      <c r="H34" s="373"/>
      <c r="I34" s="257"/>
      <c r="J34" s="251"/>
      <c r="K34" s="313" t="n">
        <f aca="false">COUNTIF(B34:H34,"——")</f>
        <v>0</v>
      </c>
      <c r="L34" s="292" t="s">
        <v>470</v>
      </c>
      <c r="M34" s="292" t="s">
        <v>471</v>
      </c>
      <c r="N34" s="292" t="s">
        <v>266</v>
      </c>
      <c r="O34" s="292" t="s">
        <v>259</v>
      </c>
      <c r="P34" s="292" t="s">
        <v>251</v>
      </c>
      <c r="Q34" s="292" t="s">
        <v>242</v>
      </c>
      <c r="R34" s="292" t="s">
        <v>232</v>
      </c>
      <c r="S34" s="374" t="s">
        <v>373</v>
      </c>
      <c r="T34" s="292" t="str">
        <f aca="false">numberstring(7-K34,1)&amp;"通"</f>
        <v>七通</v>
      </c>
      <c r="U34" s="251"/>
      <c r="V34" s="251"/>
    </row>
    <row r="35" customFormat="false" ht="12.75" hidden="false" customHeight="true" outlineLevel="0" collapsed="false">
      <c r="A35" s="375"/>
      <c r="B35" s="376" t="s">
        <v>430</v>
      </c>
      <c r="C35" s="376"/>
      <c r="D35" s="376"/>
      <c r="E35" s="376"/>
      <c r="F35" s="377" t="n">
        <f aca="false">C10</f>
        <v>0</v>
      </c>
      <c r="G35" s="257"/>
      <c r="H35" s="257"/>
      <c r="I35" s="257"/>
      <c r="J35" s="251"/>
      <c r="K35" s="292"/>
      <c r="L35" s="292" t="n">
        <f aca="false">B34</f>
        <v>0</v>
      </c>
      <c r="M35" s="378" t="str">
        <f aca="false">B34&amp;"、"&amp;C34</f>
        <v>、</v>
      </c>
      <c r="N35" s="378" t="str">
        <f aca="false">B34&amp;"、"&amp;C34&amp;"、"&amp;D34</f>
        <v>、、</v>
      </c>
      <c r="O35" s="378" t="str">
        <f aca="false">B34&amp;"、"&amp;C34&amp;"、"&amp;D34&amp;"、"&amp;E34</f>
        <v>、、、</v>
      </c>
      <c r="P35" s="378" t="str">
        <f aca="false">B34&amp;"、"&amp;C34&amp;"、"&amp;D34&amp;"、"&amp;E34&amp;"、"&amp;F34</f>
        <v>、、、、</v>
      </c>
      <c r="Q35" s="378" t="str">
        <f aca="false">B34&amp;"、"&amp;C34&amp;"、"&amp;D34&amp;"、"&amp;E34&amp;"、"&amp;F34&amp;"、"&amp;G34</f>
        <v>、、、、、</v>
      </c>
      <c r="R35" s="378" t="str">
        <f aca="false">B34&amp;"、"&amp;C34&amp;"、"&amp;D34&amp;"、"&amp;E34&amp;"、"&amp;F34&amp;"、"&amp;G34&amp;"、"&amp;H34</f>
        <v>、、、、、、</v>
      </c>
      <c r="S35" s="374"/>
      <c r="T35" s="378" t="str">
        <f aca="false">IF(T34="一通",L35,IF(T34="二通",M35,IF(T34="三通",N35,IF(T34="四通",O35,IF(T34="五通",P35,IF(T34="六通",Q35,R35))))))</f>
        <v>、、、、、、</v>
      </c>
      <c r="U35" s="251"/>
      <c r="V35" s="251"/>
    </row>
    <row r="36" customFormat="false" ht="12.75" hidden="false" customHeight="false" outlineLevel="0" collapsed="false">
      <c r="A36" s="379"/>
      <c r="B36" s="376" t="s">
        <v>157</v>
      </c>
      <c r="C36" s="376" t="s">
        <v>158</v>
      </c>
      <c r="D36" s="376" t="s">
        <v>156</v>
      </c>
      <c r="E36" s="376" t="s">
        <v>159</v>
      </c>
      <c r="F36" s="380" t="s">
        <v>276</v>
      </c>
      <c r="G36" s="257"/>
      <c r="H36" s="257"/>
      <c r="I36" s="257"/>
      <c r="J36" s="251"/>
      <c r="K36" s="266"/>
      <c r="L36" s="263"/>
      <c r="M36" s="263"/>
      <c r="N36" s="251"/>
      <c r="O36" s="264"/>
      <c r="P36" s="251"/>
      <c r="Q36" s="251"/>
      <c r="R36" s="251"/>
      <c r="S36" s="251"/>
      <c r="T36" s="251"/>
      <c r="U36" s="251"/>
      <c r="V36" s="251"/>
    </row>
    <row r="37" customFormat="false" ht="12.75" hidden="false" customHeight="false" outlineLevel="0" collapsed="false">
      <c r="A37" s="381" t="s">
        <v>204</v>
      </c>
      <c r="B37" s="382"/>
      <c r="C37" s="382"/>
      <c r="D37" s="382"/>
      <c r="E37" s="382"/>
      <c r="F37" s="382"/>
      <c r="G37" s="257"/>
      <c r="H37" s="257"/>
      <c r="I37" s="257"/>
      <c r="J37" s="251"/>
      <c r="K37" s="266"/>
      <c r="L37" s="263"/>
      <c r="M37" s="263"/>
      <c r="N37" s="251"/>
      <c r="O37" s="264"/>
      <c r="P37" s="251"/>
      <c r="Q37" s="251"/>
      <c r="R37" s="251"/>
      <c r="S37" s="251"/>
      <c r="T37" s="251"/>
      <c r="U37" s="251"/>
      <c r="V37" s="251"/>
    </row>
    <row r="38" customFormat="false" ht="12.75" hidden="false" customHeight="false" outlineLevel="0" collapsed="false">
      <c r="A38" s="383" t="s">
        <v>472</v>
      </c>
      <c r="B38" s="384"/>
      <c r="C38" s="384"/>
      <c r="D38" s="384"/>
      <c r="E38" s="384"/>
      <c r="F38" s="384"/>
      <c r="G38" s="278"/>
      <c r="H38" s="278"/>
      <c r="I38" s="278"/>
      <c r="J38" s="251"/>
      <c r="K38" s="266"/>
      <c r="L38" s="263"/>
      <c r="M38" s="263"/>
      <c r="N38" s="251"/>
      <c r="O38" s="264"/>
      <c r="P38" s="251"/>
      <c r="Q38" s="251"/>
      <c r="R38" s="251"/>
      <c r="S38" s="251"/>
      <c r="T38" s="251"/>
      <c r="U38" s="251"/>
      <c r="V38" s="251"/>
    </row>
    <row r="39" s="391" customFormat="true" ht="12.75" hidden="false" customHeight="false" outlineLevel="0" collapsed="false">
      <c r="A39" s="385" t="s">
        <v>473</v>
      </c>
      <c r="B39" s="386"/>
      <c r="C39" s="386"/>
      <c r="D39" s="386"/>
      <c r="E39" s="386"/>
      <c r="F39" s="386"/>
      <c r="G39" s="386"/>
      <c r="H39" s="386"/>
      <c r="I39" s="386"/>
      <c r="J39" s="387"/>
      <c r="K39" s="388"/>
      <c r="L39" s="387"/>
      <c r="M39" s="387"/>
      <c r="N39" s="387"/>
      <c r="O39" s="389"/>
      <c r="P39" s="387"/>
      <c r="Q39" s="387"/>
      <c r="R39" s="387"/>
      <c r="S39" s="387"/>
      <c r="T39" s="387"/>
      <c r="U39" s="387"/>
      <c r="V39" s="387"/>
      <c r="W39" s="390"/>
      <c r="X39" s="390"/>
      <c r="Y39" s="390"/>
      <c r="Z39" s="390"/>
      <c r="AA39" s="390"/>
      <c r="AB39" s="390"/>
      <c r="AC39" s="390"/>
      <c r="AD39" s="390"/>
    </row>
    <row r="40" customFormat="false" ht="12.75" hidden="false" customHeight="false" outlineLevel="0" collapsed="false">
      <c r="A40" s="235"/>
      <c r="B40" s="235"/>
      <c r="C40" s="235"/>
      <c r="D40" s="235"/>
      <c r="E40" s="235"/>
      <c r="F40" s="235"/>
      <c r="G40" s="235"/>
      <c r="H40" s="235"/>
      <c r="I40" s="392"/>
      <c r="J40" s="307"/>
      <c r="K40" s="262"/>
      <c r="L40" s="306"/>
      <c r="M40" s="306"/>
      <c r="N40" s="307"/>
      <c r="O40" s="306"/>
      <c r="P40" s="251"/>
      <c r="Q40" s="251"/>
      <c r="R40" s="251"/>
      <c r="S40" s="251"/>
      <c r="T40" s="251"/>
      <c r="U40" s="251"/>
      <c r="V40" s="251"/>
    </row>
    <row r="41" customFormat="false" ht="12.75" hidden="false" customHeight="false" outlineLevel="0" collapsed="false">
      <c r="A41" s="393" t="s">
        <v>474</v>
      </c>
      <c r="B41" s="394"/>
      <c r="C41" s="367"/>
      <c r="D41" s="235"/>
      <c r="E41" s="235"/>
      <c r="F41" s="235"/>
      <c r="G41" s="235"/>
      <c r="H41" s="235"/>
      <c r="I41" s="236"/>
      <c r="J41" s="251"/>
      <c r="K41" s="266"/>
      <c r="L41" s="263"/>
      <c r="M41" s="263"/>
      <c r="N41" s="251"/>
      <c r="O41" s="264"/>
      <c r="P41" s="251"/>
      <c r="Q41" s="251"/>
      <c r="R41" s="251"/>
      <c r="S41" s="251"/>
      <c r="T41" s="251"/>
      <c r="U41" s="251"/>
      <c r="V41" s="251"/>
    </row>
    <row r="42" customFormat="false" ht="25.5" hidden="false" customHeight="false" outlineLevel="0" collapsed="false">
      <c r="A42" s="292" t="s">
        <v>475</v>
      </c>
      <c r="B42" s="374" t="s">
        <v>476</v>
      </c>
      <c r="C42" s="374" t="s">
        <v>477</v>
      </c>
      <c r="D42" s="374" t="s">
        <v>478</v>
      </c>
      <c r="E42" s="374" t="s">
        <v>479</v>
      </c>
      <c r="F42" s="374" t="s">
        <v>480</v>
      </c>
      <c r="G42" s="374" t="s">
        <v>481</v>
      </c>
      <c r="H42" s="374" t="s">
        <v>482</v>
      </c>
      <c r="I42" s="374" t="s">
        <v>483</v>
      </c>
      <c r="J42" s="395" t="s">
        <v>484</v>
      </c>
      <c r="K42" s="396" t="s">
        <v>485</v>
      </c>
      <c r="L42" s="396" t="s">
        <v>486</v>
      </c>
      <c r="M42" s="396" t="s">
        <v>487</v>
      </c>
      <c r="N42" s="294" t="s">
        <v>488</v>
      </c>
      <c r="O42" s="294" t="s">
        <v>489</v>
      </c>
      <c r="P42" s="294" t="s">
        <v>490</v>
      </c>
      <c r="Q42" s="397" t="s">
        <v>491</v>
      </c>
      <c r="R42" s="397" t="s">
        <v>492</v>
      </c>
      <c r="S42" s="251"/>
      <c r="T42" s="251"/>
      <c r="U42" s="251"/>
      <c r="V42" s="251"/>
    </row>
    <row r="43" s="226" customFormat="true" ht="12.75" hidden="false" customHeight="false" outlineLevel="0" collapsed="false">
      <c r="A43" s="398"/>
      <c r="B43" s="399"/>
      <c r="C43" s="399"/>
      <c r="D43" s="399"/>
      <c r="E43" s="399"/>
      <c r="F43" s="399"/>
      <c r="G43" s="399"/>
      <c r="H43" s="399"/>
      <c r="I43" s="399"/>
      <c r="J43" s="400"/>
      <c r="K43" s="401"/>
      <c r="L43" s="401"/>
      <c r="M43" s="399"/>
      <c r="N43" s="399"/>
      <c r="O43" s="399"/>
      <c r="P43" s="399"/>
      <c r="Q43" s="399"/>
      <c r="R43" s="399"/>
      <c r="S43" s="251"/>
      <c r="T43" s="251"/>
      <c r="U43" s="251"/>
      <c r="V43" s="251"/>
    </row>
    <row r="44" s="226" customFormat="true" ht="12.75" hidden="false" customHeight="false" outlineLevel="0" collapsed="false">
      <c r="A44" s="398"/>
      <c r="B44" s="398"/>
      <c r="C44" s="399"/>
      <c r="D44" s="399"/>
      <c r="E44" s="399"/>
      <c r="F44" s="399"/>
      <c r="G44" s="399"/>
      <c r="H44" s="399"/>
      <c r="I44" s="399"/>
      <c r="J44" s="400"/>
      <c r="K44" s="401"/>
      <c r="L44" s="401"/>
      <c r="M44" s="399"/>
      <c r="N44" s="399"/>
      <c r="O44" s="399"/>
      <c r="P44" s="399"/>
      <c r="Q44" s="399"/>
      <c r="R44" s="399"/>
      <c r="S44" s="251"/>
      <c r="T44" s="251"/>
      <c r="U44" s="251"/>
      <c r="V44" s="251"/>
    </row>
    <row r="45" s="226" customFormat="true" ht="12.75" hidden="false" customHeight="false" outlineLevel="0" collapsed="false">
      <c r="A45" s="398"/>
      <c r="B45" s="398"/>
      <c r="C45" s="399"/>
      <c r="D45" s="399"/>
      <c r="E45" s="399"/>
      <c r="F45" s="399"/>
      <c r="G45" s="399"/>
      <c r="H45" s="399"/>
      <c r="I45" s="399"/>
      <c r="J45" s="400"/>
      <c r="K45" s="401"/>
      <c r="L45" s="401"/>
      <c r="M45" s="399"/>
      <c r="N45" s="399"/>
      <c r="O45" s="399"/>
      <c r="P45" s="399"/>
      <c r="Q45" s="399"/>
      <c r="R45" s="399"/>
      <c r="S45" s="251"/>
      <c r="T45" s="251"/>
      <c r="U45" s="251"/>
      <c r="V45" s="251"/>
    </row>
    <row r="46" s="226" customFormat="true" ht="12.75" hidden="false" customHeight="false" outlineLevel="0" collapsed="false">
      <c r="A46" s="398"/>
      <c r="B46" s="398"/>
      <c r="C46" s="399"/>
      <c r="D46" s="399"/>
      <c r="E46" s="399"/>
      <c r="F46" s="399"/>
      <c r="G46" s="399"/>
      <c r="H46" s="399"/>
      <c r="I46" s="399"/>
      <c r="J46" s="400"/>
      <c r="K46" s="401"/>
      <c r="L46" s="401"/>
      <c r="M46" s="399"/>
      <c r="N46" s="399"/>
      <c r="O46" s="399"/>
      <c r="P46" s="399"/>
      <c r="Q46" s="399"/>
      <c r="R46" s="399"/>
      <c r="S46" s="251"/>
      <c r="T46" s="251"/>
      <c r="U46" s="251"/>
      <c r="V46" s="251"/>
    </row>
    <row r="47" s="226" customFormat="true" ht="12.75" hidden="false" customHeight="false" outlineLevel="0" collapsed="false">
      <c r="A47" s="398"/>
      <c r="B47" s="398"/>
      <c r="C47" s="399"/>
      <c r="D47" s="399"/>
      <c r="E47" s="399"/>
      <c r="F47" s="399"/>
      <c r="G47" s="399"/>
      <c r="H47" s="399"/>
      <c r="I47" s="399"/>
      <c r="J47" s="400"/>
      <c r="K47" s="401"/>
      <c r="L47" s="401"/>
      <c r="M47" s="399"/>
      <c r="N47" s="399"/>
      <c r="O47" s="399"/>
      <c r="P47" s="399"/>
      <c r="Q47" s="399"/>
      <c r="R47" s="399"/>
      <c r="S47" s="251"/>
      <c r="T47" s="251"/>
      <c r="U47" s="251"/>
      <c r="V47" s="251"/>
    </row>
    <row r="48" s="226" customFormat="true" ht="12.75" hidden="false" customHeight="false" outlineLevel="0" collapsed="false">
      <c r="A48" s="398"/>
      <c r="B48" s="398"/>
      <c r="C48" s="399"/>
      <c r="D48" s="399"/>
      <c r="E48" s="399"/>
      <c r="F48" s="399"/>
      <c r="G48" s="399"/>
      <c r="H48" s="399"/>
      <c r="I48" s="399"/>
      <c r="J48" s="400"/>
      <c r="K48" s="401"/>
      <c r="L48" s="401"/>
      <c r="M48" s="399"/>
      <c r="N48" s="399"/>
      <c r="O48" s="399"/>
      <c r="P48" s="399"/>
      <c r="Q48" s="399"/>
      <c r="R48" s="399"/>
      <c r="S48" s="251"/>
      <c r="T48" s="251"/>
      <c r="U48" s="251"/>
      <c r="V48" s="251"/>
    </row>
    <row r="49" s="226" customFormat="true" ht="12.75" hidden="false" customHeight="false" outlineLevel="0" collapsed="false">
      <c r="A49" s="398"/>
      <c r="B49" s="398"/>
      <c r="C49" s="399"/>
      <c r="D49" s="399"/>
      <c r="E49" s="399"/>
      <c r="F49" s="399"/>
      <c r="G49" s="399"/>
      <c r="H49" s="399"/>
      <c r="I49" s="399"/>
      <c r="J49" s="400"/>
      <c r="K49" s="401"/>
      <c r="L49" s="401"/>
      <c r="M49" s="399"/>
      <c r="N49" s="399"/>
      <c r="O49" s="399"/>
      <c r="P49" s="399"/>
      <c r="Q49" s="399"/>
      <c r="R49" s="399"/>
      <c r="S49" s="251"/>
      <c r="T49" s="251"/>
      <c r="U49" s="251"/>
      <c r="V49" s="251"/>
    </row>
    <row r="50" s="226" customFormat="true" ht="12.75" hidden="false" customHeight="false" outlineLevel="0" collapsed="false">
      <c r="A50" s="398"/>
      <c r="B50" s="398"/>
      <c r="C50" s="399"/>
      <c r="D50" s="399"/>
      <c r="E50" s="399"/>
      <c r="F50" s="399"/>
      <c r="G50" s="399"/>
      <c r="H50" s="399"/>
      <c r="I50" s="399"/>
      <c r="J50" s="400"/>
      <c r="K50" s="401"/>
      <c r="L50" s="401"/>
      <c r="M50" s="399"/>
      <c r="N50" s="399"/>
      <c r="O50" s="399"/>
      <c r="P50" s="399"/>
      <c r="Q50" s="399"/>
      <c r="R50" s="399"/>
      <c r="S50" s="251"/>
      <c r="T50" s="251"/>
      <c r="U50" s="251"/>
      <c r="V50" s="251"/>
    </row>
    <row r="51" s="226" customFormat="true" ht="12.75" hidden="false" customHeight="false" outlineLevel="0" collapsed="false">
      <c r="A51" s="398"/>
      <c r="B51" s="398"/>
      <c r="C51" s="399"/>
      <c r="D51" s="399"/>
      <c r="E51" s="399"/>
      <c r="F51" s="399"/>
      <c r="G51" s="399"/>
      <c r="H51" s="399"/>
      <c r="I51" s="399"/>
      <c r="J51" s="400"/>
      <c r="K51" s="401"/>
      <c r="L51" s="401"/>
      <c r="M51" s="399"/>
      <c r="N51" s="399"/>
      <c r="O51" s="399"/>
      <c r="P51" s="399"/>
      <c r="Q51" s="399"/>
      <c r="R51" s="399"/>
    </row>
    <row r="52" s="226" customFormat="true" ht="12.75" hidden="false" customHeight="false" outlineLevel="0" collapsed="false">
      <c r="A52" s="398"/>
      <c r="B52" s="398"/>
      <c r="C52" s="398"/>
      <c r="D52" s="398"/>
      <c r="E52" s="398"/>
      <c r="F52" s="399"/>
      <c r="G52" s="398"/>
      <c r="H52" s="398"/>
      <c r="I52" s="398"/>
      <c r="J52" s="402"/>
      <c r="K52" s="401"/>
      <c r="L52" s="401"/>
      <c r="M52" s="401"/>
      <c r="N52" s="398"/>
      <c r="O52" s="398"/>
      <c r="P52" s="398"/>
      <c r="Q52" s="398"/>
      <c r="R52" s="398"/>
    </row>
    <row r="53" s="226" customFormat="true" ht="12.75" hidden="false" customHeight="false" outlineLevel="0" collapsed="false">
      <c r="A53" s="398"/>
      <c r="B53" s="398"/>
      <c r="C53" s="398"/>
      <c r="D53" s="398"/>
      <c r="E53" s="398"/>
      <c r="F53" s="399"/>
      <c r="G53" s="398"/>
      <c r="H53" s="398"/>
      <c r="I53" s="398"/>
      <c r="J53" s="402"/>
      <c r="K53" s="401"/>
      <c r="L53" s="401"/>
      <c r="M53" s="401"/>
      <c r="N53" s="398"/>
      <c r="O53" s="398"/>
      <c r="P53" s="398"/>
      <c r="Q53" s="398"/>
      <c r="R53" s="398"/>
    </row>
    <row r="54" s="226" customFormat="true" ht="12.75" hidden="false" customHeight="false" outlineLevel="0" collapsed="false">
      <c r="A54" s="398"/>
      <c r="B54" s="398"/>
      <c r="C54" s="398"/>
      <c r="D54" s="398"/>
      <c r="E54" s="398"/>
      <c r="F54" s="399"/>
      <c r="G54" s="398"/>
      <c r="H54" s="398"/>
      <c r="I54" s="398"/>
      <c r="J54" s="402"/>
      <c r="K54" s="401"/>
      <c r="L54" s="401"/>
      <c r="M54" s="401"/>
      <c r="N54" s="398"/>
      <c r="O54" s="398"/>
      <c r="P54" s="398"/>
      <c r="Q54" s="398"/>
      <c r="R54" s="398"/>
    </row>
    <row r="55" s="226" customFormat="true" ht="12.75" hidden="false" customHeight="false" outlineLevel="0" collapsed="false">
      <c r="A55" s="398"/>
      <c r="B55" s="398"/>
      <c r="C55" s="398"/>
      <c r="D55" s="398"/>
      <c r="E55" s="398"/>
      <c r="F55" s="399"/>
      <c r="G55" s="398"/>
      <c r="H55" s="398"/>
      <c r="I55" s="398"/>
      <c r="J55" s="402"/>
      <c r="K55" s="401"/>
      <c r="L55" s="401"/>
      <c r="M55" s="401"/>
      <c r="N55" s="398"/>
      <c r="O55" s="398"/>
      <c r="P55" s="398"/>
      <c r="Q55" s="398"/>
      <c r="R55" s="398"/>
    </row>
    <row r="56" s="226" customFormat="true" ht="12.75" hidden="false" customHeight="false" outlineLevel="0" collapsed="false">
      <c r="A56" s="398"/>
      <c r="B56" s="398"/>
      <c r="C56" s="398"/>
      <c r="D56" s="398"/>
      <c r="E56" s="398"/>
      <c r="F56" s="399"/>
      <c r="G56" s="398"/>
      <c r="H56" s="398"/>
      <c r="I56" s="398"/>
      <c r="J56" s="402"/>
      <c r="K56" s="401"/>
      <c r="L56" s="401"/>
      <c r="M56" s="401"/>
      <c r="N56" s="398"/>
      <c r="O56" s="398"/>
      <c r="P56" s="398"/>
      <c r="Q56" s="398"/>
      <c r="R56" s="398"/>
    </row>
  </sheetData>
  <sheetProtection sheet="true" password="cee9" objects="true" scenarios="true" formatCells="false" formatColumns="false" formatRows="false"/>
  <mergeCells count="14">
    <mergeCell ref="B1:I1"/>
    <mergeCell ref="D8:D9"/>
    <mergeCell ref="B16:D16"/>
    <mergeCell ref="F16:I16"/>
    <mergeCell ref="E17:I17"/>
    <mergeCell ref="E18:I18"/>
    <mergeCell ref="B20:C20"/>
    <mergeCell ref="D20:E20"/>
    <mergeCell ref="K20:K22"/>
    <mergeCell ref="A27:A30"/>
    <mergeCell ref="C30:D30"/>
    <mergeCell ref="A31:A33"/>
    <mergeCell ref="S34:S35"/>
    <mergeCell ref="B35:E35"/>
  </mergeCells>
  <dataValidations count="24">
    <dataValidation allowBlank="true" operator="between" showDropDown="false" showErrorMessage="true" showInputMessage="true" sqref="B9" type="list">
      <formula1>"房地产抵押价值,房地产市场价值"</formula1>
      <formula2>0</formula2>
    </dataValidation>
    <dataValidation allowBlank="true" operator="between" showDropDown="false" showErrorMessage="true" showInputMessage="true" sqref="B4 D4 F4 H4" type="list">
      <formula1>注册房地产估价师</formula1>
      <formula2>0</formula2>
    </dataValidation>
    <dataValidation allowBlank="true" operator="between" showDropDown="false" showErrorMessage="true" showInputMessage="true" sqref="B8" type="list">
      <formula1>"抵押,核定资产,出让"</formula1>
      <formula2>0</formula2>
    </dataValidation>
    <dataValidation allowBlank="true" operator="between" showDropDown="false" showErrorMessage="true" showInputMessage="true" sqref="E8" type="list">
      <formula1>价值类型2</formula1>
      <formula2>0</formula2>
    </dataValidation>
    <dataValidation allowBlank="true" operator="between" showDropDown="false" showErrorMessage="true" showInputMessage="true" sqref="C29" type="list">
      <formula1>"否,全部为保障性住房,含保障性住房"</formula1>
      <formula2>0</formula2>
    </dataValidation>
    <dataValidation allowBlank="true" operator="between" showDropDown="false" showErrorMessage="true" showInputMessage="true" sqref="E9" type="list">
      <formula1>"抵押净值,——"</formula1>
      <formula2>0</formula2>
    </dataValidation>
    <dataValidation allowBlank="false" operator="between" showDropDown="false" showErrorMessage="true" showInputMessage="true" sqref="B11" type="list">
      <formula1>"自然人,企业"</formula1>
      <formula2>0</formula2>
    </dataValidation>
    <dataValidation allowBlank="true" operator="between" showDropDown="false" showErrorMessage="true" showInputMessage="true" sqref="F38" type="list">
      <formula1>INDIRECT($F$37)</formula1>
      <formula2>0</formula2>
    </dataValidation>
    <dataValidation allowBlank="true" operator="between" showDropDown="false" showErrorMessage="true" showInputMessage="true" sqref="B10" type="list">
      <formula1>"北京市,其他："</formula1>
      <formula2>0</formula2>
    </dataValidation>
    <dataValidation allowBlank="true" operator="between" showDropDown="false" showErrorMessage="true" showInputMessage="true" sqref="A13" type="list">
      <formula1>"出让,划拨"</formula1>
      <formula2>0</formula2>
    </dataValidation>
    <dataValidation allowBlank="true" operator="between" showDropDown="false" showErrorMessage="true" showInputMessage="true" sqref="C14:I14" type="list">
      <formula1>法定最高年限</formula1>
      <formula2>0</formula2>
    </dataValidation>
    <dataValidation allowBlank="true" operator="between" showDropDown="false" showErrorMessage="true" showInputMessage="true" sqref="A18" type="list">
      <formula1>"建筑与土地面积依据相同,——"</formula1>
      <formula2>0</formula2>
    </dataValidation>
    <dataValidation allowBlank="true" operator="between" showDropDown="false" showErrorMessage="true" showInputMessage="true" sqref="C27" type="list">
      <formula1>"居住项目,商业项目,办公项目,工业项目,综合项目（居住、综合）,综合项目（商业、办公）"</formula1>
      <formula2>0</formula2>
    </dataValidation>
    <dataValidation allowBlank="true" operator="between" showDropDown="false" showErrorMessage="true" showInputMessage="true" sqref="C19 E19 G19" type="list">
      <formula1>估价范围判定</formula1>
      <formula2>0</formula2>
    </dataValidation>
    <dataValidation allowBlank="true" operator="between" showDropDown="false" showErrorMessage="true" showInputMessage="true" sqref="C21:C22 E21" type="list">
      <formula1>"原件,复印件,——"</formula1>
      <formula2>0</formula2>
    </dataValidation>
    <dataValidation allowBlank="true" operator="between" showDropDown="false" showErrorMessage="true" showInputMessage="true" sqref="E38" type="list">
      <formula1>INDIRECT($E$37)</formula1>
      <formula2>0</formula2>
    </dataValidation>
    <dataValidation allowBlank="true" operator="between" showDropDown="false" showErrorMessage="true" showInputMessage="true" sqref="C28" type="list">
      <formula1>"无,低密度住宅,商场,酒店,旅游地产,仓储物流,高新技术产业用地,其他特殊："</formula1>
      <formula2>0</formula2>
    </dataValidation>
    <dataValidation allowBlank="true" operator="between" showDropDown="false" showErrorMessage="true" showInputMessage="true" sqref="B34:H34" type="list">
      <formula1>七通一平</formula1>
      <formula2>0</formula2>
    </dataValidation>
    <dataValidation allowBlank="true" operator="between" showDropDown="false" showErrorMessage="true" showInputMessage="true" sqref="B37:F37" type="list">
      <formula1>土地级别</formula1>
      <formula2>0</formula2>
    </dataValidation>
    <dataValidation allowBlank="true" operator="between" showDropDown="false" showErrorMessage="true" showInputMessage="true" sqref="B38" type="list">
      <formula1>INDIRECT(B37)</formula1>
      <formula2>0</formula2>
    </dataValidation>
    <dataValidation allowBlank="true" operator="between" showDropDown="false" showErrorMessage="true" showInputMessage="true" sqref="C38" type="list">
      <formula1>INDIRECT($C$37)</formula1>
      <formula2>0</formula2>
    </dataValidation>
    <dataValidation allowBlank="true" operator="between" showDropDown="false" showErrorMessage="true" showInputMessage="true" sqref="D38" type="list">
      <formula1>INDIRECT($D$37)</formula1>
      <formula2>0</formula2>
    </dataValidation>
    <dataValidation allowBlank="true" operator="between" showDropDown="false" showErrorMessage="true" showInputMessage="true" sqref="B21:B22" type="list">
      <formula1>"《房屋所有权证》,《国有土地使用证》,《不动产权证书》,——"</formula1>
      <formula2>0</formula2>
    </dataValidation>
    <dataValidation allowBlank="false" operator="between" showDropDown="false" showErrorMessage="true" showInputMessage="true" sqref="B31:B33" type="list">
      <formula1>"现房,在建,土地,-"</formula1>
      <formula2>0</formula2>
    </dataValidation>
  </dataValidation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13.xml><?xml version="1.0" encoding="utf-8"?>
<worksheet xmlns="http://schemas.openxmlformats.org/spreadsheetml/2006/main" xmlns:r="http://schemas.openxmlformats.org/officeDocument/2006/relationships">
  <sheetPr filterMode="false">
    <pageSetUpPr fitToPage="true"/>
  </sheetPr>
  <dimension ref="A1:BT59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pane xSplit="4" ySplit="12" topLeftCell="E13" activePane="bottomRight" state="frozen"/>
      <selection pane="topLeft" activeCell="A1" activeCellId="0" sqref="A1"/>
      <selection pane="topRight" activeCell="E1" activeCellId="0" sqref="E1"/>
      <selection pane="bottomLeft" activeCell="A13" activeCellId="0" sqref="A13"/>
      <selection pane="bottomRight" activeCell="I14" activeCellId="0" sqref="I14"/>
    </sheetView>
  </sheetViews>
  <sheetFormatPr defaultRowHeight="14.25" zeroHeight="false" outlineLevelRow="0" outlineLevelCol="0"/>
  <cols>
    <col collapsed="false" customWidth="true" hidden="false" outlineLevel="0" max="1" min="1" style="157" width="10.62"/>
    <col collapsed="false" customWidth="true" hidden="false" outlineLevel="0" max="2" min="2" style="157" width="11"/>
    <col collapsed="false" customWidth="true" hidden="false" outlineLevel="0" max="3" min="3" style="157" width="10.38"/>
    <col collapsed="false" customWidth="true" hidden="false" outlineLevel="0" max="4" min="4" style="157" width="9.12"/>
    <col collapsed="false" customWidth="true" hidden="false" outlineLevel="0" max="6" min="5" style="403" width="10"/>
    <col collapsed="false" customWidth="true" hidden="false" outlineLevel="0" max="8" min="7" style="157" width="10"/>
    <col collapsed="false" customWidth="true" hidden="false" outlineLevel="0" max="9" min="9" style="157" width="10.62"/>
    <col collapsed="false" customWidth="true" hidden="false" outlineLevel="0" max="10" min="10" style="157" width="9.5"/>
    <col collapsed="false" customWidth="true" hidden="false" outlineLevel="0" max="11" min="11" style="157" width="11"/>
    <col collapsed="false" customWidth="true" hidden="false" outlineLevel="0" max="14" min="12" style="157" width="9.5"/>
    <col collapsed="false" customWidth="true" hidden="false" outlineLevel="0" max="15" min="15" style="157" width="9.88"/>
    <col collapsed="false" customWidth="true" hidden="false" outlineLevel="0" max="16" min="16" style="157" width="9.76"/>
    <col collapsed="false" customWidth="true" hidden="false" outlineLevel="0" max="17" min="17" style="157" width="9.38"/>
    <col collapsed="false" customWidth="true" hidden="false" outlineLevel="0" max="18" min="18" style="157" width="9.26"/>
    <col collapsed="false" customWidth="true" hidden="false" outlineLevel="0" max="19" min="19" style="157" width="10.88"/>
    <col collapsed="false" customWidth="true" hidden="false" outlineLevel="0" max="21" min="20" style="157" width="10.76"/>
    <col collapsed="false" customWidth="true" hidden="false" outlineLevel="0" max="22" min="22" style="157" width="10.88"/>
    <col collapsed="false" customWidth="true" hidden="false" outlineLevel="0" max="27" min="23" style="157" width="10.76"/>
    <col collapsed="false" customWidth="true" hidden="false" outlineLevel="0" max="28" min="28" style="157" width="10.88"/>
    <col collapsed="false" customWidth="true" hidden="false" outlineLevel="0" max="29" min="29" style="157" width="11"/>
    <col collapsed="false" customWidth="true" hidden="false" outlineLevel="0" max="30" min="30" style="157" width="10"/>
    <col collapsed="false" customWidth="true" hidden="false" outlineLevel="0" max="31" min="31" style="157" width="9.76"/>
    <col collapsed="false" customWidth="true" hidden="false" outlineLevel="0" max="46" min="32" style="157" width="9.5"/>
    <col collapsed="false" customWidth="true" hidden="false" outlineLevel="0" max="47" min="47" style="157" width="18.12"/>
    <col collapsed="false" customWidth="true" hidden="false" outlineLevel="0" max="50" min="48" style="157" width="9.76"/>
    <col collapsed="false" customWidth="true" hidden="false" outlineLevel="0" max="55" min="51" style="157" width="10.5"/>
    <col collapsed="false" customWidth="true" hidden="false" outlineLevel="0" max="56" min="56" style="157" width="9.5"/>
    <col collapsed="false" customWidth="true" hidden="false" outlineLevel="0" max="63" min="57" style="157" width="9.12"/>
    <col collapsed="false" customWidth="true" hidden="false" outlineLevel="0" max="64" min="64" style="157" width="9.5"/>
    <col collapsed="false" customWidth="true" hidden="false" outlineLevel="0" max="65" min="65" style="157" width="9.12"/>
    <col collapsed="false" customWidth="true" hidden="false" outlineLevel="0" max="66" min="66" style="157" width="9.5"/>
    <col collapsed="false" customWidth="true" hidden="false" outlineLevel="0" max="69" min="67" style="157" width="9.12"/>
    <col collapsed="false" customWidth="true" hidden="false" outlineLevel="0" max="70" min="70" style="157" width="9.5"/>
    <col collapsed="false" customWidth="true" hidden="false" outlineLevel="0" max="71" min="71" style="157" width="9"/>
    <col collapsed="false" customWidth="true" hidden="false" outlineLevel="0" max="72" min="72" style="157" width="9.12"/>
    <col collapsed="false" customWidth="true" hidden="false" outlineLevel="0" max="1025" min="73" style="157" width="8.88"/>
  </cols>
  <sheetData>
    <row r="1" customFormat="false" ht="20.25" hidden="false" customHeight="false" outlineLevel="0" collapsed="false">
      <c r="A1" s="404" t="s">
        <v>493</v>
      </c>
      <c r="B1" s="155"/>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405" t="s">
        <v>494</v>
      </c>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row>
    <row r="2" s="225" customFormat="true" ht="24" hidden="false" customHeight="false" outlineLevel="0" collapsed="false">
      <c r="A2" s="374" t="s">
        <v>443</v>
      </c>
      <c r="B2" s="374" t="s">
        <v>107</v>
      </c>
      <c r="C2" s="374" t="s">
        <v>495</v>
      </c>
      <c r="D2" s="236"/>
      <c r="E2" s="406"/>
      <c r="F2" s="392"/>
      <c r="G2" s="236"/>
      <c r="H2" s="236"/>
      <c r="I2" s="236"/>
      <c r="J2" s="236"/>
      <c r="K2" s="236"/>
      <c r="L2" s="236"/>
      <c r="M2" s="236"/>
      <c r="N2" s="236"/>
      <c r="O2" s="236"/>
      <c r="P2" s="236"/>
      <c r="Q2" s="236"/>
      <c r="R2" s="236"/>
      <c r="S2" s="236"/>
      <c r="T2" s="236"/>
      <c r="U2" s="236"/>
      <c r="V2" s="236"/>
      <c r="W2" s="236"/>
      <c r="X2" s="236"/>
      <c r="Y2" s="236"/>
      <c r="Z2" s="236"/>
      <c r="AA2" s="236"/>
      <c r="AB2" s="236"/>
      <c r="AC2" s="236"/>
      <c r="AD2" s="236"/>
      <c r="AE2" s="236"/>
      <c r="AF2" s="236"/>
      <c r="AG2" s="236"/>
      <c r="AH2" s="236"/>
      <c r="AI2" s="236"/>
      <c r="AJ2" s="236"/>
      <c r="AK2" s="236"/>
      <c r="AL2" s="236"/>
      <c r="AM2" s="236"/>
      <c r="AN2" s="236"/>
      <c r="AO2" s="236"/>
      <c r="AP2" s="236"/>
      <c r="AQ2" s="236"/>
      <c r="AR2" s="236"/>
      <c r="AS2" s="236"/>
      <c r="AT2" s="236"/>
      <c r="AU2" s="236"/>
      <c r="AV2" s="236"/>
      <c r="AW2" s="236"/>
      <c r="AX2" s="236"/>
      <c r="AY2" s="407" t="s">
        <v>496</v>
      </c>
      <c r="AZ2" s="408" t="s">
        <v>497</v>
      </c>
      <c r="BA2" s="374" t="s">
        <v>498</v>
      </c>
      <c r="BB2" s="236"/>
      <c r="BC2" s="236"/>
      <c r="BD2" s="236"/>
      <c r="BE2" s="236"/>
      <c r="BF2" s="236"/>
      <c r="BG2" s="236"/>
      <c r="BH2" s="236"/>
      <c r="BI2" s="236"/>
      <c r="BJ2" s="236"/>
      <c r="BK2" s="236"/>
      <c r="BL2" s="236"/>
      <c r="BM2" s="236"/>
      <c r="BN2" s="236"/>
      <c r="BO2" s="236"/>
      <c r="BP2" s="236"/>
      <c r="BQ2" s="236"/>
      <c r="BR2" s="236"/>
      <c r="BS2" s="236"/>
      <c r="BT2" s="236"/>
    </row>
    <row r="3" s="225" customFormat="true" ht="12.75" hidden="false" customHeight="false" outlineLevel="0" collapsed="false">
      <c r="A3" s="409"/>
      <c r="B3" s="304" t="n">
        <f aca="false">IF(C3="否",G5-AT5,G5)</f>
        <v>58.3</v>
      </c>
      <c r="C3" s="410" t="s">
        <v>238</v>
      </c>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411"/>
      <c r="AZ3" s="399"/>
      <c r="BA3" s="412"/>
      <c r="BB3" s="236"/>
      <c r="BC3" s="236"/>
      <c r="BD3" s="236"/>
      <c r="BE3" s="236"/>
      <c r="BF3" s="236"/>
      <c r="BG3" s="236"/>
      <c r="BH3" s="236"/>
      <c r="BI3" s="236"/>
      <c r="BJ3" s="236"/>
      <c r="BK3" s="236"/>
      <c r="BL3" s="236"/>
      <c r="BM3" s="236"/>
      <c r="BN3" s="236"/>
      <c r="BO3" s="236"/>
      <c r="BP3" s="236"/>
      <c r="BQ3" s="236"/>
      <c r="BR3" s="236"/>
      <c r="BS3" s="236"/>
      <c r="BT3" s="236"/>
    </row>
    <row r="4" s="417" customFormat="true" ht="12.75" hidden="false" customHeight="false" outlineLevel="0" collapsed="false">
      <c r="A4" s="413"/>
      <c r="B4" s="414"/>
      <c r="C4" s="415"/>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416"/>
      <c r="BB4" s="236"/>
      <c r="BC4" s="236"/>
      <c r="BD4" s="236"/>
      <c r="BE4" s="236"/>
      <c r="BF4" s="236"/>
      <c r="BG4" s="236"/>
      <c r="BH4" s="236"/>
      <c r="BI4" s="236"/>
      <c r="BJ4" s="236"/>
      <c r="BK4" s="236"/>
      <c r="BL4" s="236"/>
      <c r="BM4" s="236"/>
      <c r="BN4" s="236"/>
      <c r="BO4" s="236"/>
      <c r="BP4" s="236"/>
      <c r="BQ4" s="236"/>
      <c r="BR4" s="236"/>
      <c r="BS4" s="236"/>
      <c r="BT4" s="236"/>
    </row>
    <row r="5" s="225" customFormat="true" ht="12.75" hidden="false" customHeight="false" outlineLevel="0" collapsed="false">
      <c r="A5" s="418" t="s">
        <v>499</v>
      </c>
      <c r="B5" s="419"/>
      <c r="C5" s="419"/>
      <c r="D5" s="420"/>
      <c r="E5" s="421" t="s">
        <v>122</v>
      </c>
      <c r="F5" s="421" t="n">
        <f aca="false">SUM(F13:F587)</f>
        <v>0</v>
      </c>
      <c r="G5" s="421" t="n">
        <f aca="false">SUM(G13:G587)</f>
        <v>58.3</v>
      </c>
      <c r="H5" s="421" t="n">
        <f aca="false">SUM(H13:H656)</f>
        <v>58.3</v>
      </c>
      <c r="I5" s="421" t="n">
        <f aca="false">SUM(I13:I656)</f>
        <v>58.3</v>
      </c>
      <c r="J5" s="421" t="n">
        <f aca="false">SUM(J13:J656)</f>
        <v>0</v>
      </c>
      <c r="K5" s="421" t="n">
        <f aca="false">SUM(K13:K656)</f>
        <v>0</v>
      </c>
      <c r="L5" s="421" t="n">
        <f aca="false">SUM(L13:L656)</f>
        <v>0</v>
      </c>
      <c r="M5" s="421" t="n">
        <f aca="false">SUM(M13:M656)</f>
        <v>0</v>
      </c>
      <c r="N5" s="421" t="n">
        <f aca="false">SUM(N13:N656)</f>
        <v>0</v>
      </c>
      <c r="O5" s="421" t="n">
        <f aca="false">SUM(O13:O656)</f>
        <v>0</v>
      </c>
      <c r="P5" s="421" t="n">
        <f aca="false">SUM(P13:P656)</f>
        <v>0</v>
      </c>
      <c r="Q5" s="421" t="n">
        <f aca="false">SUM(Q13:Q656)</f>
        <v>0</v>
      </c>
      <c r="R5" s="421" t="n">
        <f aca="false">SUM(R13:R656)</f>
        <v>0</v>
      </c>
      <c r="S5" s="421" t="n">
        <f aca="false">SUM(S13:S656)</f>
        <v>0</v>
      </c>
      <c r="T5" s="421" t="n">
        <f aca="false">SUM(T13:T656)</f>
        <v>0</v>
      </c>
      <c r="U5" s="421" t="n">
        <f aca="false">SUM(U13:U656)</f>
        <v>0</v>
      </c>
      <c r="V5" s="421" t="n">
        <f aca="false">SUM(V13:V656)</f>
        <v>0</v>
      </c>
      <c r="W5" s="421" t="n">
        <f aca="false">SUM(W13:W656)</f>
        <v>0</v>
      </c>
      <c r="X5" s="421" t="n">
        <f aca="false">SUM(X13:X656)</f>
        <v>0</v>
      </c>
      <c r="Y5" s="421" t="n">
        <f aca="false">SUM(Y13:Y656)</f>
        <v>0</v>
      </c>
      <c r="Z5" s="421" t="n">
        <f aca="false">SUM(Z13:Z656)</f>
        <v>0</v>
      </c>
      <c r="AA5" s="421" t="n">
        <f aca="false">SUM(AA13:AA656)</f>
        <v>0</v>
      </c>
      <c r="AB5" s="421" t="n">
        <f aca="false">SUM(AB13:AB656)</f>
        <v>0</v>
      </c>
      <c r="AC5" s="421" t="n">
        <f aca="false">SUM(AC13:AC656)</f>
        <v>0</v>
      </c>
      <c r="AD5" s="421" t="n">
        <f aca="false">SUM(AD13:AD656)</f>
        <v>0</v>
      </c>
      <c r="AE5" s="421" t="n">
        <f aca="false">SUM(AE13:AE656)</f>
        <v>0</v>
      </c>
      <c r="AF5" s="421" t="n">
        <f aca="false">SUM(AF13:AF656)</f>
        <v>0</v>
      </c>
      <c r="AG5" s="421" t="n">
        <f aca="false">SUM(AG13:AG656)</f>
        <v>0</v>
      </c>
      <c r="AH5" s="421" t="n">
        <f aca="false">SUM(AH13:AH656)</f>
        <v>0</v>
      </c>
      <c r="AI5" s="421" t="n">
        <f aca="false">SUM(AI13:AI656)</f>
        <v>0</v>
      </c>
      <c r="AJ5" s="421" t="n">
        <f aca="false">SUM(AJ13:AJ656)</f>
        <v>0</v>
      </c>
      <c r="AK5" s="421" t="n">
        <f aca="false">SUM(AK13:AK656)</f>
        <v>0</v>
      </c>
      <c r="AL5" s="421" t="n">
        <f aca="false">SUM(AL13:AL656)</f>
        <v>0</v>
      </c>
      <c r="AM5" s="421" t="n">
        <f aca="false">SUM(AM13:AM656)</f>
        <v>0</v>
      </c>
      <c r="AN5" s="421" t="n">
        <f aca="false">SUM(AN13:AN656)</f>
        <v>0</v>
      </c>
      <c r="AO5" s="421" t="n">
        <f aca="false">SUM(AO13:AO656)</f>
        <v>0</v>
      </c>
      <c r="AP5" s="421" t="n">
        <f aca="false">SUM(AP13:AP656)</f>
        <v>0</v>
      </c>
      <c r="AQ5" s="421" t="n">
        <f aca="false">SUM(AQ13:AQ656)</f>
        <v>0</v>
      </c>
      <c r="AR5" s="421" t="n">
        <f aca="false">SUM(AR13:AR656)</f>
        <v>0</v>
      </c>
      <c r="AS5" s="421" t="n">
        <f aca="false">SUM(AS13:AS656)</f>
        <v>0</v>
      </c>
      <c r="AT5" s="421" t="n">
        <f aca="false">SUM(AT13:AT656)</f>
        <v>0</v>
      </c>
      <c r="AU5" s="422"/>
      <c r="AV5" s="418" t="s">
        <v>499</v>
      </c>
      <c r="AW5" s="419"/>
      <c r="AX5" s="419"/>
      <c r="AY5" s="423" t="s">
        <v>122</v>
      </c>
      <c r="AZ5" s="424" t="n">
        <f aca="false">SUM(AZ13:AZ656)</f>
        <v>58.3</v>
      </c>
      <c r="BA5" s="424" t="n">
        <f aca="false">SUM(BA13:BA656)</f>
        <v>58.3</v>
      </c>
      <c r="BB5" s="424" t="n">
        <f aca="false">SUM(BB13:BB656)</f>
        <v>58.3</v>
      </c>
      <c r="BC5" s="424" t="n">
        <f aca="false">SUM(BC13:BC656)</f>
        <v>0</v>
      </c>
      <c r="BD5" s="424" t="n">
        <f aca="false">SUM(BD13:BD656)</f>
        <v>0</v>
      </c>
      <c r="BE5" s="424" t="n">
        <f aca="false">SUM(BE13:BE656)</f>
        <v>0</v>
      </c>
      <c r="BF5" s="424" t="n">
        <f aca="false">SUM(BF13:BF656)</f>
        <v>0</v>
      </c>
      <c r="BG5" s="424" t="n">
        <f aca="false">SUM(BG13:BG656)</f>
        <v>0</v>
      </c>
      <c r="BH5" s="424" t="n">
        <f aca="false">SUM(BH13:BH656)</f>
        <v>0</v>
      </c>
      <c r="BI5" s="424" t="n">
        <f aca="false">SUM(BI13:BI656)</f>
        <v>0</v>
      </c>
      <c r="BJ5" s="424" t="n">
        <f aca="false">SUM(BJ13:BJ656)</f>
        <v>0</v>
      </c>
      <c r="BK5" s="424" t="n">
        <f aca="false">SUM(BK13:BK656)</f>
        <v>0</v>
      </c>
      <c r="BL5" s="424" t="n">
        <f aca="false">SUM(BL13:BL656)</f>
        <v>0</v>
      </c>
      <c r="BM5" s="424" t="n">
        <f aca="false">SUM(BM13:BM656)</f>
        <v>0</v>
      </c>
      <c r="BN5" s="424" t="n">
        <f aca="false">SUM(BN13:BN656)</f>
        <v>0</v>
      </c>
      <c r="BO5" s="424" t="n">
        <f aca="false">SUM(BO13:BO656)</f>
        <v>0</v>
      </c>
      <c r="BP5" s="424" t="n">
        <f aca="false">SUM(BP13:BP656)</f>
        <v>0</v>
      </c>
      <c r="BQ5" s="424" t="n">
        <f aca="false">SUM(BQ13:BQ656)</f>
        <v>0</v>
      </c>
      <c r="BR5" s="424" t="n">
        <f aca="false">SUM(BR13:BR656)</f>
        <v>0</v>
      </c>
      <c r="BS5" s="424" t="n">
        <f aca="false">SUM(BS13:BS656)</f>
        <v>0</v>
      </c>
      <c r="BT5" s="425" t="n">
        <f aca="false">SUM(BT13:BT656)</f>
        <v>0</v>
      </c>
    </row>
    <row r="6" s="432" customFormat="true" ht="12.75" hidden="false" customHeight="false" outlineLevel="0" collapsed="false">
      <c r="A6" s="418" t="s">
        <v>500</v>
      </c>
      <c r="B6" s="426"/>
      <c r="C6" s="426"/>
      <c r="D6" s="427"/>
      <c r="E6" s="421" t="n">
        <f aca="false">H6+AC6+AT6</f>
        <v>0</v>
      </c>
      <c r="F6" s="421" t="s">
        <v>122</v>
      </c>
      <c r="G6" s="421" t="s">
        <v>122</v>
      </c>
      <c r="H6" s="428" t="n">
        <f aca="false">SUMIF(I$12:AB$12,"总值",I6:AB6)</f>
        <v>0</v>
      </c>
      <c r="I6" s="421" t="n">
        <f aca="false">ROUND($A$3*I5/$B$3,2)</f>
        <v>0</v>
      </c>
      <c r="J6" s="421" t="n">
        <f aca="false">ROUND($A$3*J5/$B$3,2)</f>
        <v>0</v>
      </c>
      <c r="K6" s="421" t="n">
        <f aca="false">ROUND($A$3*K5/$B$3,2)</f>
        <v>0</v>
      </c>
      <c r="L6" s="421" t="n">
        <f aca="false">ROUND($A$3*L5/$B$3,2)</f>
        <v>0</v>
      </c>
      <c r="M6" s="421" t="n">
        <f aca="false">ROUND($A$3*M5/$B$3,2)</f>
        <v>0</v>
      </c>
      <c r="N6" s="421" t="n">
        <f aca="false">ROUND($A$3*N5/$B$3,2)</f>
        <v>0</v>
      </c>
      <c r="O6" s="421" t="n">
        <f aca="false">ROUND($A$3*O5/$B$3,2)</f>
        <v>0</v>
      </c>
      <c r="P6" s="421" t="n">
        <f aca="false">ROUND($A$3*P5/$B$3,2)</f>
        <v>0</v>
      </c>
      <c r="Q6" s="421" t="n">
        <f aca="false">ROUND($A$3*Q5/$B$3,2)</f>
        <v>0</v>
      </c>
      <c r="R6" s="421" t="n">
        <f aca="false">ROUND($A$3*R5/$B$3,2)</f>
        <v>0</v>
      </c>
      <c r="S6" s="421" t="n">
        <f aca="false">ROUND($A$3*S5/$B$3,2)</f>
        <v>0</v>
      </c>
      <c r="T6" s="421" t="n">
        <f aca="false">ROUND($A$3*T5/$B$3,2)</f>
        <v>0</v>
      </c>
      <c r="U6" s="421" t="n">
        <f aca="false">ROUND($A$3*U5/$B$3,2)</f>
        <v>0</v>
      </c>
      <c r="V6" s="421" t="n">
        <f aca="false">ROUND($A$3*V5/$B$3,2)</f>
        <v>0</v>
      </c>
      <c r="W6" s="421" t="n">
        <f aca="false">ROUND($A$3*W5/$B$3,2)</f>
        <v>0</v>
      </c>
      <c r="X6" s="421" t="n">
        <f aca="false">ROUND($A$3*X5/$B$3,2)</f>
        <v>0</v>
      </c>
      <c r="Y6" s="421" t="n">
        <f aca="false">ROUND($A$3*Y5/$B$3,2)</f>
        <v>0</v>
      </c>
      <c r="Z6" s="421" t="n">
        <f aca="false">ROUND($A$3*Z5/$B$3,2)</f>
        <v>0</v>
      </c>
      <c r="AA6" s="421" t="n">
        <f aca="false">ROUND($A$3*AA5/$B$3,2)</f>
        <v>0</v>
      </c>
      <c r="AB6" s="421" t="n">
        <f aca="false">ROUND($A$3*AB5/$B$3,2)</f>
        <v>0</v>
      </c>
      <c r="AC6" s="428" t="n">
        <f aca="false">SUMIF(AD$12:AS$12,"总值",AD6:AS6)</f>
        <v>0</v>
      </c>
      <c r="AD6" s="421" t="n">
        <f aca="false">ROUND($A$3*AD5/$B$3,2)</f>
        <v>0</v>
      </c>
      <c r="AE6" s="421" t="n">
        <f aca="false">ROUND($A$3*AE5/$B$3,2)</f>
        <v>0</v>
      </c>
      <c r="AF6" s="421" t="n">
        <f aca="false">ROUND($A$3*AF5/$B$3,2)</f>
        <v>0</v>
      </c>
      <c r="AG6" s="421" t="n">
        <f aca="false">ROUND($A$3*AG5/$B$3,2)</f>
        <v>0</v>
      </c>
      <c r="AH6" s="421" t="n">
        <f aca="false">ROUND($A$3*AH5/$B$3,2)</f>
        <v>0</v>
      </c>
      <c r="AI6" s="421" t="n">
        <f aca="false">ROUND($A$3*AI5/$B$3,2)</f>
        <v>0</v>
      </c>
      <c r="AJ6" s="421" t="n">
        <f aca="false">ROUND($A$3*AJ5/$B$3,2)</f>
        <v>0</v>
      </c>
      <c r="AK6" s="421" t="n">
        <f aca="false">ROUND($A$3*AK5/$B$3,2)</f>
        <v>0</v>
      </c>
      <c r="AL6" s="421" t="n">
        <f aca="false">ROUND($A$3*AL5/$B$3,2)</f>
        <v>0</v>
      </c>
      <c r="AM6" s="421" t="n">
        <f aca="false">ROUND($A$3*AM5/$B$3,2)</f>
        <v>0</v>
      </c>
      <c r="AN6" s="421" t="n">
        <f aca="false">ROUND($A$3*AN5/$B$3,2)</f>
        <v>0</v>
      </c>
      <c r="AO6" s="421" t="n">
        <f aca="false">ROUND($A$3*AO5/$B$3,2)</f>
        <v>0</v>
      </c>
      <c r="AP6" s="421" t="n">
        <f aca="false">ROUND($A$3*AP5/$B$3,2)</f>
        <v>0</v>
      </c>
      <c r="AQ6" s="421" t="n">
        <f aca="false">ROUND($A$3*AQ5/$B$3,2)</f>
        <v>0</v>
      </c>
      <c r="AR6" s="421" t="n">
        <f aca="false">ROUND($A$3*AR5/$B$3,2)</f>
        <v>0</v>
      </c>
      <c r="AS6" s="421" t="n">
        <f aca="false">ROUND($A$3*AS5/$B$3,2)</f>
        <v>0</v>
      </c>
      <c r="AT6" s="428" t="n">
        <f aca="false">IF(C3="是",ROUND($A$3*AT5/$B$3,2),0)</f>
        <v>0</v>
      </c>
      <c r="AU6" s="429"/>
      <c r="AV6" s="418" t="s">
        <v>500</v>
      </c>
      <c r="AW6" s="426"/>
      <c r="AX6" s="426"/>
      <c r="AY6" s="430" t="n">
        <f aca="false">IF(AY3&gt;0,AY3,ROUND($A$3*AZ5/$B$3,2))</f>
        <v>0</v>
      </c>
      <c r="AZ6" s="421" t="s">
        <v>122</v>
      </c>
      <c r="BA6" s="421" t="n">
        <f aca="false">ROUND($AY$6*BA5/$AZ$5,2)</f>
        <v>0</v>
      </c>
      <c r="BB6" s="421" t="n">
        <f aca="false">ROUND($AY$6*BB5/$AZ$5,2)</f>
        <v>0</v>
      </c>
      <c r="BC6" s="421" t="n">
        <f aca="false">ROUND($AY$6*BC5/$AZ$5,2)</f>
        <v>0</v>
      </c>
      <c r="BD6" s="421" t="n">
        <f aca="false">ROUND($AY$6*BD5/$AZ$5,2)</f>
        <v>0</v>
      </c>
      <c r="BE6" s="421" t="n">
        <f aca="false">ROUND($AY$6*BE5/$AZ$5,2)</f>
        <v>0</v>
      </c>
      <c r="BF6" s="421" t="n">
        <f aca="false">ROUND($AY$6*BF5/$AZ$5,2)</f>
        <v>0</v>
      </c>
      <c r="BG6" s="421" t="n">
        <f aca="false">ROUND($AY$6*BG5/$AZ$5,2)</f>
        <v>0</v>
      </c>
      <c r="BH6" s="421" t="n">
        <f aca="false">ROUND($AY$6*BH5/$AZ$5,2)</f>
        <v>0</v>
      </c>
      <c r="BI6" s="421" t="n">
        <f aca="false">ROUND($AY$6*BI5/$AZ$5,2)</f>
        <v>0</v>
      </c>
      <c r="BJ6" s="421" t="n">
        <f aca="false">ROUND($AY$6*BJ5/$AZ$5,2)</f>
        <v>0</v>
      </c>
      <c r="BK6" s="421" t="n">
        <f aca="false">ROUND($AY$6*BK5/$AZ$5,2)</f>
        <v>0</v>
      </c>
      <c r="BL6" s="421" t="n">
        <f aca="false">ROUND($AY$6*BL5/$AZ$5,2)</f>
        <v>0</v>
      </c>
      <c r="BM6" s="421" t="n">
        <f aca="false">ROUND($AY$6*BM5/$AZ$5,2)</f>
        <v>0</v>
      </c>
      <c r="BN6" s="421" t="n">
        <f aca="false">ROUND($AY$6*BN5/$AZ$5,2)</f>
        <v>0</v>
      </c>
      <c r="BO6" s="421" t="n">
        <f aca="false">ROUND($AY$6*BO5/$AZ$5,2)</f>
        <v>0</v>
      </c>
      <c r="BP6" s="421" t="n">
        <f aca="false">ROUND($AY$6*BP5/$AZ$5,2)</f>
        <v>0</v>
      </c>
      <c r="BQ6" s="421" t="n">
        <f aca="false">ROUND($AY$6*BQ5/$AZ$5,2)</f>
        <v>0</v>
      </c>
      <c r="BR6" s="421" t="n">
        <f aca="false">ROUND($AY$6*BR5/$AZ$5,2)</f>
        <v>0</v>
      </c>
      <c r="BS6" s="421" t="n">
        <f aca="false">ROUND($AY$6*BS5/$AZ$5,2)</f>
        <v>0</v>
      </c>
      <c r="BT6" s="431" t="n">
        <f aca="false">ROUND($AY$6*BT5/$AZ$5,2)</f>
        <v>0</v>
      </c>
    </row>
    <row r="7" s="225" customFormat="true" ht="24.75" hidden="false" customHeight="false" outlineLevel="0" collapsed="false">
      <c r="A7" s="332" t="s">
        <v>501</v>
      </c>
      <c r="B7" s="332" t="s">
        <v>502</v>
      </c>
      <c r="C7" s="332" t="s">
        <v>476</v>
      </c>
      <c r="D7" s="332" t="s">
        <v>503</v>
      </c>
      <c r="E7" s="332" t="s">
        <v>500</v>
      </c>
      <c r="F7" s="332" t="s">
        <v>504</v>
      </c>
      <c r="G7" s="433" t="s">
        <v>505</v>
      </c>
      <c r="H7" s="434"/>
      <c r="I7" s="434"/>
      <c r="J7" s="434"/>
      <c r="K7" s="434"/>
      <c r="L7" s="434"/>
      <c r="M7" s="434"/>
      <c r="N7" s="434"/>
      <c r="O7" s="434"/>
      <c r="P7" s="434"/>
      <c r="Q7" s="434"/>
      <c r="R7" s="434"/>
      <c r="S7" s="434"/>
      <c r="T7" s="434"/>
      <c r="U7" s="434"/>
      <c r="V7" s="434"/>
      <c r="W7" s="434"/>
      <c r="X7" s="434"/>
      <c r="Y7" s="434"/>
      <c r="Z7" s="434"/>
      <c r="AA7" s="434"/>
      <c r="AB7" s="434"/>
      <c r="AC7" s="434"/>
      <c r="AD7" s="434"/>
      <c r="AE7" s="434"/>
      <c r="AF7" s="434"/>
      <c r="AG7" s="434"/>
      <c r="AH7" s="434"/>
      <c r="AI7" s="434"/>
      <c r="AJ7" s="434"/>
      <c r="AK7" s="434"/>
      <c r="AL7" s="434"/>
      <c r="AM7" s="434"/>
      <c r="AN7" s="434"/>
      <c r="AO7" s="434"/>
      <c r="AP7" s="434"/>
      <c r="AQ7" s="434"/>
      <c r="AR7" s="434"/>
      <c r="AS7" s="434"/>
      <c r="AT7" s="420"/>
      <c r="AU7" s="435" t="s">
        <v>506</v>
      </c>
      <c r="AV7" s="436" t="s">
        <v>501</v>
      </c>
      <c r="AW7" s="437" t="s">
        <v>502</v>
      </c>
      <c r="AX7" s="436" t="s">
        <v>476</v>
      </c>
      <c r="AY7" s="438" t="s">
        <v>507</v>
      </c>
      <c r="AZ7" s="439"/>
      <c r="BA7" s="434"/>
      <c r="BB7" s="434"/>
      <c r="BC7" s="434"/>
      <c r="BD7" s="434"/>
      <c r="BE7" s="434"/>
      <c r="BF7" s="434"/>
      <c r="BG7" s="434"/>
      <c r="BH7" s="434"/>
      <c r="BI7" s="434"/>
      <c r="BJ7" s="434"/>
      <c r="BK7" s="434"/>
      <c r="BL7" s="434"/>
      <c r="BM7" s="434"/>
      <c r="BN7" s="434"/>
      <c r="BO7" s="434"/>
      <c r="BP7" s="434"/>
      <c r="BQ7" s="434"/>
      <c r="BR7" s="434"/>
      <c r="BS7" s="434"/>
      <c r="BT7" s="440"/>
    </row>
    <row r="8" s="454" customFormat="true" ht="24" hidden="false" customHeight="false" outlineLevel="0" collapsed="false">
      <c r="A8" s="441"/>
      <c r="B8" s="441"/>
      <c r="C8" s="441"/>
      <c r="D8" s="441"/>
      <c r="E8" s="441"/>
      <c r="F8" s="441"/>
      <c r="G8" s="442" t="s">
        <v>345</v>
      </c>
      <c r="H8" s="443" t="s">
        <v>508</v>
      </c>
      <c r="I8" s="444"/>
      <c r="J8" s="445"/>
      <c r="K8" s="445"/>
      <c r="L8" s="445"/>
      <c r="M8" s="445"/>
      <c r="N8" s="445"/>
      <c r="O8" s="445"/>
      <c r="P8" s="445"/>
      <c r="Q8" s="445"/>
      <c r="R8" s="445"/>
      <c r="S8" s="445"/>
      <c r="T8" s="445"/>
      <c r="U8" s="445"/>
      <c r="V8" s="446"/>
      <c r="W8" s="445"/>
      <c r="X8" s="445"/>
      <c r="Y8" s="445"/>
      <c r="Z8" s="445"/>
      <c r="AA8" s="446"/>
      <c r="AB8" s="447"/>
      <c r="AC8" s="448" t="s">
        <v>509</v>
      </c>
      <c r="AD8" s="449"/>
      <c r="AE8" s="439"/>
      <c r="AF8" s="445"/>
      <c r="AG8" s="445"/>
      <c r="AH8" s="445"/>
      <c r="AI8" s="445"/>
      <c r="AJ8" s="445"/>
      <c r="AK8" s="445"/>
      <c r="AL8" s="445"/>
      <c r="AM8" s="445"/>
      <c r="AN8" s="445"/>
      <c r="AO8" s="445"/>
      <c r="AP8" s="445"/>
      <c r="AQ8" s="445"/>
      <c r="AR8" s="445"/>
      <c r="AS8" s="445"/>
      <c r="AT8" s="450" t="s">
        <v>510</v>
      </c>
      <c r="AU8" s="451" t="s">
        <v>511</v>
      </c>
      <c r="AV8" s="450"/>
      <c r="AW8" s="406"/>
      <c r="AX8" s="450"/>
      <c r="AY8" s="437" t="s">
        <v>500</v>
      </c>
      <c r="AZ8" s="452" t="s">
        <v>107</v>
      </c>
      <c r="BA8" s="445"/>
      <c r="BB8" s="445"/>
      <c r="BC8" s="445"/>
      <c r="BD8" s="445"/>
      <c r="BE8" s="445"/>
      <c r="BF8" s="445"/>
      <c r="BG8" s="445"/>
      <c r="BH8" s="445"/>
      <c r="BI8" s="445"/>
      <c r="BJ8" s="445"/>
      <c r="BK8" s="445"/>
      <c r="BL8" s="445"/>
      <c r="BM8" s="445"/>
      <c r="BN8" s="445"/>
      <c r="BO8" s="445"/>
      <c r="BP8" s="445"/>
      <c r="BQ8" s="445"/>
      <c r="BR8" s="445"/>
      <c r="BS8" s="445"/>
      <c r="BT8" s="453"/>
    </row>
    <row r="9" s="454" customFormat="true" ht="12.75" hidden="false" customHeight="false" outlineLevel="0" collapsed="false">
      <c r="A9" s="441"/>
      <c r="B9" s="441"/>
      <c r="C9" s="441"/>
      <c r="D9" s="441"/>
      <c r="E9" s="441"/>
      <c r="F9" s="441"/>
      <c r="G9" s="450"/>
      <c r="H9" s="455" t="s">
        <v>512</v>
      </c>
      <c r="I9" s="456" t="s">
        <v>228</v>
      </c>
      <c r="J9" s="448"/>
      <c r="K9" s="456"/>
      <c r="L9" s="448"/>
      <c r="M9" s="456"/>
      <c r="N9" s="448"/>
      <c r="O9" s="456"/>
      <c r="P9" s="448"/>
      <c r="Q9" s="456"/>
      <c r="R9" s="448"/>
      <c r="S9" s="456"/>
      <c r="T9" s="448"/>
      <c r="U9" s="456"/>
      <c r="V9" s="448"/>
      <c r="W9" s="456"/>
      <c r="X9" s="457"/>
      <c r="Y9" s="456"/>
      <c r="Z9" s="448"/>
      <c r="AA9" s="456"/>
      <c r="AB9" s="448"/>
      <c r="AC9" s="442" t="s">
        <v>512</v>
      </c>
      <c r="AD9" s="418" t="s">
        <v>228</v>
      </c>
      <c r="AE9" s="458"/>
      <c r="AF9" s="418" t="s">
        <v>248</v>
      </c>
      <c r="AG9" s="458"/>
      <c r="AH9" s="418" t="s">
        <v>228</v>
      </c>
      <c r="AI9" s="458"/>
      <c r="AJ9" s="418" t="s">
        <v>248</v>
      </c>
      <c r="AK9" s="458"/>
      <c r="AL9" s="418" t="s">
        <v>228</v>
      </c>
      <c r="AM9" s="458"/>
      <c r="AN9" s="418" t="s">
        <v>248</v>
      </c>
      <c r="AO9" s="458"/>
      <c r="AP9" s="418" t="s">
        <v>228</v>
      </c>
      <c r="AQ9" s="458"/>
      <c r="AR9" s="418" t="s">
        <v>248</v>
      </c>
      <c r="AS9" s="459"/>
      <c r="AT9" s="441"/>
      <c r="AU9" s="451" t="s">
        <v>513</v>
      </c>
      <c r="AV9" s="450"/>
      <c r="AW9" s="406"/>
      <c r="AX9" s="450"/>
      <c r="AY9" s="460"/>
      <c r="AZ9" s="461" t="s">
        <v>345</v>
      </c>
      <c r="BA9" s="462" t="s">
        <v>514</v>
      </c>
      <c r="BB9" s="463"/>
      <c r="BC9" s="464"/>
      <c r="BD9" s="464"/>
      <c r="BE9" s="464"/>
      <c r="BF9" s="464"/>
      <c r="BG9" s="464"/>
      <c r="BH9" s="464"/>
      <c r="BI9" s="464"/>
      <c r="BJ9" s="464"/>
      <c r="BK9" s="465"/>
      <c r="BL9" s="418" t="s">
        <v>515</v>
      </c>
      <c r="BM9" s="445"/>
      <c r="BN9" s="444"/>
      <c r="BO9" s="445"/>
      <c r="BP9" s="445"/>
      <c r="BQ9" s="445"/>
      <c r="BR9" s="445"/>
      <c r="BS9" s="445"/>
      <c r="BT9" s="453"/>
    </row>
    <row r="10" s="454" customFormat="true" ht="12.75" hidden="false" customHeight="false" outlineLevel="0" collapsed="false">
      <c r="A10" s="441"/>
      <c r="B10" s="441"/>
      <c r="C10" s="441"/>
      <c r="D10" s="441"/>
      <c r="E10" s="441"/>
      <c r="F10" s="441"/>
      <c r="G10" s="450"/>
      <c r="H10" s="460"/>
      <c r="I10" s="456" t="s">
        <v>156</v>
      </c>
      <c r="J10" s="448"/>
      <c r="K10" s="466"/>
      <c r="L10" s="448"/>
      <c r="M10" s="466"/>
      <c r="N10" s="448"/>
      <c r="O10" s="466"/>
      <c r="P10" s="448"/>
      <c r="Q10" s="466"/>
      <c r="R10" s="448"/>
      <c r="S10" s="466"/>
      <c r="T10" s="448"/>
      <c r="U10" s="466"/>
      <c r="V10" s="448"/>
      <c r="W10" s="466"/>
      <c r="X10" s="448"/>
      <c r="Y10" s="466"/>
      <c r="Z10" s="448"/>
      <c r="AA10" s="466"/>
      <c r="AB10" s="448"/>
      <c r="AC10" s="450"/>
      <c r="AD10" s="418" t="s">
        <v>218</v>
      </c>
      <c r="AE10" s="467"/>
      <c r="AF10" s="418" t="s">
        <v>218</v>
      </c>
      <c r="AG10" s="467"/>
      <c r="AH10" s="418" t="s">
        <v>516</v>
      </c>
      <c r="AI10" s="467"/>
      <c r="AJ10" s="418" t="s">
        <v>516</v>
      </c>
      <c r="AK10" s="467"/>
      <c r="AL10" s="418" t="s">
        <v>517</v>
      </c>
      <c r="AM10" s="458"/>
      <c r="AN10" s="418" t="s">
        <v>517</v>
      </c>
      <c r="AO10" s="458"/>
      <c r="AP10" s="418" t="s">
        <v>518</v>
      </c>
      <c r="AQ10" s="458"/>
      <c r="AR10" s="418" t="s">
        <v>518</v>
      </c>
      <c r="AS10" s="458"/>
      <c r="AT10" s="441"/>
      <c r="AU10" s="441"/>
      <c r="AV10" s="450"/>
      <c r="AW10" s="406"/>
      <c r="AX10" s="450"/>
      <c r="AY10" s="460"/>
      <c r="AZ10" s="460"/>
      <c r="BA10" s="468" t="s">
        <v>512</v>
      </c>
      <c r="BB10" s="469" t="str">
        <f aca="false">I9</f>
        <v>地上</v>
      </c>
      <c r="BC10" s="470" t="n">
        <f aca="false">K9</f>
        <v>0</v>
      </c>
      <c r="BD10" s="470" t="n">
        <f aca="false">M9</f>
        <v>0</v>
      </c>
      <c r="BE10" s="470" t="n">
        <f aca="false">O9</f>
        <v>0</v>
      </c>
      <c r="BF10" s="470" t="n">
        <f aca="false">Q9</f>
        <v>0</v>
      </c>
      <c r="BG10" s="470" t="n">
        <f aca="false">S9</f>
        <v>0</v>
      </c>
      <c r="BH10" s="470" t="n">
        <f aca="false">U9</f>
        <v>0</v>
      </c>
      <c r="BI10" s="470" t="n">
        <f aca="false">W9</f>
        <v>0</v>
      </c>
      <c r="BJ10" s="470" t="n">
        <f aca="false">Y9</f>
        <v>0</v>
      </c>
      <c r="BK10" s="470" t="n">
        <f aca="false">AA9</f>
        <v>0</v>
      </c>
      <c r="BL10" s="471" t="s">
        <v>512</v>
      </c>
      <c r="BM10" s="452" t="str">
        <f aca="false">AD9</f>
        <v>地上</v>
      </c>
      <c r="BN10" s="470" t="str">
        <f aca="false">AF9</f>
        <v>地下</v>
      </c>
      <c r="BO10" s="452" t="str">
        <f aca="false">AH9</f>
        <v>地上</v>
      </c>
      <c r="BP10" s="470" t="str">
        <f aca="false">AJ9</f>
        <v>地下</v>
      </c>
      <c r="BQ10" s="452" t="str">
        <f aca="false">AL9</f>
        <v>地上</v>
      </c>
      <c r="BR10" s="470" t="str">
        <f aca="false">AN9</f>
        <v>地下</v>
      </c>
      <c r="BS10" s="452" t="str">
        <f aca="false">AP9</f>
        <v>地上</v>
      </c>
      <c r="BT10" s="472" t="str">
        <f aca="false">AR9</f>
        <v>地下</v>
      </c>
    </row>
    <row r="11" s="454" customFormat="true" ht="12.75" hidden="false" customHeight="false" outlineLevel="0" collapsed="false">
      <c r="A11" s="441"/>
      <c r="B11" s="441"/>
      <c r="C11" s="441"/>
      <c r="D11" s="441"/>
      <c r="E11" s="441"/>
      <c r="F11" s="441"/>
      <c r="G11" s="450"/>
      <c r="H11" s="468"/>
      <c r="I11" s="473" t="s">
        <v>235</v>
      </c>
      <c r="J11" s="474"/>
      <c r="K11" s="473"/>
      <c r="L11" s="474"/>
      <c r="M11" s="473"/>
      <c r="N11" s="474"/>
      <c r="O11" s="473"/>
      <c r="P11" s="474"/>
      <c r="Q11" s="473"/>
      <c r="R11" s="474"/>
      <c r="S11" s="473"/>
      <c r="T11" s="474"/>
      <c r="U11" s="473"/>
      <c r="V11" s="474"/>
      <c r="W11" s="473"/>
      <c r="X11" s="474"/>
      <c r="Y11" s="473"/>
      <c r="Z11" s="474"/>
      <c r="AA11" s="473"/>
      <c r="AB11" s="474"/>
      <c r="AC11" s="450"/>
      <c r="AD11" s="475" t="s">
        <v>519</v>
      </c>
      <c r="AE11" s="476"/>
      <c r="AF11" s="475" t="s">
        <v>519</v>
      </c>
      <c r="AG11" s="476"/>
      <c r="AH11" s="475" t="s">
        <v>520</v>
      </c>
      <c r="AI11" s="477"/>
      <c r="AJ11" s="475" t="s">
        <v>520</v>
      </c>
      <c r="AK11" s="476"/>
      <c r="AL11" s="452"/>
      <c r="AM11" s="476"/>
      <c r="AN11" s="452"/>
      <c r="AO11" s="476"/>
      <c r="AP11" s="452"/>
      <c r="AQ11" s="476"/>
      <c r="AR11" s="452"/>
      <c r="AS11" s="476"/>
      <c r="AT11" s="406"/>
      <c r="AU11" s="441"/>
      <c r="AV11" s="450"/>
      <c r="AW11" s="406"/>
      <c r="AX11" s="450"/>
      <c r="AY11" s="460"/>
      <c r="AZ11" s="460"/>
      <c r="BA11" s="460"/>
      <c r="BB11" s="447" t="str">
        <f aca="false">I10</f>
        <v>住宅</v>
      </c>
      <c r="BC11" s="447" t="n">
        <f aca="false">K10</f>
        <v>0</v>
      </c>
      <c r="BD11" s="447" t="n">
        <f aca="false">M10</f>
        <v>0</v>
      </c>
      <c r="BE11" s="447" t="n">
        <f aca="false">O10</f>
        <v>0</v>
      </c>
      <c r="BF11" s="447" t="n">
        <f aca="false">Q10</f>
        <v>0</v>
      </c>
      <c r="BG11" s="447" t="n">
        <f aca="false">S10</f>
        <v>0</v>
      </c>
      <c r="BH11" s="447" t="n">
        <f aca="false">U10</f>
        <v>0</v>
      </c>
      <c r="BI11" s="447" t="n">
        <f aca="false">W10</f>
        <v>0</v>
      </c>
      <c r="BJ11" s="447" t="n">
        <f aca="false">Y10</f>
        <v>0</v>
      </c>
      <c r="BK11" s="447" t="n">
        <f aca="false">AA10</f>
        <v>0</v>
      </c>
      <c r="BL11" s="450"/>
      <c r="BM11" s="452" t="str">
        <f aca="false">AD10</f>
        <v>公共配套设施</v>
      </c>
      <c r="BN11" s="452" t="str">
        <f aca="false">AF10</f>
        <v>公共配套设施</v>
      </c>
      <c r="BO11" s="478" t="str">
        <f aca="false">AH10</f>
        <v>物业管理用房</v>
      </c>
      <c r="BP11" s="478" t="str">
        <f aca="false">AJ10</f>
        <v>物业管理用房</v>
      </c>
      <c r="BQ11" s="478" t="str">
        <f aca="false">AL10</f>
        <v>设备及其他</v>
      </c>
      <c r="BR11" s="478" t="str">
        <f aca="false">AN10</f>
        <v>设备及其他</v>
      </c>
      <c r="BS11" s="471" t="str">
        <f aca="false">AP10</f>
        <v>未注明</v>
      </c>
      <c r="BT11" s="479" t="str">
        <f aca="false">AR10</f>
        <v>未注明</v>
      </c>
    </row>
    <row r="12" s="225" customFormat="true" ht="12.75" hidden="false" customHeight="false" outlineLevel="0" collapsed="false">
      <c r="A12" s="480"/>
      <c r="B12" s="480"/>
      <c r="C12" s="480"/>
      <c r="D12" s="480"/>
      <c r="E12" s="480"/>
      <c r="F12" s="480"/>
      <c r="G12" s="481"/>
      <c r="H12" s="482"/>
      <c r="I12" s="483" t="s">
        <v>521</v>
      </c>
      <c r="J12" s="374" t="s">
        <v>522</v>
      </c>
      <c r="K12" s="374" t="s">
        <v>521</v>
      </c>
      <c r="L12" s="374" t="s">
        <v>522</v>
      </c>
      <c r="M12" s="374" t="s">
        <v>521</v>
      </c>
      <c r="N12" s="374" t="s">
        <v>522</v>
      </c>
      <c r="O12" s="374" t="s">
        <v>521</v>
      </c>
      <c r="P12" s="374" t="s">
        <v>522</v>
      </c>
      <c r="Q12" s="374" t="s">
        <v>521</v>
      </c>
      <c r="R12" s="374" t="s">
        <v>522</v>
      </c>
      <c r="S12" s="374" t="s">
        <v>521</v>
      </c>
      <c r="T12" s="374" t="s">
        <v>522</v>
      </c>
      <c r="U12" s="374" t="s">
        <v>521</v>
      </c>
      <c r="V12" s="484" t="s">
        <v>522</v>
      </c>
      <c r="W12" s="374" t="s">
        <v>521</v>
      </c>
      <c r="X12" s="374" t="s">
        <v>522</v>
      </c>
      <c r="Y12" s="374" t="s">
        <v>521</v>
      </c>
      <c r="Z12" s="374" t="s">
        <v>522</v>
      </c>
      <c r="AA12" s="374" t="s">
        <v>521</v>
      </c>
      <c r="AB12" s="374" t="s">
        <v>522</v>
      </c>
      <c r="AC12" s="485"/>
      <c r="AD12" s="483" t="s">
        <v>521</v>
      </c>
      <c r="AE12" s="374" t="s">
        <v>522</v>
      </c>
      <c r="AF12" s="374" t="s">
        <v>521</v>
      </c>
      <c r="AG12" s="374" t="s">
        <v>522</v>
      </c>
      <c r="AH12" s="374" t="s">
        <v>521</v>
      </c>
      <c r="AI12" s="374" t="s">
        <v>522</v>
      </c>
      <c r="AJ12" s="374" t="s">
        <v>521</v>
      </c>
      <c r="AK12" s="374" t="s">
        <v>522</v>
      </c>
      <c r="AL12" s="374" t="s">
        <v>521</v>
      </c>
      <c r="AM12" s="374" t="s">
        <v>522</v>
      </c>
      <c r="AN12" s="374" t="s">
        <v>521</v>
      </c>
      <c r="AO12" s="374" t="s">
        <v>522</v>
      </c>
      <c r="AP12" s="374" t="s">
        <v>521</v>
      </c>
      <c r="AQ12" s="374" t="s">
        <v>522</v>
      </c>
      <c r="AR12" s="486" t="s">
        <v>521</v>
      </c>
      <c r="AS12" s="487" t="s">
        <v>522</v>
      </c>
      <c r="AT12" s="488"/>
      <c r="AU12" s="480"/>
      <c r="AV12" s="489"/>
      <c r="AW12" s="392"/>
      <c r="AX12" s="489"/>
      <c r="AY12" s="490"/>
      <c r="AZ12" s="460"/>
      <c r="BA12" s="468"/>
      <c r="BB12" s="478" t="str">
        <f aca="false">I11</f>
        <v>平层住宅</v>
      </c>
      <c r="BC12" s="491" t="n">
        <f aca="false">K11</f>
        <v>0</v>
      </c>
      <c r="BD12" s="491" t="n">
        <f aca="false">M11</f>
        <v>0</v>
      </c>
      <c r="BE12" s="447" t="n">
        <f aca="false">O11</f>
        <v>0</v>
      </c>
      <c r="BF12" s="447" t="n">
        <f aca="false">Q11</f>
        <v>0</v>
      </c>
      <c r="BG12" s="447" t="n">
        <f aca="false">S11</f>
        <v>0</v>
      </c>
      <c r="BH12" s="447" t="n">
        <f aca="false">U11</f>
        <v>0</v>
      </c>
      <c r="BI12" s="447" t="n">
        <f aca="false">W11</f>
        <v>0</v>
      </c>
      <c r="BJ12" s="447" t="n">
        <f aca="false">Y11</f>
        <v>0</v>
      </c>
      <c r="BK12" s="447" t="n">
        <f aca="false">AA11</f>
        <v>0</v>
      </c>
      <c r="BL12" s="450"/>
      <c r="BM12" s="452" t="str">
        <f aca="false">AD11</f>
        <v>（住宅）</v>
      </c>
      <c r="BN12" s="452" t="str">
        <f aca="false">AF11</f>
        <v>（住宅）</v>
      </c>
      <c r="BO12" s="478" t="str">
        <f aca="false">AH11</f>
        <v>（住宅、计出让金）</v>
      </c>
      <c r="BP12" s="478" t="str">
        <f aca="false">AJ11</f>
        <v>（住宅、计出让金）</v>
      </c>
      <c r="BQ12" s="478" t="n">
        <f aca="false">AL11</f>
        <v>0</v>
      </c>
      <c r="BR12" s="478" t="n">
        <f aca="false">AN11</f>
        <v>0</v>
      </c>
      <c r="BS12" s="471" t="n">
        <f aca="false">AP11</f>
        <v>0</v>
      </c>
      <c r="BT12" s="479" t="n">
        <f aca="false">AR11</f>
        <v>0</v>
      </c>
    </row>
    <row r="13" s="225" customFormat="true" ht="12.75" hidden="false" customHeight="false" outlineLevel="0" collapsed="false">
      <c r="A13" s="399"/>
      <c r="B13" s="399"/>
      <c r="C13" s="399" t="n">
        <v>405</v>
      </c>
      <c r="D13" s="492" t="s">
        <v>227</v>
      </c>
      <c r="E13" s="421" t="n">
        <f aca="false">IF($C$3="是",ROUND($A$3*G13/$B$3,2),ROUND($A$3*(G13-AT13)/$B$3,2))</f>
        <v>0</v>
      </c>
      <c r="F13" s="493"/>
      <c r="G13" s="494" t="n">
        <f aca="false">H13+AC13+AT13</f>
        <v>58.3</v>
      </c>
      <c r="H13" s="428" t="n">
        <f aca="false">SUMIF(I$12:AB$12,"总值",I13:AB13)</f>
        <v>58.3</v>
      </c>
      <c r="I13" s="495" t="n">
        <f aca="false">'比较法-住宅'!C33</f>
        <v>58.3</v>
      </c>
      <c r="J13" s="495"/>
      <c r="K13" s="495"/>
      <c r="L13" s="495"/>
      <c r="M13" s="495"/>
      <c r="N13" s="495"/>
      <c r="O13" s="495"/>
      <c r="P13" s="495"/>
      <c r="Q13" s="495"/>
      <c r="R13" s="495"/>
      <c r="S13" s="495"/>
      <c r="T13" s="495"/>
      <c r="U13" s="495"/>
      <c r="V13" s="495"/>
      <c r="W13" s="495"/>
      <c r="X13" s="495"/>
      <c r="Y13" s="495"/>
      <c r="Z13" s="495"/>
      <c r="AA13" s="495"/>
      <c r="AB13" s="495"/>
      <c r="AC13" s="421" t="n">
        <f aca="false">SUMIF(AD$12:AS$12,"总值",AD13:AS13)</f>
        <v>0</v>
      </c>
      <c r="AD13" s="496"/>
      <c r="AE13" s="496"/>
      <c r="AF13" s="496"/>
      <c r="AG13" s="496"/>
      <c r="AH13" s="496"/>
      <c r="AI13" s="496"/>
      <c r="AJ13" s="496"/>
      <c r="AK13" s="496"/>
      <c r="AL13" s="496"/>
      <c r="AM13" s="496"/>
      <c r="AN13" s="496"/>
      <c r="AO13" s="496"/>
      <c r="AP13" s="496"/>
      <c r="AQ13" s="496"/>
      <c r="AR13" s="496"/>
      <c r="AS13" s="496"/>
      <c r="AT13" s="497"/>
      <c r="AU13" s="498"/>
      <c r="AV13" s="374" t="n">
        <f aca="false">A13</f>
        <v>0</v>
      </c>
      <c r="AW13" s="374" t="n">
        <f aca="false">B13</f>
        <v>0</v>
      </c>
      <c r="AX13" s="374" t="n">
        <f aca="false">C13</f>
        <v>405</v>
      </c>
      <c r="AY13" s="420" t="n">
        <f aca="false">ROUND($AY$6*AZ13/$AZ$5,2)</f>
        <v>0</v>
      </c>
      <c r="AZ13" s="421" t="n">
        <f aca="false">BA13+BL13</f>
        <v>58.3</v>
      </c>
      <c r="BA13" s="421" t="n">
        <f aca="false">SUM(BB13:BK13)</f>
        <v>58.3</v>
      </c>
      <c r="BB13" s="421" t="n">
        <f aca="false">IF($D13="是",I13-J13,0)</f>
        <v>58.3</v>
      </c>
      <c r="BC13" s="421" t="n">
        <f aca="false">IF($D13="是",K13-L13,0)</f>
        <v>0</v>
      </c>
      <c r="BD13" s="421" t="n">
        <f aca="false">IF($D13="是",M13-N13,0)</f>
        <v>0</v>
      </c>
      <c r="BE13" s="421" t="n">
        <f aca="false">IF($D13="是",O13-P13,0)</f>
        <v>0</v>
      </c>
      <c r="BF13" s="421" t="n">
        <f aca="false">IF($D13="是",Q13-R13,0)</f>
        <v>0</v>
      </c>
      <c r="BG13" s="421" t="n">
        <f aca="false">IF($D13="是",S13-T13,0)</f>
        <v>0</v>
      </c>
      <c r="BH13" s="421" t="n">
        <f aca="false">IF($D13="是",U13-V13,0)</f>
        <v>0</v>
      </c>
      <c r="BI13" s="421" t="n">
        <f aca="false">IF($D13="是",W13-X13,0)</f>
        <v>0</v>
      </c>
      <c r="BJ13" s="421" t="n">
        <f aca="false">IF($D13="是",Y13-Z13,0)</f>
        <v>0</v>
      </c>
      <c r="BK13" s="421" t="n">
        <f aca="false">IF($D13="是",AA13-AB13,0)</f>
        <v>0</v>
      </c>
      <c r="BL13" s="421" t="n">
        <f aca="false">SUM(BM13:BT13)</f>
        <v>0</v>
      </c>
      <c r="BM13" s="421" t="n">
        <f aca="false">IF($D13="是",AD13-AE13,0)</f>
        <v>0</v>
      </c>
      <c r="BN13" s="421" t="n">
        <f aca="false">IF($D13="是",AF13-AG13,0)</f>
        <v>0</v>
      </c>
      <c r="BO13" s="421" t="n">
        <f aca="false">IF($D13="是",AH13-AI13,0)</f>
        <v>0</v>
      </c>
      <c r="BP13" s="421" t="n">
        <f aca="false">IF($D13="是",AJ13-AK13,0)</f>
        <v>0</v>
      </c>
      <c r="BQ13" s="421" t="n">
        <f aca="false">IF($D13="是",AL13-AM13,0)</f>
        <v>0</v>
      </c>
      <c r="BR13" s="421" t="n">
        <f aca="false">IF($D13="是",AN13-AO13,0)</f>
        <v>0</v>
      </c>
      <c r="BS13" s="421" t="n">
        <f aca="false">IF($D13="是",AP13-AQ13,0)</f>
        <v>0</v>
      </c>
      <c r="BT13" s="431" t="n">
        <f aca="false">IF($D13="是",AR13-AS13,0)</f>
        <v>0</v>
      </c>
    </row>
    <row r="14" s="225" customFormat="true" ht="12.75" hidden="false" customHeight="false" outlineLevel="0" collapsed="false">
      <c r="A14" s="399"/>
      <c r="B14" s="399"/>
      <c r="C14" s="398"/>
      <c r="D14" s="492"/>
      <c r="E14" s="421" t="n">
        <f aca="false">IF($C$3="是",ROUND($A$3*G14/$B$3,2),ROUND($A$3*(G14-AT14)/$B$3,2))</f>
        <v>0</v>
      </c>
      <c r="F14" s="493"/>
      <c r="G14" s="494" t="n">
        <f aca="false">H14+AC14+AT14</f>
        <v>0</v>
      </c>
      <c r="H14" s="428" t="n">
        <f aca="false">SUMIF(I$12:AB$12,"总值",I14:AB14)</f>
        <v>0</v>
      </c>
      <c r="I14" s="495"/>
      <c r="J14" s="495"/>
      <c r="K14" s="495"/>
      <c r="L14" s="495"/>
      <c r="M14" s="495"/>
      <c r="N14" s="495"/>
      <c r="O14" s="495"/>
      <c r="P14" s="495"/>
      <c r="Q14" s="495"/>
      <c r="R14" s="495"/>
      <c r="S14" s="495"/>
      <c r="T14" s="495"/>
      <c r="U14" s="495"/>
      <c r="V14" s="495"/>
      <c r="W14" s="495"/>
      <c r="X14" s="495"/>
      <c r="Y14" s="495"/>
      <c r="Z14" s="495"/>
      <c r="AA14" s="495"/>
      <c r="AB14" s="495"/>
      <c r="AC14" s="421" t="n">
        <f aca="false">SUMIF(AD$12:AS$12,"总值",AD14:AS14)</f>
        <v>0</v>
      </c>
      <c r="AD14" s="496"/>
      <c r="AE14" s="496"/>
      <c r="AF14" s="496"/>
      <c r="AG14" s="496"/>
      <c r="AH14" s="496"/>
      <c r="AI14" s="496"/>
      <c r="AJ14" s="496"/>
      <c r="AK14" s="496"/>
      <c r="AL14" s="496"/>
      <c r="AM14" s="496"/>
      <c r="AN14" s="496"/>
      <c r="AO14" s="496"/>
      <c r="AP14" s="496"/>
      <c r="AQ14" s="496"/>
      <c r="AR14" s="496"/>
      <c r="AS14" s="496"/>
      <c r="AT14" s="497"/>
      <c r="AU14" s="498"/>
      <c r="AV14" s="374" t="n">
        <f aca="false">A14</f>
        <v>0</v>
      </c>
      <c r="AW14" s="374" t="n">
        <f aca="false">B14</f>
        <v>0</v>
      </c>
      <c r="AX14" s="374" t="n">
        <f aca="false">C14</f>
        <v>0</v>
      </c>
      <c r="AY14" s="420" t="n">
        <f aca="false">ROUND($AY$6*AZ14/$AZ$5,2)</f>
        <v>0</v>
      </c>
      <c r="AZ14" s="421" t="n">
        <f aca="false">BA14+BL14</f>
        <v>0</v>
      </c>
      <c r="BA14" s="421" t="n">
        <f aca="false">SUM(BB14:BK14)</f>
        <v>0</v>
      </c>
      <c r="BB14" s="421" t="n">
        <f aca="false">IF($D14="是",I14-J14,0)</f>
        <v>0</v>
      </c>
      <c r="BC14" s="421" t="n">
        <f aca="false">IF($D14="是",K14-L14,0)</f>
        <v>0</v>
      </c>
      <c r="BD14" s="421" t="n">
        <f aca="false">IF($D14="是",M14-N14,0)</f>
        <v>0</v>
      </c>
      <c r="BE14" s="421" t="n">
        <f aca="false">IF($D14="是",O14-P14,0)</f>
        <v>0</v>
      </c>
      <c r="BF14" s="421" t="n">
        <f aca="false">IF($D14="是",Q14-R14,0)</f>
        <v>0</v>
      </c>
      <c r="BG14" s="421" t="n">
        <f aca="false">IF($D14="是",S14-T14,0)</f>
        <v>0</v>
      </c>
      <c r="BH14" s="421" t="n">
        <f aca="false">IF($D14="是",U14-V14,0)</f>
        <v>0</v>
      </c>
      <c r="BI14" s="421" t="n">
        <f aca="false">IF($D14="是",W14-X14,0)</f>
        <v>0</v>
      </c>
      <c r="BJ14" s="421" t="n">
        <f aca="false">IF($D14="是",Y14-Z14,0)</f>
        <v>0</v>
      </c>
      <c r="BK14" s="421" t="n">
        <f aca="false">IF($D14="是",AA14-AB14,0)</f>
        <v>0</v>
      </c>
      <c r="BL14" s="421" t="n">
        <f aca="false">SUM(BM14:BT14)</f>
        <v>0</v>
      </c>
      <c r="BM14" s="421" t="n">
        <f aca="false">IF($D14="是",AD14-AE14,0)</f>
        <v>0</v>
      </c>
      <c r="BN14" s="421" t="n">
        <f aca="false">IF($D14="是",AF14-AG14,0)</f>
        <v>0</v>
      </c>
      <c r="BO14" s="421" t="n">
        <f aca="false">IF($D14="是",AH14-AI14,0)</f>
        <v>0</v>
      </c>
      <c r="BP14" s="421" t="n">
        <f aca="false">IF($D14="是",AJ14-AK14,0)</f>
        <v>0</v>
      </c>
      <c r="BQ14" s="421" t="n">
        <f aca="false">IF($D14="是",AL14-AM14,0)</f>
        <v>0</v>
      </c>
      <c r="BR14" s="421" t="n">
        <f aca="false">IF($D14="是",AN14-AO14,0)</f>
        <v>0</v>
      </c>
      <c r="BS14" s="421" t="n">
        <f aca="false">IF($D14="是",AP14-AQ14,0)</f>
        <v>0</v>
      </c>
      <c r="BT14" s="431" t="n">
        <f aca="false">IF($D14="是",AR14-AS14,0)</f>
        <v>0</v>
      </c>
    </row>
    <row r="15" s="225" customFormat="true" ht="12.75" hidden="false" customHeight="false" outlineLevel="0" collapsed="false">
      <c r="A15" s="399"/>
      <c r="B15" s="399"/>
      <c r="C15" s="398"/>
      <c r="D15" s="492"/>
      <c r="E15" s="421" t="n">
        <f aca="false">IF($C$3="是",ROUND($A$3*G15/$B$3,2),ROUND($A$3*(G15-AT15)/$B$3,2))</f>
        <v>0</v>
      </c>
      <c r="F15" s="493"/>
      <c r="G15" s="494" t="n">
        <f aca="false">H15+AC15+AT15</f>
        <v>0</v>
      </c>
      <c r="H15" s="428" t="n">
        <f aca="false">SUMIF(I$12:AB$12,"总值",I15:AB15)</f>
        <v>0</v>
      </c>
      <c r="I15" s="495"/>
      <c r="J15" s="495"/>
      <c r="K15" s="495"/>
      <c r="L15" s="495"/>
      <c r="M15" s="495"/>
      <c r="N15" s="495"/>
      <c r="O15" s="495"/>
      <c r="P15" s="495"/>
      <c r="Q15" s="495"/>
      <c r="R15" s="495"/>
      <c r="S15" s="495"/>
      <c r="T15" s="495"/>
      <c r="U15" s="495"/>
      <c r="V15" s="495"/>
      <c r="W15" s="495"/>
      <c r="X15" s="495"/>
      <c r="Y15" s="495"/>
      <c r="Z15" s="495"/>
      <c r="AA15" s="495"/>
      <c r="AB15" s="495"/>
      <c r="AC15" s="421" t="n">
        <f aca="false">SUMIF(AD$12:AS$12,"总值",AD15:AS15)</f>
        <v>0</v>
      </c>
      <c r="AD15" s="496"/>
      <c r="AE15" s="496"/>
      <c r="AF15" s="496"/>
      <c r="AG15" s="496"/>
      <c r="AH15" s="496"/>
      <c r="AI15" s="496"/>
      <c r="AJ15" s="496"/>
      <c r="AK15" s="496"/>
      <c r="AL15" s="496"/>
      <c r="AM15" s="496"/>
      <c r="AN15" s="496"/>
      <c r="AO15" s="496"/>
      <c r="AP15" s="496"/>
      <c r="AQ15" s="496"/>
      <c r="AR15" s="496"/>
      <c r="AS15" s="496"/>
      <c r="AT15" s="497"/>
      <c r="AU15" s="498"/>
      <c r="AV15" s="374" t="n">
        <f aca="false">A15</f>
        <v>0</v>
      </c>
      <c r="AW15" s="374" t="n">
        <f aca="false">B15</f>
        <v>0</v>
      </c>
      <c r="AX15" s="374" t="n">
        <f aca="false">C15</f>
        <v>0</v>
      </c>
      <c r="AY15" s="420" t="n">
        <f aca="false">ROUND($AY$6*AZ15/$AZ$5,2)</f>
        <v>0</v>
      </c>
      <c r="AZ15" s="421" t="n">
        <f aca="false">BA15+BL15</f>
        <v>0</v>
      </c>
      <c r="BA15" s="421" t="n">
        <f aca="false">SUM(BB15:BK15)</f>
        <v>0</v>
      </c>
      <c r="BB15" s="421" t="n">
        <f aca="false">IF($D15="是",I15-J15,0)</f>
        <v>0</v>
      </c>
      <c r="BC15" s="421" t="n">
        <f aca="false">IF($D15="是",K15-L15,0)</f>
        <v>0</v>
      </c>
      <c r="BD15" s="421" t="n">
        <f aca="false">IF($D15="是",M15-N15,0)</f>
        <v>0</v>
      </c>
      <c r="BE15" s="421" t="n">
        <f aca="false">IF($D15="是",O15-P15,0)</f>
        <v>0</v>
      </c>
      <c r="BF15" s="421" t="n">
        <f aca="false">IF($D15="是",Q15-R15,0)</f>
        <v>0</v>
      </c>
      <c r="BG15" s="421" t="n">
        <f aca="false">IF($D15="是",S15-T15,0)</f>
        <v>0</v>
      </c>
      <c r="BH15" s="421" t="n">
        <f aca="false">IF($D15="是",U15-V15,0)</f>
        <v>0</v>
      </c>
      <c r="BI15" s="421" t="n">
        <f aca="false">IF($D15="是",W15-X15,0)</f>
        <v>0</v>
      </c>
      <c r="BJ15" s="421" t="n">
        <f aca="false">IF($D15="是",Y15-Z15,0)</f>
        <v>0</v>
      </c>
      <c r="BK15" s="421" t="n">
        <f aca="false">IF($D15="是",AA15-AB15,0)</f>
        <v>0</v>
      </c>
      <c r="BL15" s="421" t="n">
        <f aca="false">SUM(BM15:BT15)</f>
        <v>0</v>
      </c>
      <c r="BM15" s="421" t="n">
        <f aca="false">IF($D15="是",AD15-AE15,0)</f>
        <v>0</v>
      </c>
      <c r="BN15" s="421" t="n">
        <f aca="false">IF($D15="是",AF15-AG15,0)</f>
        <v>0</v>
      </c>
      <c r="BO15" s="421" t="n">
        <f aca="false">IF($D15="是",AH15-AI15,0)</f>
        <v>0</v>
      </c>
      <c r="BP15" s="421" t="n">
        <f aca="false">IF($D15="是",AJ15-AK15,0)</f>
        <v>0</v>
      </c>
      <c r="BQ15" s="421" t="n">
        <f aca="false">IF($D15="是",AL15-AM15,0)</f>
        <v>0</v>
      </c>
      <c r="BR15" s="421" t="n">
        <f aca="false">IF($D15="是",AN15-AO15,0)</f>
        <v>0</v>
      </c>
      <c r="BS15" s="421" t="n">
        <f aca="false">IF($D15="是",AP15-AQ15,0)</f>
        <v>0</v>
      </c>
      <c r="BT15" s="431" t="n">
        <f aca="false">IF($D15="是",AR15-AS15,0)</f>
        <v>0</v>
      </c>
    </row>
    <row r="16" s="225" customFormat="true" ht="12.75" hidden="false" customHeight="false" outlineLevel="0" collapsed="false">
      <c r="A16" s="399"/>
      <c r="B16" s="399"/>
      <c r="C16" s="398"/>
      <c r="D16" s="492"/>
      <c r="E16" s="421" t="n">
        <f aca="false">IF($C$3="是",ROUND($A$3*G16/$B$3,2),ROUND($A$3*(G16-AT16)/$B$3,2))</f>
        <v>0</v>
      </c>
      <c r="F16" s="493"/>
      <c r="G16" s="494" t="n">
        <f aca="false">H16+AC16+AT16</f>
        <v>0</v>
      </c>
      <c r="H16" s="428" t="n">
        <f aca="false">SUMIF(I$12:AB$12,"总值",I16:AB16)</f>
        <v>0</v>
      </c>
      <c r="I16" s="495"/>
      <c r="J16" s="495"/>
      <c r="K16" s="495"/>
      <c r="L16" s="495"/>
      <c r="M16" s="495"/>
      <c r="N16" s="495"/>
      <c r="O16" s="495"/>
      <c r="P16" s="495"/>
      <c r="Q16" s="495"/>
      <c r="R16" s="495"/>
      <c r="S16" s="495"/>
      <c r="T16" s="495"/>
      <c r="U16" s="495"/>
      <c r="V16" s="495"/>
      <c r="W16" s="495"/>
      <c r="X16" s="495"/>
      <c r="Y16" s="495"/>
      <c r="Z16" s="495"/>
      <c r="AA16" s="495"/>
      <c r="AB16" s="495"/>
      <c r="AC16" s="421" t="n">
        <f aca="false">SUMIF(AD$12:AS$12,"总值",AD16:AS16)</f>
        <v>0</v>
      </c>
      <c r="AD16" s="496"/>
      <c r="AE16" s="496"/>
      <c r="AF16" s="496"/>
      <c r="AG16" s="496"/>
      <c r="AH16" s="496"/>
      <c r="AI16" s="496"/>
      <c r="AJ16" s="496"/>
      <c r="AK16" s="496"/>
      <c r="AL16" s="496"/>
      <c r="AM16" s="496"/>
      <c r="AN16" s="496"/>
      <c r="AO16" s="496"/>
      <c r="AP16" s="496"/>
      <c r="AQ16" s="496"/>
      <c r="AR16" s="496"/>
      <c r="AS16" s="496"/>
      <c r="AT16" s="497"/>
      <c r="AU16" s="498"/>
      <c r="AV16" s="374" t="n">
        <f aca="false">A16</f>
        <v>0</v>
      </c>
      <c r="AW16" s="374" t="n">
        <f aca="false">B16</f>
        <v>0</v>
      </c>
      <c r="AX16" s="374" t="n">
        <f aca="false">C16</f>
        <v>0</v>
      </c>
      <c r="AY16" s="420" t="n">
        <f aca="false">ROUND($AY$6*AZ16/$AZ$5,2)</f>
        <v>0</v>
      </c>
      <c r="AZ16" s="421" t="n">
        <f aca="false">BA16+BL16</f>
        <v>0</v>
      </c>
      <c r="BA16" s="421" t="n">
        <f aca="false">SUM(BB16:BK16)</f>
        <v>0</v>
      </c>
      <c r="BB16" s="421" t="n">
        <f aca="false">IF($D16="是",I16-J16,0)</f>
        <v>0</v>
      </c>
      <c r="BC16" s="421" t="n">
        <f aca="false">IF($D16="是",K16-L16,0)</f>
        <v>0</v>
      </c>
      <c r="BD16" s="421" t="n">
        <f aca="false">IF($D16="是",M16-N16,0)</f>
        <v>0</v>
      </c>
      <c r="BE16" s="421" t="n">
        <f aca="false">IF($D16="是",O16-P16,0)</f>
        <v>0</v>
      </c>
      <c r="BF16" s="421" t="n">
        <f aca="false">IF($D16="是",Q16-R16,0)</f>
        <v>0</v>
      </c>
      <c r="BG16" s="421" t="n">
        <f aca="false">IF($D16="是",S16-T16,0)</f>
        <v>0</v>
      </c>
      <c r="BH16" s="421" t="n">
        <f aca="false">IF($D16="是",U16-V16,0)</f>
        <v>0</v>
      </c>
      <c r="BI16" s="421" t="n">
        <f aca="false">IF($D16="是",W16-X16,0)</f>
        <v>0</v>
      </c>
      <c r="BJ16" s="421" t="n">
        <f aca="false">IF($D16="是",Y16-Z16,0)</f>
        <v>0</v>
      </c>
      <c r="BK16" s="421" t="n">
        <f aca="false">IF($D16="是",AA16-AB16,0)</f>
        <v>0</v>
      </c>
      <c r="BL16" s="421" t="n">
        <f aca="false">SUM(BM16:BT16)</f>
        <v>0</v>
      </c>
      <c r="BM16" s="421" t="n">
        <f aca="false">IF($D16="是",AD16-AE16,0)</f>
        <v>0</v>
      </c>
      <c r="BN16" s="421" t="n">
        <f aca="false">IF($D16="是",AF16-AG16,0)</f>
        <v>0</v>
      </c>
      <c r="BO16" s="421" t="n">
        <f aca="false">IF($D16="是",AH16-AI16,0)</f>
        <v>0</v>
      </c>
      <c r="BP16" s="421" t="n">
        <f aca="false">IF($D16="是",AJ16-AK16,0)</f>
        <v>0</v>
      </c>
      <c r="BQ16" s="421" t="n">
        <f aca="false">IF($D16="是",AL16-AM16,0)</f>
        <v>0</v>
      </c>
      <c r="BR16" s="421" t="n">
        <f aca="false">IF($D16="是",AN16-AO16,0)</f>
        <v>0</v>
      </c>
      <c r="BS16" s="421" t="n">
        <f aca="false">IF($D16="是",AP16-AQ16,0)</f>
        <v>0</v>
      </c>
      <c r="BT16" s="431" t="n">
        <f aca="false">IF($D16="是",AR16-AS16,0)</f>
        <v>0</v>
      </c>
    </row>
    <row r="17" s="225" customFormat="true" ht="12.75" hidden="false" customHeight="false" outlineLevel="0" collapsed="false">
      <c r="A17" s="399"/>
      <c r="B17" s="399"/>
      <c r="C17" s="398"/>
      <c r="D17" s="492"/>
      <c r="E17" s="421" t="n">
        <f aca="false">IF($C$3="是",ROUND($A$3*G17/$B$3,2),ROUND($A$3*(G17-AT17)/$B$3,2))</f>
        <v>0</v>
      </c>
      <c r="F17" s="493"/>
      <c r="G17" s="494" t="n">
        <f aca="false">H17+AC17+AT17</f>
        <v>0</v>
      </c>
      <c r="H17" s="428" t="n">
        <f aca="false">SUMIF(I$12:AB$12,"总值",I17:AB17)</f>
        <v>0</v>
      </c>
      <c r="I17" s="495"/>
      <c r="J17" s="495"/>
      <c r="K17" s="495"/>
      <c r="L17" s="495"/>
      <c r="M17" s="495"/>
      <c r="N17" s="495"/>
      <c r="O17" s="495"/>
      <c r="P17" s="495"/>
      <c r="Q17" s="495"/>
      <c r="R17" s="495"/>
      <c r="S17" s="495"/>
      <c r="T17" s="495"/>
      <c r="U17" s="495"/>
      <c r="V17" s="495"/>
      <c r="W17" s="495"/>
      <c r="X17" s="495"/>
      <c r="Y17" s="495"/>
      <c r="Z17" s="495"/>
      <c r="AA17" s="495"/>
      <c r="AB17" s="495"/>
      <c r="AC17" s="421" t="n">
        <f aca="false">SUMIF(AD$12:AS$12,"总值",AD17:AS17)</f>
        <v>0</v>
      </c>
      <c r="AD17" s="496"/>
      <c r="AE17" s="496"/>
      <c r="AF17" s="496"/>
      <c r="AG17" s="496"/>
      <c r="AH17" s="496"/>
      <c r="AI17" s="496"/>
      <c r="AJ17" s="496"/>
      <c r="AK17" s="496"/>
      <c r="AL17" s="496"/>
      <c r="AM17" s="496"/>
      <c r="AN17" s="496"/>
      <c r="AO17" s="496"/>
      <c r="AP17" s="496"/>
      <c r="AQ17" s="496"/>
      <c r="AR17" s="496"/>
      <c r="AS17" s="496"/>
      <c r="AT17" s="497"/>
      <c r="AU17" s="498"/>
      <c r="AV17" s="374" t="n">
        <f aca="false">A17</f>
        <v>0</v>
      </c>
      <c r="AW17" s="374" t="n">
        <f aca="false">B17</f>
        <v>0</v>
      </c>
      <c r="AX17" s="374" t="n">
        <f aca="false">C17</f>
        <v>0</v>
      </c>
      <c r="AY17" s="420" t="n">
        <f aca="false">ROUND($AY$6*AZ17/$AZ$5,2)</f>
        <v>0</v>
      </c>
      <c r="AZ17" s="421" t="n">
        <f aca="false">BA17+BL17</f>
        <v>0</v>
      </c>
      <c r="BA17" s="421" t="n">
        <f aca="false">SUM(BB17:BK17)</f>
        <v>0</v>
      </c>
      <c r="BB17" s="421" t="n">
        <f aca="false">IF($D17="是",I17-J17,0)</f>
        <v>0</v>
      </c>
      <c r="BC17" s="421" t="n">
        <f aca="false">IF($D17="是",K17-L17,0)</f>
        <v>0</v>
      </c>
      <c r="BD17" s="421" t="n">
        <f aca="false">IF($D17="是",M17-N17,0)</f>
        <v>0</v>
      </c>
      <c r="BE17" s="421" t="n">
        <f aca="false">IF($D17="是",O17-P17,0)</f>
        <v>0</v>
      </c>
      <c r="BF17" s="421" t="n">
        <f aca="false">IF($D17="是",Q17-R17,0)</f>
        <v>0</v>
      </c>
      <c r="BG17" s="421" t="n">
        <f aca="false">IF($D17="是",S17-T17,0)</f>
        <v>0</v>
      </c>
      <c r="BH17" s="421" t="n">
        <f aca="false">IF($D17="是",U17-V17,0)</f>
        <v>0</v>
      </c>
      <c r="BI17" s="421" t="n">
        <f aca="false">IF($D17="是",W17-X17,0)</f>
        <v>0</v>
      </c>
      <c r="BJ17" s="421" t="n">
        <f aca="false">IF($D17="是",Y17-Z17,0)</f>
        <v>0</v>
      </c>
      <c r="BK17" s="421" t="n">
        <f aca="false">IF($D17="是",AA17-AB17,0)</f>
        <v>0</v>
      </c>
      <c r="BL17" s="421" t="n">
        <f aca="false">SUM(BM17:BT17)</f>
        <v>0</v>
      </c>
      <c r="BM17" s="421" t="n">
        <f aca="false">IF($D17="是",AD17-AE17,0)</f>
        <v>0</v>
      </c>
      <c r="BN17" s="421" t="n">
        <f aca="false">IF($D17="是",AF17-AG17,0)</f>
        <v>0</v>
      </c>
      <c r="BO17" s="421" t="n">
        <f aca="false">IF($D17="是",AH17-AI17,0)</f>
        <v>0</v>
      </c>
      <c r="BP17" s="421" t="n">
        <f aca="false">IF($D17="是",AJ17-AK17,0)</f>
        <v>0</v>
      </c>
      <c r="BQ17" s="421" t="n">
        <f aca="false">IF($D17="是",AL17-AM17,0)</f>
        <v>0</v>
      </c>
      <c r="BR17" s="421" t="n">
        <f aca="false">IF($D17="是",AN17-AO17,0)</f>
        <v>0</v>
      </c>
      <c r="BS17" s="421" t="n">
        <f aca="false">IF($D17="是",AP17-AQ17,0)</f>
        <v>0</v>
      </c>
      <c r="BT17" s="431" t="n">
        <f aca="false">IF($D17="是",AR17-AS17,0)</f>
        <v>0</v>
      </c>
    </row>
    <row r="18" customFormat="false" ht="14.25" hidden="false" customHeight="false" outlineLevel="0" collapsed="false">
      <c r="A18" s="499"/>
      <c r="B18" s="500"/>
      <c r="C18" s="500"/>
      <c r="D18" s="501"/>
      <c r="E18" s="502" t="n">
        <f aca="false">IF($C$3="是",ROUND($A$3*G18/$B$3,2),ROUND($A$3*(G18-AT18)/$B$3,2))</f>
        <v>0</v>
      </c>
      <c r="F18" s="503"/>
      <c r="G18" s="504" t="n">
        <f aca="false">H18+AC18+AT18</f>
        <v>0</v>
      </c>
      <c r="H18" s="505" t="n">
        <f aca="false">SUMIF(I$12:AB$12,"总值",I18:AB18)</f>
        <v>0</v>
      </c>
      <c r="I18" s="506"/>
      <c r="J18" s="506"/>
      <c r="K18" s="506"/>
      <c r="L18" s="506"/>
      <c r="M18" s="506"/>
      <c r="N18" s="506"/>
      <c r="O18" s="506"/>
      <c r="P18" s="506"/>
      <c r="Q18" s="506"/>
      <c r="R18" s="506"/>
      <c r="S18" s="506"/>
      <c r="T18" s="506"/>
      <c r="U18" s="506"/>
      <c r="V18" s="506"/>
      <c r="W18" s="506"/>
      <c r="X18" s="506"/>
      <c r="Y18" s="506"/>
      <c r="Z18" s="506"/>
      <c r="AA18" s="506"/>
      <c r="AB18" s="506"/>
      <c r="AC18" s="502" t="n">
        <f aca="false">SUMIF(AD$12:AS$12,"总值",AD18:AS18)</f>
        <v>0</v>
      </c>
      <c r="AD18" s="507"/>
      <c r="AE18" s="507"/>
      <c r="AF18" s="507"/>
      <c r="AG18" s="507"/>
      <c r="AH18" s="507"/>
      <c r="AI18" s="507"/>
      <c r="AJ18" s="507"/>
      <c r="AK18" s="507"/>
      <c r="AL18" s="507"/>
      <c r="AM18" s="507"/>
      <c r="AN18" s="507"/>
      <c r="AO18" s="507"/>
      <c r="AP18" s="507"/>
      <c r="AQ18" s="507"/>
      <c r="AR18" s="507"/>
      <c r="AS18" s="507"/>
      <c r="AT18" s="508"/>
      <c r="AU18" s="509"/>
      <c r="AV18" s="510" t="n">
        <f aca="false">A18</f>
        <v>0</v>
      </c>
      <c r="AW18" s="510" t="n">
        <f aca="false">B18</f>
        <v>0</v>
      </c>
      <c r="AX18" s="510" t="n">
        <f aca="false">C18</f>
        <v>0</v>
      </c>
      <c r="AY18" s="511" t="n">
        <f aca="false">ROUND($AY$6*AZ18/$AZ$5,2)</f>
        <v>0</v>
      </c>
      <c r="AZ18" s="502" t="n">
        <f aca="false">BA18+BL18</f>
        <v>0</v>
      </c>
      <c r="BA18" s="502" t="n">
        <f aca="false">SUM(BB18:BK18)</f>
        <v>0</v>
      </c>
      <c r="BB18" s="502" t="n">
        <f aca="false">IF($D18="是",I18-J18,0)</f>
        <v>0</v>
      </c>
      <c r="BC18" s="502" t="n">
        <f aca="false">IF($D18="是",K18-L18,0)</f>
        <v>0</v>
      </c>
      <c r="BD18" s="502" t="n">
        <f aca="false">IF($D18="是",M18-N18,0)</f>
        <v>0</v>
      </c>
      <c r="BE18" s="502" t="n">
        <f aca="false">IF($D18="是",O18-P18,0)</f>
        <v>0</v>
      </c>
      <c r="BF18" s="502" t="n">
        <f aca="false">IF($D18="是",Q18-R18,0)</f>
        <v>0</v>
      </c>
      <c r="BG18" s="502" t="n">
        <f aca="false">IF($D18="是",S18-T18,0)</f>
        <v>0</v>
      </c>
      <c r="BH18" s="502" t="n">
        <f aca="false">IF($D18="是",U18-V18,0)</f>
        <v>0</v>
      </c>
      <c r="BI18" s="502" t="n">
        <f aca="false">IF($D18="是",W18-X18,0)</f>
        <v>0</v>
      </c>
      <c r="BJ18" s="502" t="n">
        <f aca="false">IF($D18="是",Y18-Z18,0)</f>
        <v>0</v>
      </c>
      <c r="BK18" s="502" t="n">
        <f aca="false">IF($D18="是",AA18-AB18,0)</f>
        <v>0</v>
      </c>
      <c r="BL18" s="502" t="n">
        <f aca="false">SUM(BM18:BT18)</f>
        <v>0</v>
      </c>
      <c r="BM18" s="502" t="n">
        <f aca="false">IF($D18="是",AD18-AE18,0)</f>
        <v>0</v>
      </c>
      <c r="BN18" s="502" t="n">
        <f aca="false">IF($D18="是",AF18-AG18,0)</f>
        <v>0</v>
      </c>
      <c r="BO18" s="502" t="n">
        <f aca="false">IF($D18="是",AH18-AI18,0)</f>
        <v>0</v>
      </c>
      <c r="BP18" s="502" t="n">
        <f aca="false">IF($D18="是",AJ18-AK18,0)</f>
        <v>0</v>
      </c>
      <c r="BQ18" s="502" t="n">
        <f aca="false">IF($D18="是",AL18-AM18,0)</f>
        <v>0</v>
      </c>
      <c r="BR18" s="502" t="n">
        <f aca="false">IF($D18="是",AN18-AO18,0)</f>
        <v>0</v>
      </c>
      <c r="BS18" s="502" t="n">
        <f aca="false">IF($D18="是",AP18-AQ18,0)</f>
        <v>0</v>
      </c>
      <c r="BT18" s="512" t="n">
        <f aca="false">IF($D18="是",AR18-AS18,0)</f>
        <v>0</v>
      </c>
    </row>
    <row r="19" customFormat="false" ht="14.25" hidden="false" customHeight="false" outlineLevel="0" collapsed="false">
      <c r="A19" s="499"/>
      <c r="B19" s="500"/>
      <c r="C19" s="500"/>
      <c r="D19" s="501"/>
      <c r="E19" s="502" t="n">
        <f aca="false">IF($C$3="是",ROUND($A$3*G19/$B$3,2),ROUND($A$3*(G19-AT19)/$B$3,2))</f>
        <v>0</v>
      </c>
      <c r="F19" s="503"/>
      <c r="G19" s="504" t="n">
        <f aca="false">H19+AC19+AT19</f>
        <v>0</v>
      </c>
      <c r="H19" s="505" t="n">
        <f aca="false">SUMIF(I$12:AB$12,"总值",I19:AB19)</f>
        <v>0</v>
      </c>
      <c r="I19" s="506"/>
      <c r="J19" s="506"/>
      <c r="K19" s="506"/>
      <c r="L19" s="506"/>
      <c r="M19" s="506"/>
      <c r="N19" s="506"/>
      <c r="O19" s="506"/>
      <c r="P19" s="506"/>
      <c r="Q19" s="506"/>
      <c r="R19" s="506"/>
      <c r="S19" s="506"/>
      <c r="T19" s="506"/>
      <c r="U19" s="506"/>
      <c r="V19" s="506"/>
      <c r="W19" s="506"/>
      <c r="X19" s="506"/>
      <c r="Y19" s="506"/>
      <c r="Z19" s="506"/>
      <c r="AA19" s="506"/>
      <c r="AB19" s="506"/>
      <c r="AC19" s="502" t="n">
        <f aca="false">SUMIF(AD$12:AS$12,"总值",AD19:AS19)</f>
        <v>0</v>
      </c>
      <c r="AD19" s="507"/>
      <c r="AE19" s="507"/>
      <c r="AF19" s="507"/>
      <c r="AG19" s="507"/>
      <c r="AH19" s="507"/>
      <c r="AI19" s="507"/>
      <c r="AJ19" s="507"/>
      <c r="AK19" s="507"/>
      <c r="AL19" s="507"/>
      <c r="AM19" s="507"/>
      <c r="AN19" s="507"/>
      <c r="AO19" s="507"/>
      <c r="AP19" s="507"/>
      <c r="AQ19" s="507"/>
      <c r="AR19" s="507"/>
      <c r="AS19" s="507"/>
      <c r="AT19" s="508"/>
      <c r="AU19" s="509"/>
      <c r="AV19" s="510" t="n">
        <f aca="false">A19</f>
        <v>0</v>
      </c>
      <c r="AW19" s="510" t="n">
        <f aca="false">B19</f>
        <v>0</v>
      </c>
      <c r="AX19" s="510" t="n">
        <f aca="false">C19</f>
        <v>0</v>
      </c>
      <c r="AY19" s="511" t="n">
        <f aca="false">ROUND($AY$6*AZ19/$AZ$5,2)</f>
        <v>0</v>
      </c>
      <c r="AZ19" s="502" t="n">
        <f aca="false">BA19+BL19</f>
        <v>0</v>
      </c>
      <c r="BA19" s="502" t="n">
        <f aca="false">SUM(BB19:BK19)</f>
        <v>0</v>
      </c>
      <c r="BB19" s="502" t="n">
        <f aca="false">IF($D19="是",I19-J19,0)</f>
        <v>0</v>
      </c>
      <c r="BC19" s="502" t="n">
        <f aca="false">IF($D19="是",K19-L19,0)</f>
        <v>0</v>
      </c>
      <c r="BD19" s="502" t="n">
        <f aca="false">IF($D19="是",M19-N19,0)</f>
        <v>0</v>
      </c>
      <c r="BE19" s="502" t="n">
        <f aca="false">IF($D19="是",O19-P19,0)</f>
        <v>0</v>
      </c>
      <c r="BF19" s="502" t="n">
        <f aca="false">IF($D19="是",Q19-R19,0)</f>
        <v>0</v>
      </c>
      <c r="BG19" s="502" t="n">
        <f aca="false">IF($D19="是",S19-T19,0)</f>
        <v>0</v>
      </c>
      <c r="BH19" s="502" t="n">
        <f aca="false">IF($D19="是",U19-V19,0)</f>
        <v>0</v>
      </c>
      <c r="BI19" s="502" t="n">
        <f aca="false">IF($D19="是",W19-X19,0)</f>
        <v>0</v>
      </c>
      <c r="BJ19" s="502" t="n">
        <f aca="false">IF($D19="是",Y19-Z19,0)</f>
        <v>0</v>
      </c>
      <c r="BK19" s="502" t="n">
        <f aca="false">IF($D19="是",AA19-AB19,0)</f>
        <v>0</v>
      </c>
      <c r="BL19" s="502" t="n">
        <f aca="false">SUM(BM19:BT19)</f>
        <v>0</v>
      </c>
      <c r="BM19" s="502" t="n">
        <f aca="false">IF($D19="是",AD19-AE19,0)</f>
        <v>0</v>
      </c>
      <c r="BN19" s="502" t="n">
        <f aca="false">IF($D19="是",AF19-AG19,0)</f>
        <v>0</v>
      </c>
      <c r="BO19" s="502" t="n">
        <f aca="false">IF($D19="是",AH19-AI19,0)</f>
        <v>0</v>
      </c>
      <c r="BP19" s="502" t="n">
        <f aca="false">IF($D19="是",AJ19-AK19,0)</f>
        <v>0</v>
      </c>
      <c r="BQ19" s="502" t="n">
        <f aca="false">IF($D19="是",AL19-AM19,0)</f>
        <v>0</v>
      </c>
      <c r="BR19" s="502" t="n">
        <f aca="false">IF($D19="是",AN19-AO19,0)</f>
        <v>0</v>
      </c>
      <c r="BS19" s="502" t="n">
        <f aca="false">IF($D19="是",AP19-AQ19,0)</f>
        <v>0</v>
      </c>
      <c r="BT19" s="512" t="n">
        <f aca="false">IF($D19="是",AR19-AS19,0)</f>
        <v>0</v>
      </c>
    </row>
    <row r="20" customFormat="false" ht="14.25" hidden="false" customHeight="false" outlineLevel="0" collapsed="false">
      <c r="A20" s="499"/>
      <c r="B20" s="500"/>
      <c r="C20" s="500"/>
      <c r="D20" s="501"/>
      <c r="E20" s="502" t="n">
        <f aca="false">IF($C$3="是",ROUND($A$3*G20/$B$3,2),ROUND($A$3*(G20-AT20)/$B$3,2))</f>
        <v>0</v>
      </c>
      <c r="F20" s="503"/>
      <c r="G20" s="504" t="n">
        <f aca="false">H20+AC20+AT20</f>
        <v>0</v>
      </c>
      <c r="H20" s="505" t="n">
        <f aca="false">SUMIF(I$12:AB$12,"总值",I20:AB20)</f>
        <v>0</v>
      </c>
      <c r="I20" s="506"/>
      <c r="J20" s="506"/>
      <c r="K20" s="506"/>
      <c r="L20" s="506"/>
      <c r="M20" s="506"/>
      <c r="N20" s="506"/>
      <c r="O20" s="506"/>
      <c r="P20" s="506"/>
      <c r="Q20" s="506"/>
      <c r="R20" s="506"/>
      <c r="S20" s="506"/>
      <c r="T20" s="506"/>
      <c r="U20" s="506"/>
      <c r="V20" s="506"/>
      <c r="W20" s="506"/>
      <c r="X20" s="506"/>
      <c r="Y20" s="506"/>
      <c r="Z20" s="506"/>
      <c r="AA20" s="506"/>
      <c r="AB20" s="506"/>
      <c r="AC20" s="502" t="n">
        <f aca="false">SUMIF(AD$12:AS$12,"总值",AD20:AS20)</f>
        <v>0</v>
      </c>
      <c r="AD20" s="507"/>
      <c r="AE20" s="507"/>
      <c r="AF20" s="507"/>
      <c r="AG20" s="507"/>
      <c r="AH20" s="507"/>
      <c r="AI20" s="507"/>
      <c r="AJ20" s="507"/>
      <c r="AK20" s="507"/>
      <c r="AL20" s="507"/>
      <c r="AM20" s="507"/>
      <c r="AN20" s="507"/>
      <c r="AO20" s="507"/>
      <c r="AP20" s="507"/>
      <c r="AQ20" s="507"/>
      <c r="AR20" s="507"/>
      <c r="AS20" s="507"/>
      <c r="AT20" s="508"/>
      <c r="AU20" s="509"/>
      <c r="AV20" s="510" t="n">
        <f aca="false">A20</f>
        <v>0</v>
      </c>
      <c r="AW20" s="510" t="n">
        <f aca="false">B20</f>
        <v>0</v>
      </c>
      <c r="AX20" s="510" t="n">
        <f aca="false">C20</f>
        <v>0</v>
      </c>
      <c r="AY20" s="511" t="n">
        <f aca="false">ROUND($AY$6*AZ20/$AZ$5,2)</f>
        <v>0</v>
      </c>
      <c r="AZ20" s="502" t="n">
        <f aca="false">BA20+BL20</f>
        <v>0</v>
      </c>
      <c r="BA20" s="502" t="n">
        <f aca="false">SUM(BB20:BK20)</f>
        <v>0</v>
      </c>
      <c r="BB20" s="502" t="n">
        <f aca="false">IF($D20="是",I20-J20,0)</f>
        <v>0</v>
      </c>
      <c r="BC20" s="502" t="n">
        <f aca="false">IF($D20="是",K20-L20,0)</f>
        <v>0</v>
      </c>
      <c r="BD20" s="502" t="n">
        <f aca="false">IF($D20="是",M20-N20,0)</f>
        <v>0</v>
      </c>
      <c r="BE20" s="502" t="n">
        <f aca="false">IF($D20="是",O20-P20,0)</f>
        <v>0</v>
      </c>
      <c r="BF20" s="502" t="n">
        <f aca="false">IF($D20="是",Q20-R20,0)</f>
        <v>0</v>
      </c>
      <c r="BG20" s="502" t="n">
        <f aca="false">IF($D20="是",S20-T20,0)</f>
        <v>0</v>
      </c>
      <c r="BH20" s="502" t="n">
        <f aca="false">IF($D20="是",U20-V20,0)</f>
        <v>0</v>
      </c>
      <c r="BI20" s="502" t="n">
        <f aca="false">IF($D20="是",W20-X20,0)</f>
        <v>0</v>
      </c>
      <c r="BJ20" s="502" t="n">
        <f aca="false">IF($D20="是",Y20-Z20,0)</f>
        <v>0</v>
      </c>
      <c r="BK20" s="502" t="n">
        <f aca="false">IF($D20="是",AA20-AB20,0)</f>
        <v>0</v>
      </c>
      <c r="BL20" s="502" t="n">
        <f aca="false">SUM(BM20:BT20)</f>
        <v>0</v>
      </c>
      <c r="BM20" s="502" t="n">
        <f aca="false">IF($D20="是",AD20-AE20,0)</f>
        <v>0</v>
      </c>
      <c r="BN20" s="502" t="n">
        <f aca="false">IF($D20="是",AF20-AG20,0)</f>
        <v>0</v>
      </c>
      <c r="BO20" s="502" t="n">
        <f aca="false">IF($D20="是",AH20-AI20,0)</f>
        <v>0</v>
      </c>
      <c r="BP20" s="502" t="n">
        <f aca="false">IF($D20="是",AJ20-AK20,0)</f>
        <v>0</v>
      </c>
      <c r="BQ20" s="502" t="n">
        <f aca="false">IF($D20="是",AL20-AM20,0)</f>
        <v>0</v>
      </c>
      <c r="BR20" s="502" t="n">
        <f aca="false">IF($D20="是",AN20-AO20,0)</f>
        <v>0</v>
      </c>
      <c r="BS20" s="502" t="n">
        <f aca="false">IF($D20="是",AP20-AQ20,0)</f>
        <v>0</v>
      </c>
      <c r="BT20" s="512" t="n">
        <f aca="false">IF($D20="是",AR20-AS20,0)</f>
        <v>0</v>
      </c>
    </row>
    <row r="21" customFormat="false" ht="14.25" hidden="false" customHeight="false" outlineLevel="0" collapsed="false">
      <c r="A21" s="499"/>
      <c r="B21" s="500"/>
      <c r="C21" s="500"/>
      <c r="D21" s="501"/>
      <c r="E21" s="502" t="n">
        <f aca="false">IF($C$3="是",ROUND($A$3*G21/$B$3,2),ROUND($A$3*(G21-AT21)/$B$3,2))</f>
        <v>0</v>
      </c>
      <c r="F21" s="503"/>
      <c r="G21" s="504" t="n">
        <f aca="false">H21+AC21+AT21</f>
        <v>0</v>
      </c>
      <c r="H21" s="505" t="n">
        <f aca="false">SUMIF(I$12:AB$12,"总值",I21:AB21)</f>
        <v>0</v>
      </c>
      <c r="I21" s="506"/>
      <c r="J21" s="506"/>
      <c r="K21" s="506"/>
      <c r="L21" s="506"/>
      <c r="M21" s="506"/>
      <c r="N21" s="506"/>
      <c r="O21" s="506"/>
      <c r="P21" s="506"/>
      <c r="Q21" s="506"/>
      <c r="R21" s="506"/>
      <c r="S21" s="506"/>
      <c r="T21" s="506"/>
      <c r="U21" s="506"/>
      <c r="V21" s="506"/>
      <c r="W21" s="506"/>
      <c r="X21" s="506"/>
      <c r="Y21" s="506"/>
      <c r="Z21" s="506"/>
      <c r="AA21" s="506"/>
      <c r="AB21" s="506"/>
      <c r="AC21" s="502" t="n">
        <f aca="false">SUMIF(AD$12:AS$12,"总值",AD21:AS21)</f>
        <v>0</v>
      </c>
      <c r="AD21" s="507"/>
      <c r="AE21" s="507"/>
      <c r="AF21" s="507"/>
      <c r="AG21" s="507"/>
      <c r="AH21" s="507"/>
      <c r="AI21" s="507"/>
      <c r="AJ21" s="507"/>
      <c r="AK21" s="507"/>
      <c r="AL21" s="507"/>
      <c r="AM21" s="507"/>
      <c r="AN21" s="507"/>
      <c r="AO21" s="507"/>
      <c r="AP21" s="507"/>
      <c r="AQ21" s="507"/>
      <c r="AR21" s="507"/>
      <c r="AS21" s="507"/>
      <c r="AT21" s="508"/>
      <c r="AU21" s="509"/>
      <c r="AV21" s="510" t="n">
        <f aca="false">A21</f>
        <v>0</v>
      </c>
      <c r="AW21" s="510" t="n">
        <f aca="false">B21</f>
        <v>0</v>
      </c>
      <c r="AX21" s="510" t="n">
        <f aca="false">C21</f>
        <v>0</v>
      </c>
      <c r="AY21" s="511" t="n">
        <f aca="false">ROUND($AY$6*AZ21/$AZ$5,2)</f>
        <v>0</v>
      </c>
      <c r="AZ21" s="502" t="n">
        <f aca="false">BA21+BL21</f>
        <v>0</v>
      </c>
      <c r="BA21" s="502" t="n">
        <f aca="false">SUM(BB21:BK21)</f>
        <v>0</v>
      </c>
      <c r="BB21" s="502" t="n">
        <f aca="false">IF($D21="是",I21-J21,0)</f>
        <v>0</v>
      </c>
      <c r="BC21" s="502" t="n">
        <f aca="false">IF($D21="是",K21-L21,0)</f>
        <v>0</v>
      </c>
      <c r="BD21" s="502" t="n">
        <f aca="false">IF($D21="是",M21-N21,0)</f>
        <v>0</v>
      </c>
      <c r="BE21" s="502" t="n">
        <f aca="false">IF($D21="是",O21-P21,0)</f>
        <v>0</v>
      </c>
      <c r="BF21" s="502" t="n">
        <f aca="false">IF($D21="是",Q21-R21,0)</f>
        <v>0</v>
      </c>
      <c r="BG21" s="502" t="n">
        <f aca="false">IF($D21="是",S21-T21,0)</f>
        <v>0</v>
      </c>
      <c r="BH21" s="502" t="n">
        <f aca="false">IF($D21="是",U21-V21,0)</f>
        <v>0</v>
      </c>
      <c r="BI21" s="502" t="n">
        <f aca="false">IF($D21="是",W21-X21,0)</f>
        <v>0</v>
      </c>
      <c r="BJ21" s="502" t="n">
        <f aca="false">IF($D21="是",Y21-Z21,0)</f>
        <v>0</v>
      </c>
      <c r="BK21" s="502" t="n">
        <f aca="false">IF($D21="是",AA21-AB21,0)</f>
        <v>0</v>
      </c>
      <c r="BL21" s="502" t="n">
        <f aca="false">SUM(BM21:BT21)</f>
        <v>0</v>
      </c>
      <c r="BM21" s="502" t="n">
        <f aca="false">IF($D21="是",AD21-AE21,0)</f>
        <v>0</v>
      </c>
      <c r="BN21" s="502" t="n">
        <f aca="false">IF($D21="是",AF21-AG21,0)</f>
        <v>0</v>
      </c>
      <c r="BO21" s="502" t="n">
        <f aca="false">IF($D21="是",AH21-AI21,0)</f>
        <v>0</v>
      </c>
      <c r="BP21" s="502" t="n">
        <f aca="false">IF($D21="是",AJ21-AK21,0)</f>
        <v>0</v>
      </c>
      <c r="BQ21" s="502" t="n">
        <f aca="false">IF($D21="是",AL21-AM21,0)</f>
        <v>0</v>
      </c>
      <c r="BR21" s="502" t="n">
        <f aca="false">IF($D21="是",AN21-AO21,0)</f>
        <v>0</v>
      </c>
      <c r="BS21" s="502" t="n">
        <f aca="false">IF($D21="是",AP21-AQ21,0)</f>
        <v>0</v>
      </c>
      <c r="BT21" s="512" t="n">
        <f aca="false">IF($D21="是",AR21-AS21,0)</f>
        <v>0</v>
      </c>
    </row>
    <row r="22" customFormat="false" ht="14.25" hidden="false" customHeight="false" outlineLevel="0" collapsed="false">
      <c r="A22" s="499"/>
      <c r="B22" s="500"/>
      <c r="C22" s="500"/>
      <c r="D22" s="501"/>
      <c r="E22" s="502" t="n">
        <f aca="false">IF($C$3="是",ROUND($A$3*G22/$B$3,2),ROUND($A$3*(G22-AT22)/$B$3,2))</f>
        <v>0</v>
      </c>
      <c r="F22" s="503"/>
      <c r="G22" s="504" t="n">
        <f aca="false">H22+AC22+AT22</f>
        <v>0</v>
      </c>
      <c r="H22" s="505" t="n">
        <f aca="false">SUMIF(I$12:AB$12,"总值",I22:AB22)</f>
        <v>0</v>
      </c>
      <c r="I22" s="506"/>
      <c r="J22" s="506"/>
      <c r="K22" s="506"/>
      <c r="L22" s="506"/>
      <c r="M22" s="506"/>
      <c r="N22" s="506"/>
      <c r="O22" s="506"/>
      <c r="P22" s="506"/>
      <c r="Q22" s="506"/>
      <c r="R22" s="506"/>
      <c r="S22" s="506"/>
      <c r="T22" s="506"/>
      <c r="U22" s="506"/>
      <c r="V22" s="506"/>
      <c r="W22" s="506"/>
      <c r="X22" s="506"/>
      <c r="Y22" s="506"/>
      <c r="Z22" s="506"/>
      <c r="AA22" s="506"/>
      <c r="AB22" s="506"/>
      <c r="AC22" s="502" t="n">
        <f aca="false">SUMIF(AD$12:AS$12,"总值",AD22:AS22)</f>
        <v>0</v>
      </c>
      <c r="AD22" s="507"/>
      <c r="AE22" s="507"/>
      <c r="AF22" s="507"/>
      <c r="AG22" s="507"/>
      <c r="AH22" s="507"/>
      <c r="AI22" s="507"/>
      <c r="AJ22" s="507"/>
      <c r="AK22" s="507"/>
      <c r="AL22" s="507"/>
      <c r="AM22" s="507"/>
      <c r="AN22" s="507"/>
      <c r="AO22" s="507"/>
      <c r="AP22" s="507"/>
      <c r="AQ22" s="507"/>
      <c r="AR22" s="507"/>
      <c r="AS22" s="507"/>
      <c r="AT22" s="508"/>
      <c r="AU22" s="509"/>
      <c r="AV22" s="510" t="n">
        <f aca="false">A22</f>
        <v>0</v>
      </c>
      <c r="AW22" s="510" t="n">
        <f aca="false">B22</f>
        <v>0</v>
      </c>
      <c r="AX22" s="510" t="n">
        <f aca="false">C22</f>
        <v>0</v>
      </c>
      <c r="AY22" s="511" t="n">
        <f aca="false">ROUND($AY$6*AZ22/$AZ$5,2)</f>
        <v>0</v>
      </c>
      <c r="AZ22" s="502" t="n">
        <f aca="false">BA22+BL22</f>
        <v>0</v>
      </c>
      <c r="BA22" s="502" t="n">
        <f aca="false">SUM(BB22:BK22)</f>
        <v>0</v>
      </c>
      <c r="BB22" s="502" t="n">
        <f aca="false">IF($D22="是",I22-J22,0)</f>
        <v>0</v>
      </c>
      <c r="BC22" s="502" t="n">
        <f aca="false">IF($D22="是",K22-L22,0)</f>
        <v>0</v>
      </c>
      <c r="BD22" s="502" t="n">
        <f aca="false">IF($D22="是",M22-N22,0)</f>
        <v>0</v>
      </c>
      <c r="BE22" s="502" t="n">
        <f aca="false">IF($D22="是",O22-P22,0)</f>
        <v>0</v>
      </c>
      <c r="BF22" s="502" t="n">
        <f aca="false">IF($D22="是",Q22-R22,0)</f>
        <v>0</v>
      </c>
      <c r="BG22" s="502" t="n">
        <f aca="false">IF($D22="是",S22-T22,0)</f>
        <v>0</v>
      </c>
      <c r="BH22" s="502" t="n">
        <f aca="false">IF($D22="是",U22-V22,0)</f>
        <v>0</v>
      </c>
      <c r="BI22" s="502" t="n">
        <f aca="false">IF($D22="是",W22-X22,0)</f>
        <v>0</v>
      </c>
      <c r="BJ22" s="502" t="n">
        <f aca="false">IF($D22="是",Y22-Z22,0)</f>
        <v>0</v>
      </c>
      <c r="BK22" s="502" t="n">
        <f aca="false">IF($D22="是",AA22-AB22,0)</f>
        <v>0</v>
      </c>
      <c r="BL22" s="502" t="n">
        <f aca="false">SUM(BM22:BT22)</f>
        <v>0</v>
      </c>
      <c r="BM22" s="502" t="n">
        <f aca="false">IF($D22="是",AD22-AE22,0)</f>
        <v>0</v>
      </c>
      <c r="BN22" s="502" t="n">
        <f aca="false">IF($D22="是",AF22-AG22,0)</f>
        <v>0</v>
      </c>
      <c r="BO22" s="502" t="n">
        <f aca="false">IF($D22="是",AH22-AI22,0)</f>
        <v>0</v>
      </c>
      <c r="BP22" s="502" t="n">
        <f aca="false">IF($D22="是",AJ22-AK22,0)</f>
        <v>0</v>
      </c>
      <c r="BQ22" s="502" t="n">
        <f aca="false">IF($D22="是",AL22-AM22,0)</f>
        <v>0</v>
      </c>
      <c r="BR22" s="502" t="n">
        <f aca="false">IF($D22="是",AN22-AO22,0)</f>
        <v>0</v>
      </c>
      <c r="BS22" s="502" t="n">
        <f aca="false">IF($D22="是",AP22-AQ22,0)</f>
        <v>0</v>
      </c>
      <c r="BT22" s="512" t="n">
        <f aca="false">IF($D22="是",AR22-AS22,0)</f>
        <v>0</v>
      </c>
    </row>
    <row r="23" customFormat="false" ht="14.25" hidden="false" customHeight="false" outlineLevel="0" collapsed="false">
      <c r="A23" s="499"/>
      <c r="B23" s="500"/>
      <c r="C23" s="500"/>
      <c r="D23" s="501"/>
      <c r="E23" s="502" t="n">
        <f aca="false">IF($C$3="是",ROUND($A$3*G23/$B$3,2),ROUND($A$3*(G23-AT23)/$B$3,2))</f>
        <v>0</v>
      </c>
      <c r="F23" s="503"/>
      <c r="G23" s="504" t="n">
        <f aca="false">H23+AC23+AT23</f>
        <v>0</v>
      </c>
      <c r="H23" s="505" t="n">
        <f aca="false">SUMIF(I$12:AB$12,"总值",I23:AB23)</f>
        <v>0</v>
      </c>
      <c r="I23" s="506"/>
      <c r="J23" s="506"/>
      <c r="K23" s="506"/>
      <c r="L23" s="506"/>
      <c r="M23" s="506"/>
      <c r="N23" s="506"/>
      <c r="O23" s="506"/>
      <c r="P23" s="506"/>
      <c r="Q23" s="506"/>
      <c r="R23" s="506"/>
      <c r="S23" s="506"/>
      <c r="T23" s="506"/>
      <c r="U23" s="506"/>
      <c r="V23" s="506"/>
      <c r="W23" s="506"/>
      <c r="X23" s="506"/>
      <c r="Y23" s="506"/>
      <c r="Z23" s="506"/>
      <c r="AA23" s="506"/>
      <c r="AB23" s="506"/>
      <c r="AC23" s="502" t="n">
        <f aca="false">SUMIF(AD$12:AS$12,"总值",AD23:AS23)</f>
        <v>0</v>
      </c>
      <c r="AD23" s="507"/>
      <c r="AE23" s="507"/>
      <c r="AF23" s="507"/>
      <c r="AG23" s="507"/>
      <c r="AH23" s="507"/>
      <c r="AI23" s="507"/>
      <c r="AJ23" s="507"/>
      <c r="AK23" s="507"/>
      <c r="AL23" s="507"/>
      <c r="AM23" s="507"/>
      <c r="AN23" s="507"/>
      <c r="AO23" s="507"/>
      <c r="AP23" s="507"/>
      <c r="AQ23" s="507"/>
      <c r="AR23" s="507"/>
      <c r="AS23" s="507"/>
      <c r="AT23" s="508"/>
      <c r="AU23" s="509"/>
      <c r="AV23" s="510" t="n">
        <f aca="false">A23</f>
        <v>0</v>
      </c>
      <c r="AW23" s="510" t="n">
        <f aca="false">B23</f>
        <v>0</v>
      </c>
      <c r="AX23" s="510" t="n">
        <f aca="false">C23</f>
        <v>0</v>
      </c>
      <c r="AY23" s="511" t="n">
        <f aca="false">ROUND($AY$6*AZ23/$AZ$5,2)</f>
        <v>0</v>
      </c>
      <c r="AZ23" s="502" t="n">
        <f aca="false">BA23+BL23</f>
        <v>0</v>
      </c>
      <c r="BA23" s="502" t="n">
        <f aca="false">SUM(BB23:BK23)</f>
        <v>0</v>
      </c>
      <c r="BB23" s="502" t="n">
        <f aca="false">IF($D23="是",I23-J23,0)</f>
        <v>0</v>
      </c>
      <c r="BC23" s="502" t="n">
        <f aca="false">IF($D23="是",K23-L23,0)</f>
        <v>0</v>
      </c>
      <c r="BD23" s="502" t="n">
        <f aca="false">IF($D23="是",M23-N23,0)</f>
        <v>0</v>
      </c>
      <c r="BE23" s="502" t="n">
        <f aca="false">IF($D23="是",O23-P23,0)</f>
        <v>0</v>
      </c>
      <c r="BF23" s="502" t="n">
        <f aca="false">IF($D23="是",Q23-R23,0)</f>
        <v>0</v>
      </c>
      <c r="BG23" s="502" t="n">
        <f aca="false">IF($D23="是",S23-T23,0)</f>
        <v>0</v>
      </c>
      <c r="BH23" s="502" t="n">
        <f aca="false">IF($D23="是",U23-V23,0)</f>
        <v>0</v>
      </c>
      <c r="BI23" s="502" t="n">
        <f aca="false">IF($D23="是",W23-X23,0)</f>
        <v>0</v>
      </c>
      <c r="BJ23" s="502" t="n">
        <f aca="false">IF($D23="是",Y23-Z23,0)</f>
        <v>0</v>
      </c>
      <c r="BK23" s="502" t="n">
        <f aca="false">IF($D23="是",AA23-AB23,0)</f>
        <v>0</v>
      </c>
      <c r="BL23" s="502" t="n">
        <f aca="false">SUM(BM23:BT23)</f>
        <v>0</v>
      </c>
      <c r="BM23" s="502" t="n">
        <f aca="false">IF($D23="是",AD23-AE23,0)</f>
        <v>0</v>
      </c>
      <c r="BN23" s="502" t="n">
        <f aca="false">IF($D23="是",AF23-AG23,0)</f>
        <v>0</v>
      </c>
      <c r="BO23" s="502" t="n">
        <f aca="false">IF($D23="是",AH23-AI23,0)</f>
        <v>0</v>
      </c>
      <c r="BP23" s="502" t="n">
        <f aca="false">IF($D23="是",AJ23-AK23,0)</f>
        <v>0</v>
      </c>
      <c r="BQ23" s="502" t="n">
        <f aca="false">IF($D23="是",AL23-AM23,0)</f>
        <v>0</v>
      </c>
      <c r="BR23" s="502" t="n">
        <f aca="false">IF($D23="是",AN23-AO23,0)</f>
        <v>0</v>
      </c>
      <c r="BS23" s="502" t="n">
        <f aca="false">IF($D23="是",AP23-AQ23,0)</f>
        <v>0</v>
      </c>
      <c r="BT23" s="512" t="n">
        <f aca="false">IF($D23="是",AR23-AS23,0)</f>
        <v>0</v>
      </c>
    </row>
    <row r="24" customFormat="false" ht="14.25" hidden="false" customHeight="false" outlineLevel="0" collapsed="false">
      <c r="A24" s="499"/>
      <c r="B24" s="500"/>
      <c r="C24" s="500"/>
      <c r="D24" s="501"/>
      <c r="E24" s="502" t="n">
        <f aca="false">IF($C$3="是",ROUND($A$3*G24/$B$3,2),ROUND($A$3*(G24-AT24)/$B$3,2))</f>
        <v>0</v>
      </c>
      <c r="F24" s="503"/>
      <c r="G24" s="504" t="n">
        <f aca="false">H24+AC24+AT24</f>
        <v>0</v>
      </c>
      <c r="H24" s="505" t="n">
        <f aca="false">SUMIF(I$12:AB$12,"总值",I24:AB24)</f>
        <v>0</v>
      </c>
      <c r="I24" s="506"/>
      <c r="J24" s="506"/>
      <c r="K24" s="506"/>
      <c r="L24" s="506"/>
      <c r="M24" s="506"/>
      <c r="N24" s="506"/>
      <c r="O24" s="506"/>
      <c r="P24" s="506"/>
      <c r="Q24" s="506"/>
      <c r="R24" s="506"/>
      <c r="S24" s="506"/>
      <c r="T24" s="506"/>
      <c r="U24" s="506"/>
      <c r="V24" s="506"/>
      <c r="W24" s="506"/>
      <c r="X24" s="506"/>
      <c r="Y24" s="506"/>
      <c r="Z24" s="506"/>
      <c r="AA24" s="506"/>
      <c r="AB24" s="506"/>
      <c r="AC24" s="502" t="n">
        <f aca="false">SUMIF(AD$12:AS$12,"总值",AD24:AS24)</f>
        <v>0</v>
      </c>
      <c r="AD24" s="507"/>
      <c r="AE24" s="507"/>
      <c r="AF24" s="507"/>
      <c r="AG24" s="507"/>
      <c r="AH24" s="507"/>
      <c r="AI24" s="507"/>
      <c r="AJ24" s="507"/>
      <c r="AK24" s="507"/>
      <c r="AL24" s="507"/>
      <c r="AM24" s="507"/>
      <c r="AN24" s="507"/>
      <c r="AO24" s="507"/>
      <c r="AP24" s="507"/>
      <c r="AQ24" s="507"/>
      <c r="AR24" s="507"/>
      <c r="AS24" s="507"/>
      <c r="AT24" s="508"/>
      <c r="AU24" s="509"/>
      <c r="AV24" s="510" t="n">
        <f aca="false">A24</f>
        <v>0</v>
      </c>
      <c r="AW24" s="510" t="n">
        <f aca="false">B24</f>
        <v>0</v>
      </c>
      <c r="AX24" s="510" t="n">
        <f aca="false">C24</f>
        <v>0</v>
      </c>
      <c r="AY24" s="511" t="n">
        <f aca="false">ROUND($AY$6*AZ24/$AZ$5,2)</f>
        <v>0</v>
      </c>
      <c r="AZ24" s="502" t="n">
        <f aca="false">BA24+BL24</f>
        <v>0</v>
      </c>
      <c r="BA24" s="502" t="n">
        <f aca="false">SUM(BB24:BK24)</f>
        <v>0</v>
      </c>
      <c r="BB24" s="502" t="n">
        <f aca="false">IF($D24="是",I24-J24,0)</f>
        <v>0</v>
      </c>
      <c r="BC24" s="502" t="n">
        <f aca="false">IF($D24="是",K24-L24,0)</f>
        <v>0</v>
      </c>
      <c r="BD24" s="502" t="n">
        <f aca="false">IF($D24="是",M24-N24,0)</f>
        <v>0</v>
      </c>
      <c r="BE24" s="502" t="n">
        <f aca="false">IF($D24="是",O24-P24,0)</f>
        <v>0</v>
      </c>
      <c r="BF24" s="502" t="n">
        <f aca="false">IF($D24="是",Q24-R24,0)</f>
        <v>0</v>
      </c>
      <c r="BG24" s="502" t="n">
        <f aca="false">IF($D24="是",S24-T24,0)</f>
        <v>0</v>
      </c>
      <c r="BH24" s="502" t="n">
        <f aca="false">IF($D24="是",U24-V24,0)</f>
        <v>0</v>
      </c>
      <c r="BI24" s="502" t="n">
        <f aca="false">IF($D24="是",W24-X24,0)</f>
        <v>0</v>
      </c>
      <c r="BJ24" s="502" t="n">
        <f aca="false">IF($D24="是",Y24-Z24,0)</f>
        <v>0</v>
      </c>
      <c r="BK24" s="502" t="n">
        <f aca="false">IF($D24="是",AA24-AB24,0)</f>
        <v>0</v>
      </c>
      <c r="BL24" s="502" t="n">
        <f aca="false">SUM(BM24:BT24)</f>
        <v>0</v>
      </c>
      <c r="BM24" s="502" t="n">
        <f aca="false">IF($D24="是",AD24-AE24,0)</f>
        <v>0</v>
      </c>
      <c r="BN24" s="502" t="n">
        <f aca="false">IF($D24="是",AF24-AG24,0)</f>
        <v>0</v>
      </c>
      <c r="BO24" s="502" t="n">
        <f aca="false">IF($D24="是",AH24-AI24,0)</f>
        <v>0</v>
      </c>
      <c r="BP24" s="502" t="n">
        <f aca="false">IF($D24="是",AJ24-AK24,0)</f>
        <v>0</v>
      </c>
      <c r="BQ24" s="502" t="n">
        <f aca="false">IF($D24="是",AL24-AM24,0)</f>
        <v>0</v>
      </c>
      <c r="BR24" s="502" t="n">
        <f aca="false">IF($D24="是",AN24-AO24,0)</f>
        <v>0</v>
      </c>
      <c r="BS24" s="502" t="n">
        <f aca="false">IF($D24="是",AP24-AQ24,0)</f>
        <v>0</v>
      </c>
      <c r="BT24" s="512" t="n">
        <f aca="false">IF($D24="是",AR24-AS24,0)</f>
        <v>0</v>
      </c>
    </row>
    <row r="25" customFormat="false" ht="14.25" hidden="false" customHeight="false" outlineLevel="0" collapsed="false">
      <c r="A25" s="499"/>
      <c r="B25" s="500"/>
      <c r="C25" s="500"/>
      <c r="D25" s="501"/>
      <c r="E25" s="502" t="n">
        <f aca="false">IF($C$3="是",ROUND($A$3*G25/$B$3,2),ROUND($A$3*(G25-AT25)/$B$3,2))</f>
        <v>0</v>
      </c>
      <c r="F25" s="503"/>
      <c r="G25" s="504" t="n">
        <f aca="false">H25+AC25+AT25</f>
        <v>0</v>
      </c>
      <c r="H25" s="505" t="n">
        <f aca="false">SUMIF(I$12:AB$12,"总值",I25:AB25)</f>
        <v>0</v>
      </c>
      <c r="I25" s="506"/>
      <c r="J25" s="506"/>
      <c r="K25" s="506"/>
      <c r="L25" s="506"/>
      <c r="M25" s="506"/>
      <c r="N25" s="506"/>
      <c r="O25" s="506"/>
      <c r="P25" s="506"/>
      <c r="Q25" s="506"/>
      <c r="R25" s="506"/>
      <c r="S25" s="506"/>
      <c r="T25" s="506"/>
      <c r="U25" s="506"/>
      <c r="V25" s="506"/>
      <c r="W25" s="506"/>
      <c r="X25" s="506"/>
      <c r="Y25" s="506"/>
      <c r="Z25" s="506"/>
      <c r="AA25" s="506"/>
      <c r="AB25" s="506"/>
      <c r="AC25" s="502" t="n">
        <f aca="false">SUMIF(AD$12:AS$12,"总值",AD25:AS25)</f>
        <v>0</v>
      </c>
      <c r="AD25" s="507"/>
      <c r="AE25" s="507"/>
      <c r="AF25" s="507"/>
      <c r="AG25" s="507"/>
      <c r="AH25" s="507"/>
      <c r="AI25" s="507"/>
      <c r="AJ25" s="507"/>
      <c r="AK25" s="507"/>
      <c r="AL25" s="507"/>
      <c r="AM25" s="507"/>
      <c r="AN25" s="507"/>
      <c r="AO25" s="507"/>
      <c r="AP25" s="507"/>
      <c r="AQ25" s="507"/>
      <c r="AR25" s="507"/>
      <c r="AS25" s="507"/>
      <c r="AT25" s="508"/>
      <c r="AU25" s="509"/>
      <c r="AV25" s="510" t="n">
        <f aca="false">A25</f>
        <v>0</v>
      </c>
      <c r="AW25" s="510" t="n">
        <f aca="false">B25</f>
        <v>0</v>
      </c>
      <c r="AX25" s="510" t="n">
        <f aca="false">C25</f>
        <v>0</v>
      </c>
      <c r="AY25" s="511" t="n">
        <f aca="false">ROUND($AY$6*AZ25/$AZ$5,2)</f>
        <v>0</v>
      </c>
      <c r="AZ25" s="502" t="n">
        <f aca="false">BA25+BL25</f>
        <v>0</v>
      </c>
      <c r="BA25" s="502" t="n">
        <f aca="false">SUM(BB25:BK25)</f>
        <v>0</v>
      </c>
      <c r="BB25" s="502" t="n">
        <f aca="false">IF($D25="是",I25-J25,0)</f>
        <v>0</v>
      </c>
      <c r="BC25" s="502" t="n">
        <f aca="false">IF($D25="是",K25-L25,0)</f>
        <v>0</v>
      </c>
      <c r="BD25" s="502" t="n">
        <f aca="false">IF($D25="是",M25-N25,0)</f>
        <v>0</v>
      </c>
      <c r="BE25" s="502" t="n">
        <f aca="false">IF($D25="是",O25-P25,0)</f>
        <v>0</v>
      </c>
      <c r="BF25" s="502" t="n">
        <f aca="false">IF($D25="是",Q25-R25,0)</f>
        <v>0</v>
      </c>
      <c r="BG25" s="502" t="n">
        <f aca="false">IF($D25="是",S25-T25,0)</f>
        <v>0</v>
      </c>
      <c r="BH25" s="502" t="n">
        <f aca="false">IF($D25="是",U25-V25,0)</f>
        <v>0</v>
      </c>
      <c r="BI25" s="502" t="n">
        <f aca="false">IF($D25="是",W25-X25,0)</f>
        <v>0</v>
      </c>
      <c r="BJ25" s="502" t="n">
        <f aca="false">IF($D25="是",Y25-Z25,0)</f>
        <v>0</v>
      </c>
      <c r="BK25" s="502" t="n">
        <f aca="false">IF($D25="是",AA25-AB25,0)</f>
        <v>0</v>
      </c>
      <c r="BL25" s="502" t="n">
        <f aca="false">SUM(BM25:BT25)</f>
        <v>0</v>
      </c>
      <c r="BM25" s="502" t="n">
        <f aca="false">IF($D25="是",AD25-AE25,0)</f>
        <v>0</v>
      </c>
      <c r="BN25" s="502" t="n">
        <f aca="false">IF($D25="是",AF25-AG25,0)</f>
        <v>0</v>
      </c>
      <c r="BO25" s="502" t="n">
        <f aca="false">IF($D25="是",AH25-AI25,0)</f>
        <v>0</v>
      </c>
      <c r="BP25" s="502" t="n">
        <f aca="false">IF($D25="是",AJ25-AK25,0)</f>
        <v>0</v>
      </c>
      <c r="BQ25" s="502" t="n">
        <f aca="false">IF($D25="是",AL25-AM25,0)</f>
        <v>0</v>
      </c>
      <c r="BR25" s="502" t="n">
        <f aca="false">IF($D25="是",AN25-AO25,0)</f>
        <v>0</v>
      </c>
      <c r="BS25" s="502" t="n">
        <f aca="false">IF($D25="是",AP25-AQ25,0)</f>
        <v>0</v>
      </c>
      <c r="BT25" s="512" t="n">
        <f aca="false">IF($D25="是",AR25-AS25,0)</f>
        <v>0</v>
      </c>
    </row>
    <row r="26" customFormat="false" ht="14.25" hidden="false" customHeight="false" outlineLevel="0" collapsed="false">
      <c r="A26" s="499"/>
      <c r="B26" s="500"/>
      <c r="C26" s="500"/>
      <c r="D26" s="501"/>
      <c r="E26" s="502" t="n">
        <f aca="false">IF($C$3="是",ROUND($A$3*G26/$B$3,2),ROUND($A$3*(G26-AT26)/$B$3,2))</f>
        <v>0</v>
      </c>
      <c r="F26" s="503"/>
      <c r="G26" s="504" t="n">
        <f aca="false">H26+AC26+AT26</f>
        <v>0</v>
      </c>
      <c r="H26" s="505" t="n">
        <f aca="false">SUMIF(I$12:AB$12,"总值",I26:AB26)</f>
        <v>0</v>
      </c>
      <c r="I26" s="506"/>
      <c r="J26" s="506"/>
      <c r="K26" s="506"/>
      <c r="L26" s="506"/>
      <c r="M26" s="506"/>
      <c r="N26" s="506"/>
      <c r="O26" s="506"/>
      <c r="P26" s="506"/>
      <c r="Q26" s="506"/>
      <c r="R26" s="506"/>
      <c r="S26" s="506"/>
      <c r="T26" s="506"/>
      <c r="U26" s="506"/>
      <c r="V26" s="506"/>
      <c r="W26" s="506"/>
      <c r="X26" s="506"/>
      <c r="Y26" s="506"/>
      <c r="Z26" s="506"/>
      <c r="AA26" s="506"/>
      <c r="AB26" s="506"/>
      <c r="AC26" s="502" t="n">
        <f aca="false">SUMIF(AD$12:AS$12,"总值",AD26:AS26)</f>
        <v>0</v>
      </c>
      <c r="AD26" s="507"/>
      <c r="AE26" s="507"/>
      <c r="AF26" s="507"/>
      <c r="AG26" s="507"/>
      <c r="AH26" s="507"/>
      <c r="AI26" s="507"/>
      <c r="AJ26" s="507"/>
      <c r="AK26" s="507"/>
      <c r="AL26" s="507"/>
      <c r="AM26" s="507"/>
      <c r="AN26" s="507"/>
      <c r="AO26" s="507"/>
      <c r="AP26" s="507"/>
      <c r="AQ26" s="507"/>
      <c r="AR26" s="507"/>
      <c r="AS26" s="507"/>
      <c r="AT26" s="508"/>
      <c r="AU26" s="509"/>
      <c r="AV26" s="510" t="n">
        <f aca="false">A26</f>
        <v>0</v>
      </c>
      <c r="AW26" s="510" t="n">
        <f aca="false">B26</f>
        <v>0</v>
      </c>
      <c r="AX26" s="510" t="n">
        <f aca="false">C26</f>
        <v>0</v>
      </c>
      <c r="AY26" s="511" t="n">
        <f aca="false">ROUND($AY$6*AZ26/$AZ$5,2)</f>
        <v>0</v>
      </c>
      <c r="AZ26" s="502" t="n">
        <f aca="false">BA26+BL26</f>
        <v>0</v>
      </c>
      <c r="BA26" s="502" t="n">
        <f aca="false">SUM(BB26:BK26)</f>
        <v>0</v>
      </c>
      <c r="BB26" s="502" t="n">
        <f aca="false">IF($D26="是",I26-J26,0)</f>
        <v>0</v>
      </c>
      <c r="BC26" s="502" t="n">
        <f aca="false">IF($D26="是",K26-L26,0)</f>
        <v>0</v>
      </c>
      <c r="BD26" s="502" t="n">
        <f aca="false">IF($D26="是",M26-N26,0)</f>
        <v>0</v>
      </c>
      <c r="BE26" s="502" t="n">
        <f aca="false">IF($D26="是",O26-P26,0)</f>
        <v>0</v>
      </c>
      <c r="BF26" s="502" t="n">
        <f aca="false">IF($D26="是",Q26-R26,0)</f>
        <v>0</v>
      </c>
      <c r="BG26" s="502" t="n">
        <f aca="false">IF($D26="是",S26-T26,0)</f>
        <v>0</v>
      </c>
      <c r="BH26" s="502" t="n">
        <f aca="false">IF($D26="是",U26-V26,0)</f>
        <v>0</v>
      </c>
      <c r="BI26" s="502" t="n">
        <f aca="false">IF($D26="是",W26-X26,0)</f>
        <v>0</v>
      </c>
      <c r="BJ26" s="502" t="n">
        <f aca="false">IF($D26="是",Y26-Z26,0)</f>
        <v>0</v>
      </c>
      <c r="BK26" s="502" t="n">
        <f aca="false">IF($D26="是",AA26-AB26,0)</f>
        <v>0</v>
      </c>
      <c r="BL26" s="502" t="n">
        <f aca="false">SUM(BM26:BT26)</f>
        <v>0</v>
      </c>
      <c r="BM26" s="502" t="n">
        <f aca="false">IF($D26="是",AD26-AE26,0)</f>
        <v>0</v>
      </c>
      <c r="BN26" s="502" t="n">
        <f aca="false">IF($D26="是",AF26-AG26,0)</f>
        <v>0</v>
      </c>
      <c r="BO26" s="502" t="n">
        <f aca="false">IF($D26="是",AH26-AI26,0)</f>
        <v>0</v>
      </c>
      <c r="BP26" s="502" t="n">
        <f aca="false">IF($D26="是",AJ26-AK26,0)</f>
        <v>0</v>
      </c>
      <c r="BQ26" s="502" t="n">
        <f aca="false">IF($D26="是",AL26-AM26,0)</f>
        <v>0</v>
      </c>
      <c r="BR26" s="502" t="n">
        <f aca="false">IF($D26="是",AN26-AO26,0)</f>
        <v>0</v>
      </c>
      <c r="BS26" s="502" t="n">
        <f aca="false">IF($D26="是",AP26-AQ26,0)</f>
        <v>0</v>
      </c>
      <c r="BT26" s="512" t="n">
        <f aca="false">IF($D26="是",AR26-AS26,0)</f>
        <v>0</v>
      </c>
    </row>
    <row r="27" customFormat="false" ht="14.25" hidden="false" customHeight="false" outlineLevel="0" collapsed="false">
      <c r="A27" s="499"/>
      <c r="B27" s="500"/>
      <c r="C27" s="500"/>
      <c r="D27" s="501"/>
      <c r="E27" s="502" t="n">
        <f aca="false">IF($C$3="是",ROUND($A$3*G27/$B$3,2),ROUND($A$3*(G27-AT27)/$B$3,2))</f>
        <v>0</v>
      </c>
      <c r="F27" s="503"/>
      <c r="G27" s="504" t="n">
        <f aca="false">H27+AC27+AT27</f>
        <v>0</v>
      </c>
      <c r="H27" s="505" t="n">
        <f aca="false">SUMIF(I$12:AB$12,"总值",I27:AB27)</f>
        <v>0</v>
      </c>
      <c r="I27" s="506"/>
      <c r="J27" s="506"/>
      <c r="K27" s="506"/>
      <c r="L27" s="506"/>
      <c r="M27" s="506"/>
      <c r="N27" s="506"/>
      <c r="O27" s="506"/>
      <c r="P27" s="506"/>
      <c r="Q27" s="506"/>
      <c r="R27" s="506"/>
      <c r="S27" s="506"/>
      <c r="T27" s="506"/>
      <c r="U27" s="506"/>
      <c r="V27" s="506"/>
      <c r="W27" s="506"/>
      <c r="X27" s="506"/>
      <c r="Y27" s="506"/>
      <c r="Z27" s="506"/>
      <c r="AA27" s="506"/>
      <c r="AB27" s="506"/>
      <c r="AC27" s="502" t="n">
        <f aca="false">SUMIF(AD$12:AS$12,"总值",AD27:AS27)</f>
        <v>0</v>
      </c>
      <c r="AD27" s="507"/>
      <c r="AE27" s="507"/>
      <c r="AF27" s="507"/>
      <c r="AG27" s="507"/>
      <c r="AH27" s="507"/>
      <c r="AI27" s="507"/>
      <c r="AJ27" s="507"/>
      <c r="AK27" s="507"/>
      <c r="AL27" s="507"/>
      <c r="AM27" s="507"/>
      <c r="AN27" s="507"/>
      <c r="AO27" s="507"/>
      <c r="AP27" s="507"/>
      <c r="AQ27" s="507"/>
      <c r="AR27" s="507"/>
      <c r="AS27" s="507"/>
      <c r="AT27" s="508"/>
      <c r="AU27" s="509"/>
      <c r="AV27" s="510" t="n">
        <f aca="false">A27</f>
        <v>0</v>
      </c>
      <c r="AW27" s="510" t="n">
        <f aca="false">B27</f>
        <v>0</v>
      </c>
      <c r="AX27" s="510" t="n">
        <f aca="false">C27</f>
        <v>0</v>
      </c>
      <c r="AY27" s="511" t="n">
        <f aca="false">ROUND($AY$6*AZ27/$AZ$5,2)</f>
        <v>0</v>
      </c>
      <c r="AZ27" s="502" t="n">
        <f aca="false">BA27+BL27</f>
        <v>0</v>
      </c>
      <c r="BA27" s="502" t="n">
        <f aca="false">SUM(BB27:BK27)</f>
        <v>0</v>
      </c>
      <c r="BB27" s="502" t="n">
        <f aca="false">IF($D27="是",I27-J27,0)</f>
        <v>0</v>
      </c>
      <c r="BC27" s="502" t="n">
        <f aca="false">IF($D27="是",K27-L27,0)</f>
        <v>0</v>
      </c>
      <c r="BD27" s="502" t="n">
        <f aca="false">IF($D27="是",M27-N27,0)</f>
        <v>0</v>
      </c>
      <c r="BE27" s="502" t="n">
        <f aca="false">IF($D27="是",O27-P27,0)</f>
        <v>0</v>
      </c>
      <c r="BF27" s="502" t="n">
        <f aca="false">IF($D27="是",Q27-R27,0)</f>
        <v>0</v>
      </c>
      <c r="BG27" s="502" t="n">
        <f aca="false">IF($D27="是",S27-T27,0)</f>
        <v>0</v>
      </c>
      <c r="BH27" s="502" t="n">
        <f aca="false">IF($D27="是",U27-V27,0)</f>
        <v>0</v>
      </c>
      <c r="BI27" s="502" t="n">
        <f aca="false">IF($D27="是",W27-X27,0)</f>
        <v>0</v>
      </c>
      <c r="BJ27" s="502" t="n">
        <f aca="false">IF($D27="是",Y27-Z27,0)</f>
        <v>0</v>
      </c>
      <c r="BK27" s="502" t="n">
        <f aca="false">IF($D27="是",AA27-AB27,0)</f>
        <v>0</v>
      </c>
      <c r="BL27" s="502" t="n">
        <f aca="false">SUM(BM27:BT27)</f>
        <v>0</v>
      </c>
      <c r="BM27" s="502" t="n">
        <f aca="false">IF($D27="是",AD27-AE27,0)</f>
        <v>0</v>
      </c>
      <c r="BN27" s="502" t="n">
        <f aca="false">IF($D27="是",AF27-AG27,0)</f>
        <v>0</v>
      </c>
      <c r="BO27" s="502" t="n">
        <f aca="false">IF($D27="是",AH27-AI27,0)</f>
        <v>0</v>
      </c>
      <c r="BP27" s="502" t="n">
        <f aca="false">IF($D27="是",AJ27-AK27,0)</f>
        <v>0</v>
      </c>
      <c r="BQ27" s="502" t="n">
        <f aca="false">IF($D27="是",AL27-AM27,0)</f>
        <v>0</v>
      </c>
      <c r="BR27" s="502" t="n">
        <f aca="false">IF($D27="是",AN27-AO27,0)</f>
        <v>0</v>
      </c>
      <c r="BS27" s="502" t="n">
        <f aca="false">IF($D27="是",AP27-AQ27,0)</f>
        <v>0</v>
      </c>
      <c r="BT27" s="512" t="n">
        <f aca="false">IF($D27="是",AR27-AS27,0)</f>
        <v>0</v>
      </c>
    </row>
    <row r="28" customFormat="false" ht="14.25" hidden="false" customHeight="false" outlineLevel="0" collapsed="false">
      <c r="A28" s="499"/>
      <c r="B28" s="500"/>
      <c r="C28" s="500"/>
      <c r="D28" s="501"/>
      <c r="E28" s="502" t="n">
        <f aca="false">IF($C$3="是",ROUND($A$3*G28/$B$3,2),ROUND($A$3*(G28-AT28)/$B$3,2))</f>
        <v>0</v>
      </c>
      <c r="F28" s="503"/>
      <c r="G28" s="504" t="n">
        <f aca="false">H28+AC28+AT28</f>
        <v>0</v>
      </c>
      <c r="H28" s="505" t="n">
        <f aca="false">SUMIF(I$12:AB$12,"总值",I28:AB28)</f>
        <v>0</v>
      </c>
      <c r="I28" s="506"/>
      <c r="J28" s="506"/>
      <c r="K28" s="506"/>
      <c r="L28" s="506"/>
      <c r="M28" s="506"/>
      <c r="N28" s="506"/>
      <c r="O28" s="506"/>
      <c r="P28" s="506"/>
      <c r="Q28" s="506"/>
      <c r="R28" s="506"/>
      <c r="S28" s="506"/>
      <c r="T28" s="506"/>
      <c r="U28" s="506"/>
      <c r="V28" s="506"/>
      <c r="W28" s="506"/>
      <c r="X28" s="506"/>
      <c r="Y28" s="506"/>
      <c r="Z28" s="506"/>
      <c r="AA28" s="506"/>
      <c r="AB28" s="506"/>
      <c r="AC28" s="502" t="n">
        <f aca="false">SUMIF(AD$12:AS$12,"总值",AD28:AS28)</f>
        <v>0</v>
      </c>
      <c r="AD28" s="507"/>
      <c r="AE28" s="507"/>
      <c r="AF28" s="507"/>
      <c r="AG28" s="507"/>
      <c r="AH28" s="507"/>
      <c r="AI28" s="507"/>
      <c r="AJ28" s="507"/>
      <c r="AK28" s="507"/>
      <c r="AL28" s="507"/>
      <c r="AM28" s="507"/>
      <c r="AN28" s="507"/>
      <c r="AO28" s="507"/>
      <c r="AP28" s="507"/>
      <c r="AQ28" s="507"/>
      <c r="AR28" s="507"/>
      <c r="AS28" s="507"/>
      <c r="AT28" s="508"/>
      <c r="AU28" s="509"/>
      <c r="AV28" s="510" t="n">
        <f aca="false">A28</f>
        <v>0</v>
      </c>
      <c r="AW28" s="510" t="n">
        <f aca="false">B28</f>
        <v>0</v>
      </c>
      <c r="AX28" s="510" t="n">
        <f aca="false">C28</f>
        <v>0</v>
      </c>
      <c r="AY28" s="511" t="n">
        <f aca="false">ROUND($AY$6*AZ28/$AZ$5,2)</f>
        <v>0</v>
      </c>
      <c r="AZ28" s="502" t="n">
        <f aca="false">BA28+BL28</f>
        <v>0</v>
      </c>
      <c r="BA28" s="502" t="n">
        <f aca="false">SUM(BB28:BK28)</f>
        <v>0</v>
      </c>
      <c r="BB28" s="502" t="n">
        <f aca="false">IF($D28="是",I28-J28,0)</f>
        <v>0</v>
      </c>
      <c r="BC28" s="502" t="n">
        <f aca="false">IF($D28="是",K28-L28,0)</f>
        <v>0</v>
      </c>
      <c r="BD28" s="502" t="n">
        <f aca="false">IF($D28="是",M28-N28,0)</f>
        <v>0</v>
      </c>
      <c r="BE28" s="502" t="n">
        <f aca="false">IF($D28="是",O28-P28,0)</f>
        <v>0</v>
      </c>
      <c r="BF28" s="502" t="n">
        <f aca="false">IF($D28="是",Q28-R28,0)</f>
        <v>0</v>
      </c>
      <c r="BG28" s="502" t="n">
        <f aca="false">IF($D28="是",S28-T28,0)</f>
        <v>0</v>
      </c>
      <c r="BH28" s="502" t="n">
        <f aca="false">IF($D28="是",U28-V28,0)</f>
        <v>0</v>
      </c>
      <c r="BI28" s="502" t="n">
        <f aca="false">IF($D28="是",W28-X28,0)</f>
        <v>0</v>
      </c>
      <c r="BJ28" s="502" t="n">
        <f aca="false">IF($D28="是",Y28-Z28,0)</f>
        <v>0</v>
      </c>
      <c r="BK28" s="502" t="n">
        <f aca="false">IF($D28="是",AA28-AB28,0)</f>
        <v>0</v>
      </c>
      <c r="BL28" s="502" t="n">
        <f aca="false">SUM(BM28:BT28)</f>
        <v>0</v>
      </c>
      <c r="BM28" s="502" t="n">
        <f aca="false">IF($D28="是",AD28-AE28,0)</f>
        <v>0</v>
      </c>
      <c r="BN28" s="502" t="n">
        <f aca="false">IF($D28="是",AF28-AG28,0)</f>
        <v>0</v>
      </c>
      <c r="BO28" s="502" t="n">
        <f aca="false">IF($D28="是",AH28-AI28,0)</f>
        <v>0</v>
      </c>
      <c r="BP28" s="502" t="n">
        <f aca="false">IF($D28="是",AJ28-AK28,0)</f>
        <v>0</v>
      </c>
      <c r="BQ28" s="502" t="n">
        <f aca="false">IF($D28="是",AL28-AM28,0)</f>
        <v>0</v>
      </c>
      <c r="BR28" s="502" t="n">
        <f aca="false">IF($D28="是",AN28-AO28,0)</f>
        <v>0</v>
      </c>
      <c r="BS28" s="502" t="n">
        <f aca="false">IF($D28="是",AP28-AQ28,0)</f>
        <v>0</v>
      </c>
      <c r="BT28" s="512" t="n">
        <f aca="false">IF($D28="是",AR28-AS28,0)</f>
        <v>0</v>
      </c>
    </row>
    <row r="29" customFormat="false" ht="14.25" hidden="false" customHeight="false" outlineLevel="0" collapsed="false">
      <c r="A29" s="499"/>
      <c r="B29" s="500"/>
      <c r="C29" s="500"/>
      <c r="D29" s="501"/>
      <c r="E29" s="502" t="n">
        <f aca="false">IF($C$3="是",ROUND($A$3*G29/$B$3,2),ROUND($A$3*(G29-AT29)/$B$3,2))</f>
        <v>0</v>
      </c>
      <c r="F29" s="503"/>
      <c r="G29" s="504" t="n">
        <f aca="false">H29+AC29+AT29</f>
        <v>0</v>
      </c>
      <c r="H29" s="505" t="n">
        <f aca="false">SUMIF(I$12:AB$12,"总值",I29:AB29)</f>
        <v>0</v>
      </c>
      <c r="I29" s="506"/>
      <c r="J29" s="506"/>
      <c r="K29" s="506"/>
      <c r="L29" s="506"/>
      <c r="M29" s="506"/>
      <c r="N29" s="506"/>
      <c r="O29" s="506"/>
      <c r="P29" s="506"/>
      <c r="Q29" s="506"/>
      <c r="R29" s="506"/>
      <c r="S29" s="506"/>
      <c r="T29" s="506"/>
      <c r="U29" s="506"/>
      <c r="V29" s="506"/>
      <c r="W29" s="506"/>
      <c r="X29" s="506"/>
      <c r="Y29" s="506"/>
      <c r="Z29" s="506"/>
      <c r="AA29" s="506"/>
      <c r="AB29" s="506"/>
      <c r="AC29" s="502" t="n">
        <f aca="false">SUMIF(AD$12:AS$12,"总值",AD29:AS29)</f>
        <v>0</v>
      </c>
      <c r="AD29" s="507"/>
      <c r="AE29" s="507"/>
      <c r="AF29" s="507"/>
      <c r="AG29" s="507"/>
      <c r="AH29" s="507"/>
      <c r="AI29" s="507"/>
      <c r="AJ29" s="507"/>
      <c r="AK29" s="507"/>
      <c r="AL29" s="507"/>
      <c r="AM29" s="507"/>
      <c r="AN29" s="507"/>
      <c r="AO29" s="507"/>
      <c r="AP29" s="507"/>
      <c r="AQ29" s="507"/>
      <c r="AR29" s="507"/>
      <c r="AS29" s="507"/>
      <c r="AT29" s="508"/>
      <c r="AU29" s="509"/>
      <c r="AV29" s="510" t="n">
        <f aca="false">A29</f>
        <v>0</v>
      </c>
      <c r="AW29" s="510" t="n">
        <f aca="false">B29</f>
        <v>0</v>
      </c>
      <c r="AX29" s="510" t="n">
        <f aca="false">C29</f>
        <v>0</v>
      </c>
      <c r="AY29" s="511" t="n">
        <f aca="false">ROUND($AY$6*AZ29/$AZ$5,2)</f>
        <v>0</v>
      </c>
      <c r="AZ29" s="502" t="n">
        <f aca="false">BA29+BL29</f>
        <v>0</v>
      </c>
      <c r="BA29" s="502" t="n">
        <f aca="false">SUM(BB29:BK29)</f>
        <v>0</v>
      </c>
      <c r="BB29" s="502" t="n">
        <f aca="false">IF($D29="是",I29-J29,0)</f>
        <v>0</v>
      </c>
      <c r="BC29" s="502" t="n">
        <f aca="false">IF($D29="是",K29-L29,0)</f>
        <v>0</v>
      </c>
      <c r="BD29" s="502" t="n">
        <f aca="false">IF($D29="是",M29-N29,0)</f>
        <v>0</v>
      </c>
      <c r="BE29" s="502" t="n">
        <f aca="false">IF($D29="是",O29-P29,0)</f>
        <v>0</v>
      </c>
      <c r="BF29" s="502" t="n">
        <f aca="false">IF($D29="是",Q29-R29,0)</f>
        <v>0</v>
      </c>
      <c r="BG29" s="502" t="n">
        <f aca="false">IF($D29="是",S29-T29,0)</f>
        <v>0</v>
      </c>
      <c r="BH29" s="502" t="n">
        <f aca="false">IF($D29="是",U29-V29,0)</f>
        <v>0</v>
      </c>
      <c r="BI29" s="502" t="n">
        <f aca="false">IF($D29="是",W29-X29,0)</f>
        <v>0</v>
      </c>
      <c r="BJ29" s="502" t="n">
        <f aca="false">IF($D29="是",Y29-Z29,0)</f>
        <v>0</v>
      </c>
      <c r="BK29" s="502" t="n">
        <f aca="false">IF($D29="是",AA29-AB29,0)</f>
        <v>0</v>
      </c>
      <c r="BL29" s="502" t="n">
        <f aca="false">SUM(BM29:BT29)</f>
        <v>0</v>
      </c>
      <c r="BM29" s="502" t="n">
        <f aca="false">IF($D29="是",AD29-AE29,0)</f>
        <v>0</v>
      </c>
      <c r="BN29" s="502" t="n">
        <f aca="false">IF($D29="是",AF29-AG29,0)</f>
        <v>0</v>
      </c>
      <c r="BO29" s="502" t="n">
        <f aca="false">IF($D29="是",AH29-AI29,0)</f>
        <v>0</v>
      </c>
      <c r="BP29" s="502" t="n">
        <f aca="false">IF($D29="是",AJ29-AK29,0)</f>
        <v>0</v>
      </c>
      <c r="BQ29" s="502" t="n">
        <f aca="false">IF($D29="是",AL29-AM29,0)</f>
        <v>0</v>
      </c>
      <c r="BR29" s="502" t="n">
        <f aca="false">IF($D29="是",AN29-AO29,0)</f>
        <v>0</v>
      </c>
      <c r="BS29" s="502" t="n">
        <f aca="false">IF($D29="是",AP29-AQ29,0)</f>
        <v>0</v>
      </c>
      <c r="BT29" s="512" t="n">
        <f aca="false">IF($D29="是",AR29-AS29,0)</f>
        <v>0</v>
      </c>
    </row>
    <row r="30" customFormat="false" ht="14.25" hidden="false" customHeight="false" outlineLevel="0" collapsed="false">
      <c r="A30" s="499"/>
      <c r="B30" s="500"/>
      <c r="C30" s="500"/>
      <c r="D30" s="501"/>
      <c r="E30" s="502" t="n">
        <f aca="false">IF($C$3="是",ROUND($A$3*G30/$B$3,2),ROUND($A$3*(G30-AT30)/$B$3,2))</f>
        <v>0</v>
      </c>
      <c r="F30" s="503"/>
      <c r="G30" s="504" t="n">
        <f aca="false">H30+AC30+AT30</f>
        <v>0</v>
      </c>
      <c r="H30" s="505" t="n">
        <f aca="false">SUMIF(I$12:AB$12,"总值",I30:AB30)</f>
        <v>0</v>
      </c>
      <c r="I30" s="506"/>
      <c r="J30" s="506"/>
      <c r="K30" s="506"/>
      <c r="L30" s="506"/>
      <c r="M30" s="506"/>
      <c r="N30" s="506"/>
      <c r="O30" s="506"/>
      <c r="P30" s="506"/>
      <c r="Q30" s="506"/>
      <c r="R30" s="506"/>
      <c r="S30" s="506"/>
      <c r="T30" s="506"/>
      <c r="U30" s="506"/>
      <c r="V30" s="506"/>
      <c r="W30" s="506"/>
      <c r="X30" s="506"/>
      <c r="Y30" s="506"/>
      <c r="Z30" s="506"/>
      <c r="AA30" s="506"/>
      <c r="AB30" s="506"/>
      <c r="AC30" s="502" t="n">
        <f aca="false">SUMIF(AD$12:AS$12,"总值",AD30:AS30)</f>
        <v>0</v>
      </c>
      <c r="AD30" s="507"/>
      <c r="AE30" s="507"/>
      <c r="AF30" s="507"/>
      <c r="AG30" s="507"/>
      <c r="AH30" s="507"/>
      <c r="AI30" s="507"/>
      <c r="AJ30" s="507"/>
      <c r="AK30" s="507"/>
      <c r="AL30" s="507"/>
      <c r="AM30" s="507"/>
      <c r="AN30" s="507"/>
      <c r="AO30" s="507"/>
      <c r="AP30" s="507"/>
      <c r="AQ30" s="507"/>
      <c r="AR30" s="507"/>
      <c r="AS30" s="507"/>
      <c r="AT30" s="508"/>
      <c r="AU30" s="509"/>
      <c r="AV30" s="510" t="n">
        <f aca="false">A30</f>
        <v>0</v>
      </c>
      <c r="AW30" s="510" t="n">
        <f aca="false">B30</f>
        <v>0</v>
      </c>
      <c r="AX30" s="510" t="n">
        <f aca="false">C30</f>
        <v>0</v>
      </c>
      <c r="AY30" s="511" t="n">
        <f aca="false">ROUND($AY$6*AZ30/$AZ$5,2)</f>
        <v>0</v>
      </c>
      <c r="AZ30" s="502" t="n">
        <f aca="false">BA30+BL30</f>
        <v>0</v>
      </c>
      <c r="BA30" s="502" t="n">
        <f aca="false">SUM(BB30:BK30)</f>
        <v>0</v>
      </c>
      <c r="BB30" s="502" t="n">
        <f aca="false">IF($D30="是",I30-J30,0)</f>
        <v>0</v>
      </c>
      <c r="BC30" s="502" t="n">
        <f aca="false">IF($D30="是",K30-L30,0)</f>
        <v>0</v>
      </c>
      <c r="BD30" s="502" t="n">
        <f aca="false">IF($D30="是",M30-N30,0)</f>
        <v>0</v>
      </c>
      <c r="BE30" s="502" t="n">
        <f aca="false">IF($D30="是",O30-P30,0)</f>
        <v>0</v>
      </c>
      <c r="BF30" s="502" t="n">
        <f aca="false">IF($D30="是",Q30-R30,0)</f>
        <v>0</v>
      </c>
      <c r="BG30" s="502" t="n">
        <f aca="false">IF($D30="是",S30-T30,0)</f>
        <v>0</v>
      </c>
      <c r="BH30" s="502" t="n">
        <f aca="false">IF($D30="是",U30-V30,0)</f>
        <v>0</v>
      </c>
      <c r="BI30" s="502" t="n">
        <f aca="false">IF($D30="是",W30-X30,0)</f>
        <v>0</v>
      </c>
      <c r="BJ30" s="502" t="n">
        <f aca="false">IF($D30="是",Y30-Z30,0)</f>
        <v>0</v>
      </c>
      <c r="BK30" s="502" t="n">
        <f aca="false">IF($D30="是",AA30-AB30,0)</f>
        <v>0</v>
      </c>
      <c r="BL30" s="502" t="n">
        <f aca="false">SUM(BM30:BT30)</f>
        <v>0</v>
      </c>
      <c r="BM30" s="502" t="n">
        <f aca="false">IF($D30="是",AD30-AE30,0)</f>
        <v>0</v>
      </c>
      <c r="BN30" s="502" t="n">
        <f aca="false">IF($D30="是",AF30-AG30,0)</f>
        <v>0</v>
      </c>
      <c r="BO30" s="502" t="n">
        <f aca="false">IF($D30="是",AH30-AI30,0)</f>
        <v>0</v>
      </c>
      <c r="BP30" s="502" t="n">
        <f aca="false">IF($D30="是",AJ30-AK30,0)</f>
        <v>0</v>
      </c>
      <c r="BQ30" s="502" t="n">
        <f aca="false">IF($D30="是",AL30-AM30,0)</f>
        <v>0</v>
      </c>
      <c r="BR30" s="502" t="n">
        <f aca="false">IF($D30="是",AN30-AO30,0)</f>
        <v>0</v>
      </c>
      <c r="BS30" s="502" t="n">
        <f aca="false">IF($D30="是",AP30-AQ30,0)</f>
        <v>0</v>
      </c>
      <c r="BT30" s="512" t="n">
        <f aca="false">IF($D30="是",AR30-AS30,0)</f>
        <v>0</v>
      </c>
    </row>
    <row r="31" customFormat="false" ht="14.25" hidden="false" customHeight="false" outlineLevel="0" collapsed="false">
      <c r="A31" s="499"/>
      <c r="B31" s="500"/>
      <c r="C31" s="500"/>
      <c r="D31" s="501"/>
      <c r="E31" s="502" t="n">
        <f aca="false">IF($C$3="是",ROUND($A$3*G31/$B$3,2),ROUND($A$3*(G31-AT31)/$B$3,2))</f>
        <v>0</v>
      </c>
      <c r="F31" s="503"/>
      <c r="G31" s="504" t="n">
        <f aca="false">H31+AC31+AT31</f>
        <v>0</v>
      </c>
      <c r="H31" s="505" t="n">
        <f aca="false">SUMIF(I$12:AB$12,"总值",I31:AB31)</f>
        <v>0</v>
      </c>
      <c r="I31" s="506"/>
      <c r="J31" s="506"/>
      <c r="K31" s="506"/>
      <c r="L31" s="506"/>
      <c r="M31" s="506"/>
      <c r="N31" s="506"/>
      <c r="O31" s="506"/>
      <c r="P31" s="506"/>
      <c r="Q31" s="506"/>
      <c r="R31" s="506"/>
      <c r="S31" s="506"/>
      <c r="T31" s="506"/>
      <c r="U31" s="506"/>
      <c r="V31" s="506"/>
      <c r="W31" s="506"/>
      <c r="X31" s="506"/>
      <c r="Y31" s="506"/>
      <c r="Z31" s="506"/>
      <c r="AA31" s="506"/>
      <c r="AB31" s="506"/>
      <c r="AC31" s="502" t="n">
        <f aca="false">SUMIF(AD$12:AS$12,"总值",AD31:AS31)</f>
        <v>0</v>
      </c>
      <c r="AD31" s="507"/>
      <c r="AE31" s="507"/>
      <c r="AF31" s="507"/>
      <c r="AG31" s="507"/>
      <c r="AH31" s="507"/>
      <c r="AI31" s="507"/>
      <c r="AJ31" s="507"/>
      <c r="AK31" s="507"/>
      <c r="AL31" s="507"/>
      <c r="AM31" s="507"/>
      <c r="AN31" s="507"/>
      <c r="AO31" s="507"/>
      <c r="AP31" s="507"/>
      <c r="AQ31" s="507"/>
      <c r="AR31" s="507"/>
      <c r="AS31" s="507"/>
      <c r="AT31" s="508"/>
      <c r="AU31" s="509"/>
      <c r="AV31" s="510" t="n">
        <f aca="false">A31</f>
        <v>0</v>
      </c>
      <c r="AW31" s="510" t="n">
        <f aca="false">B31</f>
        <v>0</v>
      </c>
      <c r="AX31" s="510" t="n">
        <f aca="false">C31</f>
        <v>0</v>
      </c>
      <c r="AY31" s="511" t="n">
        <f aca="false">ROUND($AY$6*AZ31/$AZ$5,2)</f>
        <v>0</v>
      </c>
      <c r="AZ31" s="502" t="n">
        <f aca="false">BA31+BL31</f>
        <v>0</v>
      </c>
      <c r="BA31" s="502" t="n">
        <f aca="false">SUM(BB31:BK31)</f>
        <v>0</v>
      </c>
      <c r="BB31" s="502" t="n">
        <f aca="false">IF($D31="是",I31-J31,0)</f>
        <v>0</v>
      </c>
      <c r="BC31" s="502" t="n">
        <f aca="false">IF($D31="是",K31-L31,0)</f>
        <v>0</v>
      </c>
      <c r="BD31" s="502" t="n">
        <f aca="false">IF($D31="是",M31-N31,0)</f>
        <v>0</v>
      </c>
      <c r="BE31" s="502" t="n">
        <f aca="false">IF($D31="是",O31-P31,0)</f>
        <v>0</v>
      </c>
      <c r="BF31" s="502" t="n">
        <f aca="false">IF($D31="是",Q31-R31,0)</f>
        <v>0</v>
      </c>
      <c r="BG31" s="502" t="n">
        <f aca="false">IF($D31="是",S31-T31,0)</f>
        <v>0</v>
      </c>
      <c r="BH31" s="502" t="n">
        <f aca="false">IF($D31="是",U31-V31,0)</f>
        <v>0</v>
      </c>
      <c r="BI31" s="502" t="n">
        <f aca="false">IF($D31="是",W31-X31,0)</f>
        <v>0</v>
      </c>
      <c r="BJ31" s="502" t="n">
        <f aca="false">IF($D31="是",Y31-Z31,0)</f>
        <v>0</v>
      </c>
      <c r="BK31" s="502" t="n">
        <f aca="false">IF($D31="是",AA31-AB31,0)</f>
        <v>0</v>
      </c>
      <c r="BL31" s="502" t="n">
        <f aca="false">SUM(BM31:BT31)</f>
        <v>0</v>
      </c>
      <c r="BM31" s="502" t="n">
        <f aca="false">IF($D31="是",AD31-AE31,0)</f>
        <v>0</v>
      </c>
      <c r="BN31" s="502" t="n">
        <f aca="false">IF($D31="是",AF31-AG31,0)</f>
        <v>0</v>
      </c>
      <c r="BO31" s="502" t="n">
        <f aca="false">IF($D31="是",AH31-AI31,0)</f>
        <v>0</v>
      </c>
      <c r="BP31" s="502" t="n">
        <f aca="false">IF($D31="是",AJ31-AK31,0)</f>
        <v>0</v>
      </c>
      <c r="BQ31" s="502" t="n">
        <f aca="false">IF($D31="是",AL31-AM31,0)</f>
        <v>0</v>
      </c>
      <c r="BR31" s="502" t="n">
        <f aca="false">IF($D31="是",AN31-AO31,0)</f>
        <v>0</v>
      </c>
      <c r="BS31" s="502" t="n">
        <f aca="false">IF($D31="是",AP31-AQ31,0)</f>
        <v>0</v>
      </c>
      <c r="BT31" s="512" t="n">
        <f aca="false">IF($D31="是",AR31-AS31,0)</f>
        <v>0</v>
      </c>
    </row>
    <row r="32" customFormat="false" ht="14.25" hidden="false" customHeight="false" outlineLevel="0" collapsed="false">
      <c r="A32" s="499"/>
      <c r="B32" s="500"/>
      <c r="C32" s="500"/>
      <c r="D32" s="501"/>
      <c r="E32" s="502" t="n">
        <f aca="false">IF($C$3="是",ROUND($A$3*G32/$B$3,2),ROUND($A$3*(G32-AT32)/$B$3,2))</f>
        <v>0</v>
      </c>
      <c r="F32" s="503"/>
      <c r="G32" s="504" t="n">
        <f aca="false">H32+AC32+AT32</f>
        <v>0</v>
      </c>
      <c r="H32" s="505" t="n">
        <f aca="false">SUMIF(I$12:AB$12,"总值",I32:AB32)</f>
        <v>0</v>
      </c>
      <c r="I32" s="506"/>
      <c r="J32" s="506"/>
      <c r="K32" s="506"/>
      <c r="L32" s="506"/>
      <c r="M32" s="506"/>
      <c r="N32" s="506"/>
      <c r="O32" s="506"/>
      <c r="P32" s="506"/>
      <c r="Q32" s="506"/>
      <c r="R32" s="506"/>
      <c r="S32" s="506"/>
      <c r="T32" s="506"/>
      <c r="U32" s="506"/>
      <c r="V32" s="506"/>
      <c r="W32" s="506"/>
      <c r="X32" s="506"/>
      <c r="Y32" s="506"/>
      <c r="Z32" s="506"/>
      <c r="AA32" s="506"/>
      <c r="AB32" s="506"/>
      <c r="AC32" s="502" t="n">
        <f aca="false">SUMIF(AD$12:AS$12,"总值",AD32:AS32)</f>
        <v>0</v>
      </c>
      <c r="AD32" s="507"/>
      <c r="AE32" s="507"/>
      <c r="AF32" s="507"/>
      <c r="AG32" s="507"/>
      <c r="AH32" s="507"/>
      <c r="AI32" s="507"/>
      <c r="AJ32" s="507"/>
      <c r="AK32" s="507"/>
      <c r="AL32" s="507"/>
      <c r="AM32" s="507"/>
      <c r="AN32" s="507"/>
      <c r="AO32" s="507"/>
      <c r="AP32" s="507"/>
      <c r="AQ32" s="507"/>
      <c r="AR32" s="507"/>
      <c r="AS32" s="507"/>
      <c r="AT32" s="508"/>
      <c r="AU32" s="509"/>
      <c r="AV32" s="510" t="n">
        <f aca="false">A32</f>
        <v>0</v>
      </c>
      <c r="AW32" s="510" t="n">
        <f aca="false">B32</f>
        <v>0</v>
      </c>
      <c r="AX32" s="510" t="n">
        <f aca="false">C32</f>
        <v>0</v>
      </c>
      <c r="AY32" s="511" t="n">
        <f aca="false">ROUND($AY$6*AZ32/$AZ$5,2)</f>
        <v>0</v>
      </c>
      <c r="AZ32" s="502" t="n">
        <f aca="false">BA32+BL32</f>
        <v>0</v>
      </c>
      <c r="BA32" s="502" t="n">
        <f aca="false">SUM(BB32:BK32)</f>
        <v>0</v>
      </c>
      <c r="BB32" s="502" t="n">
        <f aca="false">IF($D32="是",I32-J32,0)</f>
        <v>0</v>
      </c>
      <c r="BC32" s="502" t="n">
        <f aca="false">IF($D32="是",K32-L32,0)</f>
        <v>0</v>
      </c>
      <c r="BD32" s="502" t="n">
        <f aca="false">IF($D32="是",M32-N32,0)</f>
        <v>0</v>
      </c>
      <c r="BE32" s="502" t="n">
        <f aca="false">IF($D32="是",O32-P32,0)</f>
        <v>0</v>
      </c>
      <c r="BF32" s="502" t="n">
        <f aca="false">IF($D32="是",Q32-R32,0)</f>
        <v>0</v>
      </c>
      <c r="BG32" s="502" t="n">
        <f aca="false">IF($D32="是",S32-T32,0)</f>
        <v>0</v>
      </c>
      <c r="BH32" s="502" t="n">
        <f aca="false">IF($D32="是",U32-V32,0)</f>
        <v>0</v>
      </c>
      <c r="BI32" s="502" t="n">
        <f aca="false">IF($D32="是",W32-X32,0)</f>
        <v>0</v>
      </c>
      <c r="BJ32" s="502" t="n">
        <f aca="false">IF($D32="是",Y32-Z32,0)</f>
        <v>0</v>
      </c>
      <c r="BK32" s="502" t="n">
        <f aca="false">IF($D32="是",AA32-AB32,0)</f>
        <v>0</v>
      </c>
      <c r="BL32" s="502" t="n">
        <f aca="false">SUM(BM32:BT32)</f>
        <v>0</v>
      </c>
      <c r="BM32" s="502" t="n">
        <f aca="false">IF($D32="是",AD32-AE32,0)</f>
        <v>0</v>
      </c>
      <c r="BN32" s="502" t="n">
        <f aca="false">IF($D32="是",AF32-AG32,0)</f>
        <v>0</v>
      </c>
      <c r="BO32" s="502" t="n">
        <f aca="false">IF($D32="是",AH32-AI32,0)</f>
        <v>0</v>
      </c>
      <c r="BP32" s="502" t="n">
        <f aca="false">IF($D32="是",AJ32-AK32,0)</f>
        <v>0</v>
      </c>
      <c r="BQ32" s="502" t="n">
        <f aca="false">IF($D32="是",AL32-AM32,0)</f>
        <v>0</v>
      </c>
      <c r="BR32" s="502" t="n">
        <f aca="false">IF($D32="是",AN32-AO32,0)</f>
        <v>0</v>
      </c>
      <c r="BS32" s="502" t="n">
        <f aca="false">IF($D32="是",AP32-AQ32,0)</f>
        <v>0</v>
      </c>
      <c r="BT32" s="512" t="n">
        <f aca="false">IF($D32="是",AR32-AS32,0)</f>
        <v>0</v>
      </c>
    </row>
    <row r="33" customFormat="false" ht="14.25" hidden="false" customHeight="false" outlineLevel="0" collapsed="false">
      <c r="A33" s="499"/>
      <c r="B33" s="500"/>
      <c r="C33" s="500"/>
      <c r="D33" s="501"/>
      <c r="E33" s="502" t="n">
        <f aca="false">IF($C$3="是",ROUND($A$3*G33/$B$3,2),ROUND($A$3*(G33-AT33)/$B$3,2))</f>
        <v>0</v>
      </c>
      <c r="F33" s="503"/>
      <c r="G33" s="504" t="n">
        <f aca="false">H33+AC33+AT33</f>
        <v>0</v>
      </c>
      <c r="H33" s="505" t="n">
        <f aca="false">SUMIF(I$12:AB$12,"总值",I33:AB33)</f>
        <v>0</v>
      </c>
      <c r="I33" s="506"/>
      <c r="J33" s="506"/>
      <c r="K33" s="506"/>
      <c r="L33" s="506"/>
      <c r="M33" s="506"/>
      <c r="N33" s="506"/>
      <c r="O33" s="506"/>
      <c r="P33" s="506"/>
      <c r="Q33" s="506"/>
      <c r="R33" s="506"/>
      <c r="S33" s="506"/>
      <c r="T33" s="506"/>
      <c r="U33" s="506"/>
      <c r="V33" s="506"/>
      <c r="W33" s="506"/>
      <c r="X33" s="506"/>
      <c r="Y33" s="506"/>
      <c r="Z33" s="506"/>
      <c r="AA33" s="506"/>
      <c r="AB33" s="506"/>
      <c r="AC33" s="502" t="n">
        <f aca="false">SUMIF(AD$12:AS$12,"总值",AD33:AS33)</f>
        <v>0</v>
      </c>
      <c r="AD33" s="507"/>
      <c r="AE33" s="507"/>
      <c r="AF33" s="507"/>
      <c r="AG33" s="507"/>
      <c r="AH33" s="507"/>
      <c r="AI33" s="507"/>
      <c r="AJ33" s="507"/>
      <c r="AK33" s="507"/>
      <c r="AL33" s="507"/>
      <c r="AM33" s="507"/>
      <c r="AN33" s="507"/>
      <c r="AO33" s="507"/>
      <c r="AP33" s="507"/>
      <c r="AQ33" s="507"/>
      <c r="AR33" s="507"/>
      <c r="AS33" s="507"/>
      <c r="AT33" s="508"/>
      <c r="AU33" s="509"/>
      <c r="AV33" s="510" t="n">
        <f aca="false">A33</f>
        <v>0</v>
      </c>
      <c r="AW33" s="510" t="n">
        <f aca="false">B33</f>
        <v>0</v>
      </c>
      <c r="AX33" s="510" t="n">
        <f aca="false">C33</f>
        <v>0</v>
      </c>
      <c r="AY33" s="511" t="n">
        <f aca="false">ROUND($AY$6*AZ33/$AZ$5,2)</f>
        <v>0</v>
      </c>
      <c r="AZ33" s="502" t="n">
        <f aca="false">BA33+BL33</f>
        <v>0</v>
      </c>
      <c r="BA33" s="502" t="n">
        <f aca="false">SUM(BB33:BK33)</f>
        <v>0</v>
      </c>
      <c r="BB33" s="502" t="n">
        <f aca="false">IF($D33="是",I33-J33,0)</f>
        <v>0</v>
      </c>
      <c r="BC33" s="502" t="n">
        <f aca="false">IF($D33="是",K33-L33,0)</f>
        <v>0</v>
      </c>
      <c r="BD33" s="502" t="n">
        <f aca="false">IF($D33="是",M33-N33,0)</f>
        <v>0</v>
      </c>
      <c r="BE33" s="502" t="n">
        <f aca="false">IF($D33="是",O33-P33,0)</f>
        <v>0</v>
      </c>
      <c r="BF33" s="502" t="n">
        <f aca="false">IF($D33="是",Q33-R33,0)</f>
        <v>0</v>
      </c>
      <c r="BG33" s="502" t="n">
        <f aca="false">IF($D33="是",S33-T33,0)</f>
        <v>0</v>
      </c>
      <c r="BH33" s="502" t="n">
        <f aca="false">IF($D33="是",U33-V33,0)</f>
        <v>0</v>
      </c>
      <c r="BI33" s="502" t="n">
        <f aca="false">IF($D33="是",W33-X33,0)</f>
        <v>0</v>
      </c>
      <c r="BJ33" s="502" t="n">
        <f aca="false">IF($D33="是",Y33-Z33,0)</f>
        <v>0</v>
      </c>
      <c r="BK33" s="502" t="n">
        <f aca="false">IF($D33="是",AA33-AB33,0)</f>
        <v>0</v>
      </c>
      <c r="BL33" s="502" t="n">
        <f aca="false">SUM(BM33:BT33)</f>
        <v>0</v>
      </c>
      <c r="BM33" s="502" t="n">
        <f aca="false">IF($D33="是",AD33-AE33,0)</f>
        <v>0</v>
      </c>
      <c r="BN33" s="502" t="n">
        <f aca="false">IF($D33="是",AF33-AG33,0)</f>
        <v>0</v>
      </c>
      <c r="BO33" s="502" t="n">
        <f aca="false">IF($D33="是",AH33-AI33,0)</f>
        <v>0</v>
      </c>
      <c r="BP33" s="502" t="n">
        <f aca="false">IF($D33="是",AJ33-AK33,0)</f>
        <v>0</v>
      </c>
      <c r="BQ33" s="502" t="n">
        <f aca="false">IF($D33="是",AL33-AM33,0)</f>
        <v>0</v>
      </c>
      <c r="BR33" s="502" t="n">
        <f aca="false">IF($D33="是",AN33-AO33,0)</f>
        <v>0</v>
      </c>
      <c r="BS33" s="502" t="n">
        <f aca="false">IF($D33="是",AP33-AQ33,0)</f>
        <v>0</v>
      </c>
      <c r="BT33" s="512" t="n">
        <f aca="false">IF($D33="是",AR33-AS33,0)</f>
        <v>0</v>
      </c>
    </row>
    <row r="34" customFormat="false" ht="14.25" hidden="false" customHeight="false" outlineLevel="0" collapsed="false">
      <c r="A34" s="499"/>
      <c r="B34" s="500"/>
      <c r="C34" s="500"/>
      <c r="D34" s="501"/>
      <c r="E34" s="502" t="n">
        <f aca="false">IF($C$3="是",ROUND($A$3*G34/$B$3,2),ROUND($A$3*(G34-AT34)/$B$3,2))</f>
        <v>0</v>
      </c>
      <c r="F34" s="503"/>
      <c r="G34" s="504" t="n">
        <f aca="false">H34+AC34+AT34</f>
        <v>0</v>
      </c>
      <c r="H34" s="505" t="n">
        <f aca="false">SUMIF(I$12:AB$12,"总值",I34:AB34)</f>
        <v>0</v>
      </c>
      <c r="I34" s="506"/>
      <c r="J34" s="506"/>
      <c r="K34" s="506"/>
      <c r="L34" s="506"/>
      <c r="M34" s="506"/>
      <c r="N34" s="506"/>
      <c r="O34" s="506"/>
      <c r="P34" s="506"/>
      <c r="Q34" s="506"/>
      <c r="R34" s="506"/>
      <c r="S34" s="506"/>
      <c r="T34" s="506"/>
      <c r="U34" s="506"/>
      <c r="V34" s="506"/>
      <c r="W34" s="506"/>
      <c r="X34" s="506"/>
      <c r="Y34" s="506"/>
      <c r="Z34" s="506"/>
      <c r="AA34" s="506"/>
      <c r="AB34" s="506"/>
      <c r="AC34" s="502" t="n">
        <f aca="false">SUMIF(AD$12:AS$12,"总值",AD34:AS34)</f>
        <v>0</v>
      </c>
      <c r="AD34" s="507"/>
      <c r="AE34" s="507"/>
      <c r="AF34" s="507"/>
      <c r="AG34" s="507"/>
      <c r="AH34" s="507"/>
      <c r="AI34" s="507"/>
      <c r="AJ34" s="507"/>
      <c r="AK34" s="507"/>
      <c r="AL34" s="507"/>
      <c r="AM34" s="507"/>
      <c r="AN34" s="507"/>
      <c r="AO34" s="507"/>
      <c r="AP34" s="507"/>
      <c r="AQ34" s="507"/>
      <c r="AR34" s="507"/>
      <c r="AS34" s="507"/>
      <c r="AT34" s="508"/>
      <c r="AU34" s="509"/>
      <c r="AV34" s="510" t="n">
        <f aca="false">A34</f>
        <v>0</v>
      </c>
      <c r="AW34" s="510" t="n">
        <f aca="false">B34</f>
        <v>0</v>
      </c>
      <c r="AX34" s="510" t="n">
        <f aca="false">C34</f>
        <v>0</v>
      </c>
      <c r="AY34" s="511" t="n">
        <f aca="false">ROUND($AY$6*AZ34/$AZ$5,2)</f>
        <v>0</v>
      </c>
      <c r="AZ34" s="502" t="n">
        <f aca="false">BA34+BL34</f>
        <v>0</v>
      </c>
      <c r="BA34" s="502" t="n">
        <f aca="false">SUM(BB34:BK34)</f>
        <v>0</v>
      </c>
      <c r="BB34" s="502" t="n">
        <f aca="false">IF($D34="是",I34-J34,0)</f>
        <v>0</v>
      </c>
      <c r="BC34" s="502" t="n">
        <f aca="false">IF($D34="是",K34-L34,0)</f>
        <v>0</v>
      </c>
      <c r="BD34" s="502" t="n">
        <f aca="false">IF($D34="是",M34-N34,0)</f>
        <v>0</v>
      </c>
      <c r="BE34" s="502" t="n">
        <f aca="false">IF($D34="是",O34-P34,0)</f>
        <v>0</v>
      </c>
      <c r="BF34" s="502" t="n">
        <f aca="false">IF($D34="是",Q34-R34,0)</f>
        <v>0</v>
      </c>
      <c r="BG34" s="502" t="n">
        <f aca="false">IF($D34="是",S34-T34,0)</f>
        <v>0</v>
      </c>
      <c r="BH34" s="502" t="n">
        <f aca="false">IF($D34="是",U34-V34,0)</f>
        <v>0</v>
      </c>
      <c r="BI34" s="502" t="n">
        <f aca="false">IF($D34="是",W34-X34,0)</f>
        <v>0</v>
      </c>
      <c r="BJ34" s="502" t="n">
        <f aca="false">IF($D34="是",Y34-Z34,0)</f>
        <v>0</v>
      </c>
      <c r="BK34" s="502" t="n">
        <f aca="false">IF($D34="是",AA34-AB34,0)</f>
        <v>0</v>
      </c>
      <c r="BL34" s="502" t="n">
        <f aca="false">SUM(BM34:BT34)</f>
        <v>0</v>
      </c>
      <c r="BM34" s="502" t="n">
        <f aca="false">IF($D34="是",AD34-AE34,0)</f>
        <v>0</v>
      </c>
      <c r="BN34" s="502" t="n">
        <f aca="false">IF($D34="是",AF34-AG34,0)</f>
        <v>0</v>
      </c>
      <c r="BO34" s="502" t="n">
        <f aca="false">IF($D34="是",AH34-AI34,0)</f>
        <v>0</v>
      </c>
      <c r="BP34" s="502" t="n">
        <f aca="false">IF($D34="是",AJ34-AK34,0)</f>
        <v>0</v>
      </c>
      <c r="BQ34" s="502" t="n">
        <f aca="false">IF($D34="是",AL34-AM34,0)</f>
        <v>0</v>
      </c>
      <c r="BR34" s="502" t="n">
        <f aca="false">IF($D34="是",AN34-AO34,0)</f>
        <v>0</v>
      </c>
      <c r="BS34" s="502" t="n">
        <f aca="false">IF($D34="是",AP34-AQ34,0)</f>
        <v>0</v>
      </c>
      <c r="BT34" s="512" t="n">
        <f aca="false">IF($D34="是",AR34-AS34,0)</f>
        <v>0</v>
      </c>
    </row>
    <row r="35" customFormat="false" ht="14.25" hidden="false" customHeight="false" outlineLevel="0" collapsed="false">
      <c r="A35" s="499"/>
      <c r="B35" s="500"/>
      <c r="C35" s="500"/>
      <c r="D35" s="501"/>
      <c r="E35" s="502" t="n">
        <f aca="false">IF($C$3="是",ROUND($A$3*G35/$B$3,2),ROUND($A$3*(G35-AT35)/$B$3,2))</f>
        <v>0</v>
      </c>
      <c r="F35" s="503"/>
      <c r="G35" s="504" t="n">
        <f aca="false">H35+AC35+AT35</f>
        <v>0</v>
      </c>
      <c r="H35" s="505" t="n">
        <f aca="false">SUMIF(I$12:AB$12,"总值",I35:AB35)</f>
        <v>0</v>
      </c>
      <c r="I35" s="506"/>
      <c r="J35" s="506"/>
      <c r="K35" s="506"/>
      <c r="L35" s="506"/>
      <c r="M35" s="506"/>
      <c r="N35" s="506"/>
      <c r="O35" s="506"/>
      <c r="P35" s="506"/>
      <c r="Q35" s="506"/>
      <c r="R35" s="506"/>
      <c r="S35" s="506"/>
      <c r="T35" s="506"/>
      <c r="U35" s="506"/>
      <c r="V35" s="506"/>
      <c r="W35" s="506"/>
      <c r="X35" s="506"/>
      <c r="Y35" s="506"/>
      <c r="Z35" s="506"/>
      <c r="AA35" s="506"/>
      <c r="AB35" s="506"/>
      <c r="AC35" s="502" t="n">
        <f aca="false">SUMIF(AD$12:AS$12,"总值",AD35:AS35)</f>
        <v>0</v>
      </c>
      <c r="AD35" s="507"/>
      <c r="AE35" s="507"/>
      <c r="AF35" s="507"/>
      <c r="AG35" s="507"/>
      <c r="AH35" s="507"/>
      <c r="AI35" s="507"/>
      <c r="AJ35" s="507"/>
      <c r="AK35" s="507"/>
      <c r="AL35" s="507"/>
      <c r="AM35" s="507"/>
      <c r="AN35" s="507"/>
      <c r="AO35" s="507"/>
      <c r="AP35" s="507"/>
      <c r="AQ35" s="507"/>
      <c r="AR35" s="507"/>
      <c r="AS35" s="507"/>
      <c r="AT35" s="508"/>
      <c r="AU35" s="509"/>
      <c r="AV35" s="510" t="n">
        <f aca="false">A35</f>
        <v>0</v>
      </c>
      <c r="AW35" s="510" t="n">
        <f aca="false">B35</f>
        <v>0</v>
      </c>
      <c r="AX35" s="510" t="n">
        <f aca="false">C35</f>
        <v>0</v>
      </c>
      <c r="AY35" s="511" t="n">
        <f aca="false">ROUND($AY$6*AZ35/$AZ$5,2)</f>
        <v>0</v>
      </c>
      <c r="AZ35" s="502" t="n">
        <f aca="false">BA35+BL35</f>
        <v>0</v>
      </c>
      <c r="BA35" s="502" t="n">
        <f aca="false">SUM(BB35:BK35)</f>
        <v>0</v>
      </c>
      <c r="BB35" s="502" t="n">
        <f aca="false">IF($D35="是",I35-J35,0)</f>
        <v>0</v>
      </c>
      <c r="BC35" s="502" t="n">
        <f aca="false">IF($D35="是",K35-L35,0)</f>
        <v>0</v>
      </c>
      <c r="BD35" s="502" t="n">
        <f aca="false">IF($D35="是",M35-N35,0)</f>
        <v>0</v>
      </c>
      <c r="BE35" s="502" t="n">
        <f aca="false">IF($D35="是",O35-P35,0)</f>
        <v>0</v>
      </c>
      <c r="BF35" s="502" t="n">
        <f aca="false">IF($D35="是",Q35-R35,0)</f>
        <v>0</v>
      </c>
      <c r="BG35" s="502" t="n">
        <f aca="false">IF($D35="是",S35-T35,0)</f>
        <v>0</v>
      </c>
      <c r="BH35" s="502" t="n">
        <f aca="false">IF($D35="是",U35-V35,0)</f>
        <v>0</v>
      </c>
      <c r="BI35" s="502" t="n">
        <f aca="false">IF($D35="是",W35-X35,0)</f>
        <v>0</v>
      </c>
      <c r="BJ35" s="502" t="n">
        <f aca="false">IF($D35="是",Y35-Z35,0)</f>
        <v>0</v>
      </c>
      <c r="BK35" s="502" t="n">
        <f aca="false">IF($D35="是",AA35-AB35,0)</f>
        <v>0</v>
      </c>
      <c r="BL35" s="502" t="n">
        <f aca="false">SUM(BM35:BT35)</f>
        <v>0</v>
      </c>
      <c r="BM35" s="502" t="n">
        <f aca="false">IF($D35="是",AD35-AE35,0)</f>
        <v>0</v>
      </c>
      <c r="BN35" s="502" t="n">
        <f aca="false">IF($D35="是",AF35-AG35,0)</f>
        <v>0</v>
      </c>
      <c r="BO35" s="502" t="n">
        <f aca="false">IF($D35="是",AH35-AI35,0)</f>
        <v>0</v>
      </c>
      <c r="BP35" s="502" t="n">
        <f aca="false">IF($D35="是",AJ35-AK35,0)</f>
        <v>0</v>
      </c>
      <c r="BQ35" s="502" t="n">
        <f aca="false">IF($D35="是",AL35-AM35,0)</f>
        <v>0</v>
      </c>
      <c r="BR35" s="502" t="n">
        <f aca="false">IF($D35="是",AN35-AO35,0)</f>
        <v>0</v>
      </c>
      <c r="BS35" s="502" t="n">
        <f aca="false">IF($D35="是",AP35-AQ35,0)</f>
        <v>0</v>
      </c>
      <c r="BT35" s="512" t="n">
        <f aca="false">IF($D35="是",AR35-AS35,0)</f>
        <v>0</v>
      </c>
    </row>
    <row r="36" customFormat="false" ht="14.25" hidden="false" customHeight="false" outlineLevel="0" collapsed="false">
      <c r="A36" s="499"/>
      <c r="B36" s="500"/>
      <c r="C36" s="500"/>
      <c r="D36" s="501"/>
      <c r="E36" s="502" t="n">
        <f aca="false">IF($C$3="是",ROUND($A$3*G36/$B$3,2),ROUND($A$3*(G36-AT36)/$B$3,2))</f>
        <v>0</v>
      </c>
      <c r="F36" s="503"/>
      <c r="G36" s="504" t="n">
        <f aca="false">H36+AC36+AT36</f>
        <v>0</v>
      </c>
      <c r="H36" s="505" t="n">
        <f aca="false">SUMIF(I$12:AB$12,"总值",I36:AB36)</f>
        <v>0</v>
      </c>
      <c r="I36" s="506"/>
      <c r="J36" s="506"/>
      <c r="K36" s="506"/>
      <c r="L36" s="506"/>
      <c r="M36" s="506"/>
      <c r="N36" s="506"/>
      <c r="O36" s="506"/>
      <c r="P36" s="506"/>
      <c r="Q36" s="506"/>
      <c r="R36" s="506"/>
      <c r="S36" s="506"/>
      <c r="T36" s="506"/>
      <c r="U36" s="506"/>
      <c r="V36" s="506"/>
      <c r="W36" s="506"/>
      <c r="X36" s="506"/>
      <c r="Y36" s="506"/>
      <c r="Z36" s="506"/>
      <c r="AA36" s="506"/>
      <c r="AB36" s="506"/>
      <c r="AC36" s="502" t="n">
        <f aca="false">SUMIF(AD$12:AS$12,"总值",AD36:AS36)</f>
        <v>0</v>
      </c>
      <c r="AD36" s="507"/>
      <c r="AE36" s="507"/>
      <c r="AF36" s="507"/>
      <c r="AG36" s="507"/>
      <c r="AH36" s="507"/>
      <c r="AI36" s="507"/>
      <c r="AJ36" s="507"/>
      <c r="AK36" s="507"/>
      <c r="AL36" s="507"/>
      <c r="AM36" s="507"/>
      <c r="AN36" s="507"/>
      <c r="AO36" s="507"/>
      <c r="AP36" s="507"/>
      <c r="AQ36" s="507"/>
      <c r="AR36" s="507"/>
      <c r="AS36" s="507"/>
      <c r="AT36" s="508"/>
      <c r="AU36" s="509"/>
      <c r="AV36" s="510" t="n">
        <f aca="false">A36</f>
        <v>0</v>
      </c>
      <c r="AW36" s="510" t="n">
        <f aca="false">B36</f>
        <v>0</v>
      </c>
      <c r="AX36" s="510" t="n">
        <f aca="false">C36</f>
        <v>0</v>
      </c>
      <c r="AY36" s="511" t="n">
        <f aca="false">ROUND($AY$6*AZ36/$AZ$5,2)</f>
        <v>0</v>
      </c>
      <c r="AZ36" s="502" t="n">
        <f aca="false">BA36+BL36</f>
        <v>0</v>
      </c>
      <c r="BA36" s="502" t="n">
        <f aca="false">SUM(BB36:BK36)</f>
        <v>0</v>
      </c>
      <c r="BB36" s="502" t="n">
        <f aca="false">IF($D36="是",I36-J36,0)</f>
        <v>0</v>
      </c>
      <c r="BC36" s="502" t="n">
        <f aca="false">IF($D36="是",K36-L36,0)</f>
        <v>0</v>
      </c>
      <c r="BD36" s="502" t="n">
        <f aca="false">IF($D36="是",M36-N36,0)</f>
        <v>0</v>
      </c>
      <c r="BE36" s="502" t="n">
        <f aca="false">IF($D36="是",O36-P36,0)</f>
        <v>0</v>
      </c>
      <c r="BF36" s="502" t="n">
        <f aca="false">IF($D36="是",Q36-R36,0)</f>
        <v>0</v>
      </c>
      <c r="BG36" s="502" t="n">
        <f aca="false">IF($D36="是",S36-T36,0)</f>
        <v>0</v>
      </c>
      <c r="BH36" s="502" t="n">
        <f aca="false">IF($D36="是",U36-V36,0)</f>
        <v>0</v>
      </c>
      <c r="BI36" s="502" t="n">
        <f aca="false">IF($D36="是",W36-X36,0)</f>
        <v>0</v>
      </c>
      <c r="BJ36" s="502" t="n">
        <f aca="false">IF($D36="是",Y36-Z36,0)</f>
        <v>0</v>
      </c>
      <c r="BK36" s="502" t="n">
        <f aca="false">IF($D36="是",AA36-AB36,0)</f>
        <v>0</v>
      </c>
      <c r="BL36" s="502" t="n">
        <f aca="false">SUM(BM36:BT36)</f>
        <v>0</v>
      </c>
      <c r="BM36" s="502" t="n">
        <f aca="false">IF($D36="是",AD36-AE36,0)</f>
        <v>0</v>
      </c>
      <c r="BN36" s="502" t="n">
        <f aca="false">IF($D36="是",AF36-AG36,0)</f>
        <v>0</v>
      </c>
      <c r="BO36" s="502" t="n">
        <f aca="false">IF($D36="是",AH36-AI36,0)</f>
        <v>0</v>
      </c>
      <c r="BP36" s="502" t="n">
        <f aca="false">IF($D36="是",AJ36-AK36,0)</f>
        <v>0</v>
      </c>
      <c r="BQ36" s="502" t="n">
        <f aca="false">IF($D36="是",AL36-AM36,0)</f>
        <v>0</v>
      </c>
      <c r="BR36" s="502" t="n">
        <f aca="false">IF($D36="是",AN36-AO36,0)</f>
        <v>0</v>
      </c>
      <c r="BS36" s="502" t="n">
        <f aca="false">IF($D36="是",AP36-AQ36,0)</f>
        <v>0</v>
      </c>
      <c r="BT36" s="512" t="n">
        <f aca="false">IF($D36="是",AR36-AS36,0)</f>
        <v>0</v>
      </c>
    </row>
    <row r="37" customFormat="false" ht="14.25" hidden="false" customHeight="false" outlineLevel="0" collapsed="false">
      <c r="A37" s="499"/>
      <c r="B37" s="500"/>
      <c r="C37" s="500"/>
      <c r="D37" s="501"/>
      <c r="E37" s="502" t="n">
        <f aca="false">IF($C$3="是",ROUND($A$3*G37/$B$3,2),ROUND($A$3*(G37-AT37)/$B$3,2))</f>
        <v>0</v>
      </c>
      <c r="F37" s="503"/>
      <c r="G37" s="504" t="n">
        <f aca="false">H37+AC37+AT37</f>
        <v>0</v>
      </c>
      <c r="H37" s="505" t="n">
        <f aca="false">SUMIF(I$12:AB$12,"总值",I37:AB37)</f>
        <v>0</v>
      </c>
      <c r="I37" s="506"/>
      <c r="J37" s="506"/>
      <c r="K37" s="506"/>
      <c r="L37" s="506"/>
      <c r="M37" s="506"/>
      <c r="N37" s="506"/>
      <c r="O37" s="506"/>
      <c r="P37" s="506"/>
      <c r="Q37" s="506"/>
      <c r="R37" s="506"/>
      <c r="S37" s="506"/>
      <c r="T37" s="506"/>
      <c r="U37" s="506"/>
      <c r="V37" s="506"/>
      <c r="W37" s="506"/>
      <c r="X37" s="506"/>
      <c r="Y37" s="506"/>
      <c r="Z37" s="506"/>
      <c r="AA37" s="506"/>
      <c r="AB37" s="506"/>
      <c r="AC37" s="502" t="n">
        <f aca="false">SUMIF(AD$12:AS$12,"总值",AD37:AS37)</f>
        <v>0</v>
      </c>
      <c r="AD37" s="507"/>
      <c r="AE37" s="507"/>
      <c r="AF37" s="507"/>
      <c r="AG37" s="507"/>
      <c r="AH37" s="507"/>
      <c r="AI37" s="507"/>
      <c r="AJ37" s="507"/>
      <c r="AK37" s="507"/>
      <c r="AL37" s="507"/>
      <c r="AM37" s="507"/>
      <c r="AN37" s="507"/>
      <c r="AO37" s="507"/>
      <c r="AP37" s="507"/>
      <c r="AQ37" s="507"/>
      <c r="AR37" s="507"/>
      <c r="AS37" s="507"/>
      <c r="AT37" s="508"/>
      <c r="AU37" s="509"/>
      <c r="AV37" s="510" t="n">
        <f aca="false">A37</f>
        <v>0</v>
      </c>
      <c r="AW37" s="510" t="n">
        <f aca="false">B37</f>
        <v>0</v>
      </c>
      <c r="AX37" s="510" t="n">
        <f aca="false">C37</f>
        <v>0</v>
      </c>
      <c r="AY37" s="511" t="n">
        <f aca="false">ROUND($AY$6*AZ37/$AZ$5,2)</f>
        <v>0</v>
      </c>
      <c r="AZ37" s="502" t="n">
        <f aca="false">BA37+BL37</f>
        <v>0</v>
      </c>
      <c r="BA37" s="502" t="n">
        <f aca="false">SUM(BB37:BK37)</f>
        <v>0</v>
      </c>
      <c r="BB37" s="502" t="n">
        <f aca="false">IF($D37="是",I37-J37,0)</f>
        <v>0</v>
      </c>
      <c r="BC37" s="502" t="n">
        <f aca="false">IF($D37="是",K37-L37,0)</f>
        <v>0</v>
      </c>
      <c r="BD37" s="502" t="n">
        <f aca="false">IF($D37="是",M37-N37,0)</f>
        <v>0</v>
      </c>
      <c r="BE37" s="502" t="n">
        <f aca="false">IF($D37="是",O37-P37,0)</f>
        <v>0</v>
      </c>
      <c r="BF37" s="502" t="n">
        <f aca="false">IF($D37="是",Q37-R37,0)</f>
        <v>0</v>
      </c>
      <c r="BG37" s="502" t="n">
        <f aca="false">IF($D37="是",S37-T37,0)</f>
        <v>0</v>
      </c>
      <c r="BH37" s="502" t="n">
        <f aca="false">IF($D37="是",U37-V37,0)</f>
        <v>0</v>
      </c>
      <c r="BI37" s="502" t="n">
        <f aca="false">IF($D37="是",W37-X37,0)</f>
        <v>0</v>
      </c>
      <c r="BJ37" s="502" t="n">
        <f aca="false">IF($D37="是",Y37-Z37,0)</f>
        <v>0</v>
      </c>
      <c r="BK37" s="502" t="n">
        <f aca="false">IF($D37="是",AA37-AB37,0)</f>
        <v>0</v>
      </c>
      <c r="BL37" s="502" t="n">
        <f aca="false">SUM(BM37:BT37)</f>
        <v>0</v>
      </c>
      <c r="BM37" s="502" t="n">
        <f aca="false">IF($D37="是",AD37-AE37,0)</f>
        <v>0</v>
      </c>
      <c r="BN37" s="502" t="n">
        <f aca="false">IF($D37="是",AF37-AG37,0)</f>
        <v>0</v>
      </c>
      <c r="BO37" s="502" t="n">
        <f aca="false">IF($D37="是",AH37-AI37,0)</f>
        <v>0</v>
      </c>
      <c r="BP37" s="502" t="n">
        <f aca="false">IF($D37="是",AJ37-AK37,0)</f>
        <v>0</v>
      </c>
      <c r="BQ37" s="502" t="n">
        <f aca="false">IF($D37="是",AL37-AM37,0)</f>
        <v>0</v>
      </c>
      <c r="BR37" s="502" t="n">
        <f aca="false">IF($D37="是",AN37-AO37,0)</f>
        <v>0</v>
      </c>
      <c r="BS37" s="502" t="n">
        <f aca="false">IF($D37="是",AP37-AQ37,0)</f>
        <v>0</v>
      </c>
      <c r="BT37" s="512" t="n">
        <f aca="false">IF($D37="是",AR37-AS37,0)</f>
        <v>0</v>
      </c>
    </row>
    <row r="38" customFormat="false" ht="14.25" hidden="false" customHeight="false" outlineLevel="0" collapsed="false">
      <c r="A38" s="499"/>
      <c r="B38" s="500"/>
      <c r="C38" s="500"/>
      <c r="D38" s="501"/>
      <c r="E38" s="502" t="n">
        <f aca="false">IF($C$3="是",ROUND($A$3*G38/$B$3,2),ROUND($A$3*(G38-AT38)/$B$3,2))</f>
        <v>0</v>
      </c>
      <c r="F38" s="503"/>
      <c r="G38" s="504" t="n">
        <f aca="false">H38+AC38+AT38</f>
        <v>0</v>
      </c>
      <c r="H38" s="505" t="n">
        <f aca="false">SUMIF(I$12:AB$12,"总值",I38:AB38)</f>
        <v>0</v>
      </c>
      <c r="I38" s="506"/>
      <c r="J38" s="506"/>
      <c r="K38" s="506"/>
      <c r="L38" s="506"/>
      <c r="M38" s="506"/>
      <c r="N38" s="506"/>
      <c r="O38" s="506"/>
      <c r="P38" s="506"/>
      <c r="Q38" s="506"/>
      <c r="R38" s="506"/>
      <c r="S38" s="506"/>
      <c r="T38" s="506"/>
      <c r="U38" s="506"/>
      <c r="V38" s="506"/>
      <c r="W38" s="506"/>
      <c r="X38" s="506"/>
      <c r="Y38" s="506"/>
      <c r="Z38" s="506"/>
      <c r="AA38" s="506"/>
      <c r="AB38" s="506"/>
      <c r="AC38" s="502" t="n">
        <f aca="false">SUMIF(AD$12:AS$12,"总值",AD38:AS38)</f>
        <v>0</v>
      </c>
      <c r="AD38" s="507"/>
      <c r="AE38" s="507"/>
      <c r="AF38" s="507"/>
      <c r="AG38" s="507"/>
      <c r="AH38" s="507"/>
      <c r="AI38" s="507"/>
      <c r="AJ38" s="507"/>
      <c r="AK38" s="507"/>
      <c r="AL38" s="507"/>
      <c r="AM38" s="507"/>
      <c r="AN38" s="507"/>
      <c r="AO38" s="507"/>
      <c r="AP38" s="507"/>
      <c r="AQ38" s="507"/>
      <c r="AR38" s="507"/>
      <c r="AS38" s="507"/>
      <c r="AT38" s="508"/>
      <c r="AU38" s="509"/>
      <c r="AV38" s="510" t="n">
        <f aca="false">A38</f>
        <v>0</v>
      </c>
      <c r="AW38" s="510" t="n">
        <f aca="false">B38</f>
        <v>0</v>
      </c>
      <c r="AX38" s="510" t="n">
        <f aca="false">C38</f>
        <v>0</v>
      </c>
      <c r="AY38" s="511" t="n">
        <f aca="false">ROUND($AY$6*AZ38/$AZ$5,2)</f>
        <v>0</v>
      </c>
      <c r="AZ38" s="502" t="n">
        <f aca="false">BA38+BL38</f>
        <v>0</v>
      </c>
      <c r="BA38" s="502" t="n">
        <f aca="false">SUM(BB38:BK38)</f>
        <v>0</v>
      </c>
      <c r="BB38" s="502" t="n">
        <f aca="false">IF($D38="是",I38-J38,0)</f>
        <v>0</v>
      </c>
      <c r="BC38" s="502" t="n">
        <f aca="false">IF($D38="是",K38-L38,0)</f>
        <v>0</v>
      </c>
      <c r="BD38" s="502" t="n">
        <f aca="false">IF($D38="是",M38-N38,0)</f>
        <v>0</v>
      </c>
      <c r="BE38" s="502" t="n">
        <f aca="false">IF($D38="是",O38-P38,0)</f>
        <v>0</v>
      </c>
      <c r="BF38" s="502" t="n">
        <f aca="false">IF($D38="是",Q38-R38,0)</f>
        <v>0</v>
      </c>
      <c r="BG38" s="502" t="n">
        <f aca="false">IF($D38="是",S38-T38,0)</f>
        <v>0</v>
      </c>
      <c r="BH38" s="502" t="n">
        <f aca="false">IF($D38="是",U38-V38,0)</f>
        <v>0</v>
      </c>
      <c r="BI38" s="502" t="n">
        <f aca="false">IF($D38="是",W38-X38,0)</f>
        <v>0</v>
      </c>
      <c r="BJ38" s="502" t="n">
        <f aca="false">IF($D38="是",Y38-Z38,0)</f>
        <v>0</v>
      </c>
      <c r="BK38" s="502" t="n">
        <f aca="false">IF($D38="是",AA38-AB38,0)</f>
        <v>0</v>
      </c>
      <c r="BL38" s="502" t="n">
        <f aca="false">SUM(BM38:BT38)</f>
        <v>0</v>
      </c>
      <c r="BM38" s="502" t="n">
        <f aca="false">IF($D38="是",AD38-AE38,0)</f>
        <v>0</v>
      </c>
      <c r="BN38" s="502" t="n">
        <f aca="false">IF($D38="是",AF38-AG38,0)</f>
        <v>0</v>
      </c>
      <c r="BO38" s="502" t="n">
        <f aca="false">IF($D38="是",AH38-AI38,0)</f>
        <v>0</v>
      </c>
      <c r="BP38" s="502" t="n">
        <f aca="false">IF($D38="是",AJ38-AK38,0)</f>
        <v>0</v>
      </c>
      <c r="BQ38" s="502" t="n">
        <f aca="false">IF($D38="是",AL38-AM38,0)</f>
        <v>0</v>
      </c>
      <c r="BR38" s="502" t="n">
        <f aca="false">IF($D38="是",AN38-AO38,0)</f>
        <v>0</v>
      </c>
      <c r="BS38" s="502" t="n">
        <f aca="false">IF($D38="是",AP38-AQ38,0)</f>
        <v>0</v>
      </c>
      <c r="BT38" s="512" t="n">
        <f aca="false">IF($D38="是",AR38-AS38,0)</f>
        <v>0</v>
      </c>
    </row>
    <row r="39" customFormat="false" ht="14.25" hidden="false" customHeight="false" outlineLevel="0" collapsed="false">
      <c r="A39" s="499"/>
      <c r="B39" s="500"/>
      <c r="C39" s="500"/>
      <c r="D39" s="501"/>
      <c r="E39" s="502" t="n">
        <f aca="false">IF($C$3="是",ROUND($A$3*G39/$B$3,2),ROUND($A$3*(G39-AT39)/$B$3,2))</f>
        <v>0</v>
      </c>
      <c r="F39" s="503"/>
      <c r="G39" s="504" t="n">
        <f aca="false">H39+AC39+AT39</f>
        <v>0</v>
      </c>
      <c r="H39" s="505" t="n">
        <f aca="false">SUMIF(I$12:AB$12,"总值",I39:AB39)</f>
        <v>0</v>
      </c>
      <c r="I39" s="506"/>
      <c r="J39" s="506"/>
      <c r="K39" s="506"/>
      <c r="L39" s="506"/>
      <c r="M39" s="506"/>
      <c r="N39" s="506"/>
      <c r="O39" s="506"/>
      <c r="P39" s="506"/>
      <c r="Q39" s="506"/>
      <c r="R39" s="506"/>
      <c r="S39" s="506"/>
      <c r="T39" s="506"/>
      <c r="U39" s="506"/>
      <c r="V39" s="506"/>
      <c r="W39" s="506"/>
      <c r="X39" s="506"/>
      <c r="Y39" s="506"/>
      <c r="Z39" s="506"/>
      <c r="AA39" s="506"/>
      <c r="AB39" s="506"/>
      <c r="AC39" s="502" t="n">
        <f aca="false">SUMIF(AD$12:AS$12,"总值",AD39:AS39)</f>
        <v>0</v>
      </c>
      <c r="AD39" s="507"/>
      <c r="AE39" s="507"/>
      <c r="AF39" s="507"/>
      <c r="AG39" s="507"/>
      <c r="AH39" s="507"/>
      <c r="AI39" s="507"/>
      <c r="AJ39" s="507"/>
      <c r="AK39" s="507"/>
      <c r="AL39" s="507"/>
      <c r="AM39" s="507"/>
      <c r="AN39" s="507"/>
      <c r="AO39" s="507"/>
      <c r="AP39" s="507"/>
      <c r="AQ39" s="507"/>
      <c r="AR39" s="507"/>
      <c r="AS39" s="507"/>
      <c r="AT39" s="508"/>
      <c r="AU39" s="509"/>
      <c r="AV39" s="510" t="n">
        <f aca="false">A39</f>
        <v>0</v>
      </c>
      <c r="AW39" s="510" t="n">
        <f aca="false">B39</f>
        <v>0</v>
      </c>
      <c r="AX39" s="510" t="n">
        <f aca="false">C39</f>
        <v>0</v>
      </c>
      <c r="AY39" s="511" t="n">
        <f aca="false">ROUND($AY$6*AZ39/$AZ$5,2)</f>
        <v>0</v>
      </c>
      <c r="AZ39" s="502" t="n">
        <f aca="false">BA39+BL39</f>
        <v>0</v>
      </c>
      <c r="BA39" s="502" t="n">
        <f aca="false">SUM(BB39:BK39)</f>
        <v>0</v>
      </c>
      <c r="BB39" s="502" t="n">
        <f aca="false">IF($D39="是",I39-J39,0)</f>
        <v>0</v>
      </c>
      <c r="BC39" s="502" t="n">
        <f aca="false">IF($D39="是",K39-L39,0)</f>
        <v>0</v>
      </c>
      <c r="BD39" s="502" t="n">
        <f aca="false">IF($D39="是",M39-N39,0)</f>
        <v>0</v>
      </c>
      <c r="BE39" s="502" t="n">
        <f aca="false">IF($D39="是",O39-P39,0)</f>
        <v>0</v>
      </c>
      <c r="BF39" s="502" t="n">
        <f aca="false">IF($D39="是",Q39-R39,0)</f>
        <v>0</v>
      </c>
      <c r="BG39" s="502" t="n">
        <f aca="false">IF($D39="是",S39-T39,0)</f>
        <v>0</v>
      </c>
      <c r="BH39" s="502" t="n">
        <f aca="false">IF($D39="是",U39-V39,0)</f>
        <v>0</v>
      </c>
      <c r="BI39" s="502" t="n">
        <f aca="false">IF($D39="是",W39-X39,0)</f>
        <v>0</v>
      </c>
      <c r="BJ39" s="502" t="n">
        <f aca="false">IF($D39="是",Y39-Z39,0)</f>
        <v>0</v>
      </c>
      <c r="BK39" s="502" t="n">
        <f aca="false">IF($D39="是",AA39-AB39,0)</f>
        <v>0</v>
      </c>
      <c r="BL39" s="502" t="n">
        <f aca="false">SUM(BM39:BT39)</f>
        <v>0</v>
      </c>
      <c r="BM39" s="502" t="n">
        <f aca="false">IF($D39="是",AD39-AE39,0)</f>
        <v>0</v>
      </c>
      <c r="BN39" s="502" t="n">
        <f aca="false">IF($D39="是",AF39-AG39,0)</f>
        <v>0</v>
      </c>
      <c r="BO39" s="502" t="n">
        <f aca="false">IF($D39="是",AH39-AI39,0)</f>
        <v>0</v>
      </c>
      <c r="BP39" s="502" t="n">
        <f aca="false">IF($D39="是",AJ39-AK39,0)</f>
        <v>0</v>
      </c>
      <c r="BQ39" s="502" t="n">
        <f aca="false">IF($D39="是",AL39-AM39,0)</f>
        <v>0</v>
      </c>
      <c r="BR39" s="502" t="n">
        <f aca="false">IF($D39="是",AN39-AO39,0)</f>
        <v>0</v>
      </c>
      <c r="BS39" s="502" t="n">
        <f aca="false">IF($D39="是",AP39-AQ39,0)</f>
        <v>0</v>
      </c>
      <c r="BT39" s="512" t="n">
        <f aca="false">IF($D39="是",AR39-AS39,0)</f>
        <v>0</v>
      </c>
    </row>
    <row r="40" customFormat="false" ht="14.25" hidden="false" customHeight="false" outlineLevel="0" collapsed="false">
      <c r="A40" s="499"/>
      <c r="B40" s="500"/>
      <c r="C40" s="500"/>
      <c r="D40" s="501"/>
      <c r="E40" s="502" t="n">
        <f aca="false">IF($C$3="是",ROUND($A$3*G40/$B$3,2),ROUND($A$3*(G40-AT40)/$B$3,2))</f>
        <v>0</v>
      </c>
      <c r="F40" s="503"/>
      <c r="G40" s="504" t="n">
        <f aca="false">H40+AC40+AT40</f>
        <v>0</v>
      </c>
      <c r="H40" s="505" t="n">
        <f aca="false">SUMIF(I$12:AB$12,"总值",I40:AB40)</f>
        <v>0</v>
      </c>
      <c r="I40" s="506"/>
      <c r="J40" s="506"/>
      <c r="K40" s="506"/>
      <c r="L40" s="506"/>
      <c r="M40" s="506"/>
      <c r="N40" s="506"/>
      <c r="O40" s="506"/>
      <c r="P40" s="506"/>
      <c r="Q40" s="506"/>
      <c r="R40" s="506"/>
      <c r="S40" s="506"/>
      <c r="T40" s="506"/>
      <c r="U40" s="506"/>
      <c r="V40" s="506"/>
      <c r="W40" s="506"/>
      <c r="X40" s="506"/>
      <c r="Y40" s="506"/>
      <c r="Z40" s="506"/>
      <c r="AA40" s="506"/>
      <c r="AB40" s="506"/>
      <c r="AC40" s="502" t="n">
        <f aca="false">SUMIF(AD$12:AS$12,"总值",AD40:AS40)</f>
        <v>0</v>
      </c>
      <c r="AD40" s="507"/>
      <c r="AE40" s="507"/>
      <c r="AF40" s="507"/>
      <c r="AG40" s="507"/>
      <c r="AH40" s="507"/>
      <c r="AI40" s="507"/>
      <c r="AJ40" s="507"/>
      <c r="AK40" s="507"/>
      <c r="AL40" s="507"/>
      <c r="AM40" s="507"/>
      <c r="AN40" s="507"/>
      <c r="AO40" s="507"/>
      <c r="AP40" s="507"/>
      <c r="AQ40" s="507"/>
      <c r="AR40" s="507"/>
      <c r="AS40" s="507"/>
      <c r="AT40" s="508"/>
      <c r="AU40" s="509"/>
      <c r="AV40" s="510" t="n">
        <f aca="false">A40</f>
        <v>0</v>
      </c>
      <c r="AW40" s="510" t="n">
        <f aca="false">B40</f>
        <v>0</v>
      </c>
      <c r="AX40" s="510" t="n">
        <f aca="false">C40</f>
        <v>0</v>
      </c>
      <c r="AY40" s="511" t="n">
        <f aca="false">ROUND($AY$6*AZ40/$AZ$5,2)</f>
        <v>0</v>
      </c>
      <c r="AZ40" s="502" t="n">
        <f aca="false">BA40+BL40</f>
        <v>0</v>
      </c>
      <c r="BA40" s="502" t="n">
        <f aca="false">SUM(BB40:BK40)</f>
        <v>0</v>
      </c>
      <c r="BB40" s="502" t="n">
        <f aca="false">IF($D40="是",I40-J40,0)</f>
        <v>0</v>
      </c>
      <c r="BC40" s="502" t="n">
        <f aca="false">IF($D40="是",K40-L40,0)</f>
        <v>0</v>
      </c>
      <c r="BD40" s="502" t="n">
        <f aca="false">IF($D40="是",M40-N40,0)</f>
        <v>0</v>
      </c>
      <c r="BE40" s="502" t="n">
        <f aca="false">IF($D40="是",O40-P40,0)</f>
        <v>0</v>
      </c>
      <c r="BF40" s="502" t="n">
        <f aca="false">IF($D40="是",Q40-R40,0)</f>
        <v>0</v>
      </c>
      <c r="BG40" s="502" t="n">
        <f aca="false">IF($D40="是",S40-T40,0)</f>
        <v>0</v>
      </c>
      <c r="BH40" s="502" t="n">
        <f aca="false">IF($D40="是",U40-V40,0)</f>
        <v>0</v>
      </c>
      <c r="BI40" s="502" t="n">
        <f aca="false">IF($D40="是",W40-X40,0)</f>
        <v>0</v>
      </c>
      <c r="BJ40" s="502" t="n">
        <f aca="false">IF($D40="是",Y40-Z40,0)</f>
        <v>0</v>
      </c>
      <c r="BK40" s="502" t="n">
        <f aca="false">IF($D40="是",AA40-AB40,0)</f>
        <v>0</v>
      </c>
      <c r="BL40" s="502" t="n">
        <f aca="false">SUM(BM40:BT40)</f>
        <v>0</v>
      </c>
      <c r="BM40" s="502" t="n">
        <f aca="false">IF($D40="是",AD40-AE40,0)</f>
        <v>0</v>
      </c>
      <c r="BN40" s="502" t="n">
        <f aca="false">IF($D40="是",AF40-AG40,0)</f>
        <v>0</v>
      </c>
      <c r="BO40" s="502" t="n">
        <f aca="false">IF($D40="是",AH40-AI40,0)</f>
        <v>0</v>
      </c>
      <c r="BP40" s="502" t="n">
        <f aca="false">IF($D40="是",AJ40-AK40,0)</f>
        <v>0</v>
      </c>
      <c r="BQ40" s="502" t="n">
        <f aca="false">IF($D40="是",AL40-AM40,0)</f>
        <v>0</v>
      </c>
      <c r="BR40" s="502" t="n">
        <f aca="false">IF($D40="是",AN40-AO40,0)</f>
        <v>0</v>
      </c>
      <c r="BS40" s="502" t="n">
        <f aca="false">IF($D40="是",AP40-AQ40,0)</f>
        <v>0</v>
      </c>
      <c r="BT40" s="512" t="n">
        <f aca="false">IF($D40="是",AR40-AS40,0)</f>
        <v>0</v>
      </c>
    </row>
    <row r="41" customFormat="false" ht="14.25" hidden="false" customHeight="false" outlineLevel="0" collapsed="false">
      <c r="A41" s="499"/>
      <c r="B41" s="500"/>
      <c r="C41" s="500"/>
      <c r="D41" s="501"/>
      <c r="E41" s="502" t="n">
        <f aca="false">IF($C$3="是",ROUND($A$3*G41/$B$3,2),ROUND($A$3*(G41-AT41)/$B$3,2))</f>
        <v>0</v>
      </c>
      <c r="F41" s="503"/>
      <c r="G41" s="504" t="n">
        <f aca="false">H41+AC41+AT41</f>
        <v>0</v>
      </c>
      <c r="H41" s="505" t="n">
        <f aca="false">SUMIF(I$12:AB$12,"总值",I41:AB41)</f>
        <v>0</v>
      </c>
      <c r="I41" s="506"/>
      <c r="J41" s="506"/>
      <c r="K41" s="506"/>
      <c r="L41" s="506"/>
      <c r="M41" s="506"/>
      <c r="N41" s="506"/>
      <c r="O41" s="506"/>
      <c r="P41" s="506"/>
      <c r="Q41" s="506"/>
      <c r="R41" s="506"/>
      <c r="S41" s="506"/>
      <c r="T41" s="506"/>
      <c r="U41" s="506"/>
      <c r="V41" s="506"/>
      <c r="W41" s="506"/>
      <c r="X41" s="506"/>
      <c r="Y41" s="506"/>
      <c r="Z41" s="506"/>
      <c r="AA41" s="506"/>
      <c r="AB41" s="506"/>
      <c r="AC41" s="502" t="n">
        <f aca="false">SUMIF(AD$12:AS$12,"总值",AD41:AS41)</f>
        <v>0</v>
      </c>
      <c r="AD41" s="507"/>
      <c r="AE41" s="507"/>
      <c r="AF41" s="507"/>
      <c r="AG41" s="507"/>
      <c r="AH41" s="507"/>
      <c r="AI41" s="507"/>
      <c r="AJ41" s="507"/>
      <c r="AK41" s="507"/>
      <c r="AL41" s="507"/>
      <c r="AM41" s="507"/>
      <c r="AN41" s="507"/>
      <c r="AO41" s="507"/>
      <c r="AP41" s="507"/>
      <c r="AQ41" s="507"/>
      <c r="AR41" s="507"/>
      <c r="AS41" s="507"/>
      <c r="AT41" s="508"/>
      <c r="AU41" s="509"/>
      <c r="AV41" s="510" t="n">
        <f aca="false">A41</f>
        <v>0</v>
      </c>
      <c r="AW41" s="510" t="n">
        <f aca="false">B41</f>
        <v>0</v>
      </c>
      <c r="AX41" s="510" t="n">
        <f aca="false">C41</f>
        <v>0</v>
      </c>
      <c r="AY41" s="511" t="n">
        <f aca="false">ROUND($AY$6*AZ41/$AZ$5,2)</f>
        <v>0</v>
      </c>
      <c r="AZ41" s="502" t="n">
        <f aca="false">BA41+BL41</f>
        <v>0</v>
      </c>
      <c r="BA41" s="502" t="n">
        <f aca="false">SUM(BB41:BK41)</f>
        <v>0</v>
      </c>
      <c r="BB41" s="502" t="n">
        <f aca="false">IF($D41="是",I41-J41,0)</f>
        <v>0</v>
      </c>
      <c r="BC41" s="502" t="n">
        <f aca="false">IF($D41="是",K41-L41,0)</f>
        <v>0</v>
      </c>
      <c r="BD41" s="502" t="n">
        <f aca="false">IF($D41="是",M41-N41,0)</f>
        <v>0</v>
      </c>
      <c r="BE41" s="502" t="n">
        <f aca="false">IF($D41="是",O41-P41,0)</f>
        <v>0</v>
      </c>
      <c r="BF41" s="502" t="n">
        <f aca="false">IF($D41="是",Q41-R41,0)</f>
        <v>0</v>
      </c>
      <c r="BG41" s="502" t="n">
        <f aca="false">IF($D41="是",S41-T41,0)</f>
        <v>0</v>
      </c>
      <c r="BH41" s="502" t="n">
        <f aca="false">IF($D41="是",U41-V41,0)</f>
        <v>0</v>
      </c>
      <c r="BI41" s="502" t="n">
        <f aca="false">IF($D41="是",W41-X41,0)</f>
        <v>0</v>
      </c>
      <c r="BJ41" s="502" t="n">
        <f aca="false">IF($D41="是",Y41-Z41,0)</f>
        <v>0</v>
      </c>
      <c r="BK41" s="502" t="n">
        <f aca="false">IF($D41="是",AA41-AB41,0)</f>
        <v>0</v>
      </c>
      <c r="BL41" s="502" t="n">
        <f aca="false">SUM(BM41:BT41)</f>
        <v>0</v>
      </c>
      <c r="BM41" s="502" t="n">
        <f aca="false">IF($D41="是",AD41-AE41,0)</f>
        <v>0</v>
      </c>
      <c r="BN41" s="502" t="n">
        <f aca="false">IF($D41="是",AF41-AG41,0)</f>
        <v>0</v>
      </c>
      <c r="BO41" s="502" t="n">
        <f aca="false">IF($D41="是",AH41-AI41,0)</f>
        <v>0</v>
      </c>
      <c r="BP41" s="502" t="n">
        <f aca="false">IF($D41="是",AJ41-AK41,0)</f>
        <v>0</v>
      </c>
      <c r="BQ41" s="502" t="n">
        <f aca="false">IF($D41="是",AL41-AM41,0)</f>
        <v>0</v>
      </c>
      <c r="BR41" s="502" t="n">
        <f aca="false">IF($D41="是",AN41-AO41,0)</f>
        <v>0</v>
      </c>
      <c r="BS41" s="502" t="n">
        <f aca="false">IF($D41="是",AP41-AQ41,0)</f>
        <v>0</v>
      </c>
      <c r="BT41" s="512" t="n">
        <f aca="false">IF($D41="是",AR41-AS41,0)</f>
        <v>0</v>
      </c>
    </row>
    <row r="42" customFormat="false" ht="14.25" hidden="false" customHeight="false" outlineLevel="0" collapsed="false">
      <c r="A42" s="499"/>
      <c r="B42" s="500"/>
      <c r="C42" s="500"/>
      <c r="D42" s="501"/>
      <c r="E42" s="502" t="n">
        <f aca="false">IF($C$3="是",ROUND($A$3*G42/$B$3,2),ROUND($A$3*(G42-AT42)/$B$3,2))</f>
        <v>0</v>
      </c>
      <c r="F42" s="503"/>
      <c r="G42" s="504" t="n">
        <f aca="false">H42+AC42+AT42</f>
        <v>0</v>
      </c>
      <c r="H42" s="505" t="n">
        <f aca="false">SUMIF(I$12:AB$12,"总值",I42:AB42)</f>
        <v>0</v>
      </c>
      <c r="I42" s="506"/>
      <c r="J42" s="506"/>
      <c r="K42" s="506"/>
      <c r="L42" s="506"/>
      <c r="M42" s="506"/>
      <c r="N42" s="506"/>
      <c r="O42" s="506"/>
      <c r="P42" s="506"/>
      <c r="Q42" s="506"/>
      <c r="R42" s="506"/>
      <c r="S42" s="506"/>
      <c r="T42" s="506"/>
      <c r="U42" s="506"/>
      <c r="V42" s="506"/>
      <c r="W42" s="506"/>
      <c r="X42" s="506"/>
      <c r="Y42" s="506"/>
      <c r="Z42" s="506"/>
      <c r="AA42" s="506"/>
      <c r="AB42" s="506"/>
      <c r="AC42" s="502" t="n">
        <f aca="false">SUMIF(AD$12:AS$12,"总值",AD42:AS42)</f>
        <v>0</v>
      </c>
      <c r="AD42" s="507"/>
      <c r="AE42" s="507"/>
      <c r="AF42" s="507"/>
      <c r="AG42" s="507"/>
      <c r="AH42" s="507"/>
      <c r="AI42" s="507"/>
      <c r="AJ42" s="507"/>
      <c r="AK42" s="507"/>
      <c r="AL42" s="507"/>
      <c r="AM42" s="507"/>
      <c r="AN42" s="507"/>
      <c r="AO42" s="507"/>
      <c r="AP42" s="507"/>
      <c r="AQ42" s="507"/>
      <c r="AR42" s="507"/>
      <c r="AS42" s="507"/>
      <c r="AT42" s="508"/>
      <c r="AU42" s="509"/>
      <c r="AV42" s="510" t="n">
        <f aca="false">A42</f>
        <v>0</v>
      </c>
      <c r="AW42" s="510" t="n">
        <f aca="false">B42</f>
        <v>0</v>
      </c>
      <c r="AX42" s="510" t="n">
        <f aca="false">C42</f>
        <v>0</v>
      </c>
      <c r="AY42" s="511" t="n">
        <f aca="false">ROUND($AY$6*AZ42/$AZ$5,2)</f>
        <v>0</v>
      </c>
      <c r="AZ42" s="502" t="n">
        <f aca="false">BA42+BL42</f>
        <v>0</v>
      </c>
      <c r="BA42" s="502" t="n">
        <f aca="false">SUM(BB42:BK42)</f>
        <v>0</v>
      </c>
      <c r="BB42" s="502" t="n">
        <f aca="false">IF($D42="是",I42-J42,0)</f>
        <v>0</v>
      </c>
      <c r="BC42" s="502" t="n">
        <f aca="false">IF($D42="是",K42-L42,0)</f>
        <v>0</v>
      </c>
      <c r="BD42" s="502" t="n">
        <f aca="false">IF($D42="是",M42-N42,0)</f>
        <v>0</v>
      </c>
      <c r="BE42" s="502" t="n">
        <f aca="false">IF($D42="是",O42-P42,0)</f>
        <v>0</v>
      </c>
      <c r="BF42" s="502" t="n">
        <f aca="false">IF($D42="是",Q42-R42,0)</f>
        <v>0</v>
      </c>
      <c r="BG42" s="502" t="n">
        <f aca="false">IF($D42="是",S42-T42,0)</f>
        <v>0</v>
      </c>
      <c r="BH42" s="502" t="n">
        <f aca="false">IF($D42="是",U42-V42,0)</f>
        <v>0</v>
      </c>
      <c r="BI42" s="502" t="n">
        <f aca="false">IF($D42="是",W42-X42,0)</f>
        <v>0</v>
      </c>
      <c r="BJ42" s="502" t="n">
        <f aca="false">IF($D42="是",Y42-Z42,0)</f>
        <v>0</v>
      </c>
      <c r="BK42" s="502" t="n">
        <f aca="false">IF($D42="是",AA42-AB42,0)</f>
        <v>0</v>
      </c>
      <c r="BL42" s="502" t="n">
        <f aca="false">SUM(BM42:BT42)</f>
        <v>0</v>
      </c>
      <c r="BM42" s="502" t="n">
        <f aca="false">IF($D42="是",AD42-AE42,0)</f>
        <v>0</v>
      </c>
      <c r="BN42" s="502" t="n">
        <f aca="false">IF($D42="是",AF42-AG42,0)</f>
        <v>0</v>
      </c>
      <c r="BO42" s="502" t="n">
        <f aca="false">IF($D42="是",AH42-AI42,0)</f>
        <v>0</v>
      </c>
      <c r="BP42" s="502" t="n">
        <f aca="false">IF($D42="是",AJ42-AK42,0)</f>
        <v>0</v>
      </c>
      <c r="BQ42" s="502" t="n">
        <f aca="false">IF($D42="是",AL42-AM42,0)</f>
        <v>0</v>
      </c>
      <c r="BR42" s="502" t="n">
        <f aca="false">IF($D42="是",AN42-AO42,0)</f>
        <v>0</v>
      </c>
      <c r="BS42" s="502" t="n">
        <f aca="false">IF($D42="是",AP42-AQ42,0)</f>
        <v>0</v>
      </c>
      <c r="BT42" s="512" t="n">
        <f aca="false">IF($D42="是",AR42-AS42,0)</f>
        <v>0</v>
      </c>
    </row>
    <row r="43" customFormat="false" ht="14.25" hidden="false" customHeight="false" outlineLevel="0" collapsed="false">
      <c r="A43" s="499"/>
      <c r="B43" s="500"/>
      <c r="C43" s="500"/>
      <c r="D43" s="501"/>
      <c r="E43" s="502" t="n">
        <f aca="false">IF($C$3="是",ROUND($A$3*G43/$B$3,2),ROUND($A$3*(G43-AT43)/$B$3,2))</f>
        <v>0</v>
      </c>
      <c r="F43" s="503"/>
      <c r="G43" s="504" t="n">
        <f aca="false">H43+AC43+AT43</f>
        <v>0</v>
      </c>
      <c r="H43" s="505" t="n">
        <f aca="false">SUMIF(I$12:AB$12,"总值",I43:AB43)</f>
        <v>0</v>
      </c>
      <c r="I43" s="506"/>
      <c r="J43" s="506"/>
      <c r="K43" s="506"/>
      <c r="L43" s="506"/>
      <c r="M43" s="506"/>
      <c r="N43" s="506"/>
      <c r="O43" s="506"/>
      <c r="P43" s="506"/>
      <c r="Q43" s="506"/>
      <c r="R43" s="506"/>
      <c r="S43" s="506"/>
      <c r="T43" s="506"/>
      <c r="U43" s="506"/>
      <c r="V43" s="506"/>
      <c r="W43" s="506"/>
      <c r="X43" s="506"/>
      <c r="Y43" s="506"/>
      <c r="Z43" s="506"/>
      <c r="AA43" s="506"/>
      <c r="AB43" s="506"/>
      <c r="AC43" s="502" t="n">
        <f aca="false">SUMIF(AD$12:AS$12,"总值",AD43:AS43)</f>
        <v>0</v>
      </c>
      <c r="AD43" s="507"/>
      <c r="AE43" s="507"/>
      <c r="AF43" s="507"/>
      <c r="AG43" s="507"/>
      <c r="AH43" s="507"/>
      <c r="AI43" s="507"/>
      <c r="AJ43" s="507"/>
      <c r="AK43" s="507"/>
      <c r="AL43" s="507"/>
      <c r="AM43" s="507"/>
      <c r="AN43" s="507"/>
      <c r="AO43" s="507"/>
      <c r="AP43" s="507"/>
      <c r="AQ43" s="507"/>
      <c r="AR43" s="507"/>
      <c r="AS43" s="507"/>
      <c r="AT43" s="508"/>
      <c r="AU43" s="509"/>
      <c r="AV43" s="510" t="n">
        <f aca="false">A43</f>
        <v>0</v>
      </c>
      <c r="AW43" s="510" t="n">
        <f aca="false">B43</f>
        <v>0</v>
      </c>
      <c r="AX43" s="510" t="n">
        <f aca="false">C43</f>
        <v>0</v>
      </c>
      <c r="AY43" s="511" t="n">
        <f aca="false">ROUND($AY$6*AZ43/$AZ$5,2)</f>
        <v>0</v>
      </c>
      <c r="AZ43" s="502" t="n">
        <f aca="false">BA43+BL43</f>
        <v>0</v>
      </c>
      <c r="BA43" s="502" t="n">
        <f aca="false">SUM(BB43:BK43)</f>
        <v>0</v>
      </c>
      <c r="BB43" s="502" t="n">
        <f aca="false">IF($D43="是",I43-J43,0)</f>
        <v>0</v>
      </c>
      <c r="BC43" s="502" t="n">
        <f aca="false">IF($D43="是",K43-L43,0)</f>
        <v>0</v>
      </c>
      <c r="BD43" s="502" t="n">
        <f aca="false">IF($D43="是",M43-N43,0)</f>
        <v>0</v>
      </c>
      <c r="BE43" s="502" t="n">
        <f aca="false">IF($D43="是",O43-P43,0)</f>
        <v>0</v>
      </c>
      <c r="BF43" s="502" t="n">
        <f aca="false">IF($D43="是",Q43-R43,0)</f>
        <v>0</v>
      </c>
      <c r="BG43" s="502" t="n">
        <f aca="false">IF($D43="是",S43-T43,0)</f>
        <v>0</v>
      </c>
      <c r="BH43" s="502" t="n">
        <f aca="false">IF($D43="是",U43-V43,0)</f>
        <v>0</v>
      </c>
      <c r="BI43" s="502" t="n">
        <f aca="false">IF($D43="是",W43-X43,0)</f>
        <v>0</v>
      </c>
      <c r="BJ43" s="502" t="n">
        <f aca="false">IF($D43="是",Y43-Z43,0)</f>
        <v>0</v>
      </c>
      <c r="BK43" s="502" t="n">
        <f aca="false">IF($D43="是",AA43-AB43,0)</f>
        <v>0</v>
      </c>
      <c r="BL43" s="502" t="n">
        <f aca="false">SUM(BM43:BT43)</f>
        <v>0</v>
      </c>
      <c r="BM43" s="502" t="n">
        <f aca="false">IF($D43="是",AD43-AE43,0)</f>
        <v>0</v>
      </c>
      <c r="BN43" s="502" t="n">
        <f aca="false">IF($D43="是",AF43-AG43,0)</f>
        <v>0</v>
      </c>
      <c r="BO43" s="502" t="n">
        <f aca="false">IF($D43="是",AH43-AI43,0)</f>
        <v>0</v>
      </c>
      <c r="BP43" s="502" t="n">
        <f aca="false">IF($D43="是",AJ43-AK43,0)</f>
        <v>0</v>
      </c>
      <c r="BQ43" s="502" t="n">
        <f aca="false">IF($D43="是",AL43-AM43,0)</f>
        <v>0</v>
      </c>
      <c r="BR43" s="502" t="n">
        <f aca="false">IF($D43="是",AN43-AO43,0)</f>
        <v>0</v>
      </c>
      <c r="BS43" s="502" t="n">
        <f aca="false">IF($D43="是",AP43-AQ43,0)</f>
        <v>0</v>
      </c>
      <c r="BT43" s="512" t="n">
        <f aca="false">IF($D43="是",AR43-AS43,0)</f>
        <v>0</v>
      </c>
    </row>
    <row r="44" customFormat="false" ht="14.25" hidden="false" customHeight="false" outlineLevel="0" collapsed="false">
      <c r="A44" s="499"/>
      <c r="B44" s="500"/>
      <c r="C44" s="500"/>
      <c r="D44" s="501"/>
      <c r="E44" s="502" t="n">
        <f aca="false">IF($C$3="是",ROUND($A$3*G44/$B$3,2),ROUND($A$3*(G44-AT44)/$B$3,2))</f>
        <v>0</v>
      </c>
      <c r="F44" s="503"/>
      <c r="G44" s="504" t="n">
        <f aca="false">H44+AC44+AT44</f>
        <v>0</v>
      </c>
      <c r="H44" s="505" t="n">
        <f aca="false">SUMIF(I$12:AB$12,"总值",I44:AB44)</f>
        <v>0</v>
      </c>
      <c r="I44" s="506"/>
      <c r="J44" s="506"/>
      <c r="K44" s="506"/>
      <c r="L44" s="506"/>
      <c r="M44" s="506"/>
      <c r="N44" s="506"/>
      <c r="O44" s="506"/>
      <c r="P44" s="506"/>
      <c r="Q44" s="506"/>
      <c r="R44" s="506"/>
      <c r="S44" s="506"/>
      <c r="T44" s="506"/>
      <c r="U44" s="506"/>
      <c r="V44" s="506"/>
      <c r="W44" s="506"/>
      <c r="X44" s="506"/>
      <c r="Y44" s="506"/>
      <c r="Z44" s="506"/>
      <c r="AA44" s="506"/>
      <c r="AB44" s="506"/>
      <c r="AC44" s="502" t="n">
        <f aca="false">SUMIF(AD$12:AS$12,"总值",AD44:AS44)</f>
        <v>0</v>
      </c>
      <c r="AD44" s="507"/>
      <c r="AE44" s="507"/>
      <c r="AF44" s="507"/>
      <c r="AG44" s="507"/>
      <c r="AH44" s="507"/>
      <c r="AI44" s="507"/>
      <c r="AJ44" s="507"/>
      <c r="AK44" s="507"/>
      <c r="AL44" s="507"/>
      <c r="AM44" s="507"/>
      <c r="AN44" s="507"/>
      <c r="AO44" s="507"/>
      <c r="AP44" s="507"/>
      <c r="AQ44" s="507"/>
      <c r="AR44" s="507"/>
      <c r="AS44" s="507"/>
      <c r="AT44" s="508"/>
      <c r="AU44" s="509"/>
      <c r="AV44" s="510" t="n">
        <f aca="false">A44</f>
        <v>0</v>
      </c>
      <c r="AW44" s="510" t="n">
        <f aca="false">B44</f>
        <v>0</v>
      </c>
      <c r="AX44" s="510" t="n">
        <f aca="false">C44</f>
        <v>0</v>
      </c>
      <c r="AY44" s="511" t="n">
        <f aca="false">ROUND($AY$6*AZ44/$AZ$5,2)</f>
        <v>0</v>
      </c>
      <c r="AZ44" s="502" t="n">
        <f aca="false">BA44+BL44</f>
        <v>0</v>
      </c>
      <c r="BA44" s="502" t="n">
        <f aca="false">SUM(BB44:BK44)</f>
        <v>0</v>
      </c>
      <c r="BB44" s="502" t="n">
        <f aca="false">IF($D44="是",I44-J44,0)</f>
        <v>0</v>
      </c>
      <c r="BC44" s="502" t="n">
        <f aca="false">IF($D44="是",K44-L44,0)</f>
        <v>0</v>
      </c>
      <c r="BD44" s="502" t="n">
        <f aca="false">IF($D44="是",M44-N44,0)</f>
        <v>0</v>
      </c>
      <c r="BE44" s="502" t="n">
        <f aca="false">IF($D44="是",O44-P44,0)</f>
        <v>0</v>
      </c>
      <c r="BF44" s="502" t="n">
        <f aca="false">IF($D44="是",Q44-R44,0)</f>
        <v>0</v>
      </c>
      <c r="BG44" s="502" t="n">
        <f aca="false">IF($D44="是",S44-T44,0)</f>
        <v>0</v>
      </c>
      <c r="BH44" s="502" t="n">
        <f aca="false">IF($D44="是",U44-V44,0)</f>
        <v>0</v>
      </c>
      <c r="BI44" s="502" t="n">
        <f aca="false">IF($D44="是",W44-X44,0)</f>
        <v>0</v>
      </c>
      <c r="BJ44" s="502" t="n">
        <f aca="false">IF($D44="是",Y44-Z44,0)</f>
        <v>0</v>
      </c>
      <c r="BK44" s="502" t="n">
        <f aca="false">IF($D44="是",AA44-AB44,0)</f>
        <v>0</v>
      </c>
      <c r="BL44" s="502" t="n">
        <f aca="false">SUM(BM44:BT44)</f>
        <v>0</v>
      </c>
      <c r="BM44" s="502" t="n">
        <f aca="false">IF($D44="是",AD44-AE44,0)</f>
        <v>0</v>
      </c>
      <c r="BN44" s="502" t="n">
        <f aca="false">IF($D44="是",AF44-AG44,0)</f>
        <v>0</v>
      </c>
      <c r="BO44" s="502" t="n">
        <f aca="false">IF($D44="是",AH44-AI44,0)</f>
        <v>0</v>
      </c>
      <c r="BP44" s="502" t="n">
        <f aca="false">IF($D44="是",AJ44-AK44,0)</f>
        <v>0</v>
      </c>
      <c r="BQ44" s="502" t="n">
        <f aca="false">IF($D44="是",AL44-AM44,0)</f>
        <v>0</v>
      </c>
      <c r="BR44" s="502" t="n">
        <f aca="false">IF($D44="是",AN44-AO44,0)</f>
        <v>0</v>
      </c>
      <c r="BS44" s="502" t="n">
        <f aca="false">IF($D44="是",AP44-AQ44,0)</f>
        <v>0</v>
      </c>
      <c r="BT44" s="512" t="n">
        <f aca="false">IF($D44="是",AR44-AS44,0)</f>
        <v>0</v>
      </c>
    </row>
    <row r="45" customFormat="false" ht="14.25" hidden="false" customHeight="false" outlineLevel="0" collapsed="false">
      <c r="A45" s="499"/>
      <c r="B45" s="500"/>
      <c r="C45" s="500"/>
      <c r="D45" s="501"/>
      <c r="E45" s="502" t="n">
        <f aca="false">IF($C$3="是",ROUND($A$3*G45/$B$3,2),ROUND($A$3*(G45-AT45)/$B$3,2))</f>
        <v>0</v>
      </c>
      <c r="F45" s="503"/>
      <c r="G45" s="504" t="n">
        <f aca="false">H45+AC45+AT45</f>
        <v>0</v>
      </c>
      <c r="H45" s="505" t="n">
        <f aca="false">SUMIF(I$12:AB$12,"总值",I45:AB45)</f>
        <v>0</v>
      </c>
      <c r="I45" s="506"/>
      <c r="J45" s="506"/>
      <c r="K45" s="506"/>
      <c r="L45" s="506"/>
      <c r="M45" s="506"/>
      <c r="N45" s="506"/>
      <c r="O45" s="506"/>
      <c r="P45" s="506"/>
      <c r="Q45" s="506"/>
      <c r="R45" s="506"/>
      <c r="S45" s="506"/>
      <c r="T45" s="506"/>
      <c r="U45" s="506"/>
      <c r="V45" s="506"/>
      <c r="W45" s="506"/>
      <c r="X45" s="506"/>
      <c r="Y45" s="506"/>
      <c r="Z45" s="506"/>
      <c r="AA45" s="506"/>
      <c r="AB45" s="506"/>
      <c r="AC45" s="502" t="n">
        <f aca="false">SUMIF(AD$12:AS$12,"总值",AD45:AS45)</f>
        <v>0</v>
      </c>
      <c r="AD45" s="507"/>
      <c r="AE45" s="507"/>
      <c r="AF45" s="507"/>
      <c r="AG45" s="507"/>
      <c r="AH45" s="507"/>
      <c r="AI45" s="507"/>
      <c r="AJ45" s="507"/>
      <c r="AK45" s="507"/>
      <c r="AL45" s="507"/>
      <c r="AM45" s="507"/>
      <c r="AN45" s="507"/>
      <c r="AO45" s="507"/>
      <c r="AP45" s="507"/>
      <c r="AQ45" s="507"/>
      <c r="AR45" s="507"/>
      <c r="AS45" s="507"/>
      <c r="AT45" s="508"/>
      <c r="AU45" s="509"/>
      <c r="AV45" s="510" t="n">
        <f aca="false">A45</f>
        <v>0</v>
      </c>
      <c r="AW45" s="510" t="n">
        <f aca="false">B45</f>
        <v>0</v>
      </c>
      <c r="AX45" s="510" t="n">
        <f aca="false">C45</f>
        <v>0</v>
      </c>
      <c r="AY45" s="511" t="n">
        <f aca="false">ROUND($AY$6*AZ45/$AZ$5,2)</f>
        <v>0</v>
      </c>
      <c r="AZ45" s="502" t="n">
        <f aca="false">BA45+BL45</f>
        <v>0</v>
      </c>
      <c r="BA45" s="502" t="n">
        <f aca="false">SUM(BB45:BK45)</f>
        <v>0</v>
      </c>
      <c r="BB45" s="502" t="n">
        <f aca="false">IF($D45="是",I45-J45,0)</f>
        <v>0</v>
      </c>
      <c r="BC45" s="502" t="n">
        <f aca="false">IF($D45="是",K45-L45,0)</f>
        <v>0</v>
      </c>
      <c r="BD45" s="502" t="n">
        <f aca="false">IF($D45="是",M45-N45,0)</f>
        <v>0</v>
      </c>
      <c r="BE45" s="502" t="n">
        <f aca="false">IF($D45="是",O45-P45,0)</f>
        <v>0</v>
      </c>
      <c r="BF45" s="502" t="n">
        <f aca="false">IF($D45="是",Q45-R45,0)</f>
        <v>0</v>
      </c>
      <c r="BG45" s="502" t="n">
        <f aca="false">IF($D45="是",S45-T45,0)</f>
        <v>0</v>
      </c>
      <c r="BH45" s="502" t="n">
        <f aca="false">IF($D45="是",U45-V45,0)</f>
        <v>0</v>
      </c>
      <c r="BI45" s="502" t="n">
        <f aca="false">IF($D45="是",W45-X45,0)</f>
        <v>0</v>
      </c>
      <c r="BJ45" s="502" t="n">
        <f aca="false">IF($D45="是",Y45-Z45,0)</f>
        <v>0</v>
      </c>
      <c r="BK45" s="502" t="n">
        <f aca="false">IF($D45="是",AA45-AB45,0)</f>
        <v>0</v>
      </c>
      <c r="BL45" s="502" t="n">
        <f aca="false">SUM(BM45:BT45)</f>
        <v>0</v>
      </c>
      <c r="BM45" s="502" t="n">
        <f aca="false">IF($D45="是",AD45-AE45,0)</f>
        <v>0</v>
      </c>
      <c r="BN45" s="502" t="n">
        <f aca="false">IF($D45="是",AF45-AG45,0)</f>
        <v>0</v>
      </c>
      <c r="BO45" s="502" t="n">
        <f aca="false">IF($D45="是",AH45-AI45,0)</f>
        <v>0</v>
      </c>
      <c r="BP45" s="502" t="n">
        <f aca="false">IF($D45="是",AJ45-AK45,0)</f>
        <v>0</v>
      </c>
      <c r="BQ45" s="502" t="n">
        <f aca="false">IF($D45="是",AL45-AM45,0)</f>
        <v>0</v>
      </c>
      <c r="BR45" s="502" t="n">
        <f aca="false">IF($D45="是",AN45-AO45,0)</f>
        <v>0</v>
      </c>
      <c r="BS45" s="502" t="n">
        <f aca="false">IF($D45="是",AP45-AQ45,0)</f>
        <v>0</v>
      </c>
      <c r="BT45" s="512" t="n">
        <f aca="false">IF($D45="是",AR45-AS45,0)</f>
        <v>0</v>
      </c>
    </row>
    <row r="46" customFormat="false" ht="14.25" hidden="false" customHeight="false" outlineLevel="0" collapsed="false">
      <c r="A46" s="499"/>
      <c r="B46" s="500"/>
      <c r="C46" s="500"/>
      <c r="D46" s="501"/>
      <c r="E46" s="502" t="n">
        <f aca="false">IF($C$3="是",ROUND($A$3*G46/$B$3,2),ROUND($A$3*(G46-AT46)/$B$3,2))</f>
        <v>0</v>
      </c>
      <c r="F46" s="503"/>
      <c r="G46" s="504" t="n">
        <f aca="false">H46+AC46+AT46</f>
        <v>0</v>
      </c>
      <c r="H46" s="505" t="n">
        <f aca="false">SUMIF(I$12:AB$12,"总值",I46:AB46)</f>
        <v>0</v>
      </c>
      <c r="I46" s="506"/>
      <c r="J46" s="506"/>
      <c r="K46" s="506"/>
      <c r="L46" s="506"/>
      <c r="M46" s="506"/>
      <c r="N46" s="506"/>
      <c r="O46" s="506"/>
      <c r="P46" s="506"/>
      <c r="Q46" s="506"/>
      <c r="R46" s="506"/>
      <c r="S46" s="506"/>
      <c r="T46" s="506"/>
      <c r="U46" s="506"/>
      <c r="V46" s="506"/>
      <c r="W46" s="506"/>
      <c r="X46" s="506"/>
      <c r="Y46" s="506"/>
      <c r="Z46" s="506"/>
      <c r="AA46" s="506"/>
      <c r="AB46" s="506"/>
      <c r="AC46" s="502" t="n">
        <f aca="false">SUMIF(AD$12:AS$12,"总值",AD46:AS46)</f>
        <v>0</v>
      </c>
      <c r="AD46" s="507"/>
      <c r="AE46" s="507"/>
      <c r="AF46" s="507"/>
      <c r="AG46" s="507"/>
      <c r="AH46" s="507"/>
      <c r="AI46" s="507"/>
      <c r="AJ46" s="507"/>
      <c r="AK46" s="507"/>
      <c r="AL46" s="507"/>
      <c r="AM46" s="507"/>
      <c r="AN46" s="507"/>
      <c r="AO46" s="507"/>
      <c r="AP46" s="507"/>
      <c r="AQ46" s="507"/>
      <c r="AR46" s="507"/>
      <c r="AS46" s="507"/>
      <c r="AT46" s="508"/>
      <c r="AU46" s="509"/>
      <c r="AV46" s="510" t="n">
        <f aca="false">A46</f>
        <v>0</v>
      </c>
      <c r="AW46" s="510" t="n">
        <f aca="false">B46</f>
        <v>0</v>
      </c>
      <c r="AX46" s="510" t="n">
        <f aca="false">C46</f>
        <v>0</v>
      </c>
      <c r="AY46" s="511" t="n">
        <f aca="false">ROUND($AY$6*AZ46/$AZ$5,2)</f>
        <v>0</v>
      </c>
      <c r="AZ46" s="502" t="n">
        <f aca="false">BA46+BL46</f>
        <v>0</v>
      </c>
      <c r="BA46" s="502" t="n">
        <f aca="false">SUM(BB46:BK46)</f>
        <v>0</v>
      </c>
      <c r="BB46" s="502" t="n">
        <f aca="false">IF($D46="是",I46-J46,0)</f>
        <v>0</v>
      </c>
      <c r="BC46" s="502" t="n">
        <f aca="false">IF($D46="是",K46-L46,0)</f>
        <v>0</v>
      </c>
      <c r="BD46" s="502" t="n">
        <f aca="false">IF($D46="是",M46-N46,0)</f>
        <v>0</v>
      </c>
      <c r="BE46" s="502" t="n">
        <f aca="false">IF($D46="是",O46-P46,0)</f>
        <v>0</v>
      </c>
      <c r="BF46" s="502" t="n">
        <f aca="false">IF($D46="是",Q46-R46,0)</f>
        <v>0</v>
      </c>
      <c r="BG46" s="502" t="n">
        <f aca="false">IF($D46="是",S46-T46,0)</f>
        <v>0</v>
      </c>
      <c r="BH46" s="502" t="n">
        <f aca="false">IF($D46="是",U46-V46,0)</f>
        <v>0</v>
      </c>
      <c r="BI46" s="502" t="n">
        <f aca="false">IF($D46="是",W46-X46,0)</f>
        <v>0</v>
      </c>
      <c r="BJ46" s="502" t="n">
        <f aca="false">IF($D46="是",Y46-Z46,0)</f>
        <v>0</v>
      </c>
      <c r="BK46" s="502" t="n">
        <f aca="false">IF($D46="是",AA46-AB46,0)</f>
        <v>0</v>
      </c>
      <c r="BL46" s="502" t="n">
        <f aca="false">SUM(BM46:BT46)</f>
        <v>0</v>
      </c>
      <c r="BM46" s="502" t="n">
        <f aca="false">IF($D46="是",AD46-AE46,0)</f>
        <v>0</v>
      </c>
      <c r="BN46" s="502" t="n">
        <f aca="false">IF($D46="是",AF46-AG46,0)</f>
        <v>0</v>
      </c>
      <c r="BO46" s="502" t="n">
        <f aca="false">IF($D46="是",AH46-AI46,0)</f>
        <v>0</v>
      </c>
      <c r="BP46" s="502" t="n">
        <f aca="false">IF($D46="是",AJ46-AK46,0)</f>
        <v>0</v>
      </c>
      <c r="BQ46" s="502" t="n">
        <f aca="false">IF($D46="是",AL46-AM46,0)</f>
        <v>0</v>
      </c>
      <c r="BR46" s="502" t="n">
        <f aca="false">IF($D46="是",AN46-AO46,0)</f>
        <v>0</v>
      </c>
      <c r="BS46" s="502" t="n">
        <f aca="false">IF($D46="是",AP46-AQ46,0)</f>
        <v>0</v>
      </c>
      <c r="BT46" s="512" t="n">
        <f aca="false">IF($D46="是",AR46-AS46,0)</f>
        <v>0</v>
      </c>
    </row>
    <row r="47" customFormat="false" ht="14.25" hidden="false" customHeight="false" outlineLevel="0" collapsed="false">
      <c r="A47" s="499"/>
      <c r="B47" s="500"/>
      <c r="C47" s="500"/>
      <c r="D47" s="501"/>
      <c r="E47" s="502" t="n">
        <f aca="false">IF($C$3="是",ROUND($A$3*G47/$B$3,2),ROUND($A$3*(G47-AT47)/$B$3,2))</f>
        <v>0</v>
      </c>
      <c r="F47" s="503"/>
      <c r="G47" s="504" t="n">
        <f aca="false">H47+AC47+AT47</f>
        <v>0</v>
      </c>
      <c r="H47" s="505" t="n">
        <f aca="false">SUMIF(I$12:AB$12,"总值",I47:AB47)</f>
        <v>0</v>
      </c>
      <c r="I47" s="506"/>
      <c r="J47" s="506"/>
      <c r="K47" s="506"/>
      <c r="L47" s="506"/>
      <c r="M47" s="506"/>
      <c r="N47" s="506"/>
      <c r="O47" s="506"/>
      <c r="P47" s="506"/>
      <c r="Q47" s="506"/>
      <c r="R47" s="506"/>
      <c r="S47" s="506"/>
      <c r="T47" s="506"/>
      <c r="U47" s="506"/>
      <c r="V47" s="506"/>
      <c r="W47" s="506"/>
      <c r="X47" s="506"/>
      <c r="Y47" s="506"/>
      <c r="Z47" s="506"/>
      <c r="AA47" s="506"/>
      <c r="AB47" s="506"/>
      <c r="AC47" s="502" t="n">
        <f aca="false">SUMIF(AD$12:AS$12,"总值",AD47:AS47)</f>
        <v>0</v>
      </c>
      <c r="AD47" s="507"/>
      <c r="AE47" s="507"/>
      <c r="AF47" s="507"/>
      <c r="AG47" s="507"/>
      <c r="AH47" s="507"/>
      <c r="AI47" s="507"/>
      <c r="AJ47" s="507"/>
      <c r="AK47" s="507"/>
      <c r="AL47" s="507"/>
      <c r="AM47" s="507"/>
      <c r="AN47" s="507"/>
      <c r="AO47" s="507"/>
      <c r="AP47" s="507"/>
      <c r="AQ47" s="507"/>
      <c r="AR47" s="507"/>
      <c r="AS47" s="507"/>
      <c r="AT47" s="508"/>
      <c r="AU47" s="509"/>
      <c r="AV47" s="510" t="n">
        <f aca="false">A47</f>
        <v>0</v>
      </c>
      <c r="AW47" s="510" t="n">
        <f aca="false">B47</f>
        <v>0</v>
      </c>
      <c r="AX47" s="510" t="n">
        <f aca="false">C47</f>
        <v>0</v>
      </c>
      <c r="AY47" s="511" t="n">
        <f aca="false">ROUND($AY$6*AZ47/$AZ$5,2)</f>
        <v>0</v>
      </c>
      <c r="AZ47" s="502" t="n">
        <f aca="false">BA47+BL47</f>
        <v>0</v>
      </c>
      <c r="BA47" s="502" t="n">
        <f aca="false">SUM(BB47:BK47)</f>
        <v>0</v>
      </c>
      <c r="BB47" s="502" t="n">
        <f aca="false">IF($D47="是",I47-J47,0)</f>
        <v>0</v>
      </c>
      <c r="BC47" s="502" t="n">
        <f aca="false">IF($D47="是",K47-L47,0)</f>
        <v>0</v>
      </c>
      <c r="BD47" s="502" t="n">
        <f aca="false">IF($D47="是",M47-N47,0)</f>
        <v>0</v>
      </c>
      <c r="BE47" s="502" t="n">
        <f aca="false">IF($D47="是",O47-P47,0)</f>
        <v>0</v>
      </c>
      <c r="BF47" s="502" t="n">
        <f aca="false">IF($D47="是",Q47-R47,0)</f>
        <v>0</v>
      </c>
      <c r="BG47" s="502" t="n">
        <f aca="false">IF($D47="是",S47-T47,0)</f>
        <v>0</v>
      </c>
      <c r="BH47" s="502" t="n">
        <f aca="false">IF($D47="是",U47-V47,0)</f>
        <v>0</v>
      </c>
      <c r="BI47" s="502" t="n">
        <f aca="false">IF($D47="是",W47-X47,0)</f>
        <v>0</v>
      </c>
      <c r="BJ47" s="502" t="n">
        <f aca="false">IF($D47="是",Y47-Z47,0)</f>
        <v>0</v>
      </c>
      <c r="BK47" s="502" t="n">
        <f aca="false">IF($D47="是",AA47-AB47,0)</f>
        <v>0</v>
      </c>
      <c r="BL47" s="502" t="n">
        <f aca="false">SUM(BM47:BT47)</f>
        <v>0</v>
      </c>
      <c r="BM47" s="502" t="n">
        <f aca="false">IF($D47="是",AD47-AE47,0)</f>
        <v>0</v>
      </c>
      <c r="BN47" s="502" t="n">
        <f aca="false">IF($D47="是",AF47-AG47,0)</f>
        <v>0</v>
      </c>
      <c r="BO47" s="502" t="n">
        <f aca="false">IF($D47="是",AH47-AI47,0)</f>
        <v>0</v>
      </c>
      <c r="BP47" s="502" t="n">
        <f aca="false">IF($D47="是",AJ47-AK47,0)</f>
        <v>0</v>
      </c>
      <c r="BQ47" s="502" t="n">
        <f aca="false">IF($D47="是",AL47-AM47,0)</f>
        <v>0</v>
      </c>
      <c r="BR47" s="502" t="n">
        <f aca="false">IF($D47="是",AN47-AO47,0)</f>
        <v>0</v>
      </c>
      <c r="BS47" s="502" t="n">
        <f aca="false">IF($D47="是",AP47-AQ47,0)</f>
        <v>0</v>
      </c>
      <c r="BT47" s="512" t="n">
        <f aca="false">IF($D47="是",AR47-AS47,0)</f>
        <v>0</v>
      </c>
    </row>
    <row r="48" customFormat="false" ht="14.25" hidden="false" customHeight="false" outlineLevel="0" collapsed="false">
      <c r="A48" s="499"/>
      <c r="B48" s="500"/>
      <c r="C48" s="500"/>
      <c r="D48" s="501"/>
      <c r="E48" s="502" t="n">
        <f aca="false">IF($C$3="是",ROUND($A$3*G48/$B$3,2),ROUND($A$3*(G48-AT48)/$B$3,2))</f>
        <v>0</v>
      </c>
      <c r="F48" s="503"/>
      <c r="G48" s="504" t="n">
        <f aca="false">H48+AC48+AT48</f>
        <v>0</v>
      </c>
      <c r="H48" s="505" t="n">
        <f aca="false">SUMIF(I$12:AB$12,"总值",I48:AB48)</f>
        <v>0</v>
      </c>
      <c r="I48" s="506"/>
      <c r="J48" s="506"/>
      <c r="K48" s="506"/>
      <c r="L48" s="506"/>
      <c r="M48" s="506"/>
      <c r="N48" s="506"/>
      <c r="O48" s="506"/>
      <c r="P48" s="506"/>
      <c r="Q48" s="506"/>
      <c r="R48" s="506"/>
      <c r="S48" s="506"/>
      <c r="T48" s="506"/>
      <c r="U48" s="506"/>
      <c r="V48" s="506"/>
      <c r="W48" s="506"/>
      <c r="X48" s="506"/>
      <c r="Y48" s="506"/>
      <c r="Z48" s="506"/>
      <c r="AA48" s="506"/>
      <c r="AB48" s="506"/>
      <c r="AC48" s="502" t="n">
        <f aca="false">SUMIF(AD$12:AS$12,"总值",AD48:AS48)</f>
        <v>0</v>
      </c>
      <c r="AD48" s="507"/>
      <c r="AE48" s="507"/>
      <c r="AF48" s="507"/>
      <c r="AG48" s="507"/>
      <c r="AH48" s="507"/>
      <c r="AI48" s="507"/>
      <c r="AJ48" s="507"/>
      <c r="AK48" s="507"/>
      <c r="AL48" s="507"/>
      <c r="AM48" s="507"/>
      <c r="AN48" s="507"/>
      <c r="AO48" s="507"/>
      <c r="AP48" s="507"/>
      <c r="AQ48" s="507"/>
      <c r="AR48" s="507"/>
      <c r="AS48" s="507"/>
      <c r="AT48" s="508"/>
      <c r="AU48" s="509"/>
      <c r="AV48" s="510" t="n">
        <f aca="false">A48</f>
        <v>0</v>
      </c>
      <c r="AW48" s="510" t="n">
        <f aca="false">B48</f>
        <v>0</v>
      </c>
      <c r="AX48" s="510" t="n">
        <f aca="false">C48</f>
        <v>0</v>
      </c>
      <c r="AY48" s="511" t="n">
        <f aca="false">ROUND($AY$6*AZ48/$AZ$5,2)</f>
        <v>0</v>
      </c>
      <c r="AZ48" s="502" t="n">
        <f aca="false">BA48+BL48</f>
        <v>0</v>
      </c>
      <c r="BA48" s="502" t="n">
        <f aca="false">SUM(BB48:BK48)</f>
        <v>0</v>
      </c>
      <c r="BB48" s="502" t="n">
        <f aca="false">IF($D48="是",I48-J48,0)</f>
        <v>0</v>
      </c>
      <c r="BC48" s="502" t="n">
        <f aca="false">IF($D48="是",K48-L48,0)</f>
        <v>0</v>
      </c>
      <c r="BD48" s="502" t="n">
        <f aca="false">IF($D48="是",M48-N48,0)</f>
        <v>0</v>
      </c>
      <c r="BE48" s="502" t="n">
        <f aca="false">IF($D48="是",O48-P48,0)</f>
        <v>0</v>
      </c>
      <c r="BF48" s="502" t="n">
        <f aca="false">IF($D48="是",Q48-R48,0)</f>
        <v>0</v>
      </c>
      <c r="BG48" s="502" t="n">
        <f aca="false">IF($D48="是",S48-T48,0)</f>
        <v>0</v>
      </c>
      <c r="BH48" s="502" t="n">
        <f aca="false">IF($D48="是",U48-V48,0)</f>
        <v>0</v>
      </c>
      <c r="BI48" s="502" t="n">
        <f aca="false">IF($D48="是",W48-X48,0)</f>
        <v>0</v>
      </c>
      <c r="BJ48" s="502" t="n">
        <f aca="false">IF($D48="是",Y48-Z48,0)</f>
        <v>0</v>
      </c>
      <c r="BK48" s="502" t="n">
        <f aca="false">IF($D48="是",AA48-AB48,0)</f>
        <v>0</v>
      </c>
      <c r="BL48" s="502" t="n">
        <f aca="false">SUM(BM48:BT48)</f>
        <v>0</v>
      </c>
      <c r="BM48" s="502" t="n">
        <f aca="false">IF($D48="是",AD48-AE48,0)</f>
        <v>0</v>
      </c>
      <c r="BN48" s="502" t="n">
        <f aca="false">IF($D48="是",AF48-AG48,0)</f>
        <v>0</v>
      </c>
      <c r="BO48" s="502" t="n">
        <f aca="false">IF($D48="是",AH48-AI48,0)</f>
        <v>0</v>
      </c>
      <c r="BP48" s="502" t="n">
        <f aca="false">IF($D48="是",AJ48-AK48,0)</f>
        <v>0</v>
      </c>
      <c r="BQ48" s="502" t="n">
        <f aca="false">IF($D48="是",AL48-AM48,0)</f>
        <v>0</v>
      </c>
      <c r="BR48" s="502" t="n">
        <f aca="false">IF($D48="是",AN48-AO48,0)</f>
        <v>0</v>
      </c>
      <c r="BS48" s="502" t="n">
        <f aca="false">IF($D48="是",AP48-AQ48,0)</f>
        <v>0</v>
      </c>
      <c r="BT48" s="512" t="n">
        <f aca="false">IF($D48="是",AR48-AS48,0)</f>
        <v>0</v>
      </c>
    </row>
    <row r="49" customFormat="false" ht="14.25" hidden="false" customHeight="false" outlineLevel="0" collapsed="false">
      <c r="A49" s="499"/>
      <c r="B49" s="500"/>
      <c r="C49" s="500"/>
      <c r="D49" s="501"/>
      <c r="E49" s="502" t="n">
        <f aca="false">IF($C$3="是",ROUND($A$3*G49/$B$3,2),ROUND($A$3*(G49-AT49)/$B$3,2))</f>
        <v>0</v>
      </c>
      <c r="F49" s="503"/>
      <c r="G49" s="504" t="n">
        <f aca="false">H49+AC49+AT49</f>
        <v>0</v>
      </c>
      <c r="H49" s="505" t="n">
        <f aca="false">SUMIF(I$12:AB$12,"总值",I49:AB49)</f>
        <v>0</v>
      </c>
      <c r="I49" s="506"/>
      <c r="J49" s="506"/>
      <c r="K49" s="506"/>
      <c r="L49" s="506"/>
      <c r="M49" s="506"/>
      <c r="N49" s="506"/>
      <c r="O49" s="506"/>
      <c r="P49" s="506"/>
      <c r="Q49" s="506"/>
      <c r="R49" s="506"/>
      <c r="S49" s="506"/>
      <c r="T49" s="506"/>
      <c r="U49" s="506"/>
      <c r="V49" s="506"/>
      <c r="W49" s="506"/>
      <c r="X49" s="506"/>
      <c r="Y49" s="506"/>
      <c r="Z49" s="506"/>
      <c r="AA49" s="506"/>
      <c r="AB49" s="506"/>
      <c r="AC49" s="502" t="n">
        <f aca="false">SUMIF(AD$12:AS$12,"总值",AD49:AS49)</f>
        <v>0</v>
      </c>
      <c r="AD49" s="507"/>
      <c r="AE49" s="507"/>
      <c r="AF49" s="507"/>
      <c r="AG49" s="507"/>
      <c r="AH49" s="507"/>
      <c r="AI49" s="507"/>
      <c r="AJ49" s="507"/>
      <c r="AK49" s="507"/>
      <c r="AL49" s="507"/>
      <c r="AM49" s="507"/>
      <c r="AN49" s="507"/>
      <c r="AO49" s="507"/>
      <c r="AP49" s="507"/>
      <c r="AQ49" s="507"/>
      <c r="AR49" s="507"/>
      <c r="AS49" s="507"/>
      <c r="AT49" s="508"/>
      <c r="AU49" s="509"/>
      <c r="AV49" s="510" t="n">
        <f aca="false">A49</f>
        <v>0</v>
      </c>
      <c r="AW49" s="510" t="n">
        <f aca="false">B49</f>
        <v>0</v>
      </c>
      <c r="AX49" s="510" t="n">
        <f aca="false">C49</f>
        <v>0</v>
      </c>
      <c r="AY49" s="511" t="n">
        <f aca="false">ROUND($AY$6*AZ49/$AZ$5,2)</f>
        <v>0</v>
      </c>
      <c r="AZ49" s="502" t="n">
        <f aca="false">BA49+BL49</f>
        <v>0</v>
      </c>
      <c r="BA49" s="502" t="n">
        <f aca="false">SUM(BB49:BK49)</f>
        <v>0</v>
      </c>
      <c r="BB49" s="502" t="n">
        <f aca="false">IF($D49="是",I49-J49,0)</f>
        <v>0</v>
      </c>
      <c r="BC49" s="502" t="n">
        <f aca="false">IF($D49="是",K49-L49,0)</f>
        <v>0</v>
      </c>
      <c r="BD49" s="502" t="n">
        <f aca="false">IF($D49="是",M49-N49,0)</f>
        <v>0</v>
      </c>
      <c r="BE49" s="502" t="n">
        <f aca="false">IF($D49="是",O49-P49,0)</f>
        <v>0</v>
      </c>
      <c r="BF49" s="502" t="n">
        <f aca="false">IF($D49="是",Q49-R49,0)</f>
        <v>0</v>
      </c>
      <c r="BG49" s="502" t="n">
        <f aca="false">IF($D49="是",S49-T49,0)</f>
        <v>0</v>
      </c>
      <c r="BH49" s="502" t="n">
        <f aca="false">IF($D49="是",U49-V49,0)</f>
        <v>0</v>
      </c>
      <c r="BI49" s="502" t="n">
        <f aca="false">IF($D49="是",W49-X49,0)</f>
        <v>0</v>
      </c>
      <c r="BJ49" s="502" t="n">
        <f aca="false">IF($D49="是",Y49-Z49,0)</f>
        <v>0</v>
      </c>
      <c r="BK49" s="502" t="n">
        <f aca="false">IF($D49="是",AA49-AB49,0)</f>
        <v>0</v>
      </c>
      <c r="BL49" s="502" t="n">
        <f aca="false">SUM(BM49:BT49)</f>
        <v>0</v>
      </c>
      <c r="BM49" s="502" t="n">
        <f aca="false">IF($D49="是",AD49-AE49,0)</f>
        <v>0</v>
      </c>
      <c r="BN49" s="502" t="n">
        <f aca="false">IF($D49="是",AF49-AG49,0)</f>
        <v>0</v>
      </c>
      <c r="BO49" s="502" t="n">
        <f aca="false">IF($D49="是",AH49-AI49,0)</f>
        <v>0</v>
      </c>
      <c r="BP49" s="502" t="n">
        <f aca="false">IF($D49="是",AJ49-AK49,0)</f>
        <v>0</v>
      </c>
      <c r="BQ49" s="502" t="n">
        <f aca="false">IF($D49="是",AL49-AM49,0)</f>
        <v>0</v>
      </c>
      <c r="BR49" s="502" t="n">
        <f aca="false">IF($D49="是",AN49-AO49,0)</f>
        <v>0</v>
      </c>
      <c r="BS49" s="502" t="n">
        <f aca="false">IF($D49="是",AP49-AQ49,0)</f>
        <v>0</v>
      </c>
      <c r="BT49" s="512" t="n">
        <f aca="false">IF($D49="是",AR49-AS49,0)</f>
        <v>0</v>
      </c>
    </row>
    <row r="50" customFormat="false" ht="14.25" hidden="false" customHeight="false" outlineLevel="0" collapsed="false">
      <c r="A50" s="499"/>
      <c r="B50" s="500"/>
      <c r="C50" s="500"/>
      <c r="D50" s="501"/>
      <c r="E50" s="502" t="n">
        <f aca="false">IF($C$3="是",ROUND($A$3*G50/$B$3,2),ROUND($A$3*(G50-AT50)/$B$3,2))</f>
        <v>0</v>
      </c>
      <c r="F50" s="503"/>
      <c r="G50" s="504" t="n">
        <f aca="false">H50+AC50+AT50</f>
        <v>0</v>
      </c>
      <c r="H50" s="505" t="n">
        <f aca="false">SUMIF(I$12:AB$12,"总值",I50:AB50)</f>
        <v>0</v>
      </c>
      <c r="I50" s="506"/>
      <c r="J50" s="506"/>
      <c r="K50" s="506"/>
      <c r="L50" s="506"/>
      <c r="M50" s="506"/>
      <c r="N50" s="506"/>
      <c r="O50" s="506"/>
      <c r="P50" s="506"/>
      <c r="Q50" s="506"/>
      <c r="R50" s="506"/>
      <c r="S50" s="506"/>
      <c r="T50" s="506"/>
      <c r="U50" s="506"/>
      <c r="V50" s="506"/>
      <c r="W50" s="506"/>
      <c r="X50" s="506"/>
      <c r="Y50" s="506"/>
      <c r="Z50" s="506"/>
      <c r="AA50" s="506"/>
      <c r="AB50" s="506"/>
      <c r="AC50" s="502" t="n">
        <f aca="false">SUMIF(AD$12:AS$12,"总值",AD50:AS50)</f>
        <v>0</v>
      </c>
      <c r="AD50" s="507"/>
      <c r="AE50" s="507"/>
      <c r="AF50" s="507"/>
      <c r="AG50" s="507"/>
      <c r="AH50" s="507"/>
      <c r="AI50" s="507"/>
      <c r="AJ50" s="507"/>
      <c r="AK50" s="507"/>
      <c r="AL50" s="507"/>
      <c r="AM50" s="507"/>
      <c r="AN50" s="507"/>
      <c r="AO50" s="507"/>
      <c r="AP50" s="507"/>
      <c r="AQ50" s="507"/>
      <c r="AR50" s="507"/>
      <c r="AS50" s="507"/>
      <c r="AT50" s="508"/>
      <c r="AU50" s="509"/>
      <c r="AV50" s="510" t="n">
        <f aca="false">A50</f>
        <v>0</v>
      </c>
      <c r="AW50" s="510" t="n">
        <f aca="false">B50</f>
        <v>0</v>
      </c>
      <c r="AX50" s="510" t="n">
        <f aca="false">C50</f>
        <v>0</v>
      </c>
      <c r="AY50" s="511" t="n">
        <f aca="false">ROUND($AY$6*AZ50/$AZ$5,2)</f>
        <v>0</v>
      </c>
      <c r="AZ50" s="502" t="n">
        <f aca="false">BA50+BL50</f>
        <v>0</v>
      </c>
      <c r="BA50" s="502" t="n">
        <f aca="false">SUM(BB50:BK50)</f>
        <v>0</v>
      </c>
      <c r="BB50" s="502" t="n">
        <f aca="false">IF($D50="是",I50-J50,0)</f>
        <v>0</v>
      </c>
      <c r="BC50" s="502" t="n">
        <f aca="false">IF($D50="是",K50-L50,0)</f>
        <v>0</v>
      </c>
      <c r="BD50" s="502" t="n">
        <f aca="false">IF($D50="是",M50-N50,0)</f>
        <v>0</v>
      </c>
      <c r="BE50" s="502" t="n">
        <f aca="false">IF($D50="是",O50-P50,0)</f>
        <v>0</v>
      </c>
      <c r="BF50" s="502" t="n">
        <f aca="false">IF($D50="是",Q50-R50,0)</f>
        <v>0</v>
      </c>
      <c r="BG50" s="502" t="n">
        <f aca="false">IF($D50="是",S50-T50,0)</f>
        <v>0</v>
      </c>
      <c r="BH50" s="502" t="n">
        <f aca="false">IF($D50="是",U50-V50,0)</f>
        <v>0</v>
      </c>
      <c r="BI50" s="502" t="n">
        <f aca="false">IF($D50="是",W50-X50,0)</f>
        <v>0</v>
      </c>
      <c r="BJ50" s="502" t="n">
        <f aca="false">IF($D50="是",Y50-Z50,0)</f>
        <v>0</v>
      </c>
      <c r="BK50" s="502" t="n">
        <f aca="false">IF($D50="是",AA50-AB50,0)</f>
        <v>0</v>
      </c>
      <c r="BL50" s="502" t="n">
        <f aca="false">SUM(BM50:BT50)</f>
        <v>0</v>
      </c>
      <c r="BM50" s="502" t="n">
        <f aca="false">IF($D50="是",AD50-AE50,0)</f>
        <v>0</v>
      </c>
      <c r="BN50" s="502" t="n">
        <f aca="false">IF($D50="是",AF50-AG50,0)</f>
        <v>0</v>
      </c>
      <c r="BO50" s="502" t="n">
        <f aca="false">IF($D50="是",AH50-AI50,0)</f>
        <v>0</v>
      </c>
      <c r="BP50" s="502" t="n">
        <f aca="false">IF($D50="是",AJ50-AK50,0)</f>
        <v>0</v>
      </c>
      <c r="BQ50" s="502" t="n">
        <f aca="false">IF($D50="是",AL50-AM50,0)</f>
        <v>0</v>
      </c>
      <c r="BR50" s="502" t="n">
        <f aca="false">IF($D50="是",AN50-AO50,0)</f>
        <v>0</v>
      </c>
      <c r="BS50" s="502" t="n">
        <f aca="false">IF($D50="是",AP50-AQ50,0)</f>
        <v>0</v>
      </c>
      <c r="BT50" s="512" t="n">
        <f aca="false">IF($D50="是",AR50-AS50,0)</f>
        <v>0</v>
      </c>
    </row>
    <row r="51" customFormat="false" ht="14.25" hidden="false" customHeight="false" outlineLevel="0" collapsed="false">
      <c r="A51" s="499"/>
      <c r="B51" s="500"/>
      <c r="C51" s="500"/>
      <c r="D51" s="501"/>
      <c r="E51" s="502" t="n">
        <f aca="false">IF($C$3="是",ROUND($A$3*G51/$B$3,2),ROUND($A$3*(G51-AT51)/$B$3,2))</f>
        <v>0</v>
      </c>
      <c r="F51" s="503"/>
      <c r="G51" s="504" t="n">
        <f aca="false">H51+AC51+AT51</f>
        <v>0</v>
      </c>
      <c r="H51" s="505" t="n">
        <f aca="false">SUMIF(I$12:AB$12,"总值",I51:AB51)</f>
        <v>0</v>
      </c>
      <c r="I51" s="506"/>
      <c r="J51" s="506"/>
      <c r="K51" s="506"/>
      <c r="L51" s="506"/>
      <c r="M51" s="506"/>
      <c r="N51" s="506"/>
      <c r="O51" s="506"/>
      <c r="P51" s="506"/>
      <c r="Q51" s="506"/>
      <c r="R51" s="506"/>
      <c r="S51" s="506"/>
      <c r="T51" s="506"/>
      <c r="U51" s="506"/>
      <c r="V51" s="506"/>
      <c r="W51" s="506"/>
      <c r="X51" s="506"/>
      <c r="Y51" s="506"/>
      <c r="Z51" s="506"/>
      <c r="AA51" s="506"/>
      <c r="AB51" s="506"/>
      <c r="AC51" s="502" t="n">
        <f aca="false">SUMIF(AD$12:AS$12,"总值",AD51:AS51)</f>
        <v>0</v>
      </c>
      <c r="AD51" s="507"/>
      <c r="AE51" s="507"/>
      <c r="AF51" s="507"/>
      <c r="AG51" s="507"/>
      <c r="AH51" s="507"/>
      <c r="AI51" s="507"/>
      <c r="AJ51" s="507"/>
      <c r="AK51" s="507"/>
      <c r="AL51" s="507"/>
      <c r="AM51" s="507"/>
      <c r="AN51" s="507"/>
      <c r="AO51" s="507"/>
      <c r="AP51" s="507"/>
      <c r="AQ51" s="507"/>
      <c r="AR51" s="507"/>
      <c r="AS51" s="507"/>
      <c r="AT51" s="508"/>
      <c r="AU51" s="509"/>
      <c r="AV51" s="510" t="n">
        <f aca="false">A51</f>
        <v>0</v>
      </c>
      <c r="AW51" s="510" t="n">
        <f aca="false">B51</f>
        <v>0</v>
      </c>
      <c r="AX51" s="510" t="n">
        <f aca="false">C51</f>
        <v>0</v>
      </c>
      <c r="AY51" s="511" t="n">
        <f aca="false">ROUND($AY$6*AZ51/$AZ$5,2)</f>
        <v>0</v>
      </c>
      <c r="AZ51" s="502" t="n">
        <f aca="false">BA51+BL51</f>
        <v>0</v>
      </c>
      <c r="BA51" s="502" t="n">
        <f aca="false">SUM(BB51:BK51)</f>
        <v>0</v>
      </c>
      <c r="BB51" s="502" t="n">
        <f aca="false">IF($D51="是",I51-J51,0)</f>
        <v>0</v>
      </c>
      <c r="BC51" s="502" t="n">
        <f aca="false">IF($D51="是",K51-L51,0)</f>
        <v>0</v>
      </c>
      <c r="BD51" s="502" t="n">
        <f aca="false">IF($D51="是",M51-N51,0)</f>
        <v>0</v>
      </c>
      <c r="BE51" s="502" t="n">
        <f aca="false">IF($D51="是",O51-P51,0)</f>
        <v>0</v>
      </c>
      <c r="BF51" s="502" t="n">
        <f aca="false">IF($D51="是",Q51-R51,0)</f>
        <v>0</v>
      </c>
      <c r="BG51" s="502" t="n">
        <f aca="false">IF($D51="是",S51-T51,0)</f>
        <v>0</v>
      </c>
      <c r="BH51" s="502" t="n">
        <f aca="false">IF($D51="是",U51-V51,0)</f>
        <v>0</v>
      </c>
      <c r="BI51" s="502" t="n">
        <f aca="false">IF($D51="是",W51-X51,0)</f>
        <v>0</v>
      </c>
      <c r="BJ51" s="502" t="n">
        <f aca="false">IF($D51="是",Y51-Z51,0)</f>
        <v>0</v>
      </c>
      <c r="BK51" s="502" t="n">
        <f aca="false">IF($D51="是",AA51-AB51,0)</f>
        <v>0</v>
      </c>
      <c r="BL51" s="502" t="n">
        <f aca="false">SUM(BM51:BT51)</f>
        <v>0</v>
      </c>
      <c r="BM51" s="502" t="n">
        <f aca="false">IF($D51="是",AD51-AE51,0)</f>
        <v>0</v>
      </c>
      <c r="BN51" s="502" t="n">
        <f aca="false">IF($D51="是",AF51-AG51,0)</f>
        <v>0</v>
      </c>
      <c r="BO51" s="502" t="n">
        <f aca="false">IF($D51="是",AH51-AI51,0)</f>
        <v>0</v>
      </c>
      <c r="BP51" s="502" t="n">
        <f aca="false">IF($D51="是",AJ51-AK51,0)</f>
        <v>0</v>
      </c>
      <c r="BQ51" s="502" t="n">
        <f aca="false">IF($D51="是",AL51-AM51,0)</f>
        <v>0</v>
      </c>
      <c r="BR51" s="502" t="n">
        <f aca="false">IF($D51="是",AN51-AO51,0)</f>
        <v>0</v>
      </c>
      <c r="BS51" s="502" t="n">
        <f aca="false">IF($D51="是",AP51-AQ51,0)</f>
        <v>0</v>
      </c>
      <c r="BT51" s="512" t="n">
        <f aca="false">IF($D51="是",AR51-AS51,0)</f>
        <v>0</v>
      </c>
    </row>
    <row r="52" customFormat="false" ht="14.25" hidden="false" customHeight="false" outlineLevel="0" collapsed="false">
      <c r="A52" s="499"/>
      <c r="B52" s="500"/>
      <c r="C52" s="500"/>
      <c r="D52" s="501"/>
      <c r="E52" s="502" t="n">
        <f aca="false">IF($C$3="是",ROUND($A$3*G52/$B$3,2),ROUND($A$3*(G52-AT52)/$B$3,2))</f>
        <v>0</v>
      </c>
      <c r="F52" s="503"/>
      <c r="G52" s="504" t="n">
        <f aca="false">H52+AC52+AT52</f>
        <v>0</v>
      </c>
      <c r="H52" s="505" t="n">
        <f aca="false">SUMIF(I$12:AB$12,"总值",I52:AB52)</f>
        <v>0</v>
      </c>
      <c r="I52" s="506"/>
      <c r="J52" s="506"/>
      <c r="K52" s="506"/>
      <c r="L52" s="506"/>
      <c r="M52" s="506"/>
      <c r="N52" s="506"/>
      <c r="O52" s="506"/>
      <c r="P52" s="506"/>
      <c r="Q52" s="506"/>
      <c r="R52" s="506"/>
      <c r="S52" s="506"/>
      <c r="T52" s="506"/>
      <c r="U52" s="506"/>
      <c r="V52" s="506"/>
      <c r="W52" s="506"/>
      <c r="X52" s="506"/>
      <c r="Y52" s="506"/>
      <c r="Z52" s="506"/>
      <c r="AA52" s="506"/>
      <c r="AB52" s="506"/>
      <c r="AC52" s="502" t="n">
        <f aca="false">SUMIF(AD$12:AS$12,"总值",AD52:AS52)</f>
        <v>0</v>
      </c>
      <c r="AD52" s="507"/>
      <c r="AE52" s="507"/>
      <c r="AF52" s="507"/>
      <c r="AG52" s="507"/>
      <c r="AH52" s="507"/>
      <c r="AI52" s="507"/>
      <c r="AJ52" s="507"/>
      <c r="AK52" s="507"/>
      <c r="AL52" s="507"/>
      <c r="AM52" s="507"/>
      <c r="AN52" s="507"/>
      <c r="AO52" s="507"/>
      <c r="AP52" s="507"/>
      <c r="AQ52" s="507"/>
      <c r="AR52" s="507"/>
      <c r="AS52" s="507"/>
      <c r="AT52" s="508"/>
      <c r="AU52" s="509"/>
      <c r="AV52" s="510" t="n">
        <f aca="false">A52</f>
        <v>0</v>
      </c>
      <c r="AW52" s="510" t="n">
        <f aca="false">B52</f>
        <v>0</v>
      </c>
      <c r="AX52" s="510" t="n">
        <f aca="false">C52</f>
        <v>0</v>
      </c>
      <c r="AY52" s="511" t="n">
        <f aca="false">ROUND($AY$6*AZ52/$AZ$5,2)</f>
        <v>0</v>
      </c>
      <c r="AZ52" s="502" t="n">
        <f aca="false">BA52+BL52</f>
        <v>0</v>
      </c>
      <c r="BA52" s="502" t="n">
        <f aca="false">SUM(BB52:BK52)</f>
        <v>0</v>
      </c>
      <c r="BB52" s="502" t="n">
        <f aca="false">IF($D52="是",I52-J52,0)</f>
        <v>0</v>
      </c>
      <c r="BC52" s="502" t="n">
        <f aca="false">IF($D52="是",K52-L52,0)</f>
        <v>0</v>
      </c>
      <c r="BD52" s="502" t="n">
        <f aca="false">IF($D52="是",M52-N52,0)</f>
        <v>0</v>
      </c>
      <c r="BE52" s="502" t="n">
        <f aca="false">IF($D52="是",O52-P52,0)</f>
        <v>0</v>
      </c>
      <c r="BF52" s="502" t="n">
        <f aca="false">IF($D52="是",Q52-R52,0)</f>
        <v>0</v>
      </c>
      <c r="BG52" s="502" t="n">
        <f aca="false">IF($D52="是",S52-T52,0)</f>
        <v>0</v>
      </c>
      <c r="BH52" s="502" t="n">
        <f aca="false">IF($D52="是",U52-V52,0)</f>
        <v>0</v>
      </c>
      <c r="BI52" s="502" t="n">
        <f aca="false">IF($D52="是",W52-X52,0)</f>
        <v>0</v>
      </c>
      <c r="BJ52" s="502" t="n">
        <f aca="false">IF($D52="是",Y52-Z52,0)</f>
        <v>0</v>
      </c>
      <c r="BK52" s="502" t="n">
        <f aca="false">IF($D52="是",AA52-AB52,0)</f>
        <v>0</v>
      </c>
      <c r="BL52" s="502" t="n">
        <f aca="false">SUM(BM52:BT52)</f>
        <v>0</v>
      </c>
      <c r="BM52" s="502" t="n">
        <f aca="false">IF($D52="是",AD52-AE52,0)</f>
        <v>0</v>
      </c>
      <c r="BN52" s="502" t="n">
        <f aca="false">IF($D52="是",AF52-AG52,0)</f>
        <v>0</v>
      </c>
      <c r="BO52" s="502" t="n">
        <f aca="false">IF($D52="是",AH52-AI52,0)</f>
        <v>0</v>
      </c>
      <c r="BP52" s="502" t="n">
        <f aca="false">IF($D52="是",AJ52-AK52,0)</f>
        <v>0</v>
      </c>
      <c r="BQ52" s="502" t="n">
        <f aca="false">IF($D52="是",AL52-AM52,0)</f>
        <v>0</v>
      </c>
      <c r="BR52" s="502" t="n">
        <f aca="false">IF($D52="是",AN52-AO52,0)</f>
        <v>0</v>
      </c>
      <c r="BS52" s="502" t="n">
        <f aca="false">IF($D52="是",AP52-AQ52,0)</f>
        <v>0</v>
      </c>
      <c r="BT52" s="512" t="n">
        <f aca="false">IF($D52="是",AR52-AS52,0)</f>
        <v>0</v>
      </c>
    </row>
    <row r="53" customFormat="false" ht="14.25" hidden="false" customHeight="false" outlineLevel="0" collapsed="false">
      <c r="A53" s="499"/>
      <c r="B53" s="500"/>
      <c r="C53" s="500"/>
      <c r="D53" s="501"/>
      <c r="E53" s="502" t="n">
        <f aca="false">IF($C$3="是",ROUND($A$3*G53/$B$3,2),ROUND($A$3*(G53-AT53)/$B$3,2))</f>
        <v>0</v>
      </c>
      <c r="F53" s="503"/>
      <c r="G53" s="504" t="n">
        <f aca="false">H53+AC53+AT53</f>
        <v>0</v>
      </c>
      <c r="H53" s="505" t="n">
        <f aca="false">SUMIF(I$12:AB$12,"总值",I53:AB53)</f>
        <v>0</v>
      </c>
      <c r="I53" s="506"/>
      <c r="J53" s="506"/>
      <c r="K53" s="506"/>
      <c r="L53" s="506"/>
      <c r="M53" s="506"/>
      <c r="N53" s="506"/>
      <c r="O53" s="506"/>
      <c r="P53" s="506"/>
      <c r="Q53" s="506"/>
      <c r="R53" s="506"/>
      <c r="S53" s="506"/>
      <c r="T53" s="506"/>
      <c r="U53" s="506"/>
      <c r="V53" s="506"/>
      <c r="W53" s="506"/>
      <c r="X53" s="506"/>
      <c r="Y53" s="506"/>
      <c r="Z53" s="506"/>
      <c r="AA53" s="506"/>
      <c r="AB53" s="506"/>
      <c r="AC53" s="502" t="n">
        <f aca="false">SUMIF(AD$12:AS$12,"总值",AD53:AS53)</f>
        <v>0</v>
      </c>
      <c r="AD53" s="507"/>
      <c r="AE53" s="507"/>
      <c r="AF53" s="507"/>
      <c r="AG53" s="507"/>
      <c r="AH53" s="507"/>
      <c r="AI53" s="507"/>
      <c r="AJ53" s="507"/>
      <c r="AK53" s="507"/>
      <c r="AL53" s="507"/>
      <c r="AM53" s="507"/>
      <c r="AN53" s="507"/>
      <c r="AO53" s="507"/>
      <c r="AP53" s="507"/>
      <c r="AQ53" s="507"/>
      <c r="AR53" s="507"/>
      <c r="AS53" s="507"/>
      <c r="AT53" s="508"/>
      <c r="AU53" s="509"/>
      <c r="AV53" s="510" t="n">
        <f aca="false">A53</f>
        <v>0</v>
      </c>
      <c r="AW53" s="510" t="n">
        <f aca="false">B53</f>
        <v>0</v>
      </c>
      <c r="AX53" s="510" t="n">
        <f aca="false">C53</f>
        <v>0</v>
      </c>
      <c r="AY53" s="511" t="n">
        <f aca="false">ROUND($AY$6*AZ53/$AZ$5,2)</f>
        <v>0</v>
      </c>
      <c r="AZ53" s="502" t="n">
        <f aca="false">BA53+BL53</f>
        <v>0</v>
      </c>
      <c r="BA53" s="502" t="n">
        <f aca="false">SUM(BB53:BK53)</f>
        <v>0</v>
      </c>
      <c r="BB53" s="502" t="n">
        <f aca="false">IF($D53="是",I53-J53,0)</f>
        <v>0</v>
      </c>
      <c r="BC53" s="502" t="n">
        <f aca="false">IF($D53="是",K53-L53,0)</f>
        <v>0</v>
      </c>
      <c r="BD53" s="502" t="n">
        <f aca="false">IF($D53="是",M53-N53,0)</f>
        <v>0</v>
      </c>
      <c r="BE53" s="502" t="n">
        <f aca="false">IF($D53="是",O53-P53,0)</f>
        <v>0</v>
      </c>
      <c r="BF53" s="502" t="n">
        <f aca="false">IF($D53="是",Q53-R53,0)</f>
        <v>0</v>
      </c>
      <c r="BG53" s="502" t="n">
        <f aca="false">IF($D53="是",S53-T53,0)</f>
        <v>0</v>
      </c>
      <c r="BH53" s="502" t="n">
        <f aca="false">IF($D53="是",U53-V53,0)</f>
        <v>0</v>
      </c>
      <c r="BI53" s="502" t="n">
        <f aca="false">IF($D53="是",W53-X53,0)</f>
        <v>0</v>
      </c>
      <c r="BJ53" s="502" t="n">
        <f aca="false">IF($D53="是",Y53-Z53,0)</f>
        <v>0</v>
      </c>
      <c r="BK53" s="502" t="n">
        <f aca="false">IF($D53="是",AA53-AB53,0)</f>
        <v>0</v>
      </c>
      <c r="BL53" s="502" t="n">
        <f aca="false">SUM(BM53:BT53)</f>
        <v>0</v>
      </c>
      <c r="BM53" s="502" t="n">
        <f aca="false">IF($D53="是",AD53-AE53,0)</f>
        <v>0</v>
      </c>
      <c r="BN53" s="502" t="n">
        <f aca="false">IF($D53="是",AF53-AG53,0)</f>
        <v>0</v>
      </c>
      <c r="BO53" s="502" t="n">
        <f aca="false">IF($D53="是",AH53-AI53,0)</f>
        <v>0</v>
      </c>
      <c r="BP53" s="502" t="n">
        <f aca="false">IF($D53="是",AJ53-AK53,0)</f>
        <v>0</v>
      </c>
      <c r="BQ53" s="502" t="n">
        <f aca="false">IF($D53="是",AL53-AM53,0)</f>
        <v>0</v>
      </c>
      <c r="BR53" s="502" t="n">
        <f aca="false">IF($D53="是",AN53-AO53,0)</f>
        <v>0</v>
      </c>
      <c r="BS53" s="502" t="n">
        <f aca="false">IF($D53="是",AP53-AQ53,0)</f>
        <v>0</v>
      </c>
      <c r="BT53" s="512" t="n">
        <f aca="false">IF($D53="是",AR53-AS53,0)</f>
        <v>0</v>
      </c>
    </row>
    <row r="54" customFormat="false" ht="14.25" hidden="false" customHeight="false" outlineLevel="0" collapsed="false">
      <c r="A54" s="499"/>
      <c r="B54" s="500"/>
      <c r="C54" s="500"/>
      <c r="D54" s="501"/>
      <c r="E54" s="502" t="n">
        <f aca="false">IF($C$3="是",ROUND($A$3*G54/$B$3,2),ROUND($A$3*(G54-AT54)/$B$3,2))</f>
        <v>0</v>
      </c>
      <c r="F54" s="503"/>
      <c r="G54" s="504" t="n">
        <f aca="false">H54+AC54+AT54</f>
        <v>0</v>
      </c>
      <c r="H54" s="505" t="n">
        <f aca="false">SUMIF(I$12:AB$12,"总值",I54:AB54)</f>
        <v>0</v>
      </c>
      <c r="I54" s="506"/>
      <c r="J54" s="506"/>
      <c r="K54" s="506"/>
      <c r="L54" s="506"/>
      <c r="M54" s="506"/>
      <c r="N54" s="506"/>
      <c r="O54" s="506"/>
      <c r="P54" s="506"/>
      <c r="Q54" s="506"/>
      <c r="R54" s="506"/>
      <c r="S54" s="506"/>
      <c r="T54" s="506"/>
      <c r="U54" s="506"/>
      <c r="V54" s="506"/>
      <c r="W54" s="506"/>
      <c r="X54" s="506"/>
      <c r="Y54" s="506"/>
      <c r="Z54" s="506"/>
      <c r="AA54" s="506"/>
      <c r="AB54" s="506"/>
      <c r="AC54" s="502" t="n">
        <f aca="false">SUMIF(AD$12:AS$12,"总值",AD54:AS54)</f>
        <v>0</v>
      </c>
      <c r="AD54" s="507"/>
      <c r="AE54" s="507"/>
      <c r="AF54" s="507"/>
      <c r="AG54" s="507"/>
      <c r="AH54" s="507"/>
      <c r="AI54" s="507"/>
      <c r="AJ54" s="507"/>
      <c r="AK54" s="507"/>
      <c r="AL54" s="507"/>
      <c r="AM54" s="507"/>
      <c r="AN54" s="507"/>
      <c r="AO54" s="507"/>
      <c r="AP54" s="507"/>
      <c r="AQ54" s="507"/>
      <c r="AR54" s="507"/>
      <c r="AS54" s="507"/>
      <c r="AT54" s="508"/>
      <c r="AU54" s="509"/>
      <c r="AV54" s="510" t="n">
        <f aca="false">A54</f>
        <v>0</v>
      </c>
      <c r="AW54" s="510" t="n">
        <f aca="false">B54</f>
        <v>0</v>
      </c>
      <c r="AX54" s="510" t="n">
        <f aca="false">C54</f>
        <v>0</v>
      </c>
      <c r="AY54" s="511" t="n">
        <f aca="false">ROUND($AY$6*AZ54/$AZ$5,2)</f>
        <v>0</v>
      </c>
      <c r="AZ54" s="502" t="n">
        <f aca="false">BA54+BL54</f>
        <v>0</v>
      </c>
      <c r="BA54" s="502" t="n">
        <f aca="false">SUM(BB54:BK54)</f>
        <v>0</v>
      </c>
      <c r="BB54" s="502" t="n">
        <f aca="false">IF($D54="是",I54-J54,0)</f>
        <v>0</v>
      </c>
      <c r="BC54" s="502" t="n">
        <f aca="false">IF($D54="是",K54-L54,0)</f>
        <v>0</v>
      </c>
      <c r="BD54" s="502" t="n">
        <f aca="false">IF($D54="是",M54-N54,0)</f>
        <v>0</v>
      </c>
      <c r="BE54" s="502" t="n">
        <f aca="false">IF($D54="是",O54-P54,0)</f>
        <v>0</v>
      </c>
      <c r="BF54" s="502" t="n">
        <f aca="false">IF($D54="是",Q54-R54,0)</f>
        <v>0</v>
      </c>
      <c r="BG54" s="502" t="n">
        <f aca="false">IF($D54="是",S54-T54,0)</f>
        <v>0</v>
      </c>
      <c r="BH54" s="502" t="n">
        <f aca="false">IF($D54="是",U54-V54,0)</f>
        <v>0</v>
      </c>
      <c r="BI54" s="502" t="n">
        <f aca="false">IF($D54="是",W54-X54,0)</f>
        <v>0</v>
      </c>
      <c r="BJ54" s="502" t="n">
        <f aca="false">IF($D54="是",Y54-Z54,0)</f>
        <v>0</v>
      </c>
      <c r="BK54" s="502" t="n">
        <f aca="false">IF($D54="是",AA54-AB54,0)</f>
        <v>0</v>
      </c>
      <c r="BL54" s="502" t="n">
        <f aca="false">SUM(BM54:BT54)</f>
        <v>0</v>
      </c>
      <c r="BM54" s="502" t="n">
        <f aca="false">IF($D54="是",AD54-AE54,0)</f>
        <v>0</v>
      </c>
      <c r="BN54" s="502" t="n">
        <f aca="false">IF($D54="是",AF54-AG54,0)</f>
        <v>0</v>
      </c>
      <c r="BO54" s="502" t="n">
        <f aca="false">IF($D54="是",AH54-AI54,0)</f>
        <v>0</v>
      </c>
      <c r="BP54" s="502" t="n">
        <f aca="false">IF($D54="是",AJ54-AK54,0)</f>
        <v>0</v>
      </c>
      <c r="BQ54" s="502" t="n">
        <f aca="false">IF($D54="是",AL54-AM54,0)</f>
        <v>0</v>
      </c>
      <c r="BR54" s="502" t="n">
        <f aca="false">IF($D54="是",AN54-AO54,0)</f>
        <v>0</v>
      </c>
      <c r="BS54" s="502" t="n">
        <f aca="false">IF($D54="是",AP54-AQ54,0)</f>
        <v>0</v>
      </c>
      <c r="BT54" s="512" t="n">
        <f aca="false">IF($D54="是",AR54-AS54,0)</f>
        <v>0</v>
      </c>
    </row>
    <row r="55" customFormat="false" ht="14.25" hidden="false" customHeight="false" outlineLevel="0" collapsed="false">
      <c r="A55" s="499"/>
      <c r="B55" s="500"/>
      <c r="C55" s="500"/>
      <c r="D55" s="501"/>
      <c r="E55" s="502" t="n">
        <f aca="false">IF($C$3="是",ROUND($A$3*G55/$B$3,2),ROUND($A$3*(G55-AT55)/$B$3,2))</f>
        <v>0</v>
      </c>
      <c r="F55" s="503"/>
      <c r="G55" s="504" t="n">
        <f aca="false">H55+AC55+AT55</f>
        <v>0</v>
      </c>
      <c r="H55" s="505" t="n">
        <f aca="false">SUMIF(I$12:AB$12,"总值",I55:AB55)</f>
        <v>0</v>
      </c>
      <c r="I55" s="506"/>
      <c r="J55" s="506"/>
      <c r="K55" s="506"/>
      <c r="L55" s="506"/>
      <c r="M55" s="506"/>
      <c r="N55" s="506"/>
      <c r="O55" s="506"/>
      <c r="P55" s="506"/>
      <c r="Q55" s="506"/>
      <c r="R55" s="506"/>
      <c r="S55" s="506"/>
      <c r="T55" s="506"/>
      <c r="U55" s="506"/>
      <c r="V55" s="506"/>
      <c r="W55" s="506"/>
      <c r="X55" s="506"/>
      <c r="Y55" s="506"/>
      <c r="Z55" s="506"/>
      <c r="AA55" s="506"/>
      <c r="AB55" s="506"/>
      <c r="AC55" s="502" t="n">
        <f aca="false">SUMIF(AD$12:AS$12,"总值",AD55:AS55)</f>
        <v>0</v>
      </c>
      <c r="AD55" s="507"/>
      <c r="AE55" s="507"/>
      <c r="AF55" s="507"/>
      <c r="AG55" s="507"/>
      <c r="AH55" s="507"/>
      <c r="AI55" s="507"/>
      <c r="AJ55" s="507"/>
      <c r="AK55" s="507"/>
      <c r="AL55" s="507"/>
      <c r="AM55" s="507"/>
      <c r="AN55" s="507"/>
      <c r="AO55" s="507"/>
      <c r="AP55" s="507"/>
      <c r="AQ55" s="507"/>
      <c r="AR55" s="507"/>
      <c r="AS55" s="507"/>
      <c r="AT55" s="508"/>
      <c r="AU55" s="509"/>
      <c r="AV55" s="510" t="n">
        <f aca="false">A55</f>
        <v>0</v>
      </c>
      <c r="AW55" s="510" t="n">
        <f aca="false">B55</f>
        <v>0</v>
      </c>
      <c r="AX55" s="510" t="n">
        <f aca="false">C55</f>
        <v>0</v>
      </c>
      <c r="AY55" s="511" t="n">
        <f aca="false">ROUND($AY$6*AZ55/$AZ$5,2)</f>
        <v>0</v>
      </c>
      <c r="AZ55" s="502" t="n">
        <f aca="false">BA55+BL55</f>
        <v>0</v>
      </c>
      <c r="BA55" s="502" t="n">
        <f aca="false">SUM(BB55:BK55)</f>
        <v>0</v>
      </c>
      <c r="BB55" s="502" t="n">
        <f aca="false">IF($D55="是",I55-J55,0)</f>
        <v>0</v>
      </c>
      <c r="BC55" s="502" t="n">
        <f aca="false">IF($D55="是",K55-L55,0)</f>
        <v>0</v>
      </c>
      <c r="BD55" s="502" t="n">
        <f aca="false">IF($D55="是",M55-N55,0)</f>
        <v>0</v>
      </c>
      <c r="BE55" s="502" t="n">
        <f aca="false">IF($D55="是",O55-P55,0)</f>
        <v>0</v>
      </c>
      <c r="BF55" s="502" t="n">
        <f aca="false">IF($D55="是",Q55-R55,0)</f>
        <v>0</v>
      </c>
      <c r="BG55" s="502" t="n">
        <f aca="false">IF($D55="是",S55-T55,0)</f>
        <v>0</v>
      </c>
      <c r="BH55" s="502" t="n">
        <f aca="false">IF($D55="是",U55-V55,0)</f>
        <v>0</v>
      </c>
      <c r="BI55" s="502" t="n">
        <f aca="false">IF($D55="是",W55-X55,0)</f>
        <v>0</v>
      </c>
      <c r="BJ55" s="502" t="n">
        <f aca="false">IF($D55="是",Y55-Z55,0)</f>
        <v>0</v>
      </c>
      <c r="BK55" s="502" t="n">
        <f aca="false">IF($D55="是",AA55-AB55,0)</f>
        <v>0</v>
      </c>
      <c r="BL55" s="502" t="n">
        <f aca="false">SUM(BM55:BT55)</f>
        <v>0</v>
      </c>
      <c r="BM55" s="502" t="n">
        <f aca="false">IF($D55="是",AD55-AE55,0)</f>
        <v>0</v>
      </c>
      <c r="BN55" s="502" t="n">
        <f aca="false">IF($D55="是",AF55-AG55,0)</f>
        <v>0</v>
      </c>
      <c r="BO55" s="502" t="n">
        <f aca="false">IF($D55="是",AH55-AI55,0)</f>
        <v>0</v>
      </c>
      <c r="BP55" s="502" t="n">
        <f aca="false">IF($D55="是",AJ55-AK55,0)</f>
        <v>0</v>
      </c>
      <c r="BQ55" s="502" t="n">
        <f aca="false">IF($D55="是",AL55-AM55,0)</f>
        <v>0</v>
      </c>
      <c r="BR55" s="502" t="n">
        <f aca="false">IF($D55="是",AN55-AO55,0)</f>
        <v>0</v>
      </c>
      <c r="BS55" s="502" t="n">
        <f aca="false">IF($D55="是",AP55-AQ55,0)</f>
        <v>0</v>
      </c>
      <c r="BT55" s="512" t="n">
        <f aca="false">IF($D55="是",AR55-AS55,0)</f>
        <v>0</v>
      </c>
    </row>
    <row r="56" customFormat="false" ht="14.25" hidden="false" customHeight="false" outlineLevel="0" collapsed="false">
      <c r="A56" s="499"/>
      <c r="B56" s="500"/>
      <c r="C56" s="500"/>
      <c r="D56" s="501"/>
      <c r="E56" s="502" t="n">
        <f aca="false">IF($C$3="是",ROUND($A$3*G56/$B$3,2),ROUND($A$3*(G56-AT56)/$B$3,2))</f>
        <v>0</v>
      </c>
      <c r="F56" s="503"/>
      <c r="G56" s="504" t="n">
        <f aca="false">H56+AC56+AT56</f>
        <v>0</v>
      </c>
      <c r="H56" s="505" t="n">
        <f aca="false">SUMIF(I$12:AB$12,"总值",I56:AB56)</f>
        <v>0</v>
      </c>
      <c r="I56" s="506"/>
      <c r="J56" s="506"/>
      <c r="K56" s="506"/>
      <c r="L56" s="506"/>
      <c r="M56" s="506"/>
      <c r="N56" s="506"/>
      <c r="O56" s="506"/>
      <c r="P56" s="506"/>
      <c r="Q56" s="506"/>
      <c r="R56" s="506"/>
      <c r="S56" s="506"/>
      <c r="T56" s="506"/>
      <c r="U56" s="506"/>
      <c r="V56" s="506"/>
      <c r="W56" s="506"/>
      <c r="X56" s="506"/>
      <c r="Y56" s="506"/>
      <c r="Z56" s="506"/>
      <c r="AA56" s="506"/>
      <c r="AB56" s="506"/>
      <c r="AC56" s="502" t="n">
        <f aca="false">SUMIF(AD$12:AS$12,"总值",AD56:AS56)</f>
        <v>0</v>
      </c>
      <c r="AD56" s="507"/>
      <c r="AE56" s="507"/>
      <c r="AF56" s="507"/>
      <c r="AG56" s="507"/>
      <c r="AH56" s="507"/>
      <c r="AI56" s="507"/>
      <c r="AJ56" s="507"/>
      <c r="AK56" s="507"/>
      <c r="AL56" s="507"/>
      <c r="AM56" s="507"/>
      <c r="AN56" s="507"/>
      <c r="AO56" s="507"/>
      <c r="AP56" s="507"/>
      <c r="AQ56" s="507"/>
      <c r="AR56" s="507"/>
      <c r="AS56" s="507"/>
      <c r="AT56" s="508"/>
      <c r="AU56" s="509"/>
      <c r="AV56" s="510" t="n">
        <f aca="false">A56</f>
        <v>0</v>
      </c>
      <c r="AW56" s="510" t="n">
        <f aca="false">B56</f>
        <v>0</v>
      </c>
      <c r="AX56" s="510" t="n">
        <f aca="false">C56</f>
        <v>0</v>
      </c>
      <c r="AY56" s="511" t="n">
        <f aca="false">ROUND($AY$6*AZ56/$AZ$5,2)</f>
        <v>0</v>
      </c>
      <c r="AZ56" s="502" t="n">
        <f aca="false">BA56+BL56</f>
        <v>0</v>
      </c>
      <c r="BA56" s="502" t="n">
        <f aca="false">SUM(BB56:BK56)</f>
        <v>0</v>
      </c>
      <c r="BB56" s="502" t="n">
        <f aca="false">IF($D56="是",I56-J56,0)</f>
        <v>0</v>
      </c>
      <c r="BC56" s="502" t="n">
        <f aca="false">IF($D56="是",K56-L56,0)</f>
        <v>0</v>
      </c>
      <c r="BD56" s="502" t="n">
        <f aca="false">IF($D56="是",M56-N56,0)</f>
        <v>0</v>
      </c>
      <c r="BE56" s="502" t="n">
        <f aca="false">IF($D56="是",O56-P56,0)</f>
        <v>0</v>
      </c>
      <c r="BF56" s="502" t="n">
        <f aca="false">IF($D56="是",Q56-R56,0)</f>
        <v>0</v>
      </c>
      <c r="BG56" s="502" t="n">
        <f aca="false">IF($D56="是",S56-T56,0)</f>
        <v>0</v>
      </c>
      <c r="BH56" s="502" t="n">
        <f aca="false">IF($D56="是",U56-V56,0)</f>
        <v>0</v>
      </c>
      <c r="BI56" s="502" t="n">
        <f aca="false">IF($D56="是",W56-X56,0)</f>
        <v>0</v>
      </c>
      <c r="BJ56" s="502" t="n">
        <f aca="false">IF($D56="是",Y56-Z56,0)</f>
        <v>0</v>
      </c>
      <c r="BK56" s="502" t="n">
        <f aca="false">IF($D56="是",AA56-AB56,0)</f>
        <v>0</v>
      </c>
      <c r="BL56" s="502" t="n">
        <f aca="false">SUM(BM56:BT56)</f>
        <v>0</v>
      </c>
      <c r="BM56" s="502" t="n">
        <f aca="false">IF($D56="是",AD56-AE56,0)</f>
        <v>0</v>
      </c>
      <c r="BN56" s="502" t="n">
        <f aca="false">IF($D56="是",AF56-AG56,0)</f>
        <v>0</v>
      </c>
      <c r="BO56" s="502" t="n">
        <f aca="false">IF($D56="是",AH56-AI56,0)</f>
        <v>0</v>
      </c>
      <c r="BP56" s="502" t="n">
        <f aca="false">IF($D56="是",AJ56-AK56,0)</f>
        <v>0</v>
      </c>
      <c r="BQ56" s="502" t="n">
        <f aca="false">IF($D56="是",AL56-AM56,0)</f>
        <v>0</v>
      </c>
      <c r="BR56" s="502" t="n">
        <f aca="false">IF($D56="是",AN56-AO56,0)</f>
        <v>0</v>
      </c>
      <c r="BS56" s="502" t="n">
        <f aca="false">IF($D56="是",AP56-AQ56,0)</f>
        <v>0</v>
      </c>
      <c r="BT56" s="512" t="n">
        <f aca="false">IF($D56="是",AR56-AS56,0)</f>
        <v>0</v>
      </c>
    </row>
    <row r="57" customFormat="false" ht="14.25" hidden="false" customHeight="false" outlineLevel="0" collapsed="false">
      <c r="A57" s="499"/>
      <c r="B57" s="500"/>
      <c r="C57" s="500"/>
      <c r="D57" s="501"/>
      <c r="E57" s="502" t="n">
        <f aca="false">IF($C$3="是",ROUND($A$3*G57/$B$3,2),ROUND($A$3*(G57-AT57)/$B$3,2))</f>
        <v>0</v>
      </c>
      <c r="F57" s="503"/>
      <c r="G57" s="504" t="n">
        <f aca="false">H57+AC57+AT57</f>
        <v>0</v>
      </c>
      <c r="H57" s="505" t="n">
        <f aca="false">SUMIF(I$12:AB$12,"总值",I57:AB57)</f>
        <v>0</v>
      </c>
      <c r="I57" s="506"/>
      <c r="J57" s="506"/>
      <c r="K57" s="506"/>
      <c r="L57" s="506"/>
      <c r="M57" s="506"/>
      <c r="N57" s="506"/>
      <c r="O57" s="506"/>
      <c r="P57" s="506"/>
      <c r="Q57" s="506"/>
      <c r="R57" s="506"/>
      <c r="S57" s="506"/>
      <c r="T57" s="506"/>
      <c r="U57" s="506"/>
      <c r="V57" s="506"/>
      <c r="W57" s="506"/>
      <c r="X57" s="506"/>
      <c r="Y57" s="506"/>
      <c r="Z57" s="506"/>
      <c r="AA57" s="506"/>
      <c r="AB57" s="506"/>
      <c r="AC57" s="502" t="n">
        <f aca="false">SUMIF(AD$12:AS$12,"总值",AD57:AS57)</f>
        <v>0</v>
      </c>
      <c r="AD57" s="507"/>
      <c r="AE57" s="507"/>
      <c r="AF57" s="507"/>
      <c r="AG57" s="507"/>
      <c r="AH57" s="507"/>
      <c r="AI57" s="507"/>
      <c r="AJ57" s="507"/>
      <c r="AK57" s="507"/>
      <c r="AL57" s="507"/>
      <c r="AM57" s="507"/>
      <c r="AN57" s="507"/>
      <c r="AO57" s="507"/>
      <c r="AP57" s="507"/>
      <c r="AQ57" s="507"/>
      <c r="AR57" s="507"/>
      <c r="AS57" s="507"/>
      <c r="AT57" s="508"/>
      <c r="AU57" s="509"/>
      <c r="AV57" s="510" t="n">
        <f aca="false">A57</f>
        <v>0</v>
      </c>
      <c r="AW57" s="510" t="n">
        <f aca="false">B57</f>
        <v>0</v>
      </c>
      <c r="AX57" s="510" t="n">
        <f aca="false">C57</f>
        <v>0</v>
      </c>
      <c r="AY57" s="511" t="n">
        <f aca="false">ROUND($AY$6*AZ57/$AZ$5,2)</f>
        <v>0</v>
      </c>
      <c r="AZ57" s="502" t="n">
        <f aca="false">BA57+BL57</f>
        <v>0</v>
      </c>
      <c r="BA57" s="502" t="n">
        <f aca="false">SUM(BB57:BK57)</f>
        <v>0</v>
      </c>
      <c r="BB57" s="502" t="n">
        <f aca="false">IF($D57="是",I57-J57,0)</f>
        <v>0</v>
      </c>
      <c r="BC57" s="502" t="n">
        <f aca="false">IF($D57="是",K57-L57,0)</f>
        <v>0</v>
      </c>
      <c r="BD57" s="502" t="n">
        <f aca="false">IF($D57="是",M57-N57,0)</f>
        <v>0</v>
      </c>
      <c r="BE57" s="502" t="n">
        <f aca="false">IF($D57="是",O57-P57,0)</f>
        <v>0</v>
      </c>
      <c r="BF57" s="502" t="n">
        <f aca="false">IF($D57="是",Q57-R57,0)</f>
        <v>0</v>
      </c>
      <c r="BG57" s="502" t="n">
        <f aca="false">IF($D57="是",S57-T57,0)</f>
        <v>0</v>
      </c>
      <c r="BH57" s="502" t="n">
        <f aca="false">IF($D57="是",U57-V57,0)</f>
        <v>0</v>
      </c>
      <c r="BI57" s="502" t="n">
        <f aca="false">IF($D57="是",W57-X57,0)</f>
        <v>0</v>
      </c>
      <c r="BJ57" s="502" t="n">
        <f aca="false">IF($D57="是",Y57-Z57,0)</f>
        <v>0</v>
      </c>
      <c r="BK57" s="502" t="n">
        <f aca="false">IF($D57="是",AA57-AB57,0)</f>
        <v>0</v>
      </c>
      <c r="BL57" s="502" t="n">
        <f aca="false">SUM(BM57:BT57)</f>
        <v>0</v>
      </c>
      <c r="BM57" s="502" t="n">
        <f aca="false">IF($D57="是",AD57-AE57,0)</f>
        <v>0</v>
      </c>
      <c r="BN57" s="502" t="n">
        <f aca="false">IF($D57="是",AF57-AG57,0)</f>
        <v>0</v>
      </c>
      <c r="BO57" s="502" t="n">
        <f aca="false">IF($D57="是",AH57-AI57,0)</f>
        <v>0</v>
      </c>
      <c r="BP57" s="502" t="n">
        <f aca="false">IF($D57="是",AJ57-AK57,0)</f>
        <v>0</v>
      </c>
      <c r="BQ57" s="502" t="n">
        <f aca="false">IF($D57="是",AL57-AM57,0)</f>
        <v>0</v>
      </c>
      <c r="BR57" s="502" t="n">
        <f aca="false">IF($D57="是",AN57-AO57,0)</f>
        <v>0</v>
      </c>
      <c r="BS57" s="502" t="n">
        <f aca="false">IF($D57="是",AP57-AQ57,0)</f>
        <v>0</v>
      </c>
      <c r="BT57" s="512" t="n">
        <f aca="false">IF($D57="是",AR57-AS57,0)</f>
        <v>0</v>
      </c>
    </row>
    <row r="58" customFormat="false" ht="14.25" hidden="false" customHeight="false" outlineLevel="0" collapsed="false">
      <c r="A58" s="499"/>
      <c r="B58" s="500"/>
      <c r="C58" s="500"/>
      <c r="D58" s="501"/>
      <c r="E58" s="502" t="n">
        <f aca="false">IF($C$3="是",ROUND($A$3*G58/$B$3,2),ROUND($A$3*(G58-AT58)/$B$3,2))</f>
        <v>0</v>
      </c>
      <c r="F58" s="503"/>
      <c r="G58" s="504" t="n">
        <f aca="false">H58+AC58+AT58</f>
        <v>0</v>
      </c>
      <c r="H58" s="505" t="n">
        <f aca="false">SUMIF(I$12:AB$12,"总值",I58:AB58)</f>
        <v>0</v>
      </c>
      <c r="I58" s="506"/>
      <c r="J58" s="506"/>
      <c r="K58" s="506"/>
      <c r="L58" s="506"/>
      <c r="M58" s="506"/>
      <c r="N58" s="506"/>
      <c r="O58" s="506"/>
      <c r="P58" s="506"/>
      <c r="Q58" s="506"/>
      <c r="R58" s="506"/>
      <c r="S58" s="506"/>
      <c r="T58" s="506"/>
      <c r="U58" s="506"/>
      <c r="V58" s="506"/>
      <c r="W58" s="506"/>
      <c r="X58" s="506"/>
      <c r="Y58" s="506"/>
      <c r="Z58" s="506"/>
      <c r="AA58" s="506"/>
      <c r="AB58" s="506"/>
      <c r="AC58" s="502" t="n">
        <f aca="false">SUMIF(AD$12:AS$12,"总值",AD58:AS58)</f>
        <v>0</v>
      </c>
      <c r="AD58" s="507"/>
      <c r="AE58" s="507"/>
      <c r="AF58" s="507"/>
      <c r="AG58" s="507"/>
      <c r="AH58" s="507"/>
      <c r="AI58" s="507"/>
      <c r="AJ58" s="507"/>
      <c r="AK58" s="507"/>
      <c r="AL58" s="507"/>
      <c r="AM58" s="507"/>
      <c r="AN58" s="507"/>
      <c r="AO58" s="507"/>
      <c r="AP58" s="507"/>
      <c r="AQ58" s="507"/>
      <c r="AR58" s="507"/>
      <c r="AS58" s="507"/>
      <c r="AT58" s="508"/>
      <c r="AU58" s="509"/>
      <c r="AV58" s="510" t="n">
        <f aca="false">A58</f>
        <v>0</v>
      </c>
      <c r="AW58" s="510" t="n">
        <f aca="false">B58</f>
        <v>0</v>
      </c>
      <c r="AX58" s="510" t="n">
        <f aca="false">C58</f>
        <v>0</v>
      </c>
      <c r="AY58" s="511" t="n">
        <f aca="false">ROUND($AY$6*AZ58/$AZ$5,2)</f>
        <v>0</v>
      </c>
      <c r="AZ58" s="502" t="n">
        <f aca="false">BA58+BL58</f>
        <v>0</v>
      </c>
      <c r="BA58" s="502" t="n">
        <f aca="false">SUM(BB58:BK58)</f>
        <v>0</v>
      </c>
      <c r="BB58" s="502" t="n">
        <f aca="false">IF($D58="是",I58-J58,0)</f>
        <v>0</v>
      </c>
      <c r="BC58" s="502" t="n">
        <f aca="false">IF($D58="是",K58-L58,0)</f>
        <v>0</v>
      </c>
      <c r="BD58" s="502" t="n">
        <f aca="false">IF($D58="是",M58-N58,0)</f>
        <v>0</v>
      </c>
      <c r="BE58" s="502" t="n">
        <f aca="false">IF($D58="是",O58-P58,0)</f>
        <v>0</v>
      </c>
      <c r="BF58" s="502" t="n">
        <f aca="false">IF($D58="是",Q58-R58,0)</f>
        <v>0</v>
      </c>
      <c r="BG58" s="502" t="n">
        <f aca="false">IF($D58="是",S58-T58,0)</f>
        <v>0</v>
      </c>
      <c r="BH58" s="502" t="n">
        <f aca="false">IF($D58="是",U58-V58,0)</f>
        <v>0</v>
      </c>
      <c r="BI58" s="502" t="n">
        <f aca="false">IF($D58="是",W58-X58,0)</f>
        <v>0</v>
      </c>
      <c r="BJ58" s="502" t="n">
        <f aca="false">IF($D58="是",Y58-Z58,0)</f>
        <v>0</v>
      </c>
      <c r="BK58" s="502" t="n">
        <f aca="false">IF($D58="是",AA58-AB58,0)</f>
        <v>0</v>
      </c>
      <c r="BL58" s="502" t="n">
        <f aca="false">SUM(BM58:BT58)</f>
        <v>0</v>
      </c>
      <c r="BM58" s="502" t="n">
        <f aca="false">IF($D58="是",AD58-AE58,0)</f>
        <v>0</v>
      </c>
      <c r="BN58" s="502" t="n">
        <f aca="false">IF($D58="是",AF58-AG58,0)</f>
        <v>0</v>
      </c>
      <c r="BO58" s="502" t="n">
        <f aca="false">IF($D58="是",AH58-AI58,0)</f>
        <v>0</v>
      </c>
      <c r="BP58" s="502" t="n">
        <f aca="false">IF($D58="是",AJ58-AK58,0)</f>
        <v>0</v>
      </c>
      <c r="BQ58" s="502" t="n">
        <f aca="false">IF($D58="是",AL58-AM58,0)</f>
        <v>0</v>
      </c>
      <c r="BR58" s="502" t="n">
        <f aca="false">IF($D58="是",AN58-AO58,0)</f>
        <v>0</v>
      </c>
      <c r="BS58" s="502" t="n">
        <f aca="false">IF($D58="是",AP58-AQ58,0)</f>
        <v>0</v>
      </c>
      <c r="BT58" s="512" t="n">
        <f aca="false">IF($D58="是",AR58-AS58,0)</f>
        <v>0</v>
      </c>
    </row>
    <row r="59" customFormat="false" ht="14.25" hidden="false" customHeight="false" outlineLevel="0" collapsed="false">
      <c r="A59" s="499"/>
      <c r="B59" s="500"/>
      <c r="C59" s="500"/>
      <c r="D59" s="501"/>
      <c r="E59" s="502" t="n">
        <f aca="false">IF($C$3="是",ROUND($A$3*G59/$B$3,2),ROUND($A$3*(G59-AT59)/$B$3,2))</f>
        <v>0</v>
      </c>
      <c r="F59" s="503"/>
      <c r="G59" s="504" t="n">
        <f aca="false">H59+AC59+AT59</f>
        <v>0</v>
      </c>
      <c r="H59" s="505" t="n">
        <f aca="false">SUMIF(I$12:AB$12,"总值",I59:AB59)</f>
        <v>0</v>
      </c>
      <c r="I59" s="506"/>
      <c r="J59" s="506"/>
      <c r="K59" s="506"/>
      <c r="L59" s="506"/>
      <c r="M59" s="506"/>
      <c r="N59" s="506"/>
      <c r="O59" s="506"/>
      <c r="P59" s="506"/>
      <c r="Q59" s="506"/>
      <c r="R59" s="506"/>
      <c r="S59" s="506"/>
      <c r="T59" s="506"/>
      <c r="U59" s="506"/>
      <c r="V59" s="506"/>
      <c r="W59" s="506"/>
      <c r="X59" s="506"/>
      <c r="Y59" s="506"/>
      <c r="Z59" s="506"/>
      <c r="AA59" s="506"/>
      <c r="AB59" s="506"/>
      <c r="AC59" s="502" t="n">
        <f aca="false">SUMIF(AD$12:AS$12,"总值",AD59:AS59)</f>
        <v>0</v>
      </c>
      <c r="AD59" s="507"/>
      <c r="AE59" s="507"/>
      <c r="AF59" s="507"/>
      <c r="AG59" s="507"/>
      <c r="AH59" s="507"/>
      <c r="AI59" s="507"/>
      <c r="AJ59" s="507"/>
      <c r="AK59" s="507"/>
      <c r="AL59" s="507"/>
      <c r="AM59" s="507"/>
      <c r="AN59" s="507"/>
      <c r="AO59" s="507"/>
      <c r="AP59" s="507"/>
      <c r="AQ59" s="507"/>
      <c r="AR59" s="507"/>
      <c r="AS59" s="507"/>
      <c r="AT59" s="508"/>
      <c r="AU59" s="509"/>
      <c r="AV59" s="510" t="n">
        <f aca="false">A59</f>
        <v>0</v>
      </c>
      <c r="AW59" s="510" t="n">
        <f aca="false">B59</f>
        <v>0</v>
      </c>
      <c r="AX59" s="510" t="n">
        <f aca="false">C59</f>
        <v>0</v>
      </c>
      <c r="AY59" s="511" t="n">
        <f aca="false">ROUND($AY$6*AZ59/$AZ$5,2)</f>
        <v>0</v>
      </c>
      <c r="AZ59" s="502" t="n">
        <f aca="false">BA59+BL59</f>
        <v>0</v>
      </c>
      <c r="BA59" s="502" t="n">
        <f aca="false">SUM(BB59:BK59)</f>
        <v>0</v>
      </c>
      <c r="BB59" s="502" t="n">
        <f aca="false">IF($D59="是",I59-J59,0)</f>
        <v>0</v>
      </c>
      <c r="BC59" s="502" t="n">
        <f aca="false">IF($D59="是",K59-L59,0)</f>
        <v>0</v>
      </c>
      <c r="BD59" s="502" t="n">
        <f aca="false">IF($D59="是",M59-N59,0)</f>
        <v>0</v>
      </c>
      <c r="BE59" s="502" t="n">
        <f aca="false">IF($D59="是",O59-P59,0)</f>
        <v>0</v>
      </c>
      <c r="BF59" s="502" t="n">
        <f aca="false">IF($D59="是",Q59-R59,0)</f>
        <v>0</v>
      </c>
      <c r="BG59" s="502" t="n">
        <f aca="false">IF($D59="是",S59-T59,0)</f>
        <v>0</v>
      </c>
      <c r="BH59" s="502" t="n">
        <f aca="false">IF($D59="是",U59-V59,0)</f>
        <v>0</v>
      </c>
      <c r="BI59" s="502" t="n">
        <f aca="false">IF($D59="是",W59-X59,0)</f>
        <v>0</v>
      </c>
      <c r="BJ59" s="502" t="n">
        <f aca="false">IF($D59="是",Y59-Z59,0)</f>
        <v>0</v>
      </c>
      <c r="BK59" s="502" t="n">
        <f aca="false">IF($D59="是",AA59-AB59,0)</f>
        <v>0</v>
      </c>
      <c r="BL59" s="502" t="n">
        <f aca="false">SUM(BM59:BT59)</f>
        <v>0</v>
      </c>
      <c r="BM59" s="502" t="n">
        <f aca="false">IF($D59="是",AD59-AE59,0)</f>
        <v>0</v>
      </c>
      <c r="BN59" s="502" t="n">
        <f aca="false">IF($D59="是",AF59-AG59,0)</f>
        <v>0</v>
      </c>
      <c r="BO59" s="502" t="n">
        <f aca="false">IF($D59="是",AH59-AI59,0)</f>
        <v>0</v>
      </c>
      <c r="BP59" s="502" t="n">
        <f aca="false">IF($D59="是",AJ59-AK59,0)</f>
        <v>0</v>
      </c>
      <c r="BQ59" s="502" t="n">
        <f aca="false">IF($D59="是",AL59-AM59,0)</f>
        <v>0</v>
      </c>
      <c r="BR59" s="502" t="n">
        <f aca="false">IF($D59="是",AN59-AO59,0)</f>
        <v>0</v>
      </c>
      <c r="BS59" s="502" t="n">
        <f aca="false">IF($D59="是",AP59-AQ59,0)</f>
        <v>0</v>
      </c>
      <c r="BT59" s="512" t="n">
        <f aca="false">IF($D59="是",AR59-AS59,0)</f>
        <v>0</v>
      </c>
    </row>
    <row r="60" customFormat="false" ht="14.25" hidden="false" customHeight="false" outlineLevel="0" collapsed="false">
      <c r="A60" s="499"/>
      <c r="B60" s="500"/>
      <c r="C60" s="500"/>
      <c r="D60" s="501"/>
      <c r="E60" s="502" t="n">
        <f aca="false">IF($C$3="是",ROUND($A$3*G60/$B$3,2),ROUND($A$3*(G60-AT60)/$B$3,2))</f>
        <v>0</v>
      </c>
      <c r="F60" s="503"/>
      <c r="G60" s="504" t="n">
        <f aca="false">H60+AC60+AT60</f>
        <v>0</v>
      </c>
      <c r="H60" s="505" t="n">
        <f aca="false">SUMIF(I$12:AB$12,"总值",I60:AB60)</f>
        <v>0</v>
      </c>
      <c r="I60" s="506"/>
      <c r="J60" s="506"/>
      <c r="K60" s="506"/>
      <c r="L60" s="506"/>
      <c r="M60" s="506"/>
      <c r="N60" s="506"/>
      <c r="O60" s="506"/>
      <c r="P60" s="506"/>
      <c r="Q60" s="506"/>
      <c r="R60" s="506"/>
      <c r="S60" s="506"/>
      <c r="T60" s="506"/>
      <c r="U60" s="506"/>
      <c r="V60" s="506"/>
      <c r="W60" s="506"/>
      <c r="X60" s="506"/>
      <c r="Y60" s="506"/>
      <c r="Z60" s="506"/>
      <c r="AA60" s="506"/>
      <c r="AB60" s="506"/>
      <c r="AC60" s="502" t="n">
        <f aca="false">SUMIF(AD$12:AS$12,"总值",AD60:AS60)</f>
        <v>0</v>
      </c>
      <c r="AD60" s="507"/>
      <c r="AE60" s="507"/>
      <c r="AF60" s="507"/>
      <c r="AG60" s="507"/>
      <c r="AH60" s="507"/>
      <c r="AI60" s="507"/>
      <c r="AJ60" s="507"/>
      <c r="AK60" s="507"/>
      <c r="AL60" s="507"/>
      <c r="AM60" s="507"/>
      <c r="AN60" s="507"/>
      <c r="AO60" s="507"/>
      <c r="AP60" s="507"/>
      <c r="AQ60" s="507"/>
      <c r="AR60" s="507"/>
      <c r="AS60" s="507"/>
      <c r="AT60" s="508"/>
      <c r="AU60" s="509"/>
      <c r="AV60" s="510" t="n">
        <f aca="false">A60</f>
        <v>0</v>
      </c>
      <c r="AW60" s="510" t="n">
        <f aca="false">B60</f>
        <v>0</v>
      </c>
      <c r="AX60" s="510" t="n">
        <f aca="false">C60</f>
        <v>0</v>
      </c>
      <c r="AY60" s="511" t="n">
        <f aca="false">ROUND($AY$6*AZ60/$AZ$5,2)</f>
        <v>0</v>
      </c>
      <c r="AZ60" s="502" t="n">
        <f aca="false">BA60+BL60</f>
        <v>0</v>
      </c>
      <c r="BA60" s="502" t="n">
        <f aca="false">SUM(BB60:BK60)</f>
        <v>0</v>
      </c>
      <c r="BB60" s="502" t="n">
        <f aca="false">IF($D60="是",I60-J60,0)</f>
        <v>0</v>
      </c>
      <c r="BC60" s="502" t="n">
        <f aca="false">IF($D60="是",K60-L60,0)</f>
        <v>0</v>
      </c>
      <c r="BD60" s="502" t="n">
        <f aca="false">IF($D60="是",M60-N60,0)</f>
        <v>0</v>
      </c>
      <c r="BE60" s="502" t="n">
        <f aca="false">IF($D60="是",O60-P60,0)</f>
        <v>0</v>
      </c>
      <c r="BF60" s="502" t="n">
        <f aca="false">IF($D60="是",Q60-R60,0)</f>
        <v>0</v>
      </c>
      <c r="BG60" s="502" t="n">
        <f aca="false">IF($D60="是",S60-T60,0)</f>
        <v>0</v>
      </c>
      <c r="BH60" s="502" t="n">
        <f aca="false">IF($D60="是",U60-V60,0)</f>
        <v>0</v>
      </c>
      <c r="BI60" s="502" t="n">
        <f aca="false">IF($D60="是",W60-X60,0)</f>
        <v>0</v>
      </c>
      <c r="BJ60" s="502" t="n">
        <f aca="false">IF($D60="是",Y60-Z60,0)</f>
        <v>0</v>
      </c>
      <c r="BK60" s="502" t="n">
        <f aca="false">IF($D60="是",AA60-AB60,0)</f>
        <v>0</v>
      </c>
      <c r="BL60" s="502" t="n">
        <f aca="false">SUM(BM60:BT60)</f>
        <v>0</v>
      </c>
      <c r="BM60" s="502" t="n">
        <f aca="false">IF($D60="是",AD60-AE60,0)</f>
        <v>0</v>
      </c>
      <c r="BN60" s="502" t="n">
        <f aca="false">IF($D60="是",AF60-AG60,0)</f>
        <v>0</v>
      </c>
      <c r="BO60" s="502" t="n">
        <f aca="false">IF($D60="是",AH60-AI60,0)</f>
        <v>0</v>
      </c>
      <c r="BP60" s="502" t="n">
        <f aca="false">IF($D60="是",AJ60-AK60,0)</f>
        <v>0</v>
      </c>
      <c r="BQ60" s="502" t="n">
        <f aca="false">IF($D60="是",AL60-AM60,0)</f>
        <v>0</v>
      </c>
      <c r="BR60" s="502" t="n">
        <f aca="false">IF($D60="是",AN60-AO60,0)</f>
        <v>0</v>
      </c>
      <c r="BS60" s="502" t="n">
        <f aca="false">IF($D60="是",AP60-AQ60,0)</f>
        <v>0</v>
      </c>
      <c r="BT60" s="512" t="n">
        <f aca="false">IF($D60="是",AR60-AS60,0)</f>
        <v>0</v>
      </c>
    </row>
    <row r="61" customFormat="false" ht="14.25" hidden="false" customHeight="false" outlineLevel="0" collapsed="false">
      <c r="A61" s="499"/>
      <c r="B61" s="500"/>
      <c r="C61" s="500"/>
      <c r="D61" s="501"/>
      <c r="E61" s="502" t="n">
        <f aca="false">IF($C$3="是",ROUND($A$3*G61/$B$3,2),ROUND($A$3*(G61-AT61)/$B$3,2))</f>
        <v>0</v>
      </c>
      <c r="F61" s="503"/>
      <c r="G61" s="504" t="n">
        <f aca="false">H61+AC61+AT61</f>
        <v>0</v>
      </c>
      <c r="H61" s="505" t="n">
        <f aca="false">SUMIF(I$12:AB$12,"总值",I61:AB61)</f>
        <v>0</v>
      </c>
      <c r="I61" s="506"/>
      <c r="J61" s="506"/>
      <c r="K61" s="506"/>
      <c r="L61" s="506"/>
      <c r="M61" s="506"/>
      <c r="N61" s="506"/>
      <c r="O61" s="506"/>
      <c r="P61" s="506"/>
      <c r="Q61" s="506"/>
      <c r="R61" s="506"/>
      <c r="S61" s="506"/>
      <c r="T61" s="506"/>
      <c r="U61" s="506"/>
      <c r="V61" s="506"/>
      <c r="W61" s="506"/>
      <c r="X61" s="506"/>
      <c r="Y61" s="506"/>
      <c r="Z61" s="506"/>
      <c r="AA61" s="506"/>
      <c r="AB61" s="506"/>
      <c r="AC61" s="502" t="n">
        <f aca="false">SUMIF(AD$12:AS$12,"总值",AD61:AS61)</f>
        <v>0</v>
      </c>
      <c r="AD61" s="507"/>
      <c r="AE61" s="507"/>
      <c r="AF61" s="507"/>
      <c r="AG61" s="507"/>
      <c r="AH61" s="507"/>
      <c r="AI61" s="507"/>
      <c r="AJ61" s="507"/>
      <c r="AK61" s="507"/>
      <c r="AL61" s="507"/>
      <c r="AM61" s="507"/>
      <c r="AN61" s="507"/>
      <c r="AO61" s="507"/>
      <c r="AP61" s="507"/>
      <c r="AQ61" s="507"/>
      <c r="AR61" s="507"/>
      <c r="AS61" s="507"/>
      <c r="AT61" s="508"/>
      <c r="AU61" s="509"/>
      <c r="AV61" s="510" t="n">
        <f aca="false">A61</f>
        <v>0</v>
      </c>
      <c r="AW61" s="510" t="n">
        <f aca="false">B61</f>
        <v>0</v>
      </c>
      <c r="AX61" s="510" t="n">
        <f aca="false">C61</f>
        <v>0</v>
      </c>
      <c r="AY61" s="511" t="n">
        <f aca="false">ROUND($AY$6*AZ61/$AZ$5,2)</f>
        <v>0</v>
      </c>
      <c r="AZ61" s="502" t="n">
        <f aca="false">BA61+BL61</f>
        <v>0</v>
      </c>
      <c r="BA61" s="502" t="n">
        <f aca="false">SUM(BB61:BK61)</f>
        <v>0</v>
      </c>
      <c r="BB61" s="502" t="n">
        <f aca="false">IF($D61="是",I61-J61,0)</f>
        <v>0</v>
      </c>
      <c r="BC61" s="502" t="n">
        <f aca="false">IF($D61="是",K61-L61,0)</f>
        <v>0</v>
      </c>
      <c r="BD61" s="502" t="n">
        <f aca="false">IF($D61="是",M61-N61,0)</f>
        <v>0</v>
      </c>
      <c r="BE61" s="502" t="n">
        <f aca="false">IF($D61="是",O61-P61,0)</f>
        <v>0</v>
      </c>
      <c r="BF61" s="502" t="n">
        <f aca="false">IF($D61="是",Q61-R61,0)</f>
        <v>0</v>
      </c>
      <c r="BG61" s="502" t="n">
        <f aca="false">IF($D61="是",S61-T61,0)</f>
        <v>0</v>
      </c>
      <c r="BH61" s="502" t="n">
        <f aca="false">IF($D61="是",U61-V61,0)</f>
        <v>0</v>
      </c>
      <c r="BI61" s="502" t="n">
        <f aca="false">IF($D61="是",W61-X61,0)</f>
        <v>0</v>
      </c>
      <c r="BJ61" s="502" t="n">
        <f aca="false">IF($D61="是",Y61-Z61,0)</f>
        <v>0</v>
      </c>
      <c r="BK61" s="502" t="n">
        <f aca="false">IF($D61="是",AA61-AB61,0)</f>
        <v>0</v>
      </c>
      <c r="BL61" s="502" t="n">
        <f aca="false">SUM(BM61:BT61)</f>
        <v>0</v>
      </c>
      <c r="BM61" s="502" t="n">
        <f aca="false">IF($D61="是",AD61-AE61,0)</f>
        <v>0</v>
      </c>
      <c r="BN61" s="502" t="n">
        <f aca="false">IF($D61="是",AF61-AG61,0)</f>
        <v>0</v>
      </c>
      <c r="BO61" s="502" t="n">
        <f aca="false">IF($D61="是",AH61-AI61,0)</f>
        <v>0</v>
      </c>
      <c r="BP61" s="502" t="n">
        <f aca="false">IF($D61="是",AJ61-AK61,0)</f>
        <v>0</v>
      </c>
      <c r="BQ61" s="502" t="n">
        <f aca="false">IF($D61="是",AL61-AM61,0)</f>
        <v>0</v>
      </c>
      <c r="BR61" s="502" t="n">
        <f aca="false">IF($D61="是",AN61-AO61,0)</f>
        <v>0</v>
      </c>
      <c r="BS61" s="502" t="n">
        <f aca="false">IF($D61="是",AP61-AQ61,0)</f>
        <v>0</v>
      </c>
      <c r="BT61" s="512" t="n">
        <f aca="false">IF($D61="是",AR61-AS61,0)</f>
        <v>0</v>
      </c>
    </row>
    <row r="62" customFormat="false" ht="14.25" hidden="false" customHeight="false" outlineLevel="0" collapsed="false">
      <c r="A62" s="499"/>
      <c r="B62" s="500"/>
      <c r="C62" s="500"/>
      <c r="D62" s="501"/>
      <c r="E62" s="502" t="n">
        <f aca="false">IF($C$3="是",ROUND($A$3*G62/$B$3,2),ROUND($A$3*(G62-AT62)/$B$3,2))</f>
        <v>0</v>
      </c>
      <c r="F62" s="503"/>
      <c r="G62" s="504" t="n">
        <f aca="false">H62+AC62+AT62</f>
        <v>0</v>
      </c>
      <c r="H62" s="505" t="n">
        <f aca="false">SUMIF(I$12:AB$12,"总值",I62:AB62)</f>
        <v>0</v>
      </c>
      <c r="I62" s="506"/>
      <c r="J62" s="506"/>
      <c r="K62" s="506"/>
      <c r="L62" s="506"/>
      <c r="M62" s="506"/>
      <c r="N62" s="506"/>
      <c r="O62" s="506"/>
      <c r="P62" s="506"/>
      <c r="Q62" s="506"/>
      <c r="R62" s="506"/>
      <c r="S62" s="506"/>
      <c r="T62" s="506"/>
      <c r="U62" s="506"/>
      <c r="V62" s="506"/>
      <c r="W62" s="506"/>
      <c r="X62" s="506"/>
      <c r="Y62" s="506"/>
      <c r="Z62" s="506"/>
      <c r="AA62" s="506"/>
      <c r="AB62" s="506"/>
      <c r="AC62" s="502" t="n">
        <f aca="false">SUMIF(AD$12:AS$12,"总值",AD62:AS62)</f>
        <v>0</v>
      </c>
      <c r="AD62" s="507"/>
      <c r="AE62" s="507"/>
      <c r="AF62" s="507"/>
      <c r="AG62" s="507"/>
      <c r="AH62" s="507"/>
      <c r="AI62" s="507"/>
      <c r="AJ62" s="507"/>
      <c r="AK62" s="507"/>
      <c r="AL62" s="507"/>
      <c r="AM62" s="507"/>
      <c r="AN62" s="507"/>
      <c r="AO62" s="507"/>
      <c r="AP62" s="507"/>
      <c r="AQ62" s="507"/>
      <c r="AR62" s="507"/>
      <c r="AS62" s="507"/>
      <c r="AT62" s="508"/>
      <c r="AU62" s="509"/>
      <c r="AV62" s="510" t="n">
        <f aca="false">A62</f>
        <v>0</v>
      </c>
      <c r="AW62" s="510" t="n">
        <f aca="false">B62</f>
        <v>0</v>
      </c>
      <c r="AX62" s="510" t="n">
        <f aca="false">C62</f>
        <v>0</v>
      </c>
      <c r="AY62" s="511" t="n">
        <f aca="false">ROUND($AY$6*AZ62/$AZ$5,2)</f>
        <v>0</v>
      </c>
      <c r="AZ62" s="502" t="n">
        <f aca="false">BA62+BL62</f>
        <v>0</v>
      </c>
      <c r="BA62" s="502" t="n">
        <f aca="false">SUM(BB62:BK62)</f>
        <v>0</v>
      </c>
      <c r="BB62" s="502" t="n">
        <f aca="false">IF($D62="是",I62-J62,0)</f>
        <v>0</v>
      </c>
      <c r="BC62" s="502" t="n">
        <f aca="false">IF($D62="是",K62-L62,0)</f>
        <v>0</v>
      </c>
      <c r="BD62" s="502" t="n">
        <f aca="false">IF($D62="是",M62-N62,0)</f>
        <v>0</v>
      </c>
      <c r="BE62" s="502" t="n">
        <f aca="false">IF($D62="是",O62-P62,0)</f>
        <v>0</v>
      </c>
      <c r="BF62" s="502" t="n">
        <f aca="false">IF($D62="是",Q62-R62,0)</f>
        <v>0</v>
      </c>
      <c r="BG62" s="502" t="n">
        <f aca="false">IF($D62="是",S62-T62,0)</f>
        <v>0</v>
      </c>
      <c r="BH62" s="502" t="n">
        <f aca="false">IF($D62="是",U62-V62,0)</f>
        <v>0</v>
      </c>
      <c r="BI62" s="502" t="n">
        <f aca="false">IF($D62="是",W62-X62,0)</f>
        <v>0</v>
      </c>
      <c r="BJ62" s="502" t="n">
        <f aca="false">IF($D62="是",Y62-Z62,0)</f>
        <v>0</v>
      </c>
      <c r="BK62" s="502" t="n">
        <f aca="false">IF($D62="是",AA62-AB62,0)</f>
        <v>0</v>
      </c>
      <c r="BL62" s="502" t="n">
        <f aca="false">SUM(BM62:BT62)</f>
        <v>0</v>
      </c>
      <c r="BM62" s="502" t="n">
        <f aca="false">IF($D62="是",AD62-AE62,0)</f>
        <v>0</v>
      </c>
      <c r="BN62" s="502" t="n">
        <f aca="false">IF($D62="是",AF62-AG62,0)</f>
        <v>0</v>
      </c>
      <c r="BO62" s="502" t="n">
        <f aca="false">IF($D62="是",AH62-AI62,0)</f>
        <v>0</v>
      </c>
      <c r="BP62" s="502" t="n">
        <f aca="false">IF($D62="是",AJ62-AK62,0)</f>
        <v>0</v>
      </c>
      <c r="BQ62" s="502" t="n">
        <f aca="false">IF($D62="是",AL62-AM62,0)</f>
        <v>0</v>
      </c>
      <c r="BR62" s="502" t="n">
        <f aca="false">IF($D62="是",AN62-AO62,0)</f>
        <v>0</v>
      </c>
      <c r="BS62" s="502" t="n">
        <f aca="false">IF($D62="是",AP62-AQ62,0)</f>
        <v>0</v>
      </c>
      <c r="BT62" s="512" t="n">
        <f aca="false">IF($D62="是",AR62-AS62,0)</f>
        <v>0</v>
      </c>
    </row>
    <row r="63" customFormat="false" ht="14.25" hidden="false" customHeight="false" outlineLevel="0" collapsed="false">
      <c r="A63" s="499"/>
      <c r="B63" s="500"/>
      <c r="C63" s="500"/>
      <c r="D63" s="501"/>
      <c r="E63" s="502" t="n">
        <f aca="false">IF($C$3="是",ROUND($A$3*G63/$B$3,2),ROUND($A$3*(G63-AT63)/$B$3,2))</f>
        <v>0</v>
      </c>
      <c r="F63" s="503"/>
      <c r="G63" s="504" t="n">
        <f aca="false">H63+AC63+AT63</f>
        <v>0</v>
      </c>
      <c r="H63" s="505" t="n">
        <f aca="false">SUMIF(I$12:AB$12,"总值",I63:AB63)</f>
        <v>0</v>
      </c>
      <c r="I63" s="506"/>
      <c r="J63" s="506"/>
      <c r="K63" s="506"/>
      <c r="L63" s="506"/>
      <c r="M63" s="506"/>
      <c r="N63" s="506"/>
      <c r="O63" s="506"/>
      <c r="P63" s="506"/>
      <c r="Q63" s="506"/>
      <c r="R63" s="506"/>
      <c r="S63" s="506"/>
      <c r="T63" s="506"/>
      <c r="U63" s="506"/>
      <c r="V63" s="506"/>
      <c r="W63" s="506"/>
      <c r="X63" s="506"/>
      <c r="Y63" s="506"/>
      <c r="Z63" s="506"/>
      <c r="AA63" s="506"/>
      <c r="AB63" s="506"/>
      <c r="AC63" s="502" t="n">
        <f aca="false">SUMIF(AD$12:AS$12,"总值",AD63:AS63)</f>
        <v>0</v>
      </c>
      <c r="AD63" s="507"/>
      <c r="AE63" s="507"/>
      <c r="AF63" s="507"/>
      <c r="AG63" s="507"/>
      <c r="AH63" s="507"/>
      <c r="AI63" s="507"/>
      <c r="AJ63" s="507"/>
      <c r="AK63" s="507"/>
      <c r="AL63" s="507"/>
      <c r="AM63" s="507"/>
      <c r="AN63" s="507"/>
      <c r="AO63" s="507"/>
      <c r="AP63" s="507"/>
      <c r="AQ63" s="507"/>
      <c r="AR63" s="507"/>
      <c r="AS63" s="507"/>
      <c r="AT63" s="508"/>
      <c r="AU63" s="509"/>
      <c r="AV63" s="510" t="n">
        <f aca="false">A63</f>
        <v>0</v>
      </c>
      <c r="AW63" s="510" t="n">
        <f aca="false">B63</f>
        <v>0</v>
      </c>
      <c r="AX63" s="510" t="n">
        <f aca="false">C63</f>
        <v>0</v>
      </c>
      <c r="AY63" s="511" t="n">
        <f aca="false">ROUND($AY$6*AZ63/$AZ$5,2)</f>
        <v>0</v>
      </c>
      <c r="AZ63" s="502" t="n">
        <f aca="false">BA63+BL63</f>
        <v>0</v>
      </c>
      <c r="BA63" s="502" t="n">
        <f aca="false">SUM(BB63:BK63)</f>
        <v>0</v>
      </c>
      <c r="BB63" s="502" t="n">
        <f aca="false">IF($D63="是",I63-J63,0)</f>
        <v>0</v>
      </c>
      <c r="BC63" s="502" t="n">
        <f aca="false">IF($D63="是",K63-L63,0)</f>
        <v>0</v>
      </c>
      <c r="BD63" s="502" t="n">
        <f aca="false">IF($D63="是",M63-N63,0)</f>
        <v>0</v>
      </c>
      <c r="BE63" s="502" t="n">
        <f aca="false">IF($D63="是",O63-P63,0)</f>
        <v>0</v>
      </c>
      <c r="BF63" s="502" t="n">
        <f aca="false">IF($D63="是",Q63-R63,0)</f>
        <v>0</v>
      </c>
      <c r="BG63" s="502" t="n">
        <f aca="false">IF($D63="是",S63-T63,0)</f>
        <v>0</v>
      </c>
      <c r="BH63" s="502" t="n">
        <f aca="false">IF($D63="是",U63-V63,0)</f>
        <v>0</v>
      </c>
      <c r="BI63" s="502" t="n">
        <f aca="false">IF($D63="是",W63-X63,0)</f>
        <v>0</v>
      </c>
      <c r="BJ63" s="502" t="n">
        <f aca="false">IF($D63="是",Y63-Z63,0)</f>
        <v>0</v>
      </c>
      <c r="BK63" s="502" t="n">
        <f aca="false">IF($D63="是",AA63-AB63,0)</f>
        <v>0</v>
      </c>
      <c r="BL63" s="502" t="n">
        <f aca="false">SUM(BM63:BT63)</f>
        <v>0</v>
      </c>
      <c r="BM63" s="502" t="n">
        <f aca="false">IF($D63="是",AD63-AE63,0)</f>
        <v>0</v>
      </c>
      <c r="BN63" s="502" t="n">
        <f aca="false">IF($D63="是",AF63-AG63,0)</f>
        <v>0</v>
      </c>
      <c r="BO63" s="502" t="n">
        <f aca="false">IF($D63="是",AH63-AI63,0)</f>
        <v>0</v>
      </c>
      <c r="BP63" s="502" t="n">
        <f aca="false">IF($D63="是",AJ63-AK63,0)</f>
        <v>0</v>
      </c>
      <c r="BQ63" s="502" t="n">
        <f aca="false">IF($D63="是",AL63-AM63,0)</f>
        <v>0</v>
      </c>
      <c r="BR63" s="502" t="n">
        <f aca="false">IF($D63="是",AN63-AO63,0)</f>
        <v>0</v>
      </c>
      <c r="BS63" s="502" t="n">
        <f aca="false">IF($D63="是",AP63-AQ63,0)</f>
        <v>0</v>
      </c>
      <c r="BT63" s="512" t="n">
        <f aca="false">IF($D63="是",AR63-AS63,0)</f>
        <v>0</v>
      </c>
    </row>
    <row r="64" customFormat="false" ht="14.25" hidden="false" customHeight="false" outlineLevel="0" collapsed="false">
      <c r="A64" s="499"/>
      <c r="B64" s="500"/>
      <c r="C64" s="500"/>
      <c r="D64" s="501"/>
      <c r="E64" s="502" t="n">
        <f aca="false">IF($C$3="是",ROUND($A$3*G64/$B$3,2),ROUND($A$3*(G64-AT64)/$B$3,2))</f>
        <v>0</v>
      </c>
      <c r="F64" s="503"/>
      <c r="G64" s="504" t="n">
        <f aca="false">H64+AC64+AT64</f>
        <v>0</v>
      </c>
      <c r="H64" s="505" t="n">
        <f aca="false">SUMIF(I$12:AB$12,"总值",I64:AB64)</f>
        <v>0</v>
      </c>
      <c r="I64" s="506"/>
      <c r="J64" s="506"/>
      <c r="K64" s="506"/>
      <c r="L64" s="506"/>
      <c r="M64" s="506"/>
      <c r="N64" s="506"/>
      <c r="O64" s="506"/>
      <c r="P64" s="506"/>
      <c r="Q64" s="506"/>
      <c r="R64" s="506"/>
      <c r="S64" s="506"/>
      <c r="T64" s="506"/>
      <c r="U64" s="506"/>
      <c r="V64" s="506"/>
      <c r="W64" s="506"/>
      <c r="X64" s="506"/>
      <c r="Y64" s="506"/>
      <c r="Z64" s="506"/>
      <c r="AA64" s="506"/>
      <c r="AB64" s="506"/>
      <c r="AC64" s="502" t="n">
        <f aca="false">SUMIF(AD$12:AS$12,"总值",AD64:AS64)</f>
        <v>0</v>
      </c>
      <c r="AD64" s="507"/>
      <c r="AE64" s="507"/>
      <c r="AF64" s="507"/>
      <c r="AG64" s="507"/>
      <c r="AH64" s="507"/>
      <c r="AI64" s="507"/>
      <c r="AJ64" s="507"/>
      <c r="AK64" s="507"/>
      <c r="AL64" s="507"/>
      <c r="AM64" s="507"/>
      <c r="AN64" s="507"/>
      <c r="AO64" s="507"/>
      <c r="AP64" s="507"/>
      <c r="AQ64" s="507"/>
      <c r="AR64" s="507"/>
      <c r="AS64" s="507"/>
      <c r="AT64" s="508"/>
      <c r="AU64" s="509"/>
      <c r="AV64" s="510" t="n">
        <f aca="false">A64</f>
        <v>0</v>
      </c>
      <c r="AW64" s="510" t="n">
        <f aca="false">B64</f>
        <v>0</v>
      </c>
      <c r="AX64" s="510" t="n">
        <f aca="false">C64</f>
        <v>0</v>
      </c>
      <c r="AY64" s="511" t="n">
        <f aca="false">ROUND($AY$6*AZ64/$AZ$5,2)</f>
        <v>0</v>
      </c>
      <c r="AZ64" s="502" t="n">
        <f aca="false">BA64+BL64</f>
        <v>0</v>
      </c>
      <c r="BA64" s="502" t="n">
        <f aca="false">SUM(BB64:BK64)</f>
        <v>0</v>
      </c>
      <c r="BB64" s="502" t="n">
        <f aca="false">IF($D64="是",I64-J64,0)</f>
        <v>0</v>
      </c>
      <c r="BC64" s="502" t="n">
        <f aca="false">IF($D64="是",K64-L64,0)</f>
        <v>0</v>
      </c>
      <c r="BD64" s="502" t="n">
        <f aca="false">IF($D64="是",M64-N64,0)</f>
        <v>0</v>
      </c>
      <c r="BE64" s="502" t="n">
        <f aca="false">IF($D64="是",O64-P64,0)</f>
        <v>0</v>
      </c>
      <c r="BF64" s="502" t="n">
        <f aca="false">IF($D64="是",Q64-R64,0)</f>
        <v>0</v>
      </c>
      <c r="BG64" s="502" t="n">
        <f aca="false">IF($D64="是",S64-T64,0)</f>
        <v>0</v>
      </c>
      <c r="BH64" s="502" t="n">
        <f aca="false">IF($D64="是",U64-V64,0)</f>
        <v>0</v>
      </c>
      <c r="BI64" s="502" t="n">
        <f aca="false">IF($D64="是",W64-X64,0)</f>
        <v>0</v>
      </c>
      <c r="BJ64" s="502" t="n">
        <f aca="false">IF($D64="是",Y64-Z64,0)</f>
        <v>0</v>
      </c>
      <c r="BK64" s="502" t="n">
        <f aca="false">IF($D64="是",AA64-AB64,0)</f>
        <v>0</v>
      </c>
      <c r="BL64" s="502" t="n">
        <f aca="false">SUM(BM64:BT64)</f>
        <v>0</v>
      </c>
      <c r="BM64" s="502" t="n">
        <f aca="false">IF($D64="是",AD64-AE64,0)</f>
        <v>0</v>
      </c>
      <c r="BN64" s="502" t="n">
        <f aca="false">IF($D64="是",AF64-AG64,0)</f>
        <v>0</v>
      </c>
      <c r="BO64" s="502" t="n">
        <f aca="false">IF($D64="是",AH64-AI64,0)</f>
        <v>0</v>
      </c>
      <c r="BP64" s="502" t="n">
        <f aca="false">IF($D64="是",AJ64-AK64,0)</f>
        <v>0</v>
      </c>
      <c r="BQ64" s="502" t="n">
        <f aca="false">IF($D64="是",AL64-AM64,0)</f>
        <v>0</v>
      </c>
      <c r="BR64" s="502" t="n">
        <f aca="false">IF($D64="是",AN64-AO64,0)</f>
        <v>0</v>
      </c>
      <c r="BS64" s="502" t="n">
        <f aca="false">IF($D64="是",AP64-AQ64,0)</f>
        <v>0</v>
      </c>
      <c r="BT64" s="512" t="n">
        <f aca="false">IF($D64="是",AR64-AS64,0)</f>
        <v>0</v>
      </c>
    </row>
    <row r="65" customFormat="false" ht="14.25" hidden="false" customHeight="false" outlineLevel="0" collapsed="false">
      <c r="A65" s="499"/>
      <c r="B65" s="500"/>
      <c r="C65" s="500"/>
      <c r="D65" s="501"/>
      <c r="E65" s="502" t="n">
        <f aca="false">IF($C$3="是",ROUND($A$3*G65/$B$3,2),ROUND($A$3*(G65-AT65)/$B$3,2))</f>
        <v>0</v>
      </c>
      <c r="F65" s="503"/>
      <c r="G65" s="504" t="n">
        <f aca="false">H65+AC65+AT65</f>
        <v>0</v>
      </c>
      <c r="H65" s="505" t="n">
        <f aca="false">SUMIF(I$12:AB$12,"总值",I65:AB65)</f>
        <v>0</v>
      </c>
      <c r="I65" s="506"/>
      <c r="J65" s="506"/>
      <c r="K65" s="506"/>
      <c r="L65" s="506"/>
      <c r="M65" s="506"/>
      <c r="N65" s="506"/>
      <c r="O65" s="506"/>
      <c r="P65" s="506"/>
      <c r="Q65" s="506"/>
      <c r="R65" s="506"/>
      <c r="S65" s="506"/>
      <c r="T65" s="506"/>
      <c r="U65" s="506"/>
      <c r="V65" s="506"/>
      <c r="W65" s="506"/>
      <c r="X65" s="506"/>
      <c r="Y65" s="506"/>
      <c r="Z65" s="506"/>
      <c r="AA65" s="506"/>
      <c r="AB65" s="506"/>
      <c r="AC65" s="502" t="n">
        <f aca="false">SUMIF(AD$12:AS$12,"总值",AD65:AS65)</f>
        <v>0</v>
      </c>
      <c r="AD65" s="507"/>
      <c r="AE65" s="507"/>
      <c r="AF65" s="507"/>
      <c r="AG65" s="507"/>
      <c r="AH65" s="507"/>
      <c r="AI65" s="507"/>
      <c r="AJ65" s="507"/>
      <c r="AK65" s="507"/>
      <c r="AL65" s="507"/>
      <c r="AM65" s="507"/>
      <c r="AN65" s="507"/>
      <c r="AO65" s="507"/>
      <c r="AP65" s="507"/>
      <c r="AQ65" s="507"/>
      <c r="AR65" s="507"/>
      <c r="AS65" s="507"/>
      <c r="AT65" s="508"/>
      <c r="AU65" s="509"/>
      <c r="AV65" s="510" t="n">
        <f aca="false">A65</f>
        <v>0</v>
      </c>
      <c r="AW65" s="510" t="n">
        <f aca="false">B65</f>
        <v>0</v>
      </c>
      <c r="AX65" s="510" t="n">
        <f aca="false">C65</f>
        <v>0</v>
      </c>
      <c r="AY65" s="511" t="n">
        <f aca="false">ROUND($AY$6*AZ65/$AZ$5,2)</f>
        <v>0</v>
      </c>
      <c r="AZ65" s="502" t="n">
        <f aca="false">BA65+BL65</f>
        <v>0</v>
      </c>
      <c r="BA65" s="502" t="n">
        <f aca="false">SUM(BB65:BK65)</f>
        <v>0</v>
      </c>
      <c r="BB65" s="502" t="n">
        <f aca="false">IF($D65="是",I65-J65,0)</f>
        <v>0</v>
      </c>
      <c r="BC65" s="502" t="n">
        <f aca="false">IF($D65="是",K65-L65,0)</f>
        <v>0</v>
      </c>
      <c r="BD65" s="502" t="n">
        <f aca="false">IF($D65="是",M65-N65,0)</f>
        <v>0</v>
      </c>
      <c r="BE65" s="502" t="n">
        <f aca="false">IF($D65="是",O65-P65,0)</f>
        <v>0</v>
      </c>
      <c r="BF65" s="502" t="n">
        <f aca="false">IF($D65="是",Q65-R65,0)</f>
        <v>0</v>
      </c>
      <c r="BG65" s="502" t="n">
        <f aca="false">IF($D65="是",S65-T65,0)</f>
        <v>0</v>
      </c>
      <c r="BH65" s="502" t="n">
        <f aca="false">IF($D65="是",U65-V65,0)</f>
        <v>0</v>
      </c>
      <c r="BI65" s="502" t="n">
        <f aca="false">IF($D65="是",W65-X65,0)</f>
        <v>0</v>
      </c>
      <c r="BJ65" s="502" t="n">
        <f aca="false">IF($D65="是",Y65-Z65,0)</f>
        <v>0</v>
      </c>
      <c r="BK65" s="502" t="n">
        <f aca="false">IF($D65="是",AA65-AB65,0)</f>
        <v>0</v>
      </c>
      <c r="BL65" s="502" t="n">
        <f aca="false">SUM(BM65:BT65)</f>
        <v>0</v>
      </c>
      <c r="BM65" s="502" t="n">
        <f aca="false">IF($D65="是",AD65-AE65,0)</f>
        <v>0</v>
      </c>
      <c r="BN65" s="502" t="n">
        <f aca="false">IF($D65="是",AF65-AG65,0)</f>
        <v>0</v>
      </c>
      <c r="BO65" s="502" t="n">
        <f aca="false">IF($D65="是",AH65-AI65,0)</f>
        <v>0</v>
      </c>
      <c r="BP65" s="502" t="n">
        <f aca="false">IF($D65="是",AJ65-AK65,0)</f>
        <v>0</v>
      </c>
      <c r="BQ65" s="502" t="n">
        <f aca="false">IF($D65="是",AL65-AM65,0)</f>
        <v>0</v>
      </c>
      <c r="BR65" s="502" t="n">
        <f aca="false">IF($D65="是",AN65-AO65,0)</f>
        <v>0</v>
      </c>
      <c r="BS65" s="502" t="n">
        <f aca="false">IF($D65="是",AP65-AQ65,0)</f>
        <v>0</v>
      </c>
      <c r="BT65" s="512" t="n">
        <f aca="false">IF($D65="是",AR65-AS65,0)</f>
        <v>0</v>
      </c>
    </row>
    <row r="66" customFormat="false" ht="14.25" hidden="false" customHeight="false" outlineLevel="0" collapsed="false">
      <c r="A66" s="499"/>
      <c r="B66" s="500"/>
      <c r="C66" s="500"/>
      <c r="D66" s="501"/>
      <c r="E66" s="502" t="n">
        <f aca="false">IF($C$3="是",ROUND($A$3*G66/$B$3,2),ROUND($A$3*(G66-AT66)/$B$3,2))</f>
        <v>0</v>
      </c>
      <c r="F66" s="503"/>
      <c r="G66" s="504" t="n">
        <f aca="false">H66+AC66+AT66</f>
        <v>0</v>
      </c>
      <c r="H66" s="505" t="n">
        <f aca="false">SUMIF(I$12:AB$12,"总值",I66:AB66)</f>
        <v>0</v>
      </c>
      <c r="I66" s="506"/>
      <c r="J66" s="506"/>
      <c r="K66" s="506"/>
      <c r="L66" s="506"/>
      <c r="M66" s="506"/>
      <c r="N66" s="506"/>
      <c r="O66" s="506"/>
      <c r="P66" s="506"/>
      <c r="Q66" s="506"/>
      <c r="R66" s="506"/>
      <c r="S66" s="506"/>
      <c r="T66" s="506"/>
      <c r="U66" s="506"/>
      <c r="V66" s="506"/>
      <c r="W66" s="506"/>
      <c r="X66" s="506"/>
      <c r="Y66" s="506"/>
      <c r="Z66" s="506"/>
      <c r="AA66" s="506"/>
      <c r="AB66" s="506"/>
      <c r="AC66" s="502" t="n">
        <f aca="false">SUMIF(AD$12:AS$12,"总值",AD66:AS66)</f>
        <v>0</v>
      </c>
      <c r="AD66" s="507"/>
      <c r="AE66" s="507"/>
      <c r="AF66" s="507"/>
      <c r="AG66" s="507"/>
      <c r="AH66" s="507"/>
      <c r="AI66" s="507"/>
      <c r="AJ66" s="507"/>
      <c r="AK66" s="507"/>
      <c r="AL66" s="507"/>
      <c r="AM66" s="507"/>
      <c r="AN66" s="507"/>
      <c r="AO66" s="507"/>
      <c r="AP66" s="507"/>
      <c r="AQ66" s="507"/>
      <c r="AR66" s="507"/>
      <c r="AS66" s="507"/>
      <c r="AT66" s="508"/>
      <c r="AU66" s="509"/>
      <c r="AV66" s="510" t="n">
        <f aca="false">A66</f>
        <v>0</v>
      </c>
      <c r="AW66" s="510" t="n">
        <f aca="false">B66</f>
        <v>0</v>
      </c>
      <c r="AX66" s="510" t="n">
        <f aca="false">C66</f>
        <v>0</v>
      </c>
      <c r="AY66" s="511" t="n">
        <f aca="false">ROUND($AY$6*AZ66/$AZ$5,2)</f>
        <v>0</v>
      </c>
      <c r="AZ66" s="502" t="n">
        <f aca="false">BA66+BL66</f>
        <v>0</v>
      </c>
      <c r="BA66" s="502" t="n">
        <f aca="false">SUM(BB66:BK66)</f>
        <v>0</v>
      </c>
      <c r="BB66" s="502" t="n">
        <f aca="false">IF($D66="是",I66-J66,0)</f>
        <v>0</v>
      </c>
      <c r="BC66" s="502" t="n">
        <f aca="false">IF($D66="是",K66-L66,0)</f>
        <v>0</v>
      </c>
      <c r="BD66" s="502" t="n">
        <f aca="false">IF($D66="是",M66-N66,0)</f>
        <v>0</v>
      </c>
      <c r="BE66" s="502" t="n">
        <f aca="false">IF($D66="是",O66-P66,0)</f>
        <v>0</v>
      </c>
      <c r="BF66" s="502" t="n">
        <f aca="false">IF($D66="是",Q66-R66,0)</f>
        <v>0</v>
      </c>
      <c r="BG66" s="502" t="n">
        <f aca="false">IF($D66="是",S66-T66,0)</f>
        <v>0</v>
      </c>
      <c r="BH66" s="502" t="n">
        <f aca="false">IF($D66="是",U66-V66,0)</f>
        <v>0</v>
      </c>
      <c r="BI66" s="502" t="n">
        <f aca="false">IF($D66="是",W66-X66,0)</f>
        <v>0</v>
      </c>
      <c r="BJ66" s="502" t="n">
        <f aca="false">IF($D66="是",Y66-Z66,0)</f>
        <v>0</v>
      </c>
      <c r="BK66" s="502" t="n">
        <f aca="false">IF($D66="是",AA66-AB66,0)</f>
        <v>0</v>
      </c>
      <c r="BL66" s="502" t="n">
        <f aca="false">SUM(BM66:BT66)</f>
        <v>0</v>
      </c>
      <c r="BM66" s="502" t="n">
        <f aca="false">IF($D66="是",AD66-AE66,0)</f>
        <v>0</v>
      </c>
      <c r="BN66" s="502" t="n">
        <f aca="false">IF($D66="是",AF66-AG66,0)</f>
        <v>0</v>
      </c>
      <c r="BO66" s="502" t="n">
        <f aca="false">IF($D66="是",AH66-AI66,0)</f>
        <v>0</v>
      </c>
      <c r="BP66" s="502" t="n">
        <f aca="false">IF($D66="是",AJ66-AK66,0)</f>
        <v>0</v>
      </c>
      <c r="BQ66" s="502" t="n">
        <f aca="false">IF($D66="是",AL66-AM66,0)</f>
        <v>0</v>
      </c>
      <c r="BR66" s="502" t="n">
        <f aca="false">IF($D66="是",AN66-AO66,0)</f>
        <v>0</v>
      </c>
      <c r="BS66" s="502" t="n">
        <f aca="false">IF($D66="是",AP66-AQ66,0)</f>
        <v>0</v>
      </c>
      <c r="BT66" s="512" t="n">
        <f aca="false">IF($D66="是",AR66-AS66,0)</f>
        <v>0</v>
      </c>
    </row>
    <row r="67" customFormat="false" ht="14.25" hidden="false" customHeight="false" outlineLevel="0" collapsed="false">
      <c r="A67" s="499"/>
      <c r="B67" s="500"/>
      <c r="C67" s="500"/>
      <c r="D67" s="501"/>
      <c r="E67" s="502" t="n">
        <f aca="false">IF($C$3="是",ROUND($A$3*G67/$B$3,2),ROUND($A$3*(G67-AT67)/$B$3,2))</f>
        <v>0</v>
      </c>
      <c r="F67" s="503"/>
      <c r="G67" s="504" t="n">
        <f aca="false">H67+AC67+AT67</f>
        <v>0</v>
      </c>
      <c r="H67" s="505" t="n">
        <f aca="false">SUMIF(I$12:AB$12,"总值",I67:AB67)</f>
        <v>0</v>
      </c>
      <c r="I67" s="506"/>
      <c r="J67" s="506"/>
      <c r="K67" s="506"/>
      <c r="L67" s="506"/>
      <c r="M67" s="506"/>
      <c r="N67" s="506"/>
      <c r="O67" s="506"/>
      <c r="P67" s="506"/>
      <c r="Q67" s="506"/>
      <c r="R67" s="506"/>
      <c r="S67" s="506"/>
      <c r="T67" s="506"/>
      <c r="U67" s="506"/>
      <c r="V67" s="506"/>
      <c r="W67" s="506"/>
      <c r="X67" s="506"/>
      <c r="Y67" s="506"/>
      <c r="Z67" s="506"/>
      <c r="AA67" s="506"/>
      <c r="AB67" s="506"/>
      <c r="AC67" s="502" t="n">
        <f aca="false">SUMIF(AD$12:AS$12,"总值",AD67:AS67)</f>
        <v>0</v>
      </c>
      <c r="AD67" s="507"/>
      <c r="AE67" s="507"/>
      <c r="AF67" s="507"/>
      <c r="AG67" s="507"/>
      <c r="AH67" s="507"/>
      <c r="AI67" s="507"/>
      <c r="AJ67" s="507"/>
      <c r="AK67" s="507"/>
      <c r="AL67" s="507"/>
      <c r="AM67" s="507"/>
      <c r="AN67" s="507"/>
      <c r="AO67" s="507"/>
      <c r="AP67" s="507"/>
      <c r="AQ67" s="507"/>
      <c r="AR67" s="507"/>
      <c r="AS67" s="507"/>
      <c r="AT67" s="508"/>
      <c r="AU67" s="509"/>
      <c r="AV67" s="510" t="n">
        <f aca="false">A67</f>
        <v>0</v>
      </c>
      <c r="AW67" s="510" t="n">
        <f aca="false">B67</f>
        <v>0</v>
      </c>
      <c r="AX67" s="510" t="n">
        <f aca="false">C67</f>
        <v>0</v>
      </c>
      <c r="AY67" s="511" t="n">
        <f aca="false">ROUND($AY$6*AZ67/$AZ$5,2)</f>
        <v>0</v>
      </c>
      <c r="AZ67" s="502" t="n">
        <f aca="false">BA67+BL67</f>
        <v>0</v>
      </c>
      <c r="BA67" s="502" t="n">
        <f aca="false">SUM(BB67:BK67)</f>
        <v>0</v>
      </c>
      <c r="BB67" s="502" t="n">
        <f aca="false">IF($D67="是",I67-J67,0)</f>
        <v>0</v>
      </c>
      <c r="BC67" s="502" t="n">
        <f aca="false">IF($D67="是",K67-L67,0)</f>
        <v>0</v>
      </c>
      <c r="BD67" s="502" t="n">
        <f aca="false">IF($D67="是",M67-N67,0)</f>
        <v>0</v>
      </c>
      <c r="BE67" s="502" t="n">
        <f aca="false">IF($D67="是",O67-P67,0)</f>
        <v>0</v>
      </c>
      <c r="BF67" s="502" t="n">
        <f aca="false">IF($D67="是",Q67-R67,0)</f>
        <v>0</v>
      </c>
      <c r="BG67" s="502" t="n">
        <f aca="false">IF($D67="是",S67-T67,0)</f>
        <v>0</v>
      </c>
      <c r="BH67" s="502" t="n">
        <f aca="false">IF($D67="是",U67-V67,0)</f>
        <v>0</v>
      </c>
      <c r="BI67" s="502" t="n">
        <f aca="false">IF($D67="是",W67-X67,0)</f>
        <v>0</v>
      </c>
      <c r="BJ67" s="502" t="n">
        <f aca="false">IF($D67="是",Y67-Z67,0)</f>
        <v>0</v>
      </c>
      <c r="BK67" s="502" t="n">
        <f aca="false">IF($D67="是",AA67-AB67,0)</f>
        <v>0</v>
      </c>
      <c r="BL67" s="502" t="n">
        <f aca="false">SUM(BM67:BT67)</f>
        <v>0</v>
      </c>
      <c r="BM67" s="502" t="n">
        <f aca="false">IF($D67="是",AD67-AE67,0)</f>
        <v>0</v>
      </c>
      <c r="BN67" s="502" t="n">
        <f aca="false">IF($D67="是",AF67-AG67,0)</f>
        <v>0</v>
      </c>
      <c r="BO67" s="502" t="n">
        <f aca="false">IF($D67="是",AH67-AI67,0)</f>
        <v>0</v>
      </c>
      <c r="BP67" s="502" t="n">
        <f aca="false">IF($D67="是",AJ67-AK67,0)</f>
        <v>0</v>
      </c>
      <c r="BQ67" s="502" t="n">
        <f aca="false">IF($D67="是",AL67-AM67,0)</f>
        <v>0</v>
      </c>
      <c r="BR67" s="502" t="n">
        <f aca="false">IF($D67="是",AN67-AO67,0)</f>
        <v>0</v>
      </c>
      <c r="BS67" s="502" t="n">
        <f aca="false">IF($D67="是",AP67-AQ67,0)</f>
        <v>0</v>
      </c>
      <c r="BT67" s="512" t="n">
        <f aca="false">IF($D67="是",AR67-AS67,0)</f>
        <v>0</v>
      </c>
    </row>
    <row r="68" customFormat="false" ht="14.25" hidden="false" customHeight="false" outlineLevel="0" collapsed="false">
      <c r="A68" s="499"/>
      <c r="B68" s="500"/>
      <c r="C68" s="500"/>
      <c r="D68" s="501"/>
      <c r="E68" s="502" t="n">
        <f aca="false">IF($C$3="是",ROUND($A$3*G68/$B$3,2),ROUND($A$3*(G68-AT68)/$B$3,2))</f>
        <v>0</v>
      </c>
      <c r="F68" s="503"/>
      <c r="G68" s="504" t="n">
        <f aca="false">H68+AC68+AT68</f>
        <v>0</v>
      </c>
      <c r="H68" s="505" t="n">
        <f aca="false">SUMIF(I$12:AB$12,"总值",I68:AB68)</f>
        <v>0</v>
      </c>
      <c r="I68" s="506"/>
      <c r="J68" s="506"/>
      <c r="K68" s="506"/>
      <c r="L68" s="506"/>
      <c r="M68" s="506"/>
      <c r="N68" s="506"/>
      <c r="O68" s="506"/>
      <c r="P68" s="506"/>
      <c r="Q68" s="506"/>
      <c r="R68" s="506"/>
      <c r="S68" s="506"/>
      <c r="T68" s="506"/>
      <c r="U68" s="506"/>
      <c r="V68" s="506"/>
      <c r="W68" s="506"/>
      <c r="X68" s="506"/>
      <c r="Y68" s="506"/>
      <c r="Z68" s="506"/>
      <c r="AA68" s="506"/>
      <c r="AB68" s="506"/>
      <c r="AC68" s="502" t="n">
        <f aca="false">SUMIF(AD$12:AS$12,"总值",AD68:AS68)</f>
        <v>0</v>
      </c>
      <c r="AD68" s="507"/>
      <c r="AE68" s="507"/>
      <c r="AF68" s="507"/>
      <c r="AG68" s="507"/>
      <c r="AH68" s="507"/>
      <c r="AI68" s="507"/>
      <c r="AJ68" s="507"/>
      <c r="AK68" s="507"/>
      <c r="AL68" s="507"/>
      <c r="AM68" s="507"/>
      <c r="AN68" s="507"/>
      <c r="AO68" s="507"/>
      <c r="AP68" s="507"/>
      <c r="AQ68" s="507"/>
      <c r="AR68" s="507"/>
      <c r="AS68" s="507"/>
      <c r="AT68" s="508"/>
      <c r="AU68" s="509"/>
      <c r="AV68" s="510" t="n">
        <f aca="false">A68</f>
        <v>0</v>
      </c>
      <c r="AW68" s="510" t="n">
        <f aca="false">B68</f>
        <v>0</v>
      </c>
      <c r="AX68" s="510" t="n">
        <f aca="false">C68</f>
        <v>0</v>
      </c>
      <c r="AY68" s="511" t="n">
        <f aca="false">ROUND($AY$6*AZ68/$AZ$5,2)</f>
        <v>0</v>
      </c>
      <c r="AZ68" s="502" t="n">
        <f aca="false">BA68+BL68</f>
        <v>0</v>
      </c>
      <c r="BA68" s="502" t="n">
        <f aca="false">SUM(BB68:BK68)</f>
        <v>0</v>
      </c>
      <c r="BB68" s="502" t="n">
        <f aca="false">IF($D68="是",I68-J68,0)</f>
        <v>0</v>
      </c>
      <c r="BC68" s="502" t="n">
        <f aca="false">IF($D68="是",K68-L68,0)</f>
        <v>0</v>
      </c>
      <c r="BD68" s="502" t="n">
        <f aca="false">IF($D68="是",M68-N68,0)</f>
        <v>0</v>
      </c>
      <c r="BE68" s="502" t="n">
        <f aca="false">IF($D68="是",O68-P68,0)</f>
        <v>0</v>
      </c>
      <c r="BF68" s="502" t="n">
        <f aca="false">IF($D68="是",Q68-R68,0)</f>
        <v>0</v>
      </c>
      <c r="BG68" s="502" t="n">
        <f aca="false">IF($D68="是",S68-T68,0)</f>
        <v>0</v>
      </c>
      <c r="BH68" s="502" t="n">
        <f aca="false">IF($D68="是",U68-V68,0)</f>
        <v>0</v>
      </c>
      <c r="BI68" s="502" t="n">
        <f aca="false">IF($D68="是",W68-X68,0)</f>
        <v>0</v>
      </c>
      <c r="BJ68" s="502" t="n">
        <f aca="false">IF($D68="是",Y68-Z68,0)</f>
        <v>0</v>
      </c>
      <c r="BK68" s="502" t="n">
        <f aca="false">IF($D68="是",AA68-AB68,0)</f>
        <v>0</v>
      </c>
      <c r="BL68" s="502" t="n">
        <f aca="false">SUM(BM68:BT68)</f>
        <v>0</v>
      </c>
      <c r="BM68" s="502" t="n">
        <f aca="false">IF($D68="是",AD68-AE68,0)</f>
        <v>0</v>
      </c>
      <c r="BN68" s="502" t="n">
        <f aca="false">IF($D68="是",AF68-AG68,0)</f>
        <v>0</v>
      </c>
      <c r="BO68" s="502" t="n">
        <f aca="false">IF($D68="是",AH68-AI68,0)</f>
        <v>0</v>
      </c>
      <c r="BP68" s="502" t="n">
        <f aca="false">IF($D68="是",AJ68-AK68,0)</f>
        <v>0</v>
      </c>
      <c r="BQ68" s="502" t="n">
        <f aca="false">IF($D68="是",AL68-AM68,0)</f>
        <v>0</v>
      </c>
      <c r="BR68" s="502" t="n">
        <f aca="false">IF($D68="是",AN68-AO68,0)</f>
        <v>0</v>
      </c>
      <c r="BS68" s="502" t="n">
        <f aca="false">IF($D68="是",AP68-AQ68,0)</f>
        <v>0</v>
      </c>
      <c r="BT68" s="512" t="n">
        <f aca="false">IF($D68="是",AR68-AS68,0)</f>
        <v>0</v>
      </c>
    </row>
    <row r="69" customFormat="false" ht="14.25" hidden="false" customHeight="false" outlineLevel="0" collapsed="false">
      <c r="A69" s="499"/>
      <c r="B69" s="500"/>
      <c r="C69" s="500"/>
      <c r="D69" s="501"/>
      <c r="E69" s="502" t="n">
        <f aca="false">IF($C$3="是",ROUND($A$3*G69/$B$3,2),ROUND($A$3*(G69-AT69)/$B$3,2))</f>
        <v>0</v>
      </c>
      <c r="F69" s="503"/>
      <c r="G69" s="504" t="n">
        <f aca="false">H69+AC69+AT69</f>
        <v>0</v>
      </c>
      <c r="H69" s="505" t="n">
        <f aca="false">SUMIF(I$12:AB$12,"总值",I69:AB69)</f>
        <v>0</v>
      </c>
      <c r="I69" s="506"/>
      <c r="J69" s="506"/>
      <c r="K69" s="506"/>
      <c r="L69" s="506"/>
      <c r="M69" s="506"/>
      <c r="N69" s="506"/>
      <c r="O69" s="506"/>
      <c r="P69" s="506"/>
      <c r="Q69" s="506"/>
      <c r="R69" s="506"/>
      <c r="S69" s="506"/>
      <c r="T69" s="506"/>
      <c r="U69" s="506"/>
      <c r="V69" s="506"/>
      <c r="W69" s="506"/>
      <c r="X69" s="506"/>
      <c r="Y69" s="506"/>
      <c r="Z69" s="506"/>
      <c r="AA69" s="506"/>
      <c r="AB69" s="506"/>
      <c r="AC69" s="502" t="n">
        <f aca="false">SUMIF(AD$12:AS$12,"总值",AD69:AS69)</f>
        <v>0</v>
      </c>
      <c r="AD69" s="507"/>
      <c r="AE69" s="507"/>
      <c r="AF69" s="507"/>
      <c r="AG69" s="507"/>
      <c r="AH69" s="507"/>
      <c r="AI69" s="507"/>
      <c r="AJ69" s="507"/>
      <c r="AK69" s="507"/>
      <c r="AL69" s="507"/>
      <c r="AM69" s="507"/>
      <c r="AN69" s="507"/>
      <c r="AO69" s="507"/>
      <c r="AP69" s="507"/>
      <c r="AQ69" s="507"/>
      <c r="AR69" s="507"/>
      <c r="AS69" s="507"/>
      <c r="AT69" s="508"/>
      <c r="AU69" s="509"/>
      <c r="AV69" s="510" t="n">
        <f aca="false">A69</f>
        <v>0</v>
      </c>
      <c r="AW69" s="510" t="n">
        <f aca="false">B69</f>
        <v>0</v>
      </c>
      <c r="AX69" s="510" t="n">
        <f aca="false">C69</f>
        <v>0</v>
      </c>
      <c r="AY69" s="511" t="n">
        <f aca="false">ROUND($AY$6*AZ69/$AZ$5,2)</f>
        <v>0</v>
      </c>
      <c r="AZ69" s="502" t="n">
        <f aca="false">BA69+BL69</f>
        <v>0</v>
      </c>
      <c r="BA69" s="502" t="n">
        <f aca="false">SUM(BB69:BK69)</f>
        <v>0</v>
      </c>
      <c r="BB69" s="502" t="n">
        <f aca="false">IF($D69="是",I69-J69,0)</f>
        <v>0</v>
      </c>
      <c r="BC69" s="502" t="n">
        <f aca="false">IF($D69="是",K69-L69,0)</f>
        <v>0</v>
      </c>
      <c r="BD69" s="502" t="n">
        <f aca="false">IF($D69="是",M69-N69,0)</f>
        <v>0</v>
      </c>
      <c r="BE69" s="502" t="n">
        <f aca="false">IF($D69="是",O69-P69,0)</f>
        <v>0</v>
      </c>
      <c r="BF69" s="502" t="n">
        <f aca="false">IF($D69="是",Q69-R69,0)</f>
        <v>0</v>
      </c>
      <c r="BG69" s="502" t="n">
        <f aca="false">IF($D69="是",S69-T69,0)</f>
        <v>0</v>
      </c>
      <c r="BH69" s="502" t="n">
        <f aca="false">IF($D69="是",U69-V69,0)</f>
        <v>0</v>
      </c>
      <c r="BI69" s="502" t="n">
        <f aca="false">IF($D69="是",W69-X69,0)</f>
        <v>0</v>
      </c>
      <c r="BJ69" s="502" t="n">
        <f aca="false">IF($D69="是",Y69-Z69,0)</f>
        <v>0</v>
      </c>
      <c r="BK69" s="502" t="n">
        <f aca="false">IF($D69="是",AA69-AB69,0)</f>
        <v>0</v>
      </c>
      <c r="BL69" s="502" t="n">
        <f aca="false">SUM(BM69:BT69)</f>
        <v>0</v>
      </c>
      <c r="BM69" s="502" t="n">
        <f aca="false">IF($D69="是",AD69-AE69,0)</f>
        <v>0</v>
      </c>
      <c r="BN69" s="502" t="n">
        <f aca="false">IF($D69="是",AF69-AG69,0)</f>
        <v>0</v>
      </c>
      <c r="BO69" s="502" t="n">
        <f aca="false">IF($D69="是",AH69-AI69,0)</f>
        <v>0</v>
      </c>
      <c r="BP69" s="502" t="n">
        <f aca="false">IF($D69="是",AJ69-AK69,0)</f>
        <v>0</v>
      </c>
      <c r="BQ69" s="502" t="n">
        <f aca="false">IF($D69="是",AL69-AM69,0)</f>
        <v>0</v>
      </c>
      <c r="BR69" s="502" t="n">
        <f aca="false">IF($D69="是",AN69-AO69,0)</f>
        <v>0</v>
      </c>
      <c r="BS69" s="502" t="n">
        <f aca="false">IF($D69="是",AP69-AQ69,0)</f>
        <v>0</v>
      </c>
      <c r="BT69" s="512" t="n">
        <f aca="false">IF($D69="是",AR69-AS69,0)</f>
        <v>0</v>
      </c>
    </row>
    <row r="70" customFormat="false" ht="14.25" hidden="false" customHeight="false" outlineLevel="0" collapsed="false">
      <c r="A70" s="499"/>
      <c r="B70" s="500"/>
      <c r="C70" s="500"/>
      <c r="D70" s="501"/>
      <c r="E70" s="502" t="n">
        <f aca="false">IF($C$3="是",ROUND($A$3*G70/$B$3,2),ROUND($A$3*(G70-AT70)/$B$3,2))</f>
        <v>0</v>
      </c>
      <c r="F70" s="503"/>
      <c r="G70" s="504" t="n">
        <f aca="false">H70+AC70+AT70</f>
        <v>0</v>
      </c>
      <c r="H70" s="505" t="n">
        <f aca="false">SUMIF(I$12:AB$12,"总值",I70:AB70)</f>
        <v>0</v>
      </c>
      <c r="I70" s="506"/>
      <c r="J70" s="506"/>
      <c r="K70" s="506"/>
      <c r="L70" s="506"/>
      <c r="M70" s="506"/>
      <c r="N70" s="506"/>
      <c r="O70" s="506"/>
      <c r="P70" s="506"/>
      <c r="Q70" s="506"/>
      <c r="R70" s="506"/>
      <c r="S70" s="506"/>
      <c r="T70" s="506"/>
      <c r="U70" s="506"/>
      <c r="V70" s="506"/>
      <c r="W70" s="506"/>
      <c r="X70" s="506"/>
      <c r="Y70" s="506"/>
      <c r="Z70" s="506"/>
      <c r="AA70" s="506"/>
      <c r="AB70" s="506"/>
      <c r="AC70" s="502" t="n">
        <f aca="false">SUMIF(AD$12:AS$12,"总值",AD70:AS70)</f>
        <v>0</v>
      </c>
      <c r="AD70" s="507"/>
      <c r="AE70" s="507"/>
      <c r="AF70" s="507"/>
      <c r="AG70" s="507"/>
      <c r="AH70" s="507"/>
      <c r="AI70" s="507"/>
      <c r="AJ70" s="507"/>
      <c r="AK70" s="507"/>
      <c r="AL70" s="507"/>
      <c r="AM70" s="507"/>
      <c r="AN70" s="507"/>
      <c r="AO70" s="507"/>
      <c r="AP70" s="507"/>
      <c r="AQ70" s="507"/>
      <c r="AR70" s="507"/>
      <c r="AS70" s="507"/>
      <c r="AT70" s="508"/>
      <c r="AU70" s="509"/>
      <c r="AV70" s="510" t="n">
        <f aca="false">A70</f>
        <v>0</v>
      </c>
      <c r="AW70" s="510" t="n">
        <f aca="false">B70</f>
        <v>0</v>
      </c>
      <c r="AX70" s="510" t="n">
        <f aca="false">C70</f>
        <v>0</v>
      </c>
      <c r="AY70" s="511" t="n">
        <f aca="false">ROUND($AY$6*AZ70/$AZ$5,2)</f>
        <v>0</v>
      </c>
      <c r="AZ70" s="502" t="n">
        <f aca="false">BA70+BL70</f>
        <v>0</v>
      </c>
      <c r="BA70" s="502" t="n">
        <f aca="false">SUM(BB70:BK70)</f>
        <v>0</v>
      </c>
      <c r="BB70" s="502" t="n">
        <f aca="false">IF($D70="是",I70-J70,0)</f>
        <v>0</v>
      </c>
      <c r="BC70" s="502" t="n">
        <f aca="false">IF($D70="是",K70-L70,0)</f>
        <v>0</v>
      </c>
      <c r="BD70" s="502" t="n">
        <f aca="false">IF($D70="是",M70-N70,0)</f>
        <v>0</v>
      </c>
      <c r="BE70" s="502" t="n">
        <f aca="false">IF($D70="是",O70-P70,0)</f>
        <v>0</v>
      </c>
      <c r="BF70" s="502" t="n">
        <f aca="false">IF($D70="是",Q70-R70,0)</f>
        <v>0</v>
      </c>
      <c r="BG70" s="502" t="n">
        <f aca="false">IF($D70="是",S70-T70,0)</f>
        <v>0</v>
      </c>
      <c r="BH70" s="502" t="n">
        <f aca="false">IF($D70="是",U70-V70,0)</f>
        <v>0</v>
      </c>
      <c r="BI70" s="502" t="n">
        <f aca="false">IF($D70="是",W70-X70,0)</f>
        <v>0</v>
      </c>
      <c r="BJ70" s="502" t="n">
        <f aca="false">IF($D70="是",Y70-Z70,0)</f>
        <v>0</v>
      </c>
      <c r="BK70" s="502" t="n">
        <f aca="false">IF($D70="是",AA70-AB70,0)</f>
        <v>0</v>
      </c>
      <c r="BL70" s="502" t="n">
        <f aca="false">SUM(BM70:BT70)</f>
        <v>0</v>
      </c>
      <c r="BM70" s="502" t="n">
        <f aca="false">IF($D70="是",AD70-AE70,0)</f>
        <v>0</v>
      </c>
      <c r="BN70" s="502" t="n">
        <f aca="false">IF($D70="是",AF70-AG70,0)</f>
        <v>0</v>
      </c>
      <c r="BO70" s="502" t="n">
        <f aca="false">IF($D70="是",AH70-AI70,0)</f>
        <v>0</v>
      </c>
      <c r="BP70" s="502" t="n">
        <f aca="false">IF($D70="是",AJ70-AK70,0)</f>
        <v>0</v>
      </c>
      <c r="BQ70" s="502" t="n">
        <f aca="false">IF($D70="是",AL70-AM70,0)</f>
        <v>0</v>
      </c>
      <c r="BR70" s="502" t="n">
        <f aca="false">IF($D70="是",AN70-AO70,0)</f>
        <v>0</v>
      </c>
      <c r="BS70" s="502" t="n">
        <f aca="false">IF($D70="是",AP70-AQ70,0)</f>
        <v>0</v>
      </c>
      <c r="BT70" s="512" t="n">
        <f aca="false">IF($D70="是",AR70-AS70,0)</f>
        <v>0</v>
      </c>
    </row>
    <row r="71" customFormat="false" ht="14.25" hidden="false" customHeight="false" outlineLevel="0" collapsed="false">
      <c r="A71" s="499"/>
      <c r="B71" s="500"/>
      <c r="C71" s="500"/>
      <c r="D71" s="501"/>
      <c r="E71" s="502" t="n">
        <f aca="false">IF($C$3="是",ROUND($A$3*G71/$B$3,2),ROUND($A$3*(G71-AT71)/$B$3,2))</f>
        <v>0</v>
      </c>
      <c r="F71" s="503"/>
      <c r="G71" s="504" t="n">
        <f aca="false">H71+AC71+AT71</f>
        <v>0</v>
      </c>
      <c r="H71" s="505" t="n">
        <f aca="false">SUMIF(I$12:AB$12,"总值",I71:AB71)</f>
        <v>0</v>
      </c>
      <c r="I71" s="506"/>
      <c r="J71" s="506"/>
      <c r="K71" s="506"/>
      <c r="L71" s="506"/>
      <c r="M71" s="506"/>
      <c r="N71" s="506"/>
      <c r="O71" s="506"/>
      <c r="P71" s="506"/>
      <c r="Q71" s="506"/>
      <c r="R71" s="506"/>
      <c r="S71" s="506"/>
      <c r="T71" s="506"/>
      <c r="U71" s="506"/>
      <c r="V71" s="506"/>
      <c r="W71" s="506"/>
      <c r="X71" s="506"/>
      <c r="Y71" s="506"/>
      <c r="Z71" s="506"/>
      <c r="AA71" s="506"/>
      <c r="AB71" s="506"/>
      <c r="AC71" s="502" t="n">
        <f aca="false">SUMIF(AD$12:AS$12,"总值",AD71:AS71)</f>
        <v>0</v>
      </c>
      <c r="AD71" s="507"/>
      <c r="AE71" s="507"/>
      <c r="AF71" s="507"/>
      <c r="AG71" s="507"/>
      <c r="AH71" s="507"/>
      <c r="AI71" s="507"/>
      <c r="AJ71" s="507"/>
      <c r="AK71" s="507"/>
      <c r="AL71" s="507"/>
      <c r="AM71" s="507"/>
      <c r="AN71" s="507"/>
      <c r="AO71" s="507"/>
      <c r="AP71" s="507"/>
      <c r="AQ71" s="507"/>
      <c r="AR71" s="507"/>
      <c r="AS71" s="507"/>
      <c r="AT71" s="508"/>
      <c r="AU71" s="509"/>
      <c r="AV71" s="510" t="n">
        <f aca="false">A71</f>
        <v>0</v>
      </c>
      <c r="AW71" s="510" t="n">
        <f aca="false">B71</f>
        <v>0</v>
      </c>
      <c r="AX71" s="510" t="n">
        <f aca="false">C71</f>
        <v>0</v>
      </c>
      <c r="AY71" s="511" t="n">
        <f aca="false">ROUND($AY$6*AZ71/$AZ$5,2)</f>
        <v>0</v>
      </c>
      <c r="AZ71" s="502" t="n">
        <f aca="false">BA71+BL71</f>
        <v>0</v>
      </c>
      <c r="BA71" s="502" t="n">
        <f aca="false">SUM(BB71:BK71)</f>
        <v>0</v>
      </c>
      <c r="BB71" s="502" t="n">
        <f aca="false">IF($D71="是",I71-J71,0)</f>
        <v>0</v>
      </c>
      <c r="BC71" s="502" t="n">
        <f aca="false">IF($D71="是",K71-L71,0)</f>
        <v>0</v>
      </c>
      <c r="BD71" s="502" t="n">
        <f aca="false">IF($D71="是",M71-N71,0)</f>
        <v>0</v>
      </c>
      <c r="BE71" s="502" t="n">
        <f aca="false">IF($D71="是",O71-P71,0)</f>
        <v>0</v>
      </c>
      <c r="BF71" s="502" t="n">
        <f aca="false">IF($D71="是",Q71-R71,0)</f>
        <v>0</v>
      </c>
      <c r="BG71" s="502" t="n">
        <f aca="false">IF($D71="是",S71-T71,0)</f>
        <v>0</v>
      </c>
      <c r="BH71" s="502" t="n">
        <f aca="false">IF($D71="是",U71-V71,0)</f>
        <v>0</v>
      </c>
      <c r="BI71" s="502" t="n">
        <f aca="false">IF($D71="是",W71-X71,0)</f>
        <v>0</v>
      </c>
      <c r="BJ71" s="502" t="n">
        <f aca="false">IF($D71="是",Y71-Z71,0)</f>
        <v>0</v>
      </c>
      <c r="BK71" s="502" t="n">
        <f aca="false">IF($D71="是",AA71-AB71,0)</f>
        <v>0</v>
      </c>
      <c r="BL71" s="502" t="n">
        <f aca="false">SUM(BM71:BT71)</f>
        <v>0</v>
      </c>
      <c r="BM71" s="502" t="n">
        <f aca="false">IF($D71="是",AD71-AE71,0)</f>
        <v>0</v>
      </c>
      <c r="BN71" s="502" t="n">
        <f aca="false">IF($D71="是",AF71-AG71,0)</f>
        <v>0</v>
      </c>
      <c r="BO71" s="502" t="n">
        <f aca="false">IF($D71="是",AH71-AI71,0)</f>
        <v>0</v>
      </c>
      <c r="BP71" s="502" t="n">
        <f aca="false">IF($D71="是",AJ71-AK71,0)</f>
        <v>0</v>
      </c>
      <c r="BQ71" s="502" t="n">
        <f aca="false">IF($D71="是",AL71-AM71,0)</f>
        <v>0</v>
      </c>
      <c r="BR71" s="502" t="n">
        <f aca="false">IF($D71="是",AN71-AO71,0)</f>
        <v>0</v>
      </c>
      <c r="BS71" s="502" t="n">
        <f aca="false">IF($D71="是",AP71-AQ71,0)</f>
        <v>0</v>
      </c>
      <c r="BT71" s="512" t="n">
        <f aca="false">IF($D71="是",AR71-AS71,0)</f>
        <v>0</v>
      </c>
    </row>
    <row r="72" customFormat="false" ht="14.25" hidden="false" customHeight="false" outlineLevel="0" collapsed="false">
      <c r="A72" s="499"/>
      <c r="B72" s="500"/>
      <c r="C72" s="500"/>
      <c r="D72" s="501"/>
      <c r="E72" s="502" t="n">
        <f aca="false">IF($C$3="是",ROUND($A$3*G72/$B$3,2),ROUND($A$3*(G72-AT72)/$B$3,2))</f>
        <v>0</v>
      </c>
      <c r="F72" s="503"/>
      <c r="G72" s="504" t="n">
        <f aca="false">H72+AC72+AT72</f>
        <v>0</v>
      </c>
      <c r="H72" s="505" t="n">
        <f aca="false">SUMIF(I$12:AB$12,"总值",I72:AB72)</f>
        <v>0</v>
      </c>
      <c r="I72" s="506"/>
      <c r="J72" s="506"/>
      <c r="K72" s="506"/>
      <c r="L72" s="506"/>
      <c r="M72" s="506"/>
      <c r="N72" s="506"/>
      <c r="O72" s="506"/>
      <c r="P72" s="506"/>
      <c r="Q72" s="506"/>
      <c r="R72" s="506"/>
      <c r="S72" s="506"/>
      <c r="T72" s="506"/>
      <c r="U72" s="506"/>
      <c r="V72" s="506"/>
      <c r="W72" s="506"/>
      <c r="X72" s="506"/>
      <c r="Y72" s="506"/>
      <c r="Z72" s="506"/>
      <c r="AA72" s="506"/>
      <c r="AB72" s="506"/>
      <c r="AC72" s="502" t="n">
        <f aca="false">SUMIF(AD$12:AS$12,"总值",AD72:AS72)</f>
        <v>0</v>
      </c>
      <c r="AD72" s="507"/>
      <c r="AE72" s="507"/>
      <c r="AF72" s="507"/>
      <c r="AG72" s="507"/>
      <c r="AH72" s="507"/>
      <c r="AI72" s="507"/>
      <c r="AJ72" s="507"/>
      <c r="AK72" s="507"/>
      <c r="AL72" s="507"/>
      <c r="AM72" s="507"/>
      <c r="AN72" s="507"/>
      <c r="AO72" s="507"/>
      <c r="AP72" s="507"/>
      <c r="AQ72" s="507"/>
      <c r="AR72" s="507"/>
      <c r="AS72" s="507"/>
      <c r="AT72" s="508"/>
      <c r="AU72" s="509"/>
      <c r="AV72" s="510" t="n">
        <f aca="false">A72</f>
        <v>0</v>
      </c>
      <c r="AW72" s="510" t="n">
        <f aca="false">B72</f>
        <v>0</v>
      </c>
      <c r="AX72" s="510" t="n">
        <f aca="false">C72</f>
        <v>0</v>
      </c>
      <c r="AY72" s="511" t="n">
        <f aca="false">ROUND($AY$6*AZ72/$AZ$5,2)</f>
        <v>0</v>
      </c>
      <c r="AZ72" s="502" t="n">
        <f aca="false">BA72+BL72</f>
        <v>0</v>
      </c>
      <c r="BA72" s="502" t="n">
        <f aca="false">SUM(BB72:BK72)</f>
        <v>0</v>
      </c>
      <c r="BB72" s="502" t="n">
        <f aca="false">IF($D72="是",I72-J72,0)</f>
        <v>0</v>
      </c>
      <c r="BC72" s="502" t="n">
        <f aca="false">IF($D72="是",K72-L72,0)</f>
        <v>0</v>
      </c>
      <c r="BD72" s="502" t="n">
        <f aca="false">IF($D72="是",M72-N72,0)</f>
        <v>0</v>
      </c>
      <c r="BE72" s="502" t="n">
        <f aca="false">IF($D72="是",O72-P72,0)</f>
        <v>0</v>
      </c>
      <c r="BF72" s="502" t="n">
        <f aca="false">IF($D72="是",Q72-R72,0)</f>
        <v>0</v>
      </c>
      <c r="BG72" s="502" t="n">
        <f aca="false">IF($D72="是",S72-T72,0)</f>
        <v>0</v>
      </c>
      <c r="BH72" s="502" t="n">
        <f aca="false">IF($D72="是",U72-V72,0)</f>
        <v>0</v>
      </c>
      <c r="BI72" s="502" t="n">
        <f aca="false">IF($D72="是",W72-X72,0)</f>
        <v>0</v>
      </c>
      <c r="BJ72" s="502" t="n">
        <f aca="false">IF($D72="是",Y72-Z72,0)</f>
        <v>0</v>
      </c>
      <c r="BK72" s="502" t="n">
        <f aca="false">IF($D72="是",AA72-AB72,0)</f>
        <v>0</v>
      </c>
      <c r="BL72" s="502" t="n">
        <f aca="false">SUM(BM72:BT72)</f>
        <v>0</v>
      </c>
      <c r="BM72" s="502" t="n">
        <f aca="false">IF($D72="是",AD72-AE72,0)</f>
        <v>0</v>
      </c>
      <c r="BN72" s="502" t="n">
        <f aca="false">IF($D72="是",AF72-AG72,0)</f>
        <v>0</v>
      </c>
      <c r="BO72" s="502" t="n">
        <f aca="false">IF($D72="是",AH72-AI72,0)</f>
        <v>0</v>
      </c>
      <c r="BP72" s="502" t="n">
        <f aca="false">IF($D72="是",AJ72-AK72,0)</f>
        <v>0</v>
      </c>
      <c r="BQ72" s="502" t="n">
        <f aca="false">IF($D72="是",AL72-AM72,0)</f>
        <v>0</v>
      </c>
      <c r="BR72" s="502" t="n">
        <f aca="false">IF($D72="是",AN72-AO72,0)</f>
        <v>0</v>
      </c>
      <c r="BS72" s="502" t="n">
        <f aca="false">IF($D72="是",AP72-AQ72,0)</f>
        <v>0</v>
      </c>
      <c r="BT72" s="512" t="n">
        <f aca="false">IF($D72="是",AR72-AS72,0)</f>
        <v>0</v>
      </c>
    </row>
    <row r="73" customFormat="false" ht="14.25" hidden="false" customHeight="false" outlineLevel="0" collapsed="false">
      <c r="A73" s="499"/>
      <c r="B73" s="500"/>
      <c r="C73" s="500"/>
      <c r="D73" s="501"/>
      <c r="E73" s="502" t="n">
        <f aca="false">IF($C$3="是",ROUND($A$3*G73/$B$3,2),ROUND($A$3*(G73-AT73)/$B$3,2))</f>
        <v>0</v>
      </c>
      <c r="F73" s="503"/>
      <c r="G73" s="504" t="n">
        <f aca="false">H73+AC73+AT73</f>
        <v>0</v>
      </c>
      <c r="H73" s="505" t="n">
        <f aca="false">SUMIF(I$12:AB$12,"总值",I73:AB73)</f>
        <v>0</v>
      </c>
      <c r="I73" s="506"/>
      <c r="J73" s="506"/>
      <c r="K73" s="506"/>
      <c r="L73" s="506"/>
      <c r="M73" s="506"/>
      <c r="N73" s="506"/>
      <c r="O73" s="506"/>
      <c r="P73" s="506"/>
      <c r="Q73" s="506"/>
      <c r="R73" s="506"/>
      <c r="S73" s="506"/>
      <c r="T73" s="506"/>
      <c r="U73" s="506"/>
      <c r="V73" s="506"/>
      <c r="W73" s="506"/>
      <c r="X73" s="506"/>
      <c r="Y73" s="506"/>
      <c r="Z73" s="506"/>
      <c r="AA73" s="506"/>
      <c r="AB73" s="506"/>
      <c r="AC73" s="502" t="n">
        <f aca="false">SUMIF(AD$12:AS$12,"总值",AD73:AS73)</f>
        <v>0</v>
      </c>
      <c r="AD73" s="507"/>
      <c r="AE73" s="507"/>
      <c r="AF73" s="507"/>
      <c r="AG73" s="507"/>
      <c r="AH73" s="507"/>
      <c r="AI73" s="507"/>
      <c r="AJ73" s="507"/>
      <c r="AK73" s="507"/>
      <c r="AL73" s="507"/>
      <c r="AM73" s="507"/>
      <c r="AN73" s="507"/>
      <c r="AO73" s="507"/>
      <c r="AP73" s="507"/>
      <c r="AQ73" s="507"/>
      <c r="AR73" s="507"/>
      <c r="AS73" s="507"/>
      <c r="AT73" s="508"/>
      <c r="AU73" s="509"/>
      <c r="AV73" s="510" t="n">
        <f aca="false">A73</f>
        <v>0</v>
      </c>
      <c r="AW73" s="510" t="n">
        <f aca="false">B73</f>
        <v>0</v>
      </c>
      <c r="AX73" s="510" t="n">
        <f aca="false">C73</f>
        <v>0</v>
      </c>
      <c r="AY73" s="511" t="n">
        <f aca="false">ROUND($AY$6*AZ73/$AZ$5,2)</f>
        <v>0</v>
      </c>
      <c r="AZ73" s="502" t="n">
        <f aca="false">BA73+BL73</f>
        <v>0</v>
      </c>
      <c r="BA73" s="502" t="n">
        <f aca="false">SUM(BB73:BK73)</f>
        <v>0</v>
      </c>
      <c r="BB73" s="502" t="n">
        <f aca="false">IF($D73="是",I73-J73,0)</f>
        <v>0</v>
      </c>
      <c r="BC73" s="502" t="n">
        <f aca="false">IF($D73="是",K73-L73,0)</f>
        <v>0</v>
      </c>
      <c r="BD73" s="502" t="n">
        <f aca="false">IF($D73="是",M73-N73,0)</f>
        <v>0</v>
      </c>
      <c r="BE73" s="502" t="n">
        <f aca="false">IF($D73="是",O73-P73,0)</f>
        <v>0</v>
      </c>
      <c r="BF73" s="502" t="n">
        <f aca="false">IF($D73="是",Q73-R73,0)</f>
        <v>0</v>
      </c>
      <c r="BG73" s="502" t="n">
        <f aca="false">IF($D73="是",S73-T73,0)</f>
        <v>0</v>
      </c>
      <c r="BH73" s="502" t="n">
        <f aca="false">IF($D73="是",U73-V73,0)</f>
        <v>0</v>
      </c>
      <c r="BI73" s="502" t="n">
        <f aca="false">IF($D73="是",W73-X73,0)</f>
        <v>0</v>
      </c>
      <c r="BJ73" s="502" t="n">
        <f aca="false">IF($D73="是",Y73-Z73,0)</f>
        <v>0</v>
      </c>
      <c r="BK73" s="502" t="n">
        <f aca="false">IF($D73="是",AA73-AB73,0)</f>
        <v>0</v>
      </c>
      <c r="BL73" s="502" t="n">
        <f aca="false">SUM(BM73:BT73)</f>
        <v>0</v>
      </c>
      <c r="BM73" s="502" t="n">
        <f aca="false">IF($D73="是",AD73-AE73,0)</f>
        <v>0</v>
      </c>
      <c r="BN73" s="502" t="n">
        <f aca="false">IF($D73="是",AF73-AG73,0)</f>
        <v>0</v>
      </c>
      <c r="BO73" s="502" t="n">
        <f aca="false">IF($D73="是",AH73-AI73,0)</f>
        <v>0</v>
      </c>
      <c r="BP73" s="502" t="n">
        <f aca="false">IF($D73="是",AJ73-AK73,0)</f>
        <v>0</v>
      </c>
      <c r="BQ73" s="502" t="n">
        <f aca="false">IF($D73="是",AL73-AM73,0)</f>
        <v>0</v>
      </c>
      <c r="BR73" s="502" t="n">
        <f aca="false">IF($D73="是",AN73-AO73,0)</f>
        <v>0</v>
      </c>
      <c r="BS73" s="502" t="n">
        <f aca="false">IF($D73="是",AP73-AQ73,0)</f>
        <v>0</v>
      </c>
      <c r="BT73" s="512" t="n">
        <f aca="false">IF($D73="是",AR73-AS73,0)</f>
        <v>0</v>
      </c>
    </row>
    <row r="74" customFormat="false" ht="14.25" hidden="false" customHeight="false" outlineLevel="0" collapsed="false">
      <c r="A74" s="499"/>
      <c r="B74" s="500"/>
      <c r="C74" s="500"/>
      <c r="D74" s="501"/>
      <c r="E74" s="502" t="n">
        <f aca="false">IF($C$3="是",ROUND($A$3*G74/$B$3,2),ROUND($A$3*(G74-AT74)/$B$3,2))</f>
        <v>0</v>
      </c>
      <c r="F74" s="503"/>
      <c r="G74" s="504" t="n">
        <f aca="false">H74+AC74+AT74</f>
        <v>0</v>
      </c>
      <c r="H74" s="505" t="n">
        <f aca="false">SUMIF(I$12:AB$12,"总值",I74:AB74)</f>
        <v>0</v>
      </c>
      <c r="I74" s="506"/>
      <c r="J74" s="506"/>
      <c r="K74" s="506"/>
      <c r="L74" s="506"/>
      <c r="M74" s="506"/>
      <c r="N74" s="506"/>
      <c r="O74" s="506"/>
      <c r="P74" s="506"/>
      <c r="Q74" s="506"/>
      <c r="R74" s="506"/>
      <c r="S74" s="506"/>
      <c r="T74" s="506"/>
      <c r="U74" s="506"/>
      <c r="V74" s="506"/>
      <c r="W74" s="506"/>
      <c r="X74" s="506"/>
      <c r="Y74" s="506"/>
      <c r="Z74" s="506"/>
      <c r="AA74" s="506"/>
      <c r="AB74" s="506"/>
      <c r="AC74" s="502" t="n">
        <f aca="false">SUMIF(AD$12:AS$12,"总值",AD74:AS74)</f>
        <v>0</v>
      </c>
      <c r="AD74" s="507"/>
      <c r="AE74" s="507"/>
      <c r="AF74" s="507"/>
      <c r="AG74" s="507"/>
      <c r="AH74" s="507"/>
      <c r="AI74" s="507"/>
      <c r="AJ74" s="507"/>
      <c r="AK74" s="507"/>
      <c r="AL74" s="507"/>
      <c r="AM74" s="507"/>
      <c r="AN74" s="507"/>
      <c r="AO74" s="507"/>
      <c r="AP74" s="507"/>
      <c r="AQ74" s="507"/>
      <c r="AR74" s="507"/>
      <c r="AS74" s="507"/>
      <c r="AT74" s="508"/>
      <c r="AU74" s="509"/>
      <c r="AV74" s="510" t="n">
        <f aca="false">A74</f>
        <v>0</v>
      </c>
      <c r="AW74" s="510" t="n">
        <f aca="false">B74</f>
        <v>0</v>
      </c>
      <c r="AX74" s="510" t="n">
        <f aca="false">C74</f>
        <v>0</v>
      </c>
      <c r="AY74" s="511" t="n">
        <f aca="false">ROUND($AY$6*AZ74/$AZ$5,2)</f>
        <v>0</v>
      </c>
      <c r="AZ74" s="502" t="n">
        <f aca="false">BA74+BL74</f>
        <v>0</v>
      </c>
      <c r="BA74" s="502" t="n">
        <f aca="false">SUM(BB74:BK74)</f>
        <v>0</v>
      </c>
      <c r="BB74" s="502" t="n">
        <f aca="false">IF($D74="是",I74-J74,0)</f>
        <v>0</v>
      </c>
      <c r="BC74" s="502" t="n">
        <f aca="false">IF($D74="是",K74-L74,0)</f>
        <v>0</v>
      </c>
      <c r="BD74" s="502" t="n">
        <f aca="false">IF($D74="是",M74-N74,0)</f>
        <v>0</v>
      </c>
      <c r="BE74" s="502" t="n">
        <f aca="false">IF($D74="是",O74-P74,0)</f>
        <v>0</v>
      </c>
      <c r="BF74" s="502" t="n">
        <f aca="false">IF($D74="是",Q74-R74,0)</f>
        <v>0</v>
      </c>
      <c r="BG74" s="502" t="n">
        <f aca="false">IF($D74="是",S74-T74,0)</f>
        <v>0</v>
      </c>
      <c r="BH74" s="502" t="n">
        <f aca="false">IF($D74="是",U74-V74,0)</f>
        <v>0</v>
      </c>
      <c r="BI74" s="502" t="n">
        <f aca="false">IF($D74="是",W74-X74,0)</f>
        <v>0</v>
      </c>
      <c r="BJ74" s="502" t="n">
        <f aca="false">IF($D74="是",Y74-Z74,0)</f>
        <v>0</v>
      </c>
      <c r="BK74" s="502" t="n">
        <f aca="false">IF($D74="是",AA74-AB74,0)</f>
        <v>0</v>
      </c>
      <c r="BL74" s="502" t="n">
        <f aca="false">SUM(BM74:BT74)</f>
        <v>0</v>
      </c>
      <c r="BM74" s="502" t="n">
        <f aca="false">IF($D74="是",AD74-AE74,0)</f>
        <v>0</v>
      </c>
      <c r="BN74" s="502" t="n">
        <f aca="false">IF($D74="是",AF74-AG74,0)</f>
        <v>0</v>
      </c>
      <c r="BO74" s="502" t="n">
        <f aca="false">IF($D74="是",AH74-AI74,0)</f>
        <v>0</v>
      </c>
      <c r="BP74" s="502" t="n">
        <f aca="false">IF($D74="是",AJ74-AK74,0)</f>
        <v>0</v>
      </c>
      <c r="BQ74" s="502" t="n">
        <f aca="false">IF($D74="是",AL74-AM74,0)</f>
        <v>0</v>
      </c>
      <c r="BR74" s="502" t="n">
        <f aca="false">IF($D74="是",AN74-AO74,0)</f>
        <v>0</v>
      </c>
      <c r="BS74" s="502" t="n">
        <f aca="false">IF($D74="是",AP74-AQ74,0)</f>
        <v>0</v>
      </c>
      <c r="BT74" s="512" t="n">
        <f aca="false">IF($D74="是",AR74-AS74,0)</f>
        <v>0</v>
      </c>
    </row>
    <row r="75" customFormat="false" ht="14.25" hidden="false" customHeight="false" outlineLevel="0" collapsed="false">
      <c r="A75" s="499"/>
      <c r="B75" s="500"/>
      <c r="C75" s="500"/>
      <c r="D75" s="501"/>
      <c r="E75" s="502" t="n">
        <f aca="false">IF($C$3="是",ROUND($A$3*G75/$B$3,2),ROUND($A$3*(G75-AT75)/$B$3,2))</f>
        <v>0</v>
      </c>
      <c r="F75" s="503"/>
      <c r="G75" s="504" t="n">
        <f aca="false">H75+AC75+AT75</f>
        <v>0</v>
      </c>
      <c r="H75" s="505" t="n">
        <f aca="false">SUMIF(I$12:AB$12,"总值",I75:AB75)</f>
        <v>0</v>
      </c>
      <c r="I75" s="506"/>
      <c r="J75" s="506"/>
      <c r="K75" s="506"/>
      <c r="L75" s="506"/>
      <c r="M75" s="506"/>
      <c r="N75" s="506"/>
      <c r="O75" s="506"/>
      <c r="P75" s="506"/>
      <c r="Q75" s="506"/>
      <c r="R75" s="506"/>
      <c r="S75" s="506"/>
      <c r="T75" s="506"/>
      <c r="U75" s="506"/>
      <c r="V75" s="506"/>
      <c r="W75" s="506"/>
      <c r="X75" s="506"/>
      <c r="Y75" s="506"/>
      <c r="Z75" s="506"/>
      <c r="AA75" s="506"/>
      <c r="AB75" s="506"/>
      <c r="AC75" s="502" t="n">
        <f aca="false">SUMIF(AD$12:AS$12,"总值",AD75:AS75)</f>
        <v>0</v>
      </c>
      <c r="AD75" s="507"/>
      <c r="AE75" s="507"/>
      <c r="AF75" s="507"/>
      <c r="AG75" s="507"/>
      <c r="AH75" s="507"/>
      <c r="AI75" s="507"/>
      <c r="AJ75" s="507"/>
      <c r="AK75" s="507"/>
      <c r="AL75" s="507"/>
      <c r="AM75" s="507"/>
      <c r="AN75" s="507"/>
      <c r="AO75" s="507"/>
      <c r="AP75" s="507"/>
      <c r="AQ75" s="507"/>
      <c r="AR75" s="507"/>
      <c r="AS75" s="507"/>
      <c r="AT75" s="508"/>
      <c r="AU75" s="509"/>
      <c r="AV75" s="510" t="n">
        <f aca="false">A75</f>
        <v>0</v>
      </c>
      <c r="AW75" s="510" t="n">
        <f aca="false">B75</f>
        <v>0</v>
      </c>
      <c r="AX75" s="510" t="n">
        <f aca="false">C75</f>
        <v>0</v>
      </c>
      <c r="AY75" s="511" t="n">
        <f aca="false">ROUND($AY$6*AZ75/$AZ$5,2)</f>
        <v>0</v>
      </c>
      <c r="AZ75" s="502" t="n">
        <f aca="false">BA75+BL75</f>
        <v>0</v>
      </c>
      <c r="BA75" s="502" t="n">
        <f aca="false">SUM(BB75:BK75)</f>
        <v>0</v>
      </c>
      <c r="BB75" s="502" t="n">
        <f aca="false">IF($D75="是",I75-J75,0)</f>
        <v>0</v>
      </c>
      <c r="BC75" s="502" t="n">
        <f aca="false">IF($D75="是",K75-L75,0)</f>
        <v>0</v>
      </c>
      <c r="BD75" s="502" t="n">
        <f aca="false">IF($D75="是",M75-N75,0)</f>
        <v>0</v>
      </c>
      <c r="BE75" s="502" t="n">
        <f aca="false">IF($D75="是",O75-P75,0)</f>
        <v>0</v>
      </c>
      <c r="BF75" s="502" t="n">
        <f aca="false">IF($D75="是",Q75-R75,0)</f>
        <v>0</v>
      </c>
      <c r="BG75" s="502" t="n">
        <f aca="false">IF($D75="是",S75-T75,0)</f>
        <v>0</v>
      </c>
      <c r="BH75" s="502" t="n">
        <f aca="false">IF($D75="是",U75-V75,0)</f>
        <v>0</v>
      </c>
      <c r="BI75" s="502" t="n">
        <f aca="false">IF($D75="是",W75-X75,0)</f>
        <v>0</v>
      </c>
      <c r="BJ75" s="502" t="n">
        <f aca="false">IF($D75="是",Y75-Z75,0)</f>
        <v>0</v>
      </c>
      <c r="BK75" s="502" t="n">
        <f aca="false">IF($D75="是",AA75-AB75,0)</f>
        <v>0</v>
      </c>
      <c r="BL75" s="502" t="n">
        <f aca="false">SUM(BM75:BT75)</f>
        <v>0</v>
      </c>
      <c r="BM75" s="502" t="n">
        <f aca="false">IF($D75="是",AD75-AE75,0)</f>
        <v>0</v>
      </c>
      <c r="BN75" s="502" t="n">
        <f aca="false">IF($D75="是",AF75-AG75,0)</f>
        <v>0</v>
      </c>
      <c r="BO75" s="502" t="n">
        <f aca="false">IF($D75="是",AH75-AI75,0)</f>
        <v>0</v>
      </c>
      <c r="BP75" s="502" t="n">
        <f aca="false">IF($D75="是",AJ75-AK75,0)</f>
        <v>0</v>
      </c>
      <c r="BQ75" s="502" t="n">
        <f aca="false">IF($D75="是",AL75-AM75,0)</f>
        <v>0</v>
      </c>
      <c r="BR75" s="502" t="n">
        <f aca="false">IF($D75="是",AN75-AO75,0)</f>
        <v>0</v>
      </c>
      <c r="BS75" s="502" t="n">
        <f aca="false">IF($D75="是",AP75-AQ75,0)</f>
        <v>0</v>
      </c>
      <c r="BT75" s="512" t="n">
        <f aca="false">IF($D75="是",AR75-AS75,0)</f>
        <v>0</v>
      </c>
    </row>
    <row r="76" customFormat="false" ht="14.25" hidden="false" customHeight="false" outlineLevel="0" collapsed="false">
      <c r="A76" s="499"/>
      <c r="B76" s="500"/>
      <c r="C76" s="500"/>
      <c r="D76" s="501"/>
      <c r="E76" s="502" t="n">
        <f aca="false">IF($C$3="是",ROUND($A$3*G76/$B$3,2),ROUND($A$3*(G76-AT76)/$B$3,2))</f>
        <v>0</v>
      </c>
      <c r="F76" s="503"/>
      <c r="G76" s="504" t="n">
        <f aca="false">H76+AC76+AT76</f>
        <v>0</v>
      </c>
      <c r="H76" s="505" t="n">
        <f aca="false">SUMIF(I$12:AB$12,"总值",I76:AB76)</f>
        <v>0</v>
      </c>
      <c r="I76" s="506"/>
      <c r="J76" s="506"/>
      <c r="K76" s="506"/>
      <c r="L76" s="506"/>
      <c r="M76" s="506"/>
      <c r="N76" s="506"/>
      <c r="O76" s="506"/>
      <c r="P76" s="506"/>
      <c r="Q76" s="506"/>
      <c r="R76" s="506"/>
      <c r="S76" s="506"/>
      <c r="T76" s="506"/>
      <c r="U76" s="506"/>
      <c r="V76" s="506"/>
      <c r="W76" s="506"/>
      <c r="X76" s="506"/>
      <c r="Y76" s="506"/>
      <c r="Z76" s="506"/>
      <c r="AA76" s="506"/>
      <c r="AB76" s="506"/>
      <c r="AC76" s="502" t="n">
        <f aca="false">SUMIF(AD$12:AS$12,"总值",AD76:AS76)</f>
        <v>0</v>
      </c>
      <c r="AD76" s="507"/>
      <c r="AE76" s="507"/>
      <c r="AF76" s="507"/>
      <c r="AG76" s="507"/>
      <c r="AH76" s="507"/>
      <c r="AI76" s="507"/>
      <c r="AJ76" s="507"/>
      <c r="AK76" s="507"/>
      <c r="AL76" s="507"/>
      <c r="AM76" s="507"/>
      <c r="AN76" s="507"/>
      <c r="AO76" s="507"/>
      <c r="AP76" s="507"/>
      <c r="AQ76" s="507"/>
      <c r="AR76" s="507"/>
      <c r="AS76" s="507"/>
      <c r="AT76" s="508"/>
      <c r="AU76" s="509"/>
      <c r="AV76" s="510" t="n">
        <f aca="false">A76</f>
        <v>0</v>
      </c>
      <c r="AW76" s="510" t="n">
        <f aca="false">B76</f>
        <v>0</v>
      </c>
      <c r="AX76" s="510" t="n">
        <f aca="false">C76</f>
        <v>0</v>
      </c>
      <c r="AY76" s="511" t="n">
        <f aca="false">ROUND($AY$6*AZ76/$AZ$5,2)</f>
        <v>0</v>
      </c>
      <c r="AZ76" s="502" t="n">
        <f aca="false">BA76+BL76</f>
        <v>0</v>
      </c>
      <c r="BA76" s="502" t="n">
        <f aca="false">SUM(BB76:BK76)</f>
        <v>0</v>
      </c>
      <c r="BB76" s="502" t="n">
        <f aca="false">IF($D76="是",I76-J76,0)</f>
        <v>0</v>
      </c>
      <c r="BC76" s="502" t="n">
        <f aca="false">IF($D76="是",K76-L76,0)</f>
        <v>0</v>
      </c>
      <c r="BD76" s="502" t="n">
        <f aca="false">IF($D76="是",M76-N76,0)</f>
        <v>0</v>
      </c>
      <c r="BE76" s="502" t="n">
        <f aca="false">IF($D76="是",O76-P76,0)</f>
        <v>0</v>
      </c>
      <c r="BF76" s="502" t="n">
        <f aca="false">IF($D76="是",Q76-R76,0)</f>
        <v>0</v>
      </c>
      <c r="BG76" s="502" t="n">
        <f aca="false">IF($D76="是",S76-T76,0)</f>
        <v>0</v>
      </c>
      <c r="BH76" s="502" t="n">
        <f aca="false">IF($D76="是",U76-V76,0)</f>
        <v>0</v>
      </c>
      <c r="BI76" s="502" t="n">
        <f aca="false">IF($D76="是",W76-X76,0)</f>
        <v>0</v>
      </c>
      <c r="BJ76" s="502" t="n">
        <f aca="false">IF($D76="是",Y76-Z76,0)</f>
        <v>0</v>
      </c>
      <c r="BK76" s="502" t="n">
        <f aca="false">IF($D76="是",AA76-AB76,0)</f>
        <v>0</v>
      </c>
      <c r="BL76" s="502" t="n">
        <f aca="false">SUM(BM76:BT76)</f>
        <v>0</v>
      </c>
      <c r="BM76" s="502" t="n">
        <f aca="false">IF($D76="是",AD76-AE76,0)</f>
        <v>0</v>
      </c>
      <c r="BN76" s="502" t="n">
        <f aca="false">IF($D76="是",AF76-AG76,0)</f>
        <v>0</v>
      </c>
      <c r="BO76" s="502" t="n">
        <f aca="false">IF($D76="是",AH76-AI76,0)</f>
        <v>0</v>
      </c>
      <c r="BP76" s="502" t="n">
        <f aca="false">IF($D76="是",AJ76-AK76,0)</f>
        <v>0</v>
      </c>
      <c r="BQ76" s="502" t="n">
        <f aca="false">IF($D76="是",AL76-AM76,0)</f>
        <v>0</v>
      </c>
      <c r="BR76" s="502" t="n">
        <f aca="false">IF($D76="是",AN76-AO76,0)</f>
        <v>0</v>
      </c>
      <c r="BS76" s="502" t="n">
        <f aca="false">IF($D76="是",AP76-AQ76,0)</f>
        <v>0</v>
      </c>
      <c r="BT76" s="512" t="n">
        <f aca="false">IF($D76="是",AR76-AS76,0)</f>
        <v>0</v>
      </c>
    </row>
    <row r="77" customFormat="false" ht="14.25" hidden="false" customHeight="false" outlineLevel="0" collapsed="false">
      <c r="A77" s="499"/>
      <c r="B77" s="500"/>
      <c r="C77" s="500"/>
      <c r="D77" s="501"/>
      <c r="E77" s="502" t="n">
        <f aca="false">IF($C$3="是",ROUND($A$3*G77/$B$3,2),ROUND($A$3*(G77-AT77)/$B$3,2))</f>
        <v>0</v>
      </c>
      <c r="F77" s="503"/>
      <c r="G77" s="504" t="n">
        <f aca="false">H77+AC77+AT77</f>
        <v>0</v>
      </c>
      <c r="H77" s="505" t="n">
        <f aca="false">SUMIF(I$12:AB$12,"总值",I77:AB77)</f>
        <v>0</v>
      </c>
      <c r="I77" s="506"/>
      <c r="J77" s="506"/>
      <c r="K77" s="506"/>
      <c r="L77" s="506"/>
      <c r="M77" s="506"/>
      <c r="N77" s="506"/>
      <c r="O77" s="506"/>
      <c r="P77" s="506"/>
      <c r="Q77" s="506"/>
      <c r="R77" s="506"/>
      <c r="S77" s="506"/>
      <c r="T77" s="506"/>
      <c r="U77" s="506"/>
      <c r="V77" s="506"/>
      <c r="W77" s="506"/>
      <c r="X77" s="506"/>
      <c r="Y77" s="506"/>
      <c r="Z77" s="506"/>
      <c r="AA77" s="506"/>
      <c r="AB77" s="506"/>
      <c r="AC77" s="502" t="n">
        <f aca="false">SUMIF(AD$12:AS$12,"总值",AD77:AS77)</f>
        <v>0</v>
      </c>
      <c r="AD77" s="507"/>
      <c r="AE77" s="507"/>
      <c r="AF77" s="507"/>
      <c r="AG77" s="507"/>
      <c r="AH77" s="507"/>
      <c r="AI77" s="507"/>
      <c r="AJ77" s="507"/>
      <c r="AK77" s="507"/>
      <c r="AL77" s="507"/>
      <c r="AM77" s="507"/>
      <c r="AN77" s="507"/>
      <c r="AO77" s="507"/>
      <c r="AP77" s="507"/>
      <c r="AQ77" s="507"/>
      <c r="AR77" s="507"/>
      <c r="AS77" s="507"/>
      <c r="AT77" s="508"/>
      <c r="AU77" s="509"/>
      <c r="AV77" s="510" t="n">
        <f aca="false">A77</f>
        <v>0</v>
      </c>
      <c r="AW77" s="510" t="n">
        <f aca="false">B77</f>
        <v>0</v>
      </c>
      <c r="AX77" s="510" t="n">
        <f aca="false">C77</f>
        <v>0</v>
      </c>
      <c r="AY77" s="511" t="n">
        <f aca="false">ROUND($AY$6*AZ77/$AZ$5,2)</f>
        <v>0</v>
      </c>
      <c r="AZ77" s="502" t="n">
        <f aca="false">BA77+BL77</f>
        <v>0</v>
      </c>
      <c r="BA77" s="502" t="n">
        <f aca="false">SUM(BB77:BK77)</f>
        <v>0</v>
      </c>
      <c r="BB77" s="502" t="n">
        <f aca="false">IF($D77="是",I77-J77,0)</f>
        <v>0</v>
      </c>
      <c r="BC77" s="502" t="n">
        <f aca="false">IF($D77="是",K77-L77,0)</f>
        <v>0</v>
      </c>
      <c r="BD77" s="502" t="n">
        <f aca="false">IF($D77="是",M77-N77,0)</f>
        <v>0</v>
      </c>
      <c r="BE77" s="502" t="n">
        <f aca="false">IF($D77="是",O77-P77,0)</f>
        <v>0</v>
      </c>
      <c r="BF77" s="502" t="n">
        <f aca="false">IF($D77="是",Q77-R77,0)</f>
        <v>0</v>
      </c>
      <c r="BG77" s="502" t="n">
        <f aca="false">IF($D77="是",S77-T77,0)</f>
        <v>0</v>
      </c>
      <c r="BH77" s="502" t="n">
        <f aca="false">IF($D77="是",U77-V77,0)</f>
        <v>0</v>
      </c>
      <c r="BI77" s="502" t="n">
        <f aca="false">IF($D77="是",W77-X77,0)</f>
        <v>0</v>
      </c>
      <c r="BJ77" s="502" t="n">
        <f aca="false">IF($D77="是",Y77-Z77,0)</f>
        <v>0</v>
      </c>
      <c r="BK77" s="502" t="n">
        <f aca="false">IF($D77="是",AA77-AB77,0)</f>
        <v>0</v>
      </c>
      <c r="BL77" s="502" t="n">
        <f aca="false">SUM(BM77:BT77)</f>
        <v>0</v>
      </c>
      <c r="BM77" s="502" t="n">
        <f aca="false">IF($D77="是",AD77-AE77,0)</f>
        <v>0</v>
      </c>
      <c r="BN77" s="502" t="n">
        <f aca="false">IF($D77="是",AF77-AG77,0)</f>
        <v>0</v>
      </c>
      <c r="BO77" s="502" t="n">
        <f aca="false">IF($D77="是",AH77-AI77,0)</f>
        <v>0</v>
      </c>
      <c r="BP77" s="502" t="n">
        <f aca="false">IF($D77="是",AJ77-AK77,0)</f>
        <v>0</v>
      </c>
      <c r="BQ77" s="502" t="n">
        <f aca="false">IF($D77="是",AL77-AM77,0)</f>
        <v>0</v>
      </c>
      <c r="BR77" s="502" t="n">
        <f aca="false">IF($D77="是",AN77-AO77,0)</f>
        <v>0</v>
      </c>
      <c r="BS77" s="502" t="n">
        <f aca="false">IF($D77="是",AP77-AQ77,0)</f>
        <v>0</v>
      </c>
      <c r="BT77" s="512" t="n">
        <f aca="false">IF($D77="是",AR77-AS77,0)</f>
        <v>0</v>
      </c>
    </row>
    <row r="78" customFormat="false" ht="14.25" hidden="false" customHeight="false" outlineLevel="0" collapsed="false">
      <c r="A78" s="499"/>
      <c r="B78" s="500"/>
      <c r="C78" s="500"/>
      <c r="D78" s="501"/>
      <c r="E78" s="502" t="n">
        <f aca="false">IF($C$3="是",ROUND($A$3*G78/$B$3,2),ROUND($A$3*(G78-AT78)/$B$3,2))</f>
        <v>0</v>
      </c>
      <c r="F78" s="503"/>
      <c r="G78" s="504" t="n">
        <f aca="false">H78+AC78+AT78</f>
        <v>0</v>
      </c>
      <c r="H78" s="505" t="n">
        <f aca="false">SUMIF(I$12:AB$12,"总值",I78:AB78)</f>
        <v>0</v>
      </c>
      <c r="I78" s="506"/>
      <c r="J78" s="506"/>
      <c r="K78" s="506"/>
      <c r="L78" s="506"/>
      <c r="M78" s="506"/>
      <c r="N78" s="506"/>
      <c r="O78" s="506"/>
      <c r="P78" s="506"/>
      <c r="Q78" s="506"/>
      <c r="R78" s="506"/>
      <c r="S78" s="506"/>
      <c r="T78" s="506"/>
      <c r="U78" s="506"/>
      <c r="V78" s="506"/>
      <c r="W78" s="506"/>
      <c r="X78" s="506"/>
      <c r="Y78" s="506"/>
      <c r="Z78" s="506"/>
      <c r="AA78" s="506"/>
      <c r="AB78" s="506"/>
      <c r="AC78" s="502" t="n">
        <f aca="false">SUMIF(AD$12:AS$12,"总值",AD78:AS78)</f>
        <v>0</v>
      </c>
      <c r="AD78" s="507"/>
      <c r="AE78" s="507"/>
      <c r="AF78" s="507"/>
      <c r="AG78" s="507"/>
      <c r="AH78" s="507"/>
      <c r="AI78" s="507"/>
      <c r="AJ78" s="507"/>
      <c r="AK78" s="507"/>
      <c r="AL78" s="507"/>
      <c r="AM78" s="507"/>
      <c r="AN78" s="507"/>
      <c r="AO78" s="507"/>
      <c r="AP78" s="507"/>
      <c r="AQ78" s="507"/>
      <c r="AR78" s="507"/>
      <c r="AS78" s="507"/>
      <c r="AT78" s="508"/>
      <c r="AU78" s="509"/>
      <c r="AV78" s="510" t="n">
        <f aca="false">A78</f>
        <v>0</v>
      </c>
      <c r="AW78" s="510" t="n">
        <f aca="false">B78</f>
        <v>0</v>
      </c>
      <c r="AX78" s="510" t="n">
        <f aca="false">C78</f>
        <v>0</v>
      </c>
      <c r="AY78" s="511" t="n">
        <f aca="false">ROUND($AY$6*AZ78/$AZ$5,2)</f>
        <v>0</v>
      </c>
      <c r="AZ78" s="502" t="n">
        <f aca="false">BA78+BL78</f>
        <v>0</v>
      </c>
      <c r="BA78" s="502" t="n">
        <f aca="false">SUM(BB78:BK78)</f>
        <v>0</v>
      </c>
      <c r="BB78" s="502" t="n">
        <f aca="false">IF($D78="是",I78-J78,0)</f>
        <v>0</v>
      </c>
      <c r="BC78" s="502" t="n">
        <f aca="false">IF($D78="是",K78-L78,0)</f>
        <v>0</v>
      </c>
      <c r="BD78" s="502" t="n">
        <f aca="false">IF($D78="是",M78-N78,0)</f>
        <v>0</v>
      </c>
      <c r="BE78" s="502" t="n">
        <f aca="false">IF($D78="是",O78-P78,0)</f>
        <v>0</v>
      </c>
      <c r="BF78" s="502" t="n">
        <f aca="false">IF($D78="是",Q78-R78,0)</f>
        <v>0</v>
      </c>
      <c r="BG78" s="502" t="n">
        <f aca="false">IF($D78="是",S78-T78,0)</f>
        <v>0</v>
      </c>
      <c r="BH78" s="502" t="n">
        <f aca="false">IF($D78="是",U78-V78,0)</f>
        <v>0</v>
      </c>
      <c r="BI78" s="502" t="n">
        <f aca="false">IF($D78="是",W78-X78,0)</f>
        <v>0</v>
      </c>
      <c r="BJ78" s="502" t="n">
        <f aca="false">IF($D78="是",Y78-Z78,0)</f>
        <v>0</v>
      </c>
      <c r="BK78" s="502" t="n">
        <f aca="false">IF($D78="是",AA78-AB78,0)</f>
        <v>0</v>
      </c>
      <c r="BL78" s="502" t="n">
        <f aca="false">SUM(BM78:BT78)</f>
        <v>0</v>
      </c>
      <c r="BM78" s="502" t="n">
        <f aca="false">IF($D78="是",AD78-AE78,0)</f>
        <v>0</v>
      </c>
      <c r="BN78" s="502" t="n">
        <f aca="false">IF($D78="是",AF78-AG78,0)</f>
        <v>0</v>
      </c>
      <c r="BO78" s="502" t="n">
        <f aca="false">IF($D78="是",AH78-AI78,0)</f>
        <v>0</v>
      </c>
      <c r="BP78" s="502" t="n">
        <f aca="false">IF($D78="是",AJ78-AK78,0)</f>
        <v>0</v>
      </c>
      <c r="BQ78" s="502" t="n">
        <f aca="false">IF($D78="是",AL78-AM78,0)</f>
        <v>0</v>
      </c>
      <c r="BR78" s="502" t="n">
        <f aca="false">IF($D78="是",AN78-AO78,0)</f>
        <v>0</v>
      </c>
      <c r="BS78" s="502" t="n">
        <f aca="false">IF($D78="是",AP78-AQ78,0)</f>
        <v>0</v>
      </c>
      <c r="BT78" s="512" t="n">
        <f aca="false">IF($D78="是",AR78-AS78,0)</f>
        <v>0</v>
      </c>
    </row>
    <row r="79" customFormat="false" ht="14.25" hidden="false" customHeight="false" outlineLevel="0" collapsed="false">
      <c r="A79" s="499"/>
      <c r="B79" s="500"/>
      <c r="C79" s="500"/>
      <c r="D79" s="501"/>
      <c r="E79" s="502" t="n">
        <f aca="false">IF($C$3="是",ROUND($A$3*G79/$B$3,2),ROUND($A$3*(G79-AT79)/$B$3,2))</f>
        <v>0</v>
      </c>
      <c r="F79" s="503"/>
      <c r="G79" s="504" t="n">
        <f aca="false">H79+AC79+AT79</f>
        <v>0</v>
      </c>
      <c r="H79" s="505" t="n">
        <f aca="false">SUMIF(I$12:AB$12,"总值",I79:AB79)</f>
        <v>0</v>
      </c>
      <c r="I79" s="506"/>
      <c r="J79" s="506"/>
      <c r="K79" s="506"/>
      <c r="L79" s="506"/>
      <c r="M79" s="506"/>
      <c r="N79" s="506"/>
      <c r="O79" s="506"/>
      <c r="P79" s="506"/>
      <c r="Q79" s="506"/>
      <c r="R79" s="506"/>
      <c r="S79" s="506"/>
      <c r="T79" s="506"/>
      <c r="U79" s="506"/>
      <c r="V79" s="506"/>
      <c r="W79" s="506"/>
      <c r="X79" s="506"/>
      <c r="Y79" s="506"/>
      <c r="Z79" s="506"/>
      <c r="AA79" s="506"/>
      <c r="AB79" s="506"/>
      <c r="AC79" s="502" t="n">
        <f aca="false">SUMIF(AD$12:AS$12,"总值",AD79:AS79)</f>
        <v>0</v>
      </c>
      <c r="AD79" s="507"/>
      <c r="AE79" s="507"/>
      <c r="AF79" s="507"/>
      <c r="AG79" s="507"/>
      <c r="AH79" s="507"/>
      <c r="AI79" s="507"/>
      <c r="AJ79" s="507"/>
      <c r="AK79" s="507"/>
      <c r="AL79" s="507"/>
      <c r="AM79" s="507"/>
      <c r="AN79" s="507"/>
      <c r="AO79" s="507"/>
      <c r="AP79" s="507"/>
      <c r="AQ79" s="507"/>
      <c r="AR79" s="507"/>
      <c r="AS79" s="507"/>
      <c r="AT79" s="508"/>
      <c r="AU79" s="509"/>
      <c r="AV79" s="510" t="n">
        <f aca="false">A79</f>
        <v>0</v>
      </c>
      <c r="AW79" s="510" t="n">
        <f aca="false">B79</f>
        <v>0</v>
      </c>
      <c r="AX79" s="510" t="n">
        <f aca="false">C79</f>
        <v>0</v>
      </c>
      <c r="AY79" s="511" t="n">
        <f aca="false">ROUND($AY$6*AZ79/$AZ$5,2)</f>
        <v>0</v>
      </c>
      <c r="AZ79" s="502" t="n">
        <f aca="false">BA79+BL79</f>
        <v>0</v>
      </c>
      <c r="BA79" s="502" t="n">
        <f aca="false">SUM(BB79:BK79)</f>
        <v>0</v>
      </c>
      <c r="BB79" s="502" t="n">
        <f aca="false">IF($D79="是",I79-J79,0)</f>
        <v>0</v>
      </c>
      <c r="BC79" s="502" t="n">
        <f aca="false">IF($D79="是",K79-L79,0)</f>
        <v>0</v>
      </c>
      <c r="BD79" s="502" t="n">
        <f aca="false">IF($D79="是",M79-N79,0)</f>
        <v>0</v>
      </c>
      <c r="BE79" s="502" t="n">
        <f aca="false">IF($D79="是",O79-P79,0)</f>
        <v>0</v>
      </c>
      <c r="BF79" s="502" t="n">
        <f aca="false">IF($D79="是",Q79-R79,0)</f>
        <v>0</v>
      </c>
      <c r="BG79" s="502" t="n">
        <f aca="false">IF($D79="是",S79-T79,0)</f>
        <v>0</v>
      </c>
      <c r="BH79" s="502" t="n">
        <f aca="false">IF($D79="是",U79-V79,0)</f>
        <v>0</v>
      </c>
      <c r="BI79" s="502" t="n">
        <f aca="false">IF($D79="是",W79-X79,0)</f>
        <v>0</v>
      </c>
      <c r="BJ79" s="502" t="n">
        <f aca="false">IF($D79="是",Y79-Z79,0)</f>
        <v>0</v>
      </c>
      <c r="BK79" s="502" t="n">
        <f aca="false">IF($D79="是",AA79-AB79,0)</f>
        <v>0</v>
      </c>
      <c r="BL79" s="502" t="n">
        <f aca="false">SUM(BM79:BT79)</f>
        <v>0</v>
      </c>
      <c r="BM79" s="502" t="n">
        <f aca="false">IF($D79="是",AD79-AE79,0)</f>
        <v>0</v>
      </c>
      <c r="BN79" s="502" t="n">
        <f aca="false">IF($D79="是",AF79-AG79,0)</f>
        <v>0</v>
      </c>
      <c r="BO79" s="502" t="n">
        <f aca="false">IF($D79="是",AH79-AI79,0)</f>
        <v>0</v>
      </c>
      <c r="BP79" s="502" t="n">
        <f aca="false">IF($D79="是",AJ79-AK79,0)</f>
        <v>0</v>
      </c>
      <c r="BQ79" s="502" t="n">
        <f aca="false">IF($D79="是",AL79-AM79,0)</f>
        <v>0</v>
      </c>
      <c r="BR79" s="502" t="n">
        <f aca="false">IF($D79="是",AN79-AO79,0)</f>
        <v>0</v>
      </c>
      <c r="BS79" s="502" t="n">
        <f aca="false">IF($D79="是",AP79-AQ79,0)</f>
        <v>0</v>
      </c>
      <c r="BT79" s="512" t="n">
        <f aca="false">IF($D79="是",AR79-AS79,0)</f>
        <v>0</v>
      </c>
    </row>
    <row r="80" customFormat="false" ht="14.25" hidden="false" customHeight="false" outlineLevel="0" collapsed="false">
      <c r="A80" s="499"/>
      <c r="B80" s="500"/>
      <c r="C80" s="500"/>
      <c r="D80" s="501"/>
      <c r="E80" s="502" t="n">
        <f aca="false">IF($C$3="是",ROUND($A$3*G80/$B$3,2),ROUND($A$3*(G80-AT80)/$B$3,2))</f>
        <v>0</v>
      </c>
      <c r="F80" s="503"/>
      <c r="G80" s="504" t="n">
        <f aca="false">H80+AC80+AT80</f>
        <v>0</v>
      </c>
      <c r="H80" s="505" t="n">
        <f aca="false">SUMIF(I$12:AB$12,"总值",I80:AB80)</f>
        <v>0</v>
      </c>
      <c r="I80" s="506"/>
      <c r="J80" s="506"/>
      <c r="K80" s="506"/>
      <c r="L80" s="506"/>
      <c r="M80" s="506"/>
      <c r="N80" s="506"/>
      <c r="O80" s="506"/>
      <c r="P80" s="506"/>
      <c r="Q80" s="506"/>
      <c r="R80" s="506"/>
      <c r="S80" s="506"/>
      <c r="T80" s="506"/>
      <c r="U80" s="506"/>
      <c r="V80" s="506"/>
      <c r="W80" s="506"/>
      <c r="X80" s="506"/>
      <c r="Y80" s="506"/>
      <c r="Z80" s="506"/>
      <c r="AA80" s="506"/>
      <c r="AB80" s="506"/>
      <c r="AC80" s="502" t="n">
        <f aca="false">SUMIF(AD$12:AS$12,"总值",AD80:AS80)</f>
        <v>0</v>
      </c>
      <c r="AD80" s="507"/>
      <c r="AE80" s="507"/>
      <c r="AF80" s="507"/>
      <c r="AG80" s="507"/>
      <c r="AH80" s="507"/>
      <c r="AI80" s="507"/>
      <c r="AJ80" s="507"/>
      <c r="AK80" s="507"/>
      <c r="AL80" s="507"/>
      <c r="AM80" s="507"/>
      <c r="AN80" s="507"/>
      <c r="AO80" s="507"/>
      <c r="AP80" s="507"/>
      <c r="AQ80" s="507"/>
      <c r="AR80" s="507"/>
      <c r="AS80" s="507"/>
      <c r="AT80" s="508"/>
      <c r="AU80" s="509"/>
      <c r="AV80" s="510" t="n">
        <f aca="false">A80</f>
        <v>0</v>
      </c>
      <c r="AW80" s="510" t="n">
        <f aca="false">B80</f>
        <v>0</v>
      </c>
      <c r="AX80" s="510" t="n">
        <f aca="false">C80</f>
        <v>0</v>
      </c>
      <c r="AY80" s="511" t="n">
        <f aca="false">ROUND($AY$6*AZ80/$AZ$5,2)</f>
        <v>0</v>
      </c>
      <c r="AZ80" s="502" t="n">
        <f aca="false">BA80+BL80</f>
        <v>0</v>
      </c>
      <c r="BA80" s="502" t="n">
        <f aca="false">SUM(BB80:BK80)</f>
        <v>0</v>
      </c>
      <c r="BB80" s="502" t="n">
        <f aca="false">IF($D80="是",I80-J80,0)</f>
        <v>0</v>
      </c>
      <c r="BC80" s="502" t="n">
        <f aca="false">IF($D80="是",K80-L80,0)</f>
        <v>0</v>
      </c>
      <c r="BD80" s="502" t="n">
        <f aca="false">IF($D80="是",M80-N80,0)</f>
        <v>0</v>
      </c>
      <c r="BE80" s="502" t="n">
        <f aca="false">IF($D80="是",O80-P80,0)</f>
        <v>0</v>
      </c>
      <c r="BF80" s="502" t="n">
        <f aca="false">IF($D80="是",Q80-R80,0)</f>
        <v>0</v>
      </c>
      <c r="BG80" s="502" t="n">
        <f aca="false">IF($D80="是",S80-T80,0)</f>
        <v>0</v>
      </c>
      <c r="BH80" s="502" t="n">
        <f aca="false">IF($D80="是",U80-V80,0)</f>
        <v>0</v>
      </c>
      <c r="BI80" s="502" t="n">
        <f aca="false">IF($D80="是",W80-X80,0)</f>
        <v>0</v>
      </c>
      <c r="BJ80" s="502" t="n">
        <f aca="false">IF($D80="是",Y80-Z80,0)</f>
        <v>0</v>
      </c>
      <c r="BK80" s="502" t="n">
        <f aca="false">IF($D80="是",AA80-AB80,0)</f>
        <v>0</v>
      </c>
      <c r="BL80" s="502" t="n">
        <f aca="false">SUM(BM80:BT80)</f>
        <v>0</v>
      </c>
      <c r="BM80" s="502" t="n">
        <f aca="false">IF($D80="是",AD80-AE80,0)</f>
        <v>0</v>
      </c>
      <c r="BN80" s="502" t="n">
        <f aca="false">IF($D80="是",AF80-AG80,0)</f>
        <v>0</v>
      </c>
      <c r="BO80" s="502" t="n">
        <f aca="false">IF($D80="是",AH80-AI80,0)</f>
        <v>0</v>
      </c>
      <c r="BP80" s="502" t="n">
        <f aca="false">IF($D80="是",AJ80-AK80,0)</f>
        <v>0</v>
      </c>
      <c r="BQ80" s="502" t="n">
        <f aca="false">IF($D80="是",AL80-AM80,0)</f>
        <v>0</v>
      </c>
      <c r="BR80" s="502" t="n">
        <f aca="false">IF($D80="是",AN80-AO80,0)</f>
        <v>0</v>
      </c>
      <c r="BS80" s="502" t="n">
        <f aca="false">IF($D80="是",AP80-AQ80,0)</f>
        <v>0</v>
      </c>
      <c r="BT80" s="512" t="n">
        <f aca="false">IF($D80="是",AR80-AS80,0)</f>
        <v>0</v>
      </c>
    </row>
    <row r="81" customFormat="false" ht="14.25" hidden="false" customHeight="false" outlineLevel="0" collapsed="false">
      <c r="A81" s="499"/>
      <c r="B81" s="500"/>
      <c r="C81" s="500"/>
      <c r="D81" s="501"/>
      <c r="E81" s="502" t="n">
        <f aca="false">IF($C$3="是",ROUND($A$3*G81/$B$3,2),ROUND($A$3*(G81-AT81)/$B$3,2))</f>
        <v>0</v>
      </c>
      <c r="F81" s="503"/>
      <c r="G81" s="504" t="n">
        <f aca="false">H81+AC81+AT81</f>
        <v>0</v>
      </c>
      <c r="H81" s="505" t="n">
        <f aca="false">SUMIF(I$12:AB$12,"总值",I81:AB81)</f>
        <v>0</v>
      </c>
      <c r="I81" s="506"/>
      <c r="J81" s="506"/>
      <c r="K81" s="506"/>
      <c r="L81" s="506"/>
      <c r="M81" s="506"/>
      <c r="N81" s="506"/>
      <c r="O81" s="506"/>
      <c r="P81" s="506"/>
      <c r="Q81" s="506"/>
      <c r="R81" s="506"/>
      <c r="S81" s="506"/>
      <c r="T81" s="506"/>
      <c r="U81" s="506"/>
      <c r="V81" s="506"/>
      <c r="W81" s="506"/>
      <c r="X81" s="506"/>
      <c r="Y81" s="506"/>
      <c r="Z81" s="506"/>
      <c r="AA81" s="506"/>
      <c r="AB81" s="506"/>
      <c r="AC81" s="502" t="n">
        <f aca="false">SUMIF(AD$12:AS$12,"总值",AD81:AS81)</f>
        <v>0</v>
      </c>
      <c r="AD81" s="507"/>
      <c r="AE81" s="507"/>
      <c r="AF81" s="507"/>
      <c r="AG81" s="507"/>
      <c r="AH81" s="507"/>
      <c r="AI81" s="507"/>
      <c r="AJ81" s="507"/>
      <c r="AK81" s="507"/>
      <c r="AL81" s="507"/>
      <c r="AM81" s="507"/>
      <c r="AN81" s="507"/>
      <c r="AO81" s="507"/>
      <c r="AP81" s="507"/>
      <c r="AQ81" s="507"/>
      <c r="AR81" s="507"/>
      <c r="AS81" s="507"/>
      <c r="AT81" s="508"/>
      <c r="AU81" s="509"/>
      <c r="AV81" s="510" t="n">
        <f aca="false">A81</f>
        <v>0</v>
      </c>
      <c r="AW81" s="510" t="n">
        <f aca="false">B81</f>
        <v>0</v>
      </c>
      <c r="AX81" s="510" t="n">
        <f aca="false">C81</f>
        <v>0</v>
      </c>
      <c r="AY81" s="511" t="n">
        <f aca="false">ROUND($AY$6*AZ81/$AZ$5,2)</f>
        <v>0</v>
      </c>
      <c r="AZ81" s="502" t="n">
        <f aca="false">BA81+BL81</f>
        <v>0</v>
      </c>
      <c r="BA81" s="502" t="n">
        <f aca="false">SUM(BB81:BK81)</f>
        <v>0</v>
      </c>
      <c r="BB81" s="502" t="n">
        <f aca="false">IF($D81="是",I81-J81,0)</f>
        <v>0</v>
      </c>
      <c r="BC81" s="502" t="n">
        <f aca="false">IF($D81="是",K81-L81,0)</f>
        <v>0</v>
      </c>
      <c r="BD81" s="502" t="n">
        <f aca="false">IF($D81="是",M81-N81,0)</f>
        <v>0</v>
      </c>
      <c r="BE81" s="502" t="n">
        <f aca="false">IF($D81="是",O81-P81,0)</f>
        <v>0</v>
      </c>
      <c r="BF81" s="502" t="n">
        <f aca="false">IF($D81="是",Q81-R81,0)</f>
        <v>0</v>
      </c>
      <c r="BG81" s="502" t="n">
        <f aca="false">IF($D81="是",S81-T81,0)</f>
        <v>0</v>
      </c>
      <c r="BH81" s="502" t="n">
        <f aca="false">IF($D81="是",U81-V81,0)</f>
        <v>0</v>
      </c>
      <c r="BI81" s="502" t="n">
        <f aca="false">IF($D81="是",W81-X81,0)</f>
        <v>0</v>
      </c>
      <c r="BJ81" s="502" t="n">
        <f aca="false">IF($D81="是",Y81-Z81,0)</f>
        <v>0</v>
      </c>
      <c r="BK81" s="502" t="n">
        <f aca="false">IF($D81="是",AA81-AB81,0)</f>
        <v>0</v>
      </c>
      <c r="BL81" s="502" t="n">
        <f aca="false">SUM(BM81:BT81)</f>
        <v>0</v>
      </c>
      <c r="BM81" s="502" t="n">
        <f aca="false">IF($D81="是",AD81-AE81,0)</f>
        <v>0</v>
      </c>
      <c r="BN81" s="502" t="n">
        <f aca="false">IF($D81="是",AF81-AG81,0)</f>
        <v>0</v>
      </c>
      <c r="BO81" s="502" t="n">
        <f aca="false">IF($D81="是",AH81-AI81,0)</f>
        <v>0</v>
      </c>
      <c r="BP81" s="502" t="n">
        <f aca="false">IF($D81="是",AJ81-AK81,0)</f>
        <v>0</v>
      </c>
      <c r="BQ81" s="502" t="n">
        <f aca="false">IF($D81="是",AL81-AM81,0)</f>
        <v>0</v>
      </c>
      <c r="BR81" s="502" t="n">
        <f aca="false">IF($D81="是",AN81-AO81,0)</f>
        <v>0</v>
      </c>
      <c r="BS81" s="502" t="n">
        <f aca="false">IF($D81="是",AP81-AQ81,0)</f>
        <v>0</v>
      </c>
      <c r="BT81" s="512" t="n">
        <f aca="false">IF($D81="是",AR81-AS81,0)</f>
        <v>0</v>
      </c>
    </row>
    <row r="82" customFormat="false" ht="14.25" hidden="false" customHeight="false" outlineLevel="0" collapsed="false">
      <c r="A82" s="499"/>
      <c r="B82" s="500"/>
      <c r="C82" s="500"/>
      <c r="D82" s="501"/>
      <c r="E82" s="502" t="n">
        <f aca="false">IF($C$3="是",ROUND($A$3*G82/$B$3,2),ROUND($A$3*(G82-AT82)/$B$3,2))</f>
        <v>0</v>
      </c>
      <c r="F82" s="503"/>
      <c r="G82" s="504" t="n">
        <f aca="false">H82+AC82+AT82</f>
        <v>0</v>
      </c>
      <c r="H82" s="505" t="n">
        <f aca="false">SUMIF(I$12:AB$12,"总值",I82:AB82)</f>
        <v>0</v>
      </c>
      <c r="I82" s="506"/>
      <c r="J82" s="506"/>
      <c r="K82" s="506"/>
      <c r="L82" s="506"/>
      <c r="M82" s="506"/>
      <c r="N82" s="506"/>
      <c r="O82" s="506"/>
      <c r="P82" s="506"/>
      <c r="Q82" s="506"/>
      <c r="R82" s="506"/>
      <c r="S82" s="506"/>
      <c r="T82" s="506"/>
      <c r="U82" s="506"/>
      <c r="V82" s="506"/>
      <c r="W82" s="506"/>
      <c r="X82" s="506"/>
      <c r="Y82" s="506"/>
      <c r="Z82" s="506"/>
      <c r="AA82" s="506"/>
      <c r="AB82" s="506"/>
      <c r="AC82" s="502" t="n">
        <f aca="false">SUMIF(AD$12:AS$12,"总值",AD82:AS82)</f>
        <v>0</v>
      </c>
      <c r="AD82" s="507"/>
      <c r="AE82" s="507"/>
      <c r="AF82" s="507"/>
      <c r="AG82" s="507"/>
      <c r="AH82" s="507"/>
      <c r="AI82" s="507"/>
      <c r="AJ82" s="507"/>
      <c r="AK82" s="507"/>
      <c r="AL82" s="507"/>
      <c r="AM82" s="507"/>
      <c r="AN82" s="507"/>
      <c r="AO82" s="507"/>
      <c r="AP82" s="507"/>
      <c r="AQ82" s="507"/>
      <c r="AR82" s="507"/>
      <c r="AS82" s="507"/>
      <c r="AT82" s="508"/>
      <c r="AU82" s="509"/>
      <c r="AV82" s="510" t="n">
        <f aca="false">A82</f>
        <v>0</v>
      </c>
      <c r="AW82" s="510" t="n">
        <f aca="false">B82</f>
        <v>0</v>
      </c>
      <c r="AX82" s="510" t="n">
        <f aca="false">C82</f>
        <v>0</v>
      </c>
      <c r="AY82" s="511" t="n">
        <f aca="false">ROUND($AY$6*AZ82/$AZ$5,2)</f>
        <v>0</v>
      </c>
      <c r="AZ82" s="502" t="n">
        <f aca="false">BA82+BL82</f>
        <v>0</v>
      </c>
      <c r="BA82" s="502" t="n">
        <f aca="false">SUM(BB82:BK82)</f>
        <v>0</v>
      </c>
      <c r="BB82" s="502" t="n">
        <f aca="false">IF($D82="是",I82-J82,0)</f>
        <v>0</v>
      </c>
      <c r="BC82" s="502" t="n">
        <f aca="false">IF($D82="是",K82-L82,0)</f>
        <v>0</v>
      </c>
      <c r="BD82" s="502" t="n">
        <f aca="false">IF($D82="是",M82-N82,0)</f>
        <v>0</v>
      </c>
      <c r="BE82" s="502" t="n">
        <f aca="false">IF($D82="是",O82-P82,0)</f>
        <v>0</v>
      </c>
      <c r="BF82" s="502" t="n">
        <f aca="false">IF($D82="是",Q82-R82,0)</f>
        <v>0</v>
      </c>
      <c r="BG82" s="502" t="n">
        <f aca="false">IF($D82="是",S82-T82,0)</f>
        <v>0</v>
      </c>
      <c r="BH82" s="502" t="n">
        <f aca="false">IF($D82="是",U82-V82,0)</f>
        <v>0</v>
      </c>
      <c r="BI82" s="502" t="n">
        <f aca="false">IF($D82="是",W82-X82,0)</f>
        <v>0</v>
      </c>
      <c r="BJ82" s="502" t="n">
        <f aca="false">IF($D82="是",Y82-Z82,0)</f>
        <v>0</v>
      </c>
      <c r="BK82" s="502" t="n">
        <f aca="false">IF($D82="是",AA82-AB82,0)</f>
        <v>0</v>
      </c>
      <c r="BL82" s="502" t="n">
        <f aca="false">SUM(BM82:BT82)</f>
        <v>0</v>
      </c>
      <c r="BM82" s="502" t="n">
        <f aca="false">IF($D82="是",AD82-AE82,0)</f>
        <v>0</v>
      </c>
      <c r="BN82" s="502" t="n">
        <f aca="false">IF($D82="是",AF82-AG82,0)</f>
        <v>0</v>
      </c>
      <c r="BO82" s="502" t="n">
        <f aca="false">IF($D82="是",AH82-AI82,0)</f>
        <v>0</v>
      </c>
      <c r="BP82" s="502" t="n">
        <f aca="false">IF($D82="是",AJ82-AK82,0)</f>
        <v>0</v>
      </c>
      <c r="BQ82" s="502" t="n">
        <f aca="false">IF($D82="是",AL82-AM82,0)</f>
        <v>0</v>
      </c>
      <c r="BR82" s="502" t="n">
        <f aca="false">IF($D82="是",AN82-AO82,0)</f>
        <v>0</v>
      </c>
      <c r="BS82" s="502" t="n">
        <f aca="false">IF($D82="是",AP82-AQ82,0)</f>
        <v>0</v>
      </c>
      <c r="BT82" s="512" t="n">
        <f aca="false">IF($D82="是",AR82-AS82,0)</f>
        <v>0</v>
      </c>
    </row>
    <row r="83" customFormat="false" ht="14.25" hidden="false" customHeight="false" outlineLevel="0" collapsed="false">
      <c r="A83" s="499"/>
      <c r="B83" s="500"/>
      <c r="C83" s="500"/>
      <c r="D83" s="501"/>
      <c r="E83" s="502" t="n">
        <f aca="false">IF($C$3="是",ROUND($A$3*G83/$B$3,2),ROUND($A$3*(G83-AT83)/$B$3,2))</f>
        <v>0</v>
      </c>
      <c r="F83" s="503"/>
      <c r="G83" s="504" t="n">
        <f aca="false">H83+AC83+AT83</f>
        <v>0</v>
      </c>
      <c r="H83" s="505" t="n">
        <f aca="false">SUMIF(I$12:AB$12,"总值",I83:AB83)</f>
        <v>0</v>
      </c>
      <c r="I83" s="506"/>
      <c r="J83" s="506"/>
      <c r="K83" s="506"/>
      <c r="L83" s="506"/>
      <c r="M83" s="506"/>
      <c r="N83" s="506"/>
      <c r="O83" s="506"/>
      <c r="P83" s="506"/>
      <c r="Q83" s="506"/>
      <c r="R83" s="506"/>
      <c r="S83" s="506"/>
      <c r="T83" s="506"/>
      <c r="U83" s="506"/>
      <c r="V83" s="506"/>
      <c r="W83" s="506"/>
      <c r="X83" s="506"/>
      <c r="Y83" s="506"/>
      <c r="Z83" s="506"/>
      <c r="AA83" s="506"/>
      <c r="AB83" s="506"/>
      <c r="AC83" s="502" t="n">
        <f aca="false">SUMIF(AD$12:AS$12,"总值",AD83:AS83)</f>
        <v>0</v>
      </c>
      <c r="AD83" s="507"/>
      <c r="AE83" s="507"/>
      <c r="AF83" s="507"/>
      <c r="AG83" s="507"/>
      <c r="AH83" s="507"/>
      <c r="AI83" s="507"/>
      <c r="AJ83" s="507"/>
      <c r="AK83" s="507"/>
      <c r="AL83" s="507"/>
      <c r="AM83" s="507"/>
      <c r="AN83" s="507"/>
      <c r="AO83" s="507"/>
      <c r="AP83" s="507"/>
      <c r="AQ83" s="507"/>
      <c r="AR83" s="507"/>
      <c r="AS83" s="507"/>
      <c r="AT83" s="508"/>
      <c r="AU83" s="509"/>
      <c r="AV83" s="510" t="n">
        <f aca="false">A83</f>
        <v>0</v>
      </c>
      <c r="AW83" s="510" t="n">
        <f aca="false">B83</f>
        <v>0</v>
      </c>
      <c r="AX83" s="510" t="n">
        <f aca="false">C83</f>
        <v>0</v>
      </c>
      <c r="AY83" s="511" t="n">
        <f aca="false">ROUND($AY$6*AZ83/$AZ$5,2)</f>
        <v>0</v>
      </c>
      <c r="AZ83" s="502" t="n">
        <f aca="false">BA83+BL83</f>
        <v>0</v>
      </c>
      <c r="BA83" s="502" t="n">
        <f aca="false">SUM(BB83:BK83)</f>
        <v>0</v>
      </c>
      <c r="BB83" s="502" t="n">
        <f aca="false">IF($D83="是",I83-J83,0)</f>
        <v>0</v>
      </c>
      <c r="BC83" s="502" t="n">
        <f aca="false">IF($D83="是",K83-L83,0)</f>
        <v>0</v>
      </c>
      <c r="BD83" s="502" t="n">
        <f aca="false">IF($D83="是",M83-N83,0)</f>
        <v>0</v>
      </c>
      <c r="BE83" s="502" t="n">
        <f aca="false">IF($D83="是",O83-P83,0)</f>
        <v>0</v>
      </c>
      <c r="BF83" s="502" t="n">
        <f aca="false">IF($D83="是",Q83-R83,0)</f>
        <v>0</v>
      </c>
      <c r="BG83" s="502" t="n">
        <f aca="false">IF($D83="是",S83-T83,0)</f>
        <v>0</v>
      </c>
      <c r="BH83" s="502" t="n">
        <f aca="false">IF($D83="是",U83-V83,0)</f>
        <v>0</v>
      </c>
      <c r="BI83" s="502" t="n">
        <f aca="false">IF($D83="是",W83-X83,0)</f>
        <v>0</v>
      </c>
      <c r="BJ83" s="502" t="n">
        <f aca="false">IF($D83="是",Y83-Z83,0)</f>
        <v>0</v>
      </c>
      <c r="BK83" s="502" t="n">
        <f aca="false">IF($D83="是",AA83-AB83,0)</f>
        <v>0</v>
      </c>
      <c r="BL83" s="502" t="n">
        <f aca="false">SUM(BM83:BT83)</f>
        <v>0</v>
      </c>
      <c r="BM83" s="502" t="n">
        <f aca="false">IF($D83="是",AD83-AE83,0)</f>
        <v>0</v>
      </c>
      <c r="BN83" s="502" t="n">
        <f aca="false">IF($D83="是",AF83-AG83,0)</f>
        <v>0</v>
      </c>
      <c r="BO83" s="502" t="n">
        <f aca="false">IF($D83="是",AH83-AI83,0)</f>
        <v>0</v>
      </c>
      <c r="BP83" s="502" t="n">
        <f aca="false">IF($D83="是",AJ83-AK83,0)</f>
        <v>0</v>
      </c>
      <c r="BQ83" s="502" t="n">
        <f aca="false">IF($D83="是",AL83-AM83,0)</f>
        <v>0</v>
      </c>
      <c r="BR83" s="502" t="n">
        <f aca="false">IF($D83="是",AN83-AO83,0)</f>
        <v>0</v>
      </c>
      <c r="BS83" s="502" t="n">
        <f aca="false">IF($D83="是",AP83-AQ83,0)</f>
        <v>0</v>
      </c>
      <c r="BT83" s="512" t="n">
        <f aca="false">IF($D83="是",AR83-AS83,0)</f>
        <v>0</v>
      </c>
    </row>
    <row r="84" customFormat="false" ht="14.25" hidden="false" customHeight="false" outlineLevel="0" collapsed="false">
      <c r="A84" s="499"/>
      <c r="B84" s="500"/>
      <c r="C84" s="500"/>
      <c r="D84" s="501"/>
      <c r="E84" s="502" t="n">
        <f aca="false">IF($C$3="是",ROUND($A$3*G84/$B$3,2),ROUND($A$3*(G84-AT84)/$B$3,2))</f>
        <v>0</v>
      </c>
      <c r="F84" s="503"/>
      <c r="G84" s="504" t="n">
        <f aca="false">H84+AC84+AT84</f>
        <v>0</v>
      </c>
      <c r="H84" s="505" t="n">
        <f aca="false">SUMIF(I$12:AB$12,"总值",I84:AB84)</f>
        <v>0</v>
      </c>
      <c r="I84" s="506"/>
      <c r="J84" s="506"/>
      <c r="K84" s="506"/>
      <c r="L84" s="506"/>
      <c r="M84" s="506"/>
      <c r="N84" s="506"/>
      <c r="O84" s="506"/>
      <c r="P84" s="506"/>
      <c r="Q84" s="506"/>
      <c r="R84" s="506"/>
      <c r="S84" s="506"/>
      <c r="T84" s="506"/>
      <c r="U84" s="506"/>
      <c r="V84" s="506"/>
      <c r="W84" s="506"/>
      <c r="X84" s="506"/>
      <c r="Y84" s="506"/>
      <c r="Z84" s="506"/>
      <c r="AA84" s="506"/>
      <c r="AB84" s="506"/>
      <c r="AC84" s="502" t="n">
        <f aca="false">SUMIF(AD$12:AS$12,"总值",AD84:AS84)</f>
        <v>0</v>
      </c>
      <c r="AD84" s="507"/>
      <c r="AE84" s="507"/>
      <c r="AF84" s="507"/>
      <c r="AG84" s="507"/>
      <c r="AH84" s="507"/>
      <c r="AI84" s="507"/>
      <c r="AJ84" s="507"/>
      <c r="AK84" s="507"/>
      <c r="AL84" s="507"/>
      <c r="AM84" s="507"/>
      <c r="AN84" s="507"/>
      <c r="AO84" s="507"/>
      <c r="AP84" s="507"/>
      <c r="AQ84" s="507"/>
      <c r="AR84" s="507"/>
      <c r="AS84" s="507"/>
      <c r="AT84" s="508"/>
      <c r="AU84" s="509"/>
      <c r="AV84" s="510" t="n">
        <f aca="false">A84</f>
        <v>0</v>
      </c>
      <c r="AW84" s="510" t="n">
        <f aca="false">B84</f>
        <v>0</v>
      </c>
      <c r="AX84" s="510" t="n">
        <f aca="false">C84</f>
        <v>0</v>
      </c>
      <c r="AY84" s="511" t="n">
        <f aca="false">ROUND($AY$6*AZ84/$AZ$5,2)</f>
        <v>0</v>
      </c>
      <c r="AZ84" s="502" t="n">
        <f aca="false">BA84+BL84</f>
        <v>0</v>
      </c>
      <c r="BA84" s="502" t="n">
        <f aca="false">SUM(BB84:BK84)</f>
        <v>0</v>
      </c>
      <c r="BB84" s="502" t="n">
        <f aca="false">IF($D84="是",I84-J84,0)</f>
        <v>0</v>
      </c>
      <c r="BC84" s="502" t="n">
        <f aca="false">IF($D84="是",K84-L84,0)</f>
        <v>0</v>
      </c>
      <c r="BD84" s="502" t="n">
        <f aca="false">IF($D84="是",M84-N84,0)</f>
        <v>0</v>
      </c>
      <c r="BE84" s="502" t="n">
        <f aca="false">IF($D84="是",O84-P84,0)</f>
        <v>0</v>
      </c>
      <c r="BF84" s="502" t="n">
        <f aca="false">IF($D84="是",Q84-R84,0)</f>
        <v>0</v>
      </c>
      <c r="BG84" s="502" t="n">
        <f aca="false">IF($D84="是",S84-T84,0)</f>
        <v>0</v>
      </c>
      <c r="BH84" s="502" t="n">
        <f aca="false">IF($D84="是",U84-V84,0)</f>
        <v>0</v>
      </c>
      <c r="BI84" s="502" t="n">
        <f aca="false">IF($D84="是",W84-X84,0)</f>
        <v>0</v>
      </c>
      <c r="BJ84" s="502" t="n">
        <f aca="false">IF($D84="是",Y84-Z84,0)</f>
        <v>0</v>
      </c>
      <c r="BK84" s="502" t="n">
        <f aca="false">IF($D84="是",AA84-AB84,0)</f>
        <v>0</v>
      </c>
      <c r="BL84" s="502" t="n">
        <f aca="false">SUM(BM84:BT84)</f>
        <v>0</v>
      </c>
      <c r="BM84" s="502" t="n">
        <f aca="false">IF($D84="是",AD84-AE84,0)</f>
        <v>0</v>
      </c>
      <c r="BN84" s="502" t="n">
        <f aca="false">IF($D84="是",AF84-AG84,0)</f>
        <v>0</v>
      </c>
      <c r="BO84" s="502" t="n">
        <f aca="false">IF($D84="是",AH84-AI84,0)</f>
        <v>0</v>
      </c>
      <c r="BP84" s="502" t="n">
        <f aca="false">IF($D84="是",AJ84-AK84,0)</f>
        <v>0</v>
      </c>
      <c r="BQ84" s="502" t="n">
        <f aca="false">IF($D84="是",AL84-AM84,0)</f>
        <v>0</v>
      </c>
      <c r="BR84" s="502" t="n">
        <f aca="false">IF($D84="是",AN84-AO84,0)</f>
        <v>0</v>
      </c>
      <c r="BS84" s="502" t="n">
        <f aca="false">IF($D84="是",AP84-AQ84,0)</f>
        <v>0</v>
      </c>
      <c r="BT84" s="512" t="n">
        <f aca="false">IF($D84="是",AR84-AS84,0)</f>
        <v>0</v>
      </c>
    </row>
    <row r="85" customFormat="false" ht="14.25" hidden="false" customHeight="false" outlineLevel="0" collapsed="false">
      <c r="A85" s="499"/>
      <c r="B85" s="500"/>
      <c r="C85" s="500"/>
      <c r="D85" s="501"/>
      <c r="E85" s="502" t="n">
        <f aca="false">IF($C$3="是",ROUND($A$3*G85/$B$3,2),ROUND($A$3*(G85-AT85)/$B$3,2))</f>
        <v>0</v>
      </c>
      <c r="F85" s="503"/>
      <c r="G85" s="504" t="n">
        <f aca="false">H85+AC85+AT85</f>
        <v>0</v>
      </c>
      <c r="H85" s="505" t="n">
        <f aca="false">SUMIF(I$12:AB$12,"总值",I85:AB85)</f>
        <v>0</v>
      </c>
      <c r="I85" s="506"/>
      <c r="J85" s="506"/>
      <c r="K85" s="506"/>
      <c r="L85" s="506"/>
      <c r="M85" s="506"/>
      <c r="N85" s="506"/>
      <c r="O85" s="506"/>
      <c r="P85" s="506"/>
      <c r="Q85" s="506"/>
      <c r="R85" s="506"/>
      <c r="S85" s="506"/>
      <c r="T85" s="506"/>
      <c r="U85" s="506"/>
      <c r="V85" s="506"/>
      <c r="W85" s="506"/>
      <c r="X85" s="506"/>
      <c r="Y85" s="506"/>
      <c r="Z85" s="506"/>
      <c r="AA85" s="506"/>
      <c r="AB85" s="506"/>
      <c r="AC85" s="502" t="n">
        <f aca="false">SUMIF(AD$12:AS$12,"总值",AD85:AS85)</f>
        <v>0</v>
      </c>
      <c r="AD85" s="507"/>
      <c r="AE85" s="507"/>
      <c r="AF85" s="507"/>
      <c r="AG85" s="507"/>
      <c r="AH85" s="507"/>
      <c r="AI85" s="507"/>
      <c r="AJ85" s="507"/>
      <c r="AK85" s="507"/>
      <c r="AL85" s="507"/>
      <c r="AM85" s="507"/>
      <c r="AN85" s="507"/>
      <c r="AO85" s="507"/>
      <c r="AP85" s="507"/>
      <c r="AQ85" s="507"/>
      <c r="AR85" s="507"/>
      <c r="AS85" s="507"/>
      <c r="AT85" s="508"/>
      <c r="AU85" s="509"/>
      <c r="AV85" s="510" t="n">
        <f aca="false">A85</f>
        <v>0</v>
      </c>
      <c r="AW85" s="510" t="n">
        <f aca="false">B85</f>
        <v>0</v>
      </c>
      <c r="AX85" s="510" t="n">
        <f aca="false">C85</f>
        <v>0</v>
      </c>
      <c r="AY85" s="511" t="n">
        <f aca="false">ROUND($AY$6*AZ85/$AZ$5,2)</f>
        <v>0</v>
      </c>
      <c r="AZ85" s="502" t="n">
        <f aca="false">BA85+BL85</f>
        <v>0</v>
      </c>
      <c r="BA85" s="502" t="n">
        <f aca="false">SUM(BB85:BK85)</f>
        <v>0</v>
      </c>
      <c r="BB85" s="502" t="n">
        <f aca="false">IF($D85="是",I85-J85,0)</f>
        <v>0</v>
      </c>
      <c r="BC85" s="502" t="n">
        <f aca="false">IF($D85="是",K85-L85,0)</f>
        <v>0</v>
      </c>
      <c r="BD85" s="502" t="n">
        <f aca="false">IF($D85="是",M85-N85,0)</f>
        <v>0</v>
      </c>
      <c r="BE85" s="502" t="n">
        <f aca="false">IF($D85="是",O85-P85,0)</f>
        <v>0</v>
      </c>
      <c r="BF85" s="502" t="n">
        <f aca="false">IF($D85="是",Q85-R85,0)</f>
        <v>0</v>
      </c>
      <c r="BG85" s="502" t="n">
        <f aca="false">IF($D85="是",S85-T85,0)</f>
        <v>0</v>
      </c>
      <c r="BH85" s="502" t="n">
        <f aca="false">IF($D85="是",U85-V85,0)</f>
        <v>0</v>
      </c>
      <c r="BI85" s="502" t="n">
        <f aca="false">IF($D85="是",W85-X85,0)</f>
        <v>0</v>
      </c>
      <c r="BJ85" s="502" t="n">
        <f aca="false">IF($D85="是",Y85-Z85,0)</f>
        <v>0</v>
      </c>
      <c r="BK85" s="502" t="n">
        <f aca="false">IF($D85="是",AA85-AB85,0)</f>
        <v>0</v>
      </c>
      <c r="BL85" s="502" t="n">
        <f aca="false">SUM(BM85:BT85)</f>
        <v>0</v>
      </c>
      <c r="BM85" s="502" t="n">
        <f aca="false">IF($D85="是",AD85-AE85,0)</f>
        <v>0</v>
      </c>
      <c r="BN85" s="502" t="n">
        <f aca="false">IF($D85="是",AF85-AG85,0)</f>
        <v>0</v>
      </c>
      <c r="BO85" s="502" t="n">
        <f aca="false">IF($D85="是",AH85-AI85,0)</f>
        <v>0</v>
      </c>
      <c r="BP85" s="502" t="n">
        <f aca="false">IF($D85="是",AJ85-AK85,0)</f>
        <v>0</v>
      </c>
      <c r="BQ85" s="502" t="n">
        <f aca="false">IF($D85="是",AL85-AM85,0)</f>
        <v>0</v>
      </c>
      <c r="BR85" s="502" t="n">
        <f aca="false">IF($D85="是",AN85-AO85,0)</f>
        <v>0</v>
      </c>
      <c r="BS85" s="502" t="n">
        <f aca="false">IF($D85="是",AP85-AQ85,0)</f>
        <v>0</v>
      </c>
      <c r="BT85" s="512" t="n">
        <f aca="false">IF($D85="是",AR85-AS85,0)</f>
        <v>0</v>
      </c>
    </row>
    <row r="86" customFormat="false" ht="14.25" hidden="false" customHeight="false" outlineLevel="0" collapsed="false">
      <c r="A86" s="499"/>
      <c r="B86" s="500"/>
      <c r="C86" s="500"/>
      <c r="D86" s="501"/>
      <c r="E86" s="502" t="n">
        <f aca="false">IF($C$3="是",ROUND($A$3*G86/$B$3,2),ROUND($A$3*(G86-AT86)/$B$3,2))</f>
        <v>0</v>
      </c>
      <c r="F86" s="503"/>
      <c r="G86" s="504" t="n">
        <f aca="false">H86+AC86+AT86</f>
        <v>0</v>
      </c>
      <c r="H86" s="505" t="n">
        <f aca="false">SUMIF(I$12:AB$12,"总值",I86:AB86)</f>
        <v>0</v>
      </c>
      <c r="I86" s="506"/>
      <c r="J86" s="506"/>
      <c r="K86" s="506"/>
      <c r="L86" s="506"/>
      <c r="M86" s="506"/>
      <c r="N86" s="506"/>
      <c r="O86" s="506"/>
      <c r="P86" s="506"/>
      <c r="Q86" s="506"/>
      <c r="R86" s="506"/>
      <c r="S86" s="506"/>
      <c r="T86" s="506"/>
      <c r="U86" s="506"/>
      <c r="V86" s="506"/>
      <c r="W86" s="506"/>
      <c r="X86" s="506"/>
      <c r="Y86" s="506"/>
      <c r="Z86" s="506"/>
      <c r="AA86" s="506"/>
      <c r="AB86" s="506"/>
      <c r="AC86" s="502" t="n">
        <f aca="false">SUMIF(AD$12:AS$12,"总值",AD86:AS86)</f>
        <v>0</v>
      </c>
      <c r="AD86" s="507"/>
      <c r="AE86" s="507"/>
      <c r="AF86" s="507"/>
      <c r="AG86" s="507"/>
      <c r="AH86" s="507"/>
      <c r="AI86" s="507"/>
      <c r="AJ86" s="507"/>
      <c r="AK86" s="507"/>
      <c r="AL86" s="507"/>
      <c r="AM86" s="507"/>
      <c r="AN86" s="507"/>
      <c r="AO86" s="507"/>
      <c r="AP86" s="507"/>
      <c r="AQ86" s="507"/>
      <c r="AR86" s="507"/>
      <c r="AS86" s="507"/>
      <c r="AT86" s="508"/>
      <c r="AU86" s="509"/>
      <c r="AV86" s="510" t="n">
        <f aca="false">A86</f>
        <v>0</v>
      </c>
      <c r="AW86" s="510" t="n">
        <f aca="false">B86</f>
        <v>0</v>
      </c>
      <c r="AX86" s="510" t="n">
        <f aca="false">C86</f>
        <v>0</v>
      </c>
      <c r="AY86" s="511" t="n">
        <f aca="false">ROUND($AY$6*AZ86/$AZ$5,2)</f>
        <v>0</v>
      </c>
      <c r="AZ86" s="502" t="n">
        <f aca="false">BA86+BL86</f>
        <v>0</v>
      </c>
      <c r="BA86" s="502" t="n">
        <f aca="false">SUM(BB86:BK86)</f>
        <v>0</v>
      </c>
      <c r="BB86" s="502" t="n">
        <f aca="false">IF($D86="是",I86-J86,0)</f>
        <v>0</v>
      </c>
      <c r="BC86" s="502" t="n">
        <f aca="false">IF($D86="是",K86-L86,0)</f>
        <v>0</v>
      </c>
      <c r="BD86" s="502" t="n">
        <f aca="false">IF($D86="是",M86-N86,0)</f>
        <v>0</v>
      </c>
      <c r="BE86" s="502" t="n">
        <f aca="false">IF($D86="是",O86-P86,0)</f>
        <v>0</v>
      </c>
      <c r="BF86" s="502" t="n">
        <f aca="false">IF($D86="是",Q86-R86,0)</f>
        <v>0</v>
      </c>
      <c r="BG86" s="502" t="n">
        <f aca="false">IF($D86="是",S86-T86,0)</f>
        <v>0</v>
      </c>
      <c r="BH86" s="502" t="n">
        <f aca="false">IF($D86="是",U86-V86,0)</f>
        <v>0</v>
      </c>
      <c r="BI86" s="502" t="n">
        <f aca="false">IF($D86="是",W86-X86,0)</f>
        <v>0</v>
      </c>
      <c r="BJ86" s="502" t="n">
        <f aca="false">IF($D86="是",Y86-Z86,0)</f>
        <v>0</v>
      </c>
      <c r="BK86" s="502" t="n">
        <f aca="false">IF($D86="是",AA86-AB86,0)</f>
        <v>0</v>
      </c>
      <c r="BL86" s="502" t="n">
        <f aca="false">SUM(BM86:BT86)</f>
        <v>0</v>
      </c>
      <c r="BM86" s="502" t="n">
        <f aca="false">IF($D86="是",AD86-AE86,0)</f>
        <v>0</v>
      </c>
      <c r="BN86" s="502" t="n">
        <f aca="false">IF($D86="是",AF86-AG86,0)</f>
        <v>0</v>
      </c>
      <c r="BO86" s="502" t="n">
        <f aca="false">IF($D86="是",AH86-AI86,0)</f>
        <v>0</v>
      </c>
      <c r="BP86" s="502" t="n">
        <f aca="false">IF($D86="是",AJ86-AK86,0)</f>
        <v>0</v>
      </c>
      <c r="BQ86" s="502" t="n">
        <f aca="false">IF($D86="是",AL86-AM86,0)</f>
        <v>0</v>
      </c>
      <c r="BR86" s="502" t="n">
        <f aca="false">IF($D86="是",AN86-AO86,0)</f>
        <v>0</v>
      </c>
      <c r="BS86" s="502" t="n">
        <f aca="false">IF($D86="是",AP86-AQ86,0)</f>
        <v>0</v>
      </c>
      <c r="BT86" s="512" t="n">
        <f aca="false">IF($D86="是",AR86-AS86,0)</f>
        <v>0</v>
      </c>
    </row>
    <row r="87" customFormat="false" ht="14.25" hidden="false" customHeight="false" outlineLevel="0" collapsed="false">
      <c r="A87" s="499"/>
      <c r="B87" s="500"/>
      <c r="C87" s="500"/>
      <c r="D87" s="501"/>
      <c r="E87" s="502" t="n">
        <f aca="false">IF($C$3="是",ROUND($A$3*G87/$B$3,2),ROUND($A$3*(G87-AT87)/$B$3,2))</f>
        <v>0</v>
      </c>
      <c r="F87" s="503"/>
      <c r="G87" s="504" t="n">
        <f aca="false">H87+AC87+AT87</f>
        <v>0</v>
      </c>
      <c r="H87" s="505" t="n">
        <f aca="false">SUMIF(I$12:AB$12,"总值",I87:AB87)</f>
        <v>0</v>
      </c>
      <c r="I87" s="506"/>
      <c r="J87" s="506"/>
      <c r="K87" s="506"/>
      <c r="L87" s="506"/>
      <c r="M87" s="506"/>
      <c r="N87" s="506"/>
      <c r="O87" s="506"/>
      <c r="P87" s="506"/>
      <c r="Q87" s="506"/>
      <c r="R87" s="506"/>
      <c r="S87" s="506"/>
      <c r="T87" s="506"/>
      <c r="U87" s="506"/>
      <c r="V87" s="506"/>
      <c r="W87" s="506"/>
      <c r="X87" s="506"/>
      <c r="Y87" s="506"/>
      <c r="Z87" s="506"/>
      <c r="AA87" s="506"/>
      <c r="AB87" s="506"/>
      <c r="AC87" s="502" t="n">
        <f aca="false">SUMIF(AD$12:AS$12,"总值",AD87:AS87)</f>
        <v>0</v>
      </c>
      <c r="AD87" s="507"/>
      <c r="AE87" s="507"/>
      <c r="AF87" s="507"/>
      <c r="AG87" s="507"/>
      <c r="AH87" s="507"/>
      <c r="AI87" s="507"/>
      <c r="AJ87" s="507"/>
      <c r="AK87" s="507"/>
      <c r="AL87" s="507"/>
      <c r="AM87" s="507"/>
      <c r="AN87" s="507"/>
      <c r="AO87" s="507"/>
      <c r="AP87" s="507"/>
      <c r="AQ87" s="507"/>
      <c r="AR87" s="507"/>
      <c r="AS87" s="507"/>
      <c r="AT87" s="508"/>
      <c r="AU87" s="509"/>
      <c r="AV87" s="510" t="n">
        <f aca="false">A87</f>
        <v>0</v>
      </c>
      <c r="AW87" s="510" t="n">
        <f aca="false">B87</f>
        <v>0</v>
      </c>
      <c r="AX87" s="510" t="n">
        <f aca="false">C87</f>
        <v>0</v>
      </c>
      <c r="AY87" s="511" t="n">
        <f aca="false">ROUND($AY$6*AZ87/$AZ$5,2)</f>
        <v>0</v>
      </c>
      <c r="AZ87" s="502" t="n">
        <f aca="false">BA87+BL87</f>
        <v>0</v>
      </c>
      <c r="BA87" s="502" t="n">
        <f aca="false">SUM(BB87:BK87)</f>
        <v>0</v>
      </c>
      <c r="BB87" s="502" t="n">
        <f aca="false">IF($D87="是",I87-J87,0)</f>
        <v>0</v>
      </c>
      <c r="BC87" s="502" t="n">
        <f aca="false">IF($D87="是",K87-L87,0)</f>
        <v>0</v>
      </c>
      <c r="BD87" s="502" t="n">
        <f aca="false">IF($D87="是",M87-N87,0)</f>
        <v>0</v>
      </c>
      <c r="BE87" s="502" t="n">
        <f aca="false">IF($D87="是",O87-P87,0)</f>
        <v>0</v>
      </c>
      <c r="BF87" s="502" t="n">
        <f aca="false">IF($D87="是",Q87-R87,0)</f>
        <v>0</v>
      </c>
      <c r="BG87" s="502" t="n">
        <f aca="false">IF($D87="是",S87-T87,0)</f>
        <v>0</v>
      </c>
      <c r="BH87" s="502" t="n">
        <f aca="false">IF($D87="是",U87-V87,0)</f>
        <v>0</v>
      </c>
      <c r="BI87" s="502" t="n">
        <f aca="false">IF($D87="是",W87-X87,0)</f>
        <v>0</v>
      </c>
      <c r="BJ87" s="502" t="n">
        <f aca="false">IF($D87="是",Y87-Z87,0)</f>
        <v>0</v>
      </c>
      <c r="BK87" s="502" t="n">
        <f aca="false">IF($D87="是",AA87-AB87,0)</f>
        <v>0</v>
      </c>
      <c r="BL87" s="502" t="n">
        <f aca="false">SUM(BM87:BT87)</f>
        <v>0</v>
      </c>
      <c r="BM87" s="502" t="n">
        <f aca="false">IF($D87="是",AD87-AE87,0)</f>
        <v>0</v>
      </c>
      <c r="BN87" s="502" t="n">
        <f aca="false">IF($D87="是",AF87-AG87,0)</f>
        <v>0</v>
      </c>
      <c r="BO87" s="502" t="n">
        <f aca="false">IF($D87="是",AH87-AI87,0)</f>
        <v>0</v>
      </c>
      <c r="BP87" s="502" t="n">
        <f aca="false">IF($D87="是",AJ87-AK87,0)</f>
        <v>0</v>
      </c>
      <c r="BQ87" s="502" t="n">
        <f aca="false">IF($D87="是",AL87-AM87,0)</f>
        <v>0</v>
      </c>
      <c r="BR87" s="502" t="n">
        <f aca="false">IF($D87="是",AN87-AO87,0)</f>
        <v>0</v>
      </c>
      <c r="BS87" s="502" t="n">
        <f aca="false">IF($D87="是",AP87-AQ87,0)</f>
        <v>0</v>
      </c>
      <c r="BT87" s="512" t="n">
        <f aca="false">IF($D87="是",AR87-AS87,0)</f>
        <v>0</v>
      </c>
    </row>
    <row r="88" customFormat="false" ht="14.25" hidden="false" customHeight="false" outlineLevel="0" collapsed="false">
      <c r="A88" s="499"/>
      <c r="B88" s="500"/>
      <c r="C88" s="500"/>
      <c r="D88" s="501"/>
      <c r="E88" s="502" t="n">
        <f aca="false">IF($C$3="是",ROUND($A$3*G88/$B$3,2),ROUND($A$3*(G88-AT88)/$B$3,2))</f>
        <v>0</v>
      </c>
      <c r="F88" s="503"/>
      <c r="G88" s="504" t="n">
        <f aca="false">H88+AC88+AT88</f>
        <v>0</v>
      </c>
      <c r="H88" s="505" t="n">
        <f aca="false">SUMIF(I$12:AB$12,"总值",I88:AB88)</f>
        <v>0</v>
      </c>
      <c r="I88" s="506"/>
      <c r="J88" s="506"/>
      <c r="K88" s="506"/>
      <c r="L88" s="506"/>
      <c r="M88" s="506"/>
      <c r="N88" s="506"/>
      <c r="O88" s="506"/>
      <c r="P88" s="506"/>
      <c r="Q88" s="506"/>
      <c r="R88" s="506"/>
      <c r="S88" s="506"/>
      <c r="T88" s="506"/>
      <c r="U88" s="506"/>
      <c r="V88" s="506"/>
      <c r="W88" s="506"/>
      <c r="X88" s="506"/>
      <c r="Y88" s="506"/>
      <c r="Z88" s="506"/>
      <c r="AA88" s="506"/>
      <c r="AB88" s="506"/>
      <c r="AC88" s="502" t="n">
        <f aca="false">SUMIF(AD$12:AS$12,"总值",AD88:AS88)</f>
        <v>0</v>
      </c>
      <c r="AD88" s="507"/>
      <c r="AE88" s="507"/>
      <c r="AF88" s="507"/>
      <c r="AG88" s="507"/>
      <c r="AH88" s="507"/>
      <c r="AI88" s="507"/>
      <c r="AJ88" s="507"/>
      <c r="AK88" s="507"/>
      <c r="AL88" s="507"/>
      <c r="AM88" s="507"/>
      <c r="AN88" s="507"/>
      <c r="AO88" s="507"/>
      <c r="AP88" s="507"/>
      <c r="AQ88" s="507"/>
      <c r="AR88" s="507"/>
      <c r="AS88" s="507"/>
      <c r="AT88" s="508"/>
      <c r="AU88" s="509"/>
      <c r="AV88" s="510" t="n">
        <f aca="false">A88</f>
        <v>0</v>
      </c>
      <c r="AW88" s="510" t="n">
        <f aca="false">B88</f>
        <v>0</v>
      </c>
      <c r="AX88" s="510" t="n">
        <f aca="false">C88</f>
        <v>0</v>
      </c>
      <c r="AY88" s="511" t="n">
        <f aca="false">ROUND($AY$6*AZ88/$AZ$5,2)</f>
        <v>0</v>
      </c>
      <c r="AZ88" s="502" t="n">
        <f aca="false">BA88+BL88</f>
        <v>0</v>
      </c>
      <c r="BA88" s="502" t="n">
        <f aca="false">SUM(BB88:BK88)</f>
        <v>0</v>
      </c>
      <c r="BB88" s="502" t="n">
        <f aca="false">IF($D88="是",I88-J88,0)</f>
        <v>0</v>
      </c>
      <c r="BC88" s="502" t="n">
        <f aca="false">IF($D88="是",K88-L88,0)</f>
        <v>0</v>
      </c>
      <c r="BD88" s="502" t="n">
        <f aca="false">IF($D88="是",M88-N88,0)</f>
        <v>0</v>
      </c>
      <c r="BE88" s="502" t="n">
        <f aca="false">IF($D88="是",O88-P88,0)</f>
        <v>0</v>
      </c>
      <c r="BF88" s="502" t="n">
        <f aca="false">IF($D88="是",Q88-R88,0)</f>
        <v>0</v>
      </c>
      <c r="BG88" s="502" t="n">
        <f aca="false">IF($D88="是",S88-T88,0)</f>
        <v>0</v>
      </c>
      <c r="BH88" s="502" t="n">
        <f aca="false">IF($D88="是",U88-V88,0)</f>
        <v>0</v>
      </c>
      <c r="BI88" s="502" t="n">
        <f aca="false">IF($D88="是",W88-X88,0)</f>
        <v>0</v>
      </c>
      <c r="BJ88" s="502" t="n">
        <f aca="false">IF($D88="是",Y88-Z88,0)</f>
        <v>0</v>
      </c>
      <c r="BK88" s="502" t="n">
        <f aca="false">IF($D88="是",AA88-AB88,0)</f>
        <v>0</v>
      </c>
      <c r="BL88" s="502" t="n">
        <f aca="false">SUM(BM88:BT88)</f>
        <v>0</v>
      </c>
      <c r="BM88" s="502" t="n">
        <f aca="false">IF($D88="是",AD88-AE88,0)</f>
        <v>0</v>
      </c>
      <c r="BN88" s="502" t="n">
        <f aca="false">IF($D88="是",AF88-AG88,0)</f>
        <v>0</v>
      </c>
      <c r="BO88" s="502" t="n">
        <f aca="false">IF($D88="是",AH88-AI88,0)</f>
        <v>0</v>
      </c>
      <c r="BP88" s="502" t="n">
        <f aca="false">IF($D88="是",AJ88-AK88,0)</f>
        <v>0</v>
      </c>
      <c r="BQ88" s="502" t="n">
        <f aca="false">IF($D88="是",AL88-AM88,0)</f>
        <v>0</v>
      </c>
      <c r="BR88" s="502" t="n">
        <f aca="false">IF($D88="是",AN88-AO88,0)</f>
        <v>0</v>
      </c>
      <c r="BS88" s="502" t="n">
        <f aca="false">IF($D88="是",AP88-AQ88,0)</f>
        <v>0</v>
      </c>
      <c r="BT88" s="512" t="n">
        <f aca="false">IF($D88="是",AR88-AS88,0)</f>
        <v>0</v>
      </c>
    </row>
    <row r="89" customFormat="false" ht="14.25" hidden="false" customHeight="false" outlineLevel="0" collapsed="false">
      <c r="A89" s="499"/>
      <c r="B89" s="500"/>
      <c r="C89" s="500"/>
      <c r="D89" s="501"/>
      <c r="E89" s="502" t="n">
        <f aca="false">IF($C$3="是",ROUND($A$3*G89/$B$3,2),ROUND($A$3*(G89-AT89)/$B$3,2))</f>
        <v>0</v>
      </c>
      <c r="F89" s="503"/>
      <c r="G89" s="504" t="n">
        <f aca="false">H89+AC89+AT89</f>
        <v>0</v>
      </c>
      <c r="H89" s="505" t="n">
        <f aca="false">SUMIF(I$12:AB$12,"总值",I89:AB89)</f>
        <v>0</v>
      </c>
      <c r="I89" s="506"/>
      <c r="J89" s="506"/>
      <c r="K89" s="506"/>
      <c r="L89" s="506"/>
      <c r="M89" s="506"/>
      <c r="N89" s="506"/>
      <c r="O89" s="506"/>
      <c r="P89" s="506"/>
      <c r="Q89" s="506"/>
      <c r="R89" s="506"/>
      <c r="S89" s="506"/>
      <c r="T89" s="506"/>
      <c r="U89" s="506"/>
      <c r="V89" s="506"/>
      <c r="W89" s="506"/>
      <c r="X89" s="506"/>
      <c r="Y89" s="506"/>
      <c r="Z89" s="506"/>
      <c r="AA89" s="506"/>
      <c r="AB89" s="506"/>
      <c r="AC89" s="502" t="n">
        <f aca="false">SUMIF(AD$12:AS$12,"总值",AD89:AS89)</f>
        <v>0</v>
      </c>
      <c r="AD89" s="507"/>
      <c r="AE89" s="507"/>
      <c r="AF89" s="507"/>
      <c r="AG89" s="507"/>
      <c r="AH89" s="507"/>
      <c r="AI89" s="507"/>
      <c r="AJ89" s="507"/>
      <c r="AK89" s="507"/>
      <c r="AL89" s="507"/>
      <c r="AM89" s="507"/>
      <c r="AN89" s="507"/>
      <c r="AO89" s="507"/>
      <c r="AP89" s="507"/>
      <c r="AQ89" s="507"/>
      <c r="AR89" s="507"/>
      <c r="AS89" s="507"/>
      <c r="AT89" s="508"/>
      <c r="AU89" s="509"/>
      <c r="AV89" s="510" t="n">
        <f aca="false">A89</f>
        <v>0</v>
      </c>
      <c r="AW89" s="510" t="n">
        <f aca="false">B89</f>
        <v>0</v>
      </c>
      <c r="AX89" s="510" t="n">
        <f aca="false">C89</f>
        <v>0</v>
      </c>
      <c r="AY89" s="511" t="n">
        <f aca="false">ROUND($AY$6*AZ89/$AZ$5,2)</f>
        <v>0</v>
      </c>
      <c r="AZ89" s="502" t="n">
        <f aca="false">BA89+BL89</f>
        <v>0</v>
      </c>
      <c r="BA89" s="502" t="n">
        <f aca="false">SUM(BB89:BK89)</f>
        <v>0</v>
      </c>
      <c r="BB89" s="502" t="n">
        <f aca="false">IF($D89="是",I89-J89,0)</f>
        <v>0</v>
      </c>
      <c r="BC89" s="502" t="n">
        <f aca="false">IF($D89="是",K89-L89,0)</f>
        <v>0</v>
      </c>
      <c r="BD89" s="502" t="n">
        <f aca="false">IF($D89="是",M89-N89,0)</f>
        <v>0</v>
      </c>
      <c r="BE89" s="502" t="n">
        <f aca="false">IF($D89="是",O89-P89,0)</f>
        <v>0</v>
      </c>
      <c r="BF89" s="502" t="n">
        <f aca="false">IF($D89="是",Q89-R89,0)</f>
        <v>0</v>
      </c>
      <c r="BG89" s="502" t="n">
        <f aca="false">IF($D89="是",S89-T89,0)</f>
        <v>0</v>
      </c>
      <c r="BH89" s="502" t="n">
        <f aca="false">IF($D89="是",U89-V89,0)</f>
        <v>0</v>
      </c>
      <c r="BI89" s="502" t="n">
        <f aca="false">IF($D89="是",W89-X89,0)</f>
        <v>0</v>
      </c>
      <c r="BJ89" s="502" t="n">
        <f aca="false">IF($D89="是",Y89-Z89,0)</f>
        <v>0</v>
      </c>
      <c r="BK89" s="502" t="n">
        <f aca="false">IF($D89="是",AA89-AB89,0)</f>
        <v>0</v>
      </c>
      <c r="BL89" s="502" t="n">
        <f aca="false">SUM(BM89:BT89)</f>
        <v>0</v>
      </c>
      <c r="BM89" s="502" t="n">
        <f aca="false">IF($D89="是",AD89-AE89,0)</f>
        <v>0</v>
      </c>
      <c r="BN89" s="502" t="n">
        <f aca="false">IF($D89="是",AF89-AG89,0)</f>
        <v>0</v>
      </c>
      <c r="BO89" s="502" t="n">
        <f aca="false">IF($D89="是",AH89-AI89,0)</f>
        <v>0</v>
      </c>
      <c r="BP89" s="502" t="n">
        <f aca="false">IF($D89="是",AJ89-AK89,0)</f>
        <v>0</v>
      </c>
      <c r="BQ89" s="502" t="n">
        <f aca="false">IF($D89="是",AL89-AM89,0)</f>
        <v>0</v>
      </c>
      <c r="BR89" s="502" t="n">
        <f aca="false">IF($D89="是",AN89-AO89,0)</f>
        <v>0</v>
      </c>
      <c r="BS89" s="502" t="n">
        <f aca="false">IF($D89="是",AP89-AQ89,0)</f>
        <v>0</v>
      </c>
      <c r="BT89" s="512" t="n">
        <f aca="false">IF($D89="是",AR89-AS89,0)</f>
        <v>0</v>
      </c>
    </row>
    <row r="90" customFormat="false" ht="14.25" hidden="false" customHeight="false" outlineLevel="0" collapsed="false">
      <c r="A90" s="499"/>
      <c r="B90" s="500"/>
      <c r="C90" s="500"/>
      <c r="D90" s="501"/>
      <c r="E90" s="502" t="n">
        <f aca="false">IF($C$3="是",ROUND($A$3*G90/$B$3,2),ROUND($A$3*(G90-AT90)/$B$3,2))</f>
        <v>0</v>
      </c>
      <c r="F90" s="503"/>
      <c r="G90" s="504" t="n">
        <f aca="false">H90+AC90+AT90</f>
        <v>0</v>
      </c>
      <c r="H90" s="505" t="n">
        <f aca="false">SUMIF(I$12:AB$12,"总值",I90:AB90)</f>
        <v>0</v>
      </c>
      <c r="I90" s="506"/>
      <c r="J90" s="506"/>
      <c r="K90" s="506"/>
      <c r="L90" s="506"/>
      <c r="M90" s="506"/>
      <c r="N90" s="506"/>
      <c r="O90" s="506"/>
      <c r="P90" s="506"/>
      <c r="Q90" s="506"/>
      <c r="R90" s="506"/>
      <c r="S90" s="506"/>
      <c r="T90" s="506"/>
      <c r="U90" s="506"/>
      <c r="V90" s="506"/>
      <c r="W90" s="506"/>
      <c r="X90" s="506"/>
      <c r="Y90" s="506"/>
      <c r="Z90" s="506"/>
      <c r="AA90" s="506"/>
      <c r="AB90" s="506"/>
      <c r="AC90" s="502" t="n">
        <f aca="false">SUMIF(AD$12:AS$12,"总值",AD90:AS90)</f>
        <v>0</v>
      </c>
      <c r="AD90" s="507"/>
      <c r="AE90" s="507"/>
      <c r="AF90" s="507"/>
      <c r="AG90" s="507"/>
      <c r="AH90" s="507"/>
      <c r="AI90" s="507"/>
      <c r="AJ90" s="507"/>
      <c r="AK90" s="507"/>
      <c r="AL90" s="507"/>
      <c r="AM90" s="507"/>
      <c r="AN90" s="507"/>
      <c r="AO90" s="507"/>
      <c r="AP90" s="507"/>
      <c r="AQ90" s="507"/>
      <c r="AR90" s="507"/>
      <c r="AS90" s="507"/>
      <c r="AT90" s="508"/>
      <c r="AU90" s="509"/>
      <c r="AV90" s="510" t="n">
        <f aca="false">A90</f>
        <v>0</v>
      </c>
      <c r="AW90" s="510" t="n">
        <f aca="false">B90</f>
        <v>0</v>
      </c>
      <c r="AX90" s="510" t="n">
        <f aca="false">C90</f>
        <v>0</v>
      </c>
      <c r="AY90" s="511" t="n">
        <f aca="false">ROUND($AY$6*AZ90/$AZ$5,2)</f>
        <v>0</v>
      </c>
      <c r="AZ90" s="502" t="n">
        <f aca="false">BA90+BL90</f>
        <v>0</v>
      </c>
      <c r="BA90" s="502" t="n">
        <f aca="false">SUM(BB90:BK90)</f>
        <v>0</v>
      </c>
      <c r="BB90" s="502" t="n">
        <f aca="false">IF($D90="是",I90-J90,0)</f>
        <v>0</v>
      </c>
      <c r="BC90" s="502" t="n">
        <f aca="false">IF($D90="是",K90-L90,0)</f>
        <v>0</v>
      </c>
      <c r="BD90" s="502" t="n">
        <f aca="false">IF($D90="是",M90-N90,0)</f>
        <v>0</v>
      </c>
      <c r="BE90" s="502" t="n">
        <f aca="false">IF($D90="是",O90-P90,0)</f>
        <v>0</v>
      </c>
      <c r="BF90" s="502" t="n">
        <f aca="false">IF($D90="是",Q90-R90,0)</f>
        <v>0</v>
      </c>
      <c r="BG90" s="502" t="n">
        <f aca="false">IF($D90="是",S90-T90,0)</f>
        <v>0</v>
      </c>
      <c r="BH90" s="502" t="n">
        <f aca="false">IF($D90="是",U90-V90,0)</f>
        <v>0</v>
      </c>
      <c r="BI90" s="502" t="n">
        <f aca="false">IF($D90="是",W90-X90,0)</f>
        <v>0</v>
      </c>
      <c r="BJ90" s="502" t="n">
        <f aca="false">IF($D90="是",Y90-Z90,0)</f>
        <v>0</v>
      </c>
      <c r="BK90" s="502" t="n">
        <f aca="false">IF($D90="是",AA90-AB90,0)</f>
        <v>0</v>
      </c>
      <c r="BL90" s="502" t="n">
        <f aca="false">SUM(BM90:BT90)</f>
        <v>0</v>
      </c>
      <c r="BM90" s="502" t="n">
        <f aca="false">IF($D90="是",AD90-AE90,0)</f>
        <v>0</v>
      </c>
      <c r="BN90" s="502" t="n">
        <f aca="false">IF($D90="是",AF90-AG90,0)</f>
        <v>0</v>
      </c>
      <c r="BO90" s="502" t="n">
        <f aca="false">IF($D90="是",AH90-AI90,0)</f>
        <v>0</v>
      </c>
      <c r="BP90" s="502" t="n">
        <f aca="false">IF($D90="是",AJ90-AK90,0)</f>
        <v>0</v>
      </c>
      <c r="BQ90" s="502" t="n">
        <f aca="false">IF($D90="是",AL90-AM90,0)</f>
        <v>0</v>
      </c>
      <c r="BR90" s="502" t="n">
        <f aca="false">IF($D90="是",AN90-AO90,0)</f>
        <v>0</v>
      </c>
      <c r="BS90" s="502" t="n">
        <f aca="false">IF($D90="是",AP90-AQ90,0)</f>
        <v>0</v>
      </c>
      <c r="BT90" s="512" t="n">
        <f aca="false">IF($D90="是",AR90-AS90,0)</f>
        <v>0</v>
      </c>
    </row>
    <row r="91" customFormat="false" ht="14.25" hidden="false" customHeight="false" outlineLevel="0" collapsed="false">
      <c r="A91" s="499"/>
      <c r="B91" s="500"/>
      <c r="C91" s="500"/>
      <c r="D91" s="501"/>
      <c r="E91" s="502" t="n">
        <f aca="false">IF($C$3="是",ROUND($A$3*G91/$B$3,2),ROUND($A$3*(G91-AT91)/$B$3,2))</f>
        <v>0</v>
      </c>
      <c r="F91" s="503"/>
      <c r="G91" s="504" t="n">
        <f aca="false">H91+AC91+AT91</f>
        <v>0</v>
      </c>
      <c r="H91" s="505" t="n">
        <f aca="false">SUMIF(I$12:AB$12,"总值",I91:AB91)</f>
        <v>0</v>
      </c>
      <c r="I91" s="506"/>
      <c r="J91" s="506"/>
      <c r="K91" s="506"/>
      <c r="L91" s="506"/>
      <c r="M91" s="506"/>
      <c r="N91" s="506"/>
      <c r="O91" s="506"/>
      <c r="P91" s="506"/>
      <c r="Q91" s="506"/>
      <c r="R91" s="506"/>
      <c r="S91" s="506"/>
      <c r="T91" s="506"/>
      <c r="U91" s="506"/>
      <c r="V91" s="506"/>
      <c r="W91" s="506"/>
      <c r="X91" s="506"/>
      <c r="Y91" s="506"/>
      <c r="Z91" s="506"/>
      <c r="AA91" s="506"/>
      <c r="AB91" s="506"/>
      <c r="AC91" s="502" t="n">
        <f aca="false">SUMIF(AD$12:AS$12,"总值",AD91:AS91)</f>
        <v>0</v>
      </c>
      <c r="AD91" s="507"/>
      <c r="AE91" s="507"/>
      <c r="AF91" s="507"/>
      <c r="AG91" s="507"/>
      <c r="AH91" s="507"/>
      <c r="AI91" s="507"/>
      <c r="AJ91" s="507"/>
      <c r="AK91" s="507"/>
      <c r="AL91" s="507"/>
      <c r="AM91" s="507"/>
      <c r="AN91" s="507"/>
      <c r="AO91" s="507"/>
      <c r="AP91" s="507"/>
      <c r="AQ91" s="507"/>
      <c r="AR91" s="507"/>
      <c r="AS91" s="507"/>
      <c r="AT91" s="508"/>
      <c r="AU91" s="509"/>
      <c r="AV91" s="510" t="n">
        <f aca="false">A91</f>
        <v>0</v>
      </c>
      <c r="AW91" s="510" t="n">
        <f aca="false">B91</f>
        <v>0</v>
      </c>
      <c r="AX91" s="510" t="n">
        <f aca="false">C91</f>
        <v>0</v>
      </c>
      <c r="AY91" s="511" t="n">
        <f aca="false">ROUND($AY$6*AZ91/$AZ$5,2)</f>
        <v>0</v>
      </c>
      <c r="AZ91" s="502" t="n">
        <f aca="false">BA91+BL91</f>
        <v>0</v>
      </c>
      <c r="BA91" s="502" t="n">
        <f aca="false">SUM(BB91:BK91)</f>
        <v>0</v>
      </c>
      <c r="BB91" s="502" t="n">
        <f aca="false">IF($D91="是",I91-J91,0)</f>
        <v>0</v>
      </c>
      <c r="BC91" s="502" t="n">
        <f aca="false">IF($D91="是",K91-L91,0)</f>
        <v>0</v>
      </c>
      <c r="BD91" s="502" t="n">
        <f aca="false">IF($D91="是",M91-N91,0)</f>
        <v>0</v>
      </c>
      <c r="BE91" s="502" t="n">
        <f aca="false">IF($D91="是",O91-P91,0)</f>
        <v>0</v>
      </c>
      <c r="BF91" s="502" t="n">
        <f aca="false">IF($D91="是",Q91-R91,0)</f>
        <v>0</v>
      </c>
      <c r="BG91" s="502" t="n">
        <f aca="false">IF($D91="是",S91-T91,0)</f>
        <v>0</v>
      </c>
      <c r="BH91" s="502" t="n">
        <f aca="false">IF($D91="是",U91-V91,0)</f>
        <v>0</v>
      </c>
      <c r="BI91" s="502" t="n">
        <f aca="false">IF($D91="是",W91-X91,0)</f>
        <v>0</v>
      </c>
      <c r="BJ91" s="502" t="n">
        <f aca="false">IF($D91="是",Y91-Z91,0)</f>
        <v>0</v>
      </c>
      <c r="BK91" s="502" t="n">
        <f aca="false">IF($D91="是",AA91-AB91,0)</f>
        <v>0</v>
      </c>
      <c r="BL91" s="502" t="n">
        <f aca="false">SUM(BM91:BT91)</f>
        <v>0</v>
      </c>
      <c r="BM91" s="502" t="n">
        <f aca="false">IF($D91="是",AD91-AE91,0)</f>
        <v>0</v>
      </c>
      <c r="BN91" s="502" t="n">
        <f aca="false">IF($D91="是",AF91-AG91,0)</f>
        <v>0</v>
      </c>
      <c r="BO91" s="502" t="n">
        <f aca="false">IF($D91="是",AH91-AI91,0)</f>
        <v>0</v>
      </c>
      <c r="BP91" s="502" t="n">
        <f aca="false">IF($D91="是",AJ91-AK91,0)</f>
        <v>0</v>
      </c>
      <c r="BQ91" s="502" t="n">
        <f aca="false">IF($D91="是",AL91-AM91,0)</f>
        <v>0</v>
      </c>
      <c r="BR91" s="502" t="n">
        <f aca="false">IF($D91="是",AN91-AO91,0)</f>
        <v>0</v>
      </c>
      <c r="BS91" s="502" t="n">
        <f aca="false">IF($D91="是",AP91-AQ91,0)</f>
        <v>0</v>
      </c>
      <c r="BT91" s="512" t="n">
        <f aca="false">IF($D91="是",AR91-AS91,0)</f>
        <v>0</v>
      </c>
    </row>
    <row r="92" customFormat="false" ht="14.25" hidden="false" customHeight="false" outlineLevel="0" collapsed="false">
      <c r="A92" s="499"/>
      <c r="B92" s="500"/>
      <c r="C92" s="500"/>
      <c r="D92" s="501"/>
      <c r="E92" s="502" t="n">
        <f aca="false">IF($C$3="是",ROUND($A$3*G92/$B$3,2),ROUND($A$3*(G92-AT92)/$B$3,2))</f>
        <v>0</v>
      </c>
      <c r="F92" s="503"/>
      <c r="G92" s="504" t="n">
        <f aca="false">H92+AC92+AT92</f>
        <v>0</v>
      </c>
      <c r="H92" s="505" t="n">
        <f aca="false">SUMIF(I$12:AB$12,"总值",I92:AB92)</f>
        <v>0</v>
      </c>
      <c r="I92" s="506"/>
      <c r="J92" s="506"/>
      <c r="K92" s="506"/>
      <c r="L92" s="506"/>
      <c r="M92" s="506"/>
      <c r="N92" s="506"/>
      <c r="O92" s="506"/>
      <c r="P92" s="506"/>
      <c r="Q92" s="506"/>
      <c r="R92" s="506"/>
      <c r="S92" s="506"/>
      <c r="T92" s="506"/>
      <c r="U92" s="506"/>
      <c r="V92" s="506"/>
      <c r="W92" s="506"/>
      <c r="X92" s="506"/>
      <c r="Y92" s="506"/>
      <c r="Z92" s="506"/>
      <c r="AA92" s="506"/>
      <c r="AB92" s="506"/>
      <c r="AC92" s="502" t="n">
        <f aca="false">SUMIF(AD$12:AS$12,"总值",AD92:AS92)</f>
        <v>0</v>
      </c>
      <c r="AD92" s="507"/>
      <c r="AE92" s="507"/>
      <c r="AF92" s="507"/>
      <c r="AG92" s="507"/>
      <c r="AH92" s="507"/>
      <c r="AI92" s="507"/>
      <c r="AJ92" s="507"/>
      <c r="AK92" s="507"/>
      <c r="AL92" s="507"/>
      <c r="AM92" s="507"/>
      <c r="AN92" s="507"/>
      <c r="AO92" s="507"/>
      <c r="AP92" s="507"/>
      <c r="AQ92" s="507"/>
      <c r="AR92" s="507"/>
      <c r="AS92" s="507"/>
      <c r="AT92" s="508"/>
      <c r="AU92" s="509"/>
      <c r="AV92" s="510" t="n">
        <f aca="false">A92</f>
        <v>0</v>
      </c>
      <c r="AW92" s="510" t="n">
        <f aca="false">B92</f>
        <v>0</v>
      </c>
      <c r="AX92" s="510" t="n">
        <f aca="false">C92</f>
        <v>0</v>
      </c>
      <c r="AY92" s="511" t="n">
        <f aca="false">ROUND($AY$6*AZ92/$AZ$5,2)</f>
        <v>0</v>
      </c>
      <c r="AZ92" s="502" t="n">
        <f aca="false">BA92+BL92</f>
        <v>0</v>
      </c>
      <c r="BA92" s="502" t="n">
        <f aca="false">SUM(BB92:BK92)</f>
        <v>0</v>
      </c>
      <c r="BB92" s="502" t="n">
        <f aca="false">IF($D92="是",I92-J92,0)</f>
        <v>0</v>
      </c>
      <c r="BC92" s="502" t="n">
        <f aca="false">IF($D92="是",K92-L92,0)</f>
        <v>0</v>
      </c>
      <c r="BD92" s="502" t="n">
        <f aca="false">IF($D92="是",M92-N92,0)</f>
        <v>0</v>
      </c>
      <c r="BE92" s="502" t="n">
        <f aca="false">IF($D92="是",O92-P92,0)</f>
        <v>0</v>
      </c>
      <c r="BF92" s="502" t="n">
        <f aca="false">IF($D92="是",Q92-R92,0)</f>
        <v>0</v>
      </c>
      <c r="BG92" s="502" t="n">
        <f aca="false">IF($D92="是",S92-T92,0)</f>
        <v>0</v>
      </c>
      <c r="BH92" s="502" t="n">
        <f aca="false">IF($D92="是",U92-V92,0)</f>
        <v>0</v>
      </c>
      <c r="BI92" s="502" t="n">
        <f aca="false">IF($D92="是",W92-X92,0)</f>
        <v>0</v>
      </c>
      <c r="BJ92" s="502" t="n">
        <f aca="false">IF($D92="是",Y92-Z92,0)</f>
        <v>0</v>
      </c>
      <c r="BK92" s="502" t="n">
        <f aca="false">IF($D92="是",AA92-AB92,0)</f>
        <v>0</v>
      </c>
      <c r="BL92" s="502" t="n">
        <f aca="false">SUM(BM92:BT92)</f>
        <v>0</v>
      </c>
      <c r="BM92" s="502" t="n">
        <f aca="false">IF($D92="是",AD92-AE92,0)</f>
        <v>0</v>
      </c>
      <c r="BN92" s="502" t="n">
        <f aca="false">IF($D92="是",AF92-AG92,0)</f>
        <v>0</v>
      </c>
      <c r="BO92" s="502" t="n">
        <f aca="false">IF($D92="是",AH92-AI92,0)</f>
        <v>0</v>
      </c>
      <c r="BP92" s="502" t="n">
        <f aca="false">IF($D92="是",AJ92-AK92,0)</f>
        <v>0</v>
      </c>
      <c r="BQ92" s="502" t="n">
        <f aca="false">IF($D92="是",AL92-AM92,0)</f>
        <v>0</v>
      </c>
      <c r="BR92" s="502" t="n">
        <f aca="false">IF($D92="是",AN92-AO92,0)</f>
        <v>0</v>
      </c>
      <c r="BS92" s="502" t="n">
        <f aca="false">IF($D92="是",AP92-AQ92,0)</f>
        <v>0</v>
      </c>
      <c r="BT92" s="512" t="n">
        <f aca="false">IF($D92="是",AR92-AS92,0)</f>
        <v>0</v>
      </c>
    </row>
    <row r="93" customFormat="false" ht="14.25" hidden="false" customHeight="false" outlineLevel="0" collapsed="false">
      <c r="A93" s="499"/>
      <c r="B93" s="500"/>
      <c r="C93" s="500"/>
      <c r="D93" s="501"/>
      <c r="E93" s="502" t="n">
        <f aca="false">IF($C$3="是",ROUND($A$3*G93/$B$3,2),ROUND($A$3*(G93-AT93)/$B$3,2))</f>
        <v>0</v>
      </c>
      <c r="F93" s="503"/>
      <c r="G93" s="504" t="n">
        <f aca="false">H93+AC93+AT93</f>
        <v>0</v>
      </c>
      <c r="H93" s="505" t="n">
        <f aca="false">SUMIF(I$12:AB$12,"总值",I93:AB93)</f>
        <v>0</v>
      </c>
      <c r="I93" s="506"/>
      <c r="J93" s="506"/>
      <c r="K93" s="506"/>
      <c r="L93" s="506"/>
      <c r="M93" s="506"/>
      <c r="N93" s="506"/>
      <c r="O93" s="506"/>
      <c r="P93" s="506"/>
      <c r="Q93" s="506"/>
      <c r="R93" s="506"/>
      <c r="S93" s="506"/>
      <c r="T93" s="506"/>
      <c r="U93" s="506"/>
      <c r="V93" s="506"/>
      <c r="W93" s="506"/>
      <c r="X93" s="506"/>
      <c r="Y93" s="506"/>
      <c r="Z93" s="506"/>
      <c r="AA93" s="506"/>
      <c r="AB93" s="506"/>
      <c r="AC93" s="502" t="n">
        <f aca="false">SUMIF(AD$12:AS$12,"总值",AD93:AS93)</f>
        <v>0</v>
      </c>
      <c r="AD93" s="507"/>
      <c r="AE93" s="507"/>
      <c r="AF93" s="507"/>
      <c r="AG93" s="507"/>
      <c r="AH93" s="507"/>
      <c r="AI93" s="507"/>
      <c r="AJ93" s="507"/>
      <c r="AK93" s="507"/>
      <c r="AL93" s="507"/>
      <c r="AM93" s="507"/>
      <c r="AN93" s="507"/>
      <c r="AO93" s="507"/>
      <c r="AP93" s="507"/>
      <c r="AQ93" s="507"/>
      <c r="AR93" s="507"/>
      <c r="AS93" s="507"/>
      <c r="AT93" s="508"/>
      <c r="AU93" s="509"/>
      <c r="AV93" s="510" t="n">
        <f aca="false">A93</f>
        <v>0</v>
      </c>
      <c r="AW93" s="510" t="n">
        <f aca="false">B93</f>
        <v>0</v>
      </c>
      <c r="AX93" s="510" t="n">
        <f aca="false">C93</f>
        <v>0</v>
      </c>
      <c r="AY93" s="511" t="n">
        <f aca="false">ROUND($AY$6*AZ93/$AZ$5,2)</f>
        <v>0</v>
      </c>
      <c r="AZ93" s="502" t="n">
        <f aca="false">BA93+BL93</f>
        <v>0</v>
      </c>
      <c r="BA93" s="502" t="n">
        <f aca="false">SUM(BB93:BK93)</f>
        <v>0</v>
      </c>
      <c r="BB93" s="502" t="n">
        <f aca="false">IF($D93="是",I93-J93,0)</f>
        <v>0</v>
      </c>
      <c r="BC93" s="502" t="n">
        <f aca="false">IF($D93="是",K93-L93,0)</f>
        <v>0</v>
      </c>
      <c r="BD93" s="502" t="n">
        <f aca="false">IF($D93="是",M93-N93,0)</f>
        <v>0</v>
      </c>
      <c r="BE93" s="502" t="n">
        <f aca="false">IF($D93="是",O93-P93,0)</f>
        <v>0</v>
      </c>
      <c r="BF93" s="502" t="n">
        <f aca="false">IF($D93="是",Q93-R93,0)</f>
        <v>0</v>
      </c>
      <c r="BG93" s="502" t="n">
        <f aca="false">IF($D93="是",S93-T93,0)</f>
        <v>0</v>
      </c>
      <c r="BH93" s="502" t="n">
        <f aca="false">IF($D93="是",U93-V93,0)</f>
        <v>0</v>
      </c>
      <c r="BI93" s="502" t="n">
        <f aca="false">IF($D93="是",W93-X93,0)</f>
        <v>0</v>
      </c>
      <c r="BJ93" s="502" t="n">
        <f aca="false">IF($D93="是",Y93-Z93,0)</f>
        <v>0</v>
      </c>
      <c r="BK93" s="502" t="n">
        <f aca="false">IF($D93="是",AA93-AB93,0)</f>
        <v>0</v>
      </c>
      <c r="BL93" s="502" t="n">
        <f aca="false">SUM(BM93:BT93)</f>
        <v>0</v>
      </c>
      <c r="BM93" s="502" t="n">
        <f aca="false">IF($D93="是",AD93-AE93,0)</f>
        <v>0</v>
      </c>
      <c r="BN93" s="502" t="n">
        <f aca="false">IF($D93="是",AF93-AG93,0)</f>
        <v>0</v>
      </c>
      <c r="BO93" s="502" t="n">
        <f aca="false">IF($D93="是",AH93-AI93,0)</f>
        <v>0</v>
      </c>
      <c r="BP93" s="502" t="n">
        <f aca="false">IF($D93="是",AJ93-AK93,0)</f>
        <v>0</v>
      </c>
      <c r="BQ93" s="502" t="n">
        <f aca="false">IF($D93="是",AL93-AM93,0)</f>
        <v>0</v>
      </c>
      <c r="BR93" s="502" t="n">
        <f aca="false">IF($D93="是",AN93-AO93,0)</f>
        <v>0</v>
      </c>
      <c r="BS93" s="502" t="n">
        <f aca="false">IF($D93="是",AP93-AQ93,0)</f>
        <v>0</v>
      </c>
      <c r="BT93" s="512" t="n">
        <f aca="false">IF($D93="是",AR93-AS93,0)</f>
        <v>0</v>
      </c>
    </row>
    <row r="94" customFormat="false" ht="14.25" hidden="false" customHeight="false" outlineLevel="0" collapsed="false">
      <c r="A94" s="499"/>
      <c r="B94" s="500"/>
      <c r="C94" s="500"/>
      <c r="D94" s="501"/>
      <c r="E94" s="502" t="n">
        <f aca="false">IF($C$3="是",ROUND($A$3*G94/$B$3,2),ROUND($A$3*(G94-AT94)/$B$3,2))</f>
        <v>0</v>
      </c>
      <c r="F94" s="503"/>
      <c r="G94" s="504" t="n">
        <f aca="false">H94+AC94+AT94</f>
        <v>0</v>
      </c>
      <c r="H94" s="505" t="n">
        <f aca="false">SUMIF(I$12:AB$12,"总值",I94:AB94)</f>
        <v>0</v>
      </c>
      <c r="I94" s="506"/>
      <c r="J94" s="506"/>
      <c r="K94" s="506"/>
      <c r="L94" s="506"/>
      <c r="M94" s="506"/>
      <c r="N94" s="506"/>
      <c r="O94" s="506"/>
      <c r="P94" s="506"/>
      <c r="Q94" s="506"/>
      <c r="R94" s="506"/>
      <c r="S94" s="506"/>
      <c r="T94" s="506"/>
      <c r="U94" s="506"/>
      <c r="V94" s="506"/>
      <c r="W94" s="506"/>
      <c r="X94" s="506"/>
      <c r="Y94" s="506"/>
      <c r="Z94" s="506"/>
      <c r="AA94" s="506"/>
      <c r="AB94" s="506"/>
      <c r="AC94" s="502" t="n">
        <f aca="false">SUMIF(AD$12:AS$12,"总值",AD94:AS94)</f>
        <v>0</v>
      </c>
      <c r="AD94" s="507"/>
      <c r="AE94" s="507"/>
      <c r="AF94" s="507"/>
      <c r="AG94" s="507"/>
      <c r="AH94" s="507"/>
      <c r="AI94" s="507"/>
      <c r="AJ94" s="507"/>
      <c r="AK94" s="507"/>
      <c r="AL94" s="507"/>
      <c r="AM94" s="507"/>
      <c r="AN94" s="507"/>
      <c r="AO94" s="507"/>
      <c r="AP94" s="507"/>
      <c r="AQ94" s="507"/>
      <c r="AR94" s="507"/>
      <c r="AS94" s="507"/>
      <c r="AT94" s="508"/>
      <c r="AU94" s="509"/>
      <c r="AV94" s="510" t="n">
        <f aca="false">A94</f>
        <v>0</v>
      </c>
      <c r="AW94" s="510" t="n">
        <f aca="false">B94</f>
        <v>0</v>
      </c>
      <c r="AX94" s="510" t="n">
        <f aca="false">C94</f>
        <v>0</v>
      </c>
      <c r="AY94" s="511" t="n">
        <f aca="false">ROUND($AY$6*AZ94/$AZ$5,2)</f>
        <v>0</v>
      </c>
      <c r="AZ94" s="502" t="n">
        <f aca="false">BA94+BL94</f>
        <v>0</v>
      </c>
      <c r="BA94" s="502" t="n">
        <f aca="false">SUM(BB94:BK94)</f>
        <v>0</v>
      </c>
      <c r="BB94" s="502" t="n">
        <f aca="false">IF($D94="是",I94-J94,0)</f>
        <v>0</v>
      </c>
      <c r="BC94" s="502" t="n">
        <f aca="false">IF($D94="是",K94-L94,0)</f>
        <v>0</v>
      </c>
      <c r="BD94" s="502" t="n">
        <f aca="false">IF($D94="是",M94-N94,0)</f>
        <v>0</v>
      </c>
      <c r="BE94" s="502" t="n">
        <f aca="false">IF($D94="是",O94-P94,0)</f>
        <v>0</v>
      </c>
      <c r="BF94" s="502" t="n">
        <f aca="false">IF($D94="是",Q94-R94,0)</f>
        <v>0</v>
      </c>
      <c r="BG94" s="502" t="n">
        <f aca="false">IF($D94="是",S94-T94,0)</f>
        <v>0</v>
      </c>
      <c r="BH94" s="502" t="n">
        <f aca="false">IF($D94="是",U94-V94,0)</f>
        <v>0</v>
      </c>
      <c r="BI94" s="502" t="n">
        <f aca="false">IF($D94="是",W94-X94,0)</f>
        <v>0</v>
      </c>
      <c r="BJ94" s="502" t="n">
        <f aca="false">IF($D94="是",Y94-Z94,0)</f>
        <v>0</v>
      </c>
      <c r="BK94" s="502" t="n">
        <f aca="false">IF($D94="是",AA94-AB94,0)</f>
        <v>0</v>
      </c>
      <c r="BL94" s="502" t="n">
        <f aca="false">SUM(BM94:BT94)</f>
        <v>0</v>
      </c>
      <c r="BM94" s="502" t="n">
        <f aca="false">IF($D94="是",AD94-AE94,0)</f>
        <v>0</v>
      </c>
      <c r="BN94" s="502" t="n">
        <f aca="false">IF($D94="是",AF94-AG94,0)</f>
        <v>0</v>
      </c>
      <c r="BO94" s="502" t="n">
        <f aca="false">IF($D94="是",AH94-AI94,0)</f>
        <v>0</v>
      </c>
      <c r="BP94" s="502" t="n">
        <f aca="false">IF($D94="是",AJ94-AK94,0)</f>
        <v>0</v>
      </c>
      <c r="BQ94" s="502" t="n">
        <f aca="false">IF($D94="是",AL94-AM94,0)</f>
        <v>0</v>
      </c>
      <c r="BR94" s="502" t="n">
        <f aca="false">IF($D94="是",AN94-AO94,0)</f>
        <v>0</v>
      </c>
      <c r="BS94" s="502" t="n">
        <f aca="false">IF($D94="是",AP94-AQ94,0)</f>
        <v>0</v>
      </c>
      <c r="BT94" s="512" t="n">
        <f aca="false">IF($D94="是",AR94-AS94,0)</f>
        <v>0</v>
      </c>
    </row>
    <row r="95" customFormat="false" ht="14.25" hidden="false" customHeight="false" outlineLevel="0" collapsed="false">
      <c r="A95" s="499"/>
      <c r="B95" s="500"/>
      <c r="C95" s="500"/>
      <c r="D95" s="501"/>
      <c r="E95" s="502" t="n">
        <f aca="false">IF($C$3="是",ROUND($A$3*G95/$B$3,2),ROUND($A$3*(G95-AT95)/$B$3,2))</f>
        <v>0</v>
      </c>
      <c r="F95" s="503"/>
      <c r="G95" s="504" t="n">
        <f aca="false">H95+AC95+AT95</f>
        <v>0</v>
      </c>
      <c r="H95" s="505" t="n">
        <f aca="false">SUMIF(I$12:AB$12,"总值",I95:AB95)</f>
        <v>0</v>
      </c>
      <c r="I95" s="506"/>
      <c r="J95" s="506"/>
      <c r="K95" s="506"/>
      <c r="L95" s="506"/>
      <c r="M95" s="506"/>
      <c r="N95" s="506"/>
      <c r="O95" s="506"/>
      <c r="P95" s="506"/>
      <c r="Q95" s="506"/>
      <c r="R95" s="506"/>
      <c r="S95" s="506"/>
      <c r="T95" s="506"/>
      <c r="U95" s="506"/>
      <c r="V95" s="506"/>
      <c r="W95" s="506"/>
      <c r="X95" s="506"/>
      <c r="Y95" s="506"/>
      <c r="Z95" s="506"/>
      <c r="AA95" s="506"/>
      <c r="AB95" s="506"/>
      <c r="AC95" s="502" t="n">
        <f aca="false">SUMIF(AD$12:AS$12,"总值",AD95:AS95)</f>
        <v>0</v>
      </c>
      <c r="AD95" s="507"/>
      <c r="AE95" s="507"/>
      <c r="AF95" s="507"/>
      <c r="AG95" s="507"/>
      <c r="AH95" s="507"/>
      <c r="AI95" s="507"/>
      <c r="AJ95" s="507"/>
      <c r="AK95" s="507"/>
      <c r="AL95" s="507"/>
      <c r="AM95" s="507"/>
      <c r="AN95" s="507"/>
      <c r="AO95" s="507"/>
      <c r="AP95" s="507"/>
      <c r="AQ95" s="507"/>
      <c r="AR95" s="507"/>
      <c r="AS95" s="507"/>
      <c r="AT95" s="508"/>
      <c r="AU95" s="509"/>
      <c r="AV95" s="510" t="n">
        <f aca="false">A95</f>
        <v>0</v>
      </c>
      <c r="AW95" s="510" t="n">
        <f aca="false">B95</f>
        <v>0</v>
      </c>
      <c r="AX95" s="510" t="n">
        <f aca="false">C95</f>
        <v>0</v>
      </c>
      <c r="AY95" s="511" t="n">
        <f aca="false">ROUND($AY$6*AZ95/$AZ$5,2)</f>
        <v>0</v>
      </c>
      <c r="AZ95" s="502" t="n">
        <f aca="false">BA95+BL95</f>
        <v>0</v>
      </c>
      <c r="BA95" s="502" t="n">
        <f aca="false">SUM(BB95:BK95)</f>
        <v>0</v>
      </c>
      <c r="BB95" s="502" t="n">
        <f aca="false">IF($D95="是",I95-J95,0)</f>
        <v>0</v>
      </c>
      <c r="BC95" s="502" t="n">
        <f aca="false">IF($D95="是",K95-L95,0)</f>
        <v>0</v>
      </c>
      <c r="BD95" s="502" t="n">
        <f aca="false">IF($D95="是",M95-N95,0)</f>
        <v>0</v>
      </c>
      <c r="BE95" s="502" t="n">
        <f aca="false">IF($D95="是",O95-P95,0)</f>
        <v>0</v>
      </c>
      <c r="BF95" s="502" t="n">
        <f aca="false">IF($D95="是",Q95-R95,0)</f>
        <v>0</v>
      </c>
      <c r="BG95" s="502" t="n">
        <f aca="false">IF($D95="是",S95-T95,0)</f>
        <v>0</v>
      </c>
      <c r="BH95" s="502" t="n">
        <f aca="false">IF($D95="是",U95-V95,0)</f>
        <v>0</v>
      </c>
      <c r="BI95" s="502" t="n">
        <f aca="false">IF($D95="是",W95-X95,0)</f>
        <v>0</v>
      </c>
      <c r="BJ95" s="502" t="n">
        <f aca="false">IF($D95="是",Y95-Z95,0)</f>
        <v>0</v>
      </c>
      <c r="BK95" s="502" t="n">
        <f aca="false">IF($D95="是",AA95-AB95,0)</f>
        <v>0</v>
      </c>
      <c r="BL95" s="502" t="n">
        <f aca="false">SUM(BM95:BT95)</f>
        <v>0</v>
      </c>
      <c r="BM95" s="502" t="n">
        <f aca="false">IF($D95="是",AD95-AE95,0)</f>
        <v>0</v>
      </c>
      <c r="BN95" s="502" t="n">
        <f aca="false">IF($D95="是",AF95-AG95,0)</f>
        <v>0</v>
      </c>
      <c r="BO95" s="502" t="n">
        <f aca="false">IF($D95="是",AH95-AI95,0)</f>
        <v>0</v>
      </c>
      <c r="BP95" s="502" t="n">
        <f aca="false">IF($D95="是",AJ95-AK95,0)</f>
        <v>0</v>
      </c>
      <c r="BQ95" s="502" t="n">
        <f aca="false">IF($D95="是",AL95-AM95,0)</f>
        <v>0</v>
      </c>
      <c r="BR95" s="502" t="n">
        <f aca="false">IF($D95="是",AN95-AO95,0)</f>
        <v>0</v>
      </c>
      <c r="BS95" s="502" t="n">
        <f aca="false">IF($D95="是",AP95-AQ95,0)</f>
        <v>0</v>
      </c>
      <c r="BT95" s="512" t="n">
        <f aca="false">IF($D95="是",AR95-AS95,0)</f>
        <v>0</v>
      </c>
    </row>
    <row r="96" customFormat="false" ht="14.25" hidden="false" customHeight="false" outlineLevel="0" collapsed="false">
      <c r="A96" s="499"/>
      <c r="B96" s="500"/>
      <c r="C96" s="500"/>
      <c r="D96" s="501"/>
      <c r="E96" s="502" t="n">
        <f aca="false">IF($C$3="是",ROUND($A$3*G96/$B$3,2),ROUND($A$3*(G96-AT96)/$B$3,2))</f>
        <v>0</v>
      </c>
      <c r="F96" s="503"/>
      <c r="G96" s="504" t="n">
        <f aca="false">H96+AC96+AT96</f>
        <v>0</v>
      </c>
      <c r="H96" s="505" t="n">
        <f aca="false">SUMIF(I$12:AB$12,"总值",I96:AB96)</f>
        <v>0</v>
      </c>
      <c r="I96" s="506"/>
      <c r="J96" s="506"/>
      <c r="K96" s="506"/>
      <c r="L96" s="506"/>
      <c r="M96" s="506"/>
      <c r="N96" s="506"/>
      <c r="O96" s="506"/>
      <c r="P96" s="506"/>
      <c r="Q96" s="506"/>
      <c r="R96" s="506"/>
      <c r="S96" s="506"/>
      <c r="T96" s="506"/>
      <c r="U96" s="506"/>
      <c r="V96" s="506"/>
      <c r="W96" s="506"/>
      <c r="X96" s="506"/>
      <c r="Y96" s="506"/>
      <c r="Z96" s="506"/>
      <c r="AA96" s="506"/>
      <c r="AB96" s="506"/>
      <c r="AC96" s="502" t="n">
        <f aca="false">SUMIF(AD$12:AS$12,"总值",AD96:AS96)</f>
        <v>0</v>
      </c>
      <c r="AD96" s="507"/>
      <c r="AE96" s="507"/>
      <c r="AF96" s="507"/>
      <c r="AG96" s="507"/>
      <c r="AH96" s="507"/>
      <c r="AI96" s="507"/>
      <c r="AJ96" s="507"/>
      <c r="AK96" s="507"/>
      <c r="AL96" s="507"/>
      <c r="AM96" s="507"/>
      <c r="AN96" s="507"/>
      <c r="AO96" s="507"/>
      <c r="AP96" s="507"/>
      <c r="AQ96" s="507"/>
      <c r="AR96" s="507"/>
      <c r="AS96" s="507"/>
      <c r="AT96" s="508"/>
      <c r="AU96" s="509"/>
      <c r="AV96" s="510" t="n">
        <f aca="false">A96</f>
        <v>0</v>
      </c>
      <c r="AW96" s="510" t="n">
        <f aca="false">B96</f>
        <v>0</v>
      </c>
      <c r="AX96" s="510" t="n">
        <f aca="false">C96</f>
        <v>0</v>
      </c>
      <c r="AY96" s="511" t="n">
        <f aca="false">ROUND($AY$6*AZ96/$AZ$5,2)</f>
        <v>0</v>
      </c>
      <c r="AZ96" s="502" t="n">
        <f aca="false">BA96+BL96</f>
        <v>0</v>
      </c>
      <c r="BA96" s="502" t="n">
        <f aca="false">SUM(BB96:BK96)</f>
        <v>0</v>
      </c>
      <c r="BB96" s="502" t="n">
        <f aca="false">IF($D96="是",I96-J96,0)</f>
        <v>0</v>
      </c>
      <c r="BC96" s="502" t="n">
        <f aca="false">IF($D96="是",K96-L96,0)</f>
        <v>0</v>
      </c>
      <c r="BD96" s="502" t="n">
        <f aca="false">IF($D96="是",M96-N96,0)</f>
        <v>0</v>
      </c>
      <c r="BE96" s="502" t="n">
        <f aca="false">IF($D96="是",O96-P96,0)</f>
        <v>0</v>
      </c>
      <c r="BF96" s="502" t="n">
        <f aca="false">IF($D96="是",Q96-R96,0)</f>
        <v>0</v>
      </c>
      <c r="BG96" s="502" t="n">
        <f aca="false">IF($D96="是",S96-T96,0)</f>
        <v>0</v>
      </c>
      <c r="BH96" s="502" t="n">
        <f aca="false">IF($D96="是",U96-V96,0)</f>
        <v>0</v>
      </c>
      <c r="BI96" s="502" t="n">
        <f aca="false">IF($D96="是",W96-X96,0)</f>
        <v>0</v>
      </c>
      <c r="BJ96" s="502" t="n">
        <f aca="false">IF($D96="是",Y96-Z96,0)</f>
        <v>0</v>
      </c>
      <c r="BK96" s="502" t="n">
        <f aca="false">IF($D96="是",AA96-AB96,0)</f>
        <v>0</v>
      </c>
      <c r="BL96" s="502" t="n">
        <f aca="false">SUM(BM96:BT96)</f>
        <v>0</v>
      </c>
      <c r="BM96" s="502" t="n">
        <f aca="false">IF($D96="是",AD96-AE96,0)</f>
        <v>0</v>
      </c>
      <c r="BN96" s="502" t="n">
        <f aca="false">IF($D96="是",AF96-AG96,0)</f>
        <v>0</v>
      </c>
      <c r="BO96" s="502" t="n">
        <f aca="false">IF($D96="是",AH96-AI96,0)</f>
        <v>0</v>
      </c>
      <c r="BP96" s="502" t="n">
        <f aca="false">IF($D96="是",AJ96-AK96,0)</f>
        <v>0</v>
      </c>
      <c r="BQ96" s="502" t="n">
        <f aca="false">IF($D96="是",AL96-AM96,0)</f>
        <v>0</v>
      </c>
      <c r="BR96" s="502" t="n">
        <f aca="false">IF($D96="是",AN96-AO96,0)</f>
        <v>0</v>
      </c>
      <c r="BS96" s="502" t="n">
        <f aca="false">IF($D96="是",AP96-AQ96,0)</f>
        <v>0</v>
      </c>
      <c r="BT96" s="512" t="n">
        <f aca="false">IF($D96="是",AR96-AS96,0)</f>
        <v>0</v>
      </c>
    </row>
    <row r="97" customFormat="false" ht="14.25" hidden="false" customHeight="false" outlineLevel="0" collapsed="false">
      <c r="A97" s="499"/>
      <c r="B97" s="500"/>
      <c r="C97" s="500"/>
      <c r="D97" s="501"/>
      <c r="E97" s="502" t="n">
        <f aca="false">IF($C$3="是",ROUND($A$3*G97/$B$3,2),ROUND($A$3*(G97-AT97)/$B$3,2))</f>
        <v>0</v>
      </c>
      <c r="F97" s="503"/>
      <c r="G97" s="504" t="n">
        <f aca="false">H97+AC97+AT97</f>
        <v>0</v>
      </c>
      <c r="H97" s="505" t="n">
        <f aca="false">SUMIF(I$12:AB$12,"总值",I97:AB97)</f>
        <v>0</v>
      </c>
      <c r="I97" s="506"/>
      <c r="J97" s="506"/>
      <c r="K97" s="506"/>
      <c r="L97" s="506"/>
      <c r="M97" s="506"/>
      <c r="N97" s="506"/>
      <c r="O97" s="506"/>
      <c r="P97" s="506"/>
      <c r="Q97" s="506"/>
      <c r="R97" s="506"/>
      <c r="S97" s="506"/>
      <c r="T97" s="506"/>
      <c r="U97" s="506"/>
      <c r="V97" s="506"/>
      <c r="W97" s="506"/>
      <c r="X97" s="506"/>
      <c r="Y97" s="506"/>
      <c r="Z97" s="506"/>
      <c r="AA97" s="506"/>
      <c r="AB97" s="506"/>
      <c r="AC97" s="502" t="n">
        <f aca="false">SUMIF(AD$12:AS$12,"总值",AD97:AS97)</f>
        <v>0</v>
      </c>
      <c r="AD97" s="507"/>
      <c r="AE97" s="507"/>
      <c r="AF97" s="507"/>
      <c r="AG97" s="507"/>
      <c r="AH97" s="507"/>
      <c r="AI97" s="507"/>
      <c r="AJ97" s="507"/>
      <c r="AK97" s="507"/>
      <c r="AL97" s="507"/>
      <c r="AM97" s="507"/>
      <c r="AN97" s="507"/>
      <c r="AO97" s="507"/>
      <c r="AP97" s="507"/>
      <c r="AQ97" s="507"/>
      <c r="AR97" s="507"/>
      <c r="AS97" s="507"/>
      <c r="AT97" s="508"/>
      <c r="AU97" s="509"/>
      <c r="AV97" s="510" t="n">
        <f aca="false">A97</f>
        <v>0</v>
      </c>
      <c r="AW97" s="510" t="n">
        <f aca="false">B97</f>
        <v>0</v>
      </c>
      <c r="AX97" s="510" t="n">
        <f aca="false">C97</f>
        <v>0</v>
      </c>
      <c r="AY97" s="511" t="n">
        <f aca="false">ROUND($AY$6*AZ97/$AZ$5,2)</f>
        <v>0</v>
      </c>
      <c r="AZ97" s="502" t="n">
        <f aca="false">BA97+BL97</f>
        <v>0</v>
      </c>
      <c r="BA97" s="502" t="n">
        <f aca="false">SUM(BB97:BK97)</f>
        <v>0</v>
      </c>
      <c r="BB97" s="502" t="n">
        <f aca="false">IF($D97="是",I97-J97,0)</f>
        <v>0</v>
      </c>
      <c r="BC97" s="502" t="n">
        <f aca="false">IF($D97="是",K97-L97,0)</f>
        <v>0</v>
      </c>
      <c r="BD97" s="502" t="n">
        <f aca="false">IF($D97="是",M97-N97,0)</f>
        <v>0</v>
      </c>
      <c r="BE97" s="502" t="n">
        <f aca="false">IF($D97="是",O97-P97,0)</f>
        <v>0</v>
      </c>
      <c r="BF97" s="502" t="n">
        <f aca="false">IF($D97="是",Q97-R97,0)</f>
        <v>0</v>
      </c>
      <c r="BG97" s="502" t="n">
        <f aca="false">IF($D97="是",S97-T97,0)</f>
        <v>0</v>
      </c>
      <c r="BH97" s="502" t="n">
        <f aca="false">IF($D97="是",U97-V97,0)</f>
        <v>0</v>
      </c>
      <c r="BI97" s="502" t="n">
        <f aca="false">IF($D97="是",W97-X97,0)</f>
        <v>0</v>
      </c>
      <c r="BJ97" s="502" t="n">
        <f aca="false">IF($D97="是",Y97-Z97,0)</f>
        <v>0</v>
      </c>
      <c r="BK97" s="502" t="n">
        <f aca="false">IF($D97="是",AA97-AB97,0)</f>
        <v>0</v>
      </c>
      <c r="BL97" s="502" t="n">
        <f aca="false">SUM(BM97:BT97)</f>
        <v>0</v>
      </c>
      <c r="BM97" s="502" t="n">
        <f aca="false">IF($D97="是",AD97-AE97,0)</f>
        <v>0</v>
      </c>
      <c r="BN97" s="502" t="n">
        <f aca="false">IF($D97="是",AF97-AG97,0)</f>
        <v>0</v>
      </c>
      <c r="BO97" s="502" t="n">
        <f aca="false">IF($D97="是",AH97-AI97,0)</f>
        <v>0</v>
      </c>
      <c r="BP97" s="502" t="n">
        <f aca="false">IF($D97="是",AJ97-AK97,0)</f>
        <v>0</v>
      </c>
      <c r="BQ97" s="502" t="n">
        <f aca="false">IF($D97="是",AL97-AM97,0)</f>
        <v>0</v>
      </c>
      <c r="BR97" s="502" t="n">
        <f aca="false">IF($D97="是",AN97-AO97,0)</f>
        <v>0</v>
      </c>
      <c r="BS97" s="502" t="n">
        <f aca="false">IF($D97="是",AP97-AQ97,0)</f>
        <v>0</v>
      </c>
      <c r="BT97" s="512" t="n">
        <f aca="false">IF($D97="是",AR97-AS97,0)</f>
        <v>0</v>
      </c>
    </row>
    <row r="98" customFormat="false" ht="14.25" hidden="false" customHeight="false" outlineLevel="0" collapsed="false">
      <c r="A98" s="499"/>
      <c r="B98" s="500"/>
      <c r="C98" s="500"/>
      <c r="D98" s="501"/>
      <c r="E98" s="502" t="n">
        <f aca="false">IF($C$3="是",ROUND($A$3*G98/$B$3,2),ROUND($A$3*(G98-AT98)/$B$3,2))</f>
        <v>0</v>
      </c>
      <c r="F98" s="503"/>
      <c r="G98" s="504" t="n">
        <f aca="false">H98+AC98+AT98</f>
        <v>0</v>
      </c>
      <c r="H98" s="505" t="n">
        <f aca="false">SUMIF(I$12:AB$12,"总值",I98:AB98)</f>
        <v>0</v>
      </c>
      <c r="I98" s="506"/>
      <c r="J98" s="506"/>
      <c r="K98" s="506"/>
      <c r="L98" s="506"/>
      <c r="M98" s="506"/>
      <c r="N98" s="506"/>
      <c r="O98" s="506"/>
      <c r="P98" s="506"/>
      <c r="Q98" s="506"/>
      <c r="R98" s="506"/>
      <c r="S98" s="506"/>
      <c r="T98" s="506"/>
      <c r="U98" s="506"/>
      <c r="V98" s="506"/>
      <c r="W98" s="506"/>
      <c r="X98" s="506"/>
      <c r="Y98" s="506"/>
      <c r="Z98" s="506"/>
      <c r="AA98" s="506"/>
      <c r="AB98" s="506"/>
      <c r="AC98" s="502" t="n">
        <f aca="false">SUMIF(AD$12:AS$12,"总值",AD98:AS98)</f>
        <v>0</v>
      </c>
      <c r="AD98" s="507"/>
      <c r="AE98" s="507"/>
      <c r="AF98" s="507"/>
      <c r="AG98" s="507"/>
      <c r="AH98" s="507"/>
      <c r="AI98" s="507"/>
      <c r="AJ98" s="507"/>
      <c r="AK98" s="507"/>
      <c r="AL98" s="507"/>
      <c r="AM98" s="507"/>
      <c r="AN98" s="507"/>
      <c r="AO98" s="507"/>
      <c r="AP98" s="507"/>
      <c r="AQ98" s="507"/>
      <c r="AR98" s="507"/>
      <c r="AS98" s="507"/>
      <c r="AT98" s="508"/>
      <c r="AU98" s="509"/>
      <c r="AV98" s="510" t="n">
        <f aca="false">A98</f>
        <v>0</v>
      </c>
      <c r="AW98" s="510" t="n">
        <f aca="false">B98</f>
        <v>0</v>
      </c>
      <c r="AX98" s="510" t="n">
        <f aca="false">C98</f>
        <v>0</v>
      </c>
      <c r="AY98" s="511" t="n">
        <f aca="false">ROUND($AY$6*AZ98/$AZ$5,2)</f>
        <v>0</v>
      </c>
      <c r="AZ98" s="502" t="n">
        <f aca="false">BA98+BL98</f>
        <v>0</v>
      </c>
      <c r="BA98" s="502" t="n">
        <f aca="false">SUM(BB98:BK98)</f>
        <v>0</v>
      </c>
      <c r="BB98" s="502" t="n">
        <f aca="false">IF($D98="是",I98-J98,0)</f>
        <v>0</v>
      </c>
      <c r="BC98" s="502" t="n">
        <f aca="false">IF($D98="是",K98-L98,0)</f>
        <v>0</v>
      </c>
      <c r="BD98" s="502" t="n">
        <f aca="false">IF($D98="是",M98-N98,0)</f>
        <v>0</v>
      </c>
      <c r="BE98" s="502" t="n">
        <f aca="false">IF($D98="是",O98-P98,0)</f>
        <v>0</v>
      </c>
      <c r="BF98" s="502" t="n">
        <f aca="false">IF($D98="是",Q98-R98,0)</f>
        <v>0</v>
      </c>
      <c r="BG98" s="502" t="n">
        <f aca="false">IF($D98="是",S98-T98,0)</f>
        <v>0</v>
      </c>
      <c r="BH98" s="502" t="n">
        <f aca="false">IF($D98="是",U98-V98,0)</f>
        <v>0</v>
      </c>
      <c r="BI98" s="502" t="n">
        <f aca="false">IF($D98="是",W98-X98,0)</f>
        <v>0</v>
      </c>
      <c r="BJ98" s="502" t="n">
        <f aca="false">IF($D98="是",Y98-Z98,0)</f>
        <v>0</v>
      </c>
      <c r="BK98" s="502" t="n">
        <f aca="false">IF($D98="是",AA98-AB98,0)</f>
        <v>0</v>
      </c>
      <c r="BL98" s="502" t="n">
        <f aca="false">SUM(BM98:BT98)</f>
        <v>0</v>
      </c>
      <c r="BM98" s="502" t="n">
        <f aca="false">IF($D98="是",AD98-AE98,0)</f>
        <v>0</v>
      </c>
      <c r="BN98" s="502" t="n">
        <f aca="false">IF($D98="是",AF98-AG98,0)</f>
        <v>0</v>
      </c>
      <c r="BO98" s="502" t="n">
        <f aca="false">IF($D98="是",AH98-AI98,0)</f>
        <v>0</v>
      </c>
      <c r="BP98" s="502" t="n">
        <f aca="false">IF($D98="是",AJ98-AK98,0)</f>
        <v>0</v>
      </c>
      <c r="BQ98" s="502" t="n">
        <f aca="false">IF($D98="是",AL98-AM98,0)</f>
        <v>0</v>
      </c>
      <c r="BR98" s="502" t="n">
        <f aca="false">IF($D98="是",AN98-AO98,0)</f>
        <v>0</v>
      </c>
      <c r="BS98" s="502" t="n">
        <f aca="false">IF($D98="是",AP98-AQ98,0)</f>
        <v>0</v>
      </c>
      <c r="BT98" s="512" t="n">
        <f aca="false">IF($D98="是",AR98-AS98,0)</f>
        <v>0</v>
      </c>
    </row>
    <row r="99" customFormat="false" ht="14.25" hidden="false" customHeight="false" outlineLevel="0" collapsed="false">
      <c r="A99" s="499"/>
      <c r="B99" s="500"/>
      <c r="C99" s="500"/>
      <c r="D99" s="501"/>
      <c r="E99" s="502" t="n">
        <f aca="false">IF($C$3="是",ROUND($A$3*G99/$B$3,2),ROUND($A$3*(G99-AT99)/$B$3,2))</f>
        <v>0</v>
      </c>
      <c r="F99" s="503"/>
      <c r="G99" s="504" t="n">
        <f aca="false">H99+AC99+AT99</f>
        <v>0</v>
      </c>
      <c r="H99" s="505" t="n">
        <f aca="false">SUMIF(I$12:AB$12,"总值",I99:AB99)</f>
        <v>0</v>
      </c>
      <c r="I99" s="506"/>
      <c r="J99" s="506"/>
      <c r="K99" s="506"/>
      <c r="L99" s="506"/>
      <c r="M99" s="506"/>
      <c r="N99" s="506"/>
      <c r="O99" s="506"/>
      <c r="P99" s="506"/>
      <c r="Q99" s="506"/>
      <c r="R99" s="506"/>
      <c r="S99" s="506"/>
      <c r="T99" s="506"/>
      <c r="U99" s="506"/>
      <c r="V99" s="506"/>
      <c r="W99" s="506"/>
      <c r="X99" s="506"/>
      <c r="Y99" s="506"/>
      <c r="Z99" s="506"/>
      <c r="AA99" s="506"/>
      <c r="AB99" s="506"/>
      <c r="AC99" s="502" t="n">
        <f aca="false">SUMIF(AD$12:AS$12,"总值",AD99:AS99)</f>
        <v>0</v>
      </c>
      <c r="AD99" s="507"/>
      <c r="AE99" s="507"/>
      <c r="AF99" s="507"/>
      <c r="AG99" s="507"/>
      <c r="AH99" s="507"/>
      <c r="AI99" s="507"/>
      <c r="AJ99" s="507"/>
      <c r="AK99" s="507"/>
      <c r="AL99" s="507"/>
      <c r="AM99" s="507"/>
      <c r="AN99" s="507"/>
      <c r="AO99" s="507"/>
      <c r="AP99" s="507"/>
      <c r="AQ99" s="507"/>
      <c r="AR99" s="507"/>
      <c r="AS99" s="507"/>
      <c r="AT99" s="508"/>
      <c r="AU99" s="509"/>
      <c r="AV99" s="510" t="n">
        <f aca="false">A99</f>
        <v>0</v>
      </c>
      <c r="AW99" s="510" t="n">
        <f aca="false">B99</f>
        <v>0</v>
      </c>
      <c r="AX99" s="510" t="n">
        <f aca="false">C99</f>
        <v>0</v>
      </c>
      <c r="AY99" s="511" t="n">
        <f aca="false">ROUND($AY$6*AZ99/$AZ$5,2)</f>
        <v>0</v>
      </c>
      <c r="AZ99" s="502" t="n">
        <f aca="false">BA99+BL99</f>
        <v>0</v>
      </c>
      <c r="BA99" s="502" t="n">
        <f aca="false">SUM(BB99:BK99)</f>
        <v>0</v>
      </c>
      <c r="BB99" s="502" t="n">
        <f aca="false">IF($D99="是",I99-J99,0)</f>
        <v>0</v>
      </c>
      <c r="BC99" s="502" t="n">
        <f aca="false">IF($D99="是",K99-L99,0)</f>
        <v>0</v>
      </c>
      <c r="BD99" s="502" t="n">
        <f aca="false">IF($D99="是",M99-N99,0)</f>
        <v>0</v>
      </c>
      <c r="BE99" s="502" t="n">
        <f aca="false">IF($D99="是",O99-P99,0)</f>
        <v>0</v>
      </c>
      <c r="BF99" s="502" t="n">
        <f aca="false">IF($D99="是",Q99-R99,0)</f>
        <v>0</v>
      </c>
      <c r="BG99" s="502" t="n">
        <f aca="false">IF($D99="是",S99-T99,0)</f>
        <v>0</v>
      </c>
      <c r="BH99" s="502" t="n">
        <f aca="false">IF($D99="是",U99-V99,0)</f>
        <v>0</v>
      </c>
      <c r="BI99" s="502" t="n">
        <f aca="false">IF($D99="是",W99-X99,0)</f>
        <v>0</v>
      </c>
      <c r="BJ99" s="502" t="n">
        <f aca="false">IF($D99="是",Y99-Z99,0)</f>
        <v>0</v>
      </c>
      <c r="BK99" s="502" t="n">
        <f aca="false">IF($D99="是",AA99-AB99,0)</f>
        <v>0</v>
      </c>
      <c r="BL99" s="502" t="n">
        <f aca="false">SUM(BM99:BT99)</f>
        <v>0</v>
      </c>
      <c r="BM99" s="502" t="n">
        <f aca="false">IF($D99="是",AD99-AE99,0)</f>
        <v>0</v>
      </c>
      <c r="BN99" s="502" t="n">
        <f aca="false">IF($D99="是",AF99-AG99,0)</f>
        <v>0</v>
      </c>
      <c r="BO99" s="502" t="n">
        <f aca="false">IF($D99="是",AH99-AI99,0)</f>
        <v>0</v>
      </c>
      <c r="BP99" s="502" t="n">
        <f aca="false">IF($D99="是",AJ99-AK99,0)</f>
        <v>0</v>
      </c>
      <c r="BQ99" s="502" t="n">
        <f aca="false">IF($D99="是",AL99-AM99,0)</f>
        <v>0</v>
      </c>
      <c r="BR99" s="502" t="n">
        <f aca="false">IF($D99="是",AN99-AO99,0)</f>
        <v>0</v>
      </c>
      <c r="BS99" s="502" t="n">
        <f aca="false">IF($D99="是",AP99-AQ99,0)</f>
        <v>0</v>
      </c>
      <c r="BT99" s="512" t="n">
        <f aca="false">IF($D99="是",AR99-AS99,0)</f>
        <v>0</v>
      </c>
    </row>
    <row r="100" customFormat="false" ht="14.25" hidden="false" customHeight="false" outlineLevel="0" collapsed="false">
      <c r="A100" s="499"/>
      <c r="B100" s="500"/>
      <c r="C100" s="500"/>
      <c r="D100" s="501"/>
      <c r="E100" s="502" t="n">
        <f aca="false">IF($C$3="是",ROUND($A$3*G100/$B$3,2),ROUND($A$3*(G100-AT100)/$B$3,2))</f>
        <v>0</v>
      </c>
      <c r="F100" s="503"/>
      <c r="G100" s="504" t="n">
        <f aca="false">H100+AC100+AT100</f>
        <v>0</v>
      </c>
      <c r="H100" s="505" t="n">
        <f aca="false">SUMIF(I$12:AB$12,"总值",I100:AB100)</f>
        <v>0</v>
      </c>
      <c r="I100" s="506"/>
      <c r="J100" s="506"/>
      <c r="K100" s="506"/>
      <c r="L100" s="506"/>
      <c r="M100" s="506"/>
      <c r="N100" s="506"/>
      <c r="O100" s="506"/>
      <c r="P100" s="506"/>
      <c r="Q100" s="506"/>
      <c r="R100" s="506"/>
      <c r="S100" s="506"/>
      <c r="T100" s="506"/>
      <c r="U100" s="506"/>
      <c r="V100" s="506"/>
      <c r="W100" s="506"/>
      <c r="X100" s="506"/>
      <c r="Y100" s="506"/>
      <c r="Z100" s="506"/>
      <c r="AA100" s="506"/>
      <c r="AB100" s="506"/>
      <c r="AC100" s="502" t="n">
        <f aca="false">SUMIF(AD$12:AS$12,"总值",AD100:AS100)</f>
        <v>0</v>
      </c>
      <c r="AD100" s="507"/>
      <c r="AE100" s="507"/>
      <c r="AF100" s="507"/>
      <c r="AG100" s="507"/>
      <c r="AH100" s="507"/>
      <c r="AI100" s="507"/>
      <c r="AJ100" s="507"/>
      <c r="AK100" s="507"/>
      <c r="AL100" s="507"/>
      <c r="AM100" s="507"/>
      <c r="AN100" s="507"/>
      <c r="AO100" s="507"/>
      <c r="AP100" s="507"/>
      <c r="AQ100" s="507"/>
      <c r="AR100" s="507"/>
      <c r="AS100" s="507"/>
      <c r="AT100" s="508"/>
      <c r="AU100" s="509"/>
      <c r="AV100" s="510" t="n">
        <f aca="false">A100</f>
        <v>0</v>
      </c>
      <c r="AW100" s="510" t="n">
        <f aca="false">B100</f>
        <v>0</v>
      </c>
      <c r="AX100" s="510" t="n">
        <f aca="false">C100</f>
        <v>0</v>
      </c>
      <c r="AY100" s="511" t="n">
        <f aca="false">ROUND($AY$6*AZ100/$AZ$5,2)</f>
        <v>0</v>
      </c>
      <c r="AZ100" s="502" t="n">
        <f aca="false">BA100+BL100</f>
        <v>0</v>
      </c>
      <c r="BA100" s="502" t="n">
        <f aca="false">SUM(BB100:BK100)</f>
        <v>0</v>
      </c>
      <c r="BB100" s="502" t="n">
        <f aca="false">IF($D100="是",I100-J100,0)</f>
        <v>0</v>
      </c>
      <c r="BC100" s="502" t="n">
        <f aca="false">IF($D100="是",K100-L100,0)</f>
        <v>0</v>
      </c>
      <c r="BD100" s="502" t="n">
        <f aca="false">IF($D100="是",M100-N100,0)</f>
        <v>0</v>
      </c>
      <c r="BE100" s="502" t="n">
        <f aca="false">IF($D100="是",O100-P100,0)</f>
        <v>0</v>
      </c>
      <c r="BF100" s="502" t="n">
        <f aca="false">IF($D100="是",Q100-R100,0)</f>
        <v>0</v>
      </c>
      <c r="BG100" s="502" t="n">
        <f aca="false">IF($D100="是",S100-T100,0)</f>
        <v>0</v>
      </c>
      <c r="BH100" s="502" t="n">
        <f aca="false">IF($D100="是",U100-V100,0)</f>
        <v>0</v>
      </c>
      <c r="BI100" s="502" t="n">
        <f aca="false">IF($D100="是",W100-X100,0)</f>
        <v>0</v>
      </c>
      <c r="BJ100" s="502" t="n">
        <f aca="false">IF($D100="是",Y100-Z100,0)</f>
        <v>0</v>
      </c>
      <c r="BK100" s="502" t="n">
        <f aca="false">IF($D100="是",AA100-AB100,0)</f>
        <v>0</v>
      </c>
      <c r="BL100" s="502" t="n">
        <f aca="false">SUM(BM100:BT100)</f>
        <v>0</v>
      </c>
      <c r="BM100" s="502" t="n">
        <f aca="false">IF($D100="是",AD100-AE100,0)</f>
        <v>0</v>
      </c>
      <c r="BN100" s="502" t="n">
        <f aca="false">IF($D100="是",AF100-AG100,0)</f>
        <v>0</v>
      </c>
      <c r="BO100" s="502" t="n">
        <f aca="false">IF($D100="是",AH100-AI100,0)</f>
        <v>0</v>
      </c>
      <c r="BP100" s="502" t="n">
        <f aca="false">IF($D100="是",AJ100-AK100,0)</f>
        <v>0</v>
      </c>
      <c r="BQ100" s="502" t="n">
        <f aca="false">IF($D100="是",AL100-AM100,0)</f>
        <v>0</v>
      </c>
      <c r="BR100" s="502" t="n">
        <f aca="false">IF($D100="是",AN100-AO100,0)</f>
        <v>0</v>
      </c>
      <c r="BS100" s="502" t="n">
        <f aca="false">IF($D100="是",AP100-AQ100,0)</f>
        <v>0</v>
      </c>
      <c r="BT100" s="512" t="n">
        <f aca="false">IF($D100="是",AR100-AS100,0)</f>
        <v>0</v>
      </c>
    </row>
    <row r="101" customFormat="false" ht="14.25" hidden="false" customHeight="false" outlineLevel="0" collapsed="false">
      <c r="A101" s="499"/>
      <c r="B101" s="500"/>
      <c r="C101" s="500"/>
      <c r="D101" s="501"/>
      <c r="E101" s="502" t="n">
        <f aca="false">IF($C$3="是",ROUND($A$3*G101/$B$3,2),ROUND($A$3*(G101-AT101)/$B$3,2))</f>
        <v>0</v>
      </c>
      <c r="F101" s="503"/>
      <c r="G101" s="504" t="n">
        <f aca="false">H101+AC101+AT101</f>
        <v>0</v>
      </c>
      <c r="H101" s="505" t="n">
        <f aca="false">SUMIF(I$12:AB$12,"总值",I101:AB101)</f>
        <v>0</v>
      </c>
      <c r="I101" s="506"/>
      <c r="J101" s="506"/>
      <c r="K101" s="506"/>
      <c r="L101" s="506"/>
      <c r="M101" s="506"/>
      <c r="N101" s="506"/>
      <c r="O101" s="506"/>
      <c r="P101" s="506"/>
      <c r="Q101" s="506"/>
      <c r="R101" s="506"/>
      <c r="S101" s="506"/>
      <c r="T101" s="506"/>
      <c r="U101" s="506"/>
      <c r="V101" s="506"/>
      <c r="W101" s="506"/>
      <c r="X101" s="506"/>
      <c r="Y101" s="506"/>
      <c r="Z101" s="506"/>
      <c r="AA101" s="506"/>
      <c r="AB101" s="506"/>
      <c r="AC101" s="502" t="n">
        <f aca="false">SUMIF(AD$12:AS$12,"总值",AD101:AS101)</f>
        <v>0</v>
      </c>
      <c r="AD101" s="507"/>
      <c r="AE101" s="507"/>
      <c r="AF101" s="507"/>
      <c r="AG101" s="507"/>
      <c r="AH101" s="507"/>
      <c r="AI101" s="507"/>
      <c r="AJ101" s="507"/>
      <c r="AK101" s="507"/>
      <c r="AL101" s="507"/>
      <c r="AM101" s="507"/>
      <c r="AN101" s="507"/>
      <c r="AO101" s="507"/>
      <c r="AP101" s="507"/>
      <c r="AQ101" s="507"/>
      <c r="AR101" s="507"/>
      <c r="AS101" s="507"/>
      <c r="AT101" s="508"/>
      <c r="AU101" s="509"/>
      <c r="AV101" s="510" t="n">
        <f aca="false">A101</f>
        <v>0</v>
      </c>
      <c r="AW101" s="510" t="n">
        <f aca="false">B101</f>
        <v>0</v>
      </c>
      <c r="AX101" s="510" t="n">
        <f aca="false">C101</f>
        <v>0</v>
      </c>
      <c r="AY101" s="511" t="n">
        <f aca="false">ROUND($AY$6*AZ101/$AZ$5,2)</f>
        <v>0</v>
      </c>
      <c r="AZ101" s="502" t="n">
        <f aca="false">BA101+BL101</f>
        <v>0</v>
      </c>
      <c r="BA101" s="502" t="n">
        <f aca="false">SUM(BB101:BK101)</f>
        <v>0</v>
      </c>
      <c r="BB101" s="502" t="n">
        <f aca="false">IF($D101="是",I101-J101,0)</f>
        <v>0</v>
      </c>
      <c r="BC101" s="502" t="n">
        <f aca="false">IF($D101="是",K101-L101,0)</f>
        <v>0</v>
      </c>
      <c r="BD101" s="502" t="n">
        <f aca="false">IF($D101="是",M101-N101,0)</f>
        <v>0</v>
      </c>
      <c r="BE101" s="502" t="n">
        <f aca="false">IF($D101="是",O101-P101,0)</f>
        <v>0</v>
      </c>
      <c r="BF101" s="502" t="n">
        <f aca="false">IF($D101="是",Q101-R101,0)</f>
        <v>0</v>
      </c>
      <c r="BG101" s="502" t="n">
        <f aca="false">IF($D101="是",S101-T101,0)</f>
        <v>0</v>
      </c>
      <c r="BH101" s="502" t="n">
        <f aca="false">IF($D101="是",U101-V101,0)</f>
        <v>0</v>
      </c>
      <c r="BI101" s="502" t="n">
        <f aca="false">IF($D101="是",W101-X101,0)</f>
        <v>0</v>
      </c>
      <c r="BJ101" s="502" t="n">
        <f aca="false">IF($D101="是",Y101-Z101,0)</f>
        <v>0</v>
      </c>
      <c r="BK101" s="502" t="n">
        <f aca="false">IF($D101="是",AA101-AB101,0)</f>
        <v>0</v>
      </c>
      <c r="BL101" s="502" t="n">
        <f aca="false">SUM(BM101:BT101)</f>
        <v>0</v>
      </c>
      <c r="BM101" s="502" t="n">
        <f aca="false">IF($D101="是",AD101-AE101,0)</f>
        <v>0</v>
      </c>
      <c r="BN101" s="502" t="n">
        <f aca="false">IF($D101="是",AF101-AG101,0)</f>
        <v>0</v>
      </c>
      <c r="BO101" s="502" t="n">
        <f aca="false">IF($D101="是",AH101-AI101,0)</f>
        <v>0</v>
      </c>
      <c r="BP101" s="502" t="n">
        <f aca="false">IF($D101="是",AJ101-AK101,0)</f>
        <v>0</v>
      </c>
      <c r="BQ101" s="502" t="n">
        <f aca="false">IF($D101="是",AL101-AM101,0)</f>
        <v>0</v>
      </c>
      <c r="BR101" s="502" t="n">
        <f aca="false">IF($D101="是",AN101-AO101,0)</f>
        <v>0</v>
      </c>
      <c r="BS101" s="502" t="n">
        <f aca="false">IF($D101="是",AP101-AQ101,0)</f>
        <v>0</v>
      </c>
      <c r="BT101" s="512" t="n">
        <f aca="false">IF($D101="是",AR101-AS101,0)</f>
        <v>0</v>
      </c>
    </row>
    <row r="102" customFormat="false" ht="14.25" hidden="false" customHeight="false" outlineLevel="0" collapsed="false">
      <c r="A102" s="499"/>
      <c r="B102" s="500"/>
      <c r="C102" s="500"/>
      <c r="D102" s="501"/>
      <c r="E102" s="502" t="n">
        <f aca="false">IF($C$3="是",ROUND($A$3*G102/$B$3,2),ROUND($A$3*(G102-AT102)/$B$3,2))</f>
        <v>0</v>
      </c>
      <c r="F102" s="503"/>
      <c r="G102" s="504" t="n">
        <f aca="false">H102+AC102+AT102</f>
        <v>0</v>
      </c>
      <c r="H102" s="505" t="n">
        <f aca="false">SUMIF(I$12:AB$12,"总值",I102:AB102)</f>
        <v>0</v>
      </c>
      <c r="I102" s="506"/>
      <c r="J102" s="506"/>
      <c r="K102" s="506"/>
      <c r="L102" s="506"/>
      <c r="M102" s="506"/>
      <c r="N102" s="506"/>
      <c r="O102" s="506"/>
      <c r="P102" s="506"/>
      <c r="Q102" s="506"/>
      <c r="R102" s="506"/>
      <c r="S102" s="506"/>
      <c r="T102" s="506"/>
      <c r="U102" s="506"/>
      <c r="V102" s="506"/>
      <c r="W102" s="506"/>
      <c r="X102" s="506"/>
      <c r="Y102" s="506"/>
      <c r="Z102" s="506"/>
      <c r="AA102" s="506"/>
      <c r="AB102" s="506"/>
      <c r="AC102" s="502" t="n">
        <f aca="false">SUMIF(AD$12:AS$12,"总值",AD102:AS102)</f>
        <v>0</v>
      </c>
      <c r="AD102" s="507"/>
      <c r="AE102" s="507"/>
      <c r="AF102" s="507"/>
      <c r="AG102" s="507"/>
      <c r="AH102" s="507"/>
      <c r="AI102" s="507"/>
      <c r="AJ102" s="507"/>
      <c r="AK102" s="507"/>
      <c r="AL102" s="507"/>
      <c r="AM102" s="507"/>
      <c r="AN102" s="507"/>
      <c r="AO102" s="507"/>
      <c r="AP102" s="507"/>
      <c r="AQ102" s="507"/>
      <c r="AR102" s="507"/>
      <c r="AS102" s="507"/>
      <c r="AT102" s="508"/>
      <c r="AU102" s="509"/>
      <c r="AV102" s="510" t="n">
        <f aca="false">A102</f>
        <v>0</v>
      </c>
      <c r="AW102" s="510" t="n">
        <f aca="false">B102</f>
        <v>0</v>
      </c>
      <c r="AX102" s="510" t="n">
        <f aca="false">C102</f>
        <v>0</v>
      </c>
      <c r="AY102" s="511" t="n">
        <f aca="false">ROUND($AY$6*AZ102/$AZ$5,2)</f>
        <v>0</v>
      </c>
      <c r="AZ102" s="502" t="n">
        <f aca="false">BA102+BL102</f>
        <v>0</v>
      </c>
      <c r="BA102" s="502" t="n">
        <f aca="false">SUM(BB102:BK102)</f>
        <v>0</v>
      </c>
      <c r="BB102" s="502" t="n">
        <f aca="false">IF($D102="是",I102-J102,0)</f>
        <v>0</v>
      </c>
      <c r="BC102" s="502" t="n">
        <f aca="false">IF($D102="是",K102-L102,0)</f>
        <v>0</v>
      </c>
      <c r="BD102" s="502" t="n">
        <f aca="false">IF($D102="是",M102-N102,0)</f>
        <v>0</v>
      </c>
      <c r="BE102" s="502" t="n">
        <f aca="false">IF($D102="是",O102-P102,0)</f>
        <v>0</v>
      </c>
      <c r="BF102" s="502" t="n">
        <f aca="false">IF($D102="是",Q102-R102,0)</f>
        <v>0</v>
      </c>
      <c r="BG102" s="502" t="n">
        <f aca="false">IF($D102="是",S102-T102,0)</f>
        <v>0</v>
      </c>
      <c r="BH102" s="502" t="n">
        <f aca="false">IF($D102="是",U102-V102,0)</f>
        <v>0</v>
      </c>
      <c r="BI102" s="502" t="n">
        <f aca="false">IF($D102="是",W102-X102,0)</f>
        <v>0</v>
      </c>
      <c r="BJ102" s="502" t="n">
        <f aca="false">IF($D102="是",Y102-Z102,0)</f>
        <v>0</v>
      </c>
      <c r="BK102" s="502" t="n">
        <f aca="false">IF($D102="是",AA102-AB102,0)</f>
        <v>0</v>
      </c>
      <c r="BL102" s="502" t="n">
        <f aca="false">SUM(BM102:BT102)</f>
        <v>0</v>
      </c>
      <c r="BM102" s="502" t="n">
        <f aca="false">IF($D102="是",AD102-AE102,0)</f>
        <v>0</v>
      </c>
      <c r="BN102" s="502" t="n">
        <f aca="false">IF($D102="是",AF102-AG102,0)</f>
        <v>0</v>
      </c>
      <c r="BO102" s="502" t="n">
        <f aca="false">IF($D102="是",AH102-AI102,0)</f>
        <v>0</v>
      </c>
      <c r="BP102" s="502" t="n">
        <f aca="false">IF($D102="是",AJ102-AK102,0)</f>
        <v>0</v>
      </c>
      <c r="BQ102" s="502" t="n">
        <f aca="false">IF($D102="是",AL102-AM102,0)</f>
        <v>0</v>
      </c>
      <c r="BR102" s="502" t="n">
        <f aca="false">IF($D102="是",AN102-AO102,0)</f>
        <v>0</v>
      </c>
      <c r="BS102" s="502" t="n">
        <f aca="false">IF($D102="是",AP102-AQ102,0)</f>
        <v>0</v>
      </c>
      <c r="BT102" s="512" t="n">
        <f aca="false">IF($D102="是",AR102-AS102,0)</f>
        <v>0</v>
      </c>
    </row>
    <row r="103" customFormat="false" ht="14.25" hidden="false" customHeight="false" outlineLevel="0" collapsed="false">
      <c r="A103" s="499"/>
      <c r="B103" s="500"/>
      <c r="C103" s="500"/>
      <c r="D103" s="501"/>
      <c r="E103" s="502" t="n">
        <f aca="false">IF($C$3="是",ROUND($A$3*G103/$B$3,2),ROUND($A$3*(G103-AT103)/$B$3,2))</f>
        <v>0</v>
      </c>
      <c r="F103" s="503"/>
      <c r="G103" s="504" t="n">
        <f aca="false">H103+AC103+AT103</f>
        <v>0</v>
      </c>
      <c r="H103" s="505" t="n">
        <f aca="false">SUMIF(I$12:AB$12,"总值",I103:AB103)</f>
        <v>0</v>
      </c>
      <c r="I103" s="506"/>
      <c r="J103" s="506"/>
      <c r="K103" s="506"/>
      <c r="L103" s="506"/>
      <c r="M103" s="506"/>
      <c r="N103" s="506"/>
      <c r="O103" s="506"/>
      <c r="P103" s="506"/>
      <c r="Q103" s="506"/>
      <c r="R103" s="506"/>
      <c r="S103" s="506"/>
      <c r="T103" s="506"/>
      <c r="U103" s="506"/>
      <c r="V103" s="506"/>
      <c r="W103" s="506"/>
      <c r="X103" s="506"/>
      <c r="Y103" s="506"/>
      <c r="Z103" s="506"/>
      <c r="AA103" s="506"/>
      <c r="AB103" s="506"/>
      <c r="AC103" s="502" t="n">
        <f aca="false">SUMIF(AD$12:AS$12,"总值",AD103:AS103)</f>
        <v>0</v>
      </c>
      <c r="AD103" s="507"/>
      <c r="AE103" s="507"/>
      <c r="AF103" s="507"/>
      <c r="AG103" s="507"/>
      <c r="AH103" s="507"/>
      <c r="AI103" s="507"/>
      <c r="AJ103" s="507"/>
      <c r="AK103" s="507"/>
      <c r="AL103" s="507"/>
      <c r="AM103" s="507"/>
      <c r="AN103" s="507"/>
      <c r="AO103" s="507"/>
      <c r="AP103" s="507"/>
      <c r="AQ103" s="507"/>
      <c r="AR103" s="507"/>
      <c r="AS103" s="507"/>
      <c r="AT103" s="508"/>
      <c r="AU103" s="509"/>
      <c r="AV103" s="510" t="n">
        <f aca="false">A103</f>
        <v>0</v>
      </c>
      <c r="AW103" s="510" t="n">
        <f aca="false">B103</f>
        <v>0</v>
      </c>
      <c r="AX103" s="510" t="n">
        <f aca="false">C103</f>
        <v>0</v>
      </c>
      <c r="AY103" s="511" t="n">
        <f aca="false">ROUND($AY$6*AZ103/$AZ$5,2)</f>
        <v>0</v>
      </c>
      <c r="AZ103" s="502" t="n">
        <f aca="false">BA103+BL103</f>
        <v>0</v>
      </c>
      <c r="BA103" s="502" t="n">
        <f aca="false">SUM(BB103:BK103)</f>
        <v>0</v>
      </c>
      <c r="BB103" s="502" t="n">
        <f aca="false">IF($D103="是",I103-J103,0)</f>
        <v>0</v>
      </c>
      <c r="BC103" s="502" t="n">
        <f aca="false">IF($D103="是",K103-L103,0)</f>
        <v>0</v>
      </c>
      <c r="BD103" s="502" t="n">
        <f aca="false">IF($D103="是",M103-N103,0)</f>
        <v>0</v>
      </c>
      <c r="BE103" s="502" t="n">
        <f aca="false">IF($D103="是",O103-P103,0)</f>
        <v>0</v>
      </c>
      <c r="BF103" s="502" t="n">
        <f aca="false">IF($D103="是",Q103-R103,0)</f>
        <v>0</v>
      </c>
      <c r="BG103" s="502" t="n">
        <f aca="false">IF($D103="是",S103-T103,0)</f>
        <v>0</v>
      </c>
      <c r="BH103" s="502" t="n">
        <f aca="false">IF($D103="是",U103-V103,0)</f>
        <v>0</v>
      </c>
      <c r="BI103" s="502" t="n">
        <f aca="false">IF($D103="是",W103-X103,0)</f>
        <v>0</v>
      </c>
      <c r="BJ103" s="502" t="n">
        <f aca="false">IF($D103="是",Y103-Z103,0)</f>
        <v>0</v>
      </c>
      <c r="BK103" s="502" t="n">
        <f aca="false">IF($D103="是",AA103-AB103,0)</f>
        <v>0</v>
      </c>
      <c r="BL103" s="502" t="n">
        <f aca="false">SUM(BM103:BT103)</f>
        <v>0</v>
      </c>
      <c r="BM103" s="502" t="n">
        <f aca="false">IF($D103="是",AD103-AE103,0)</f>
        <v>0</v>
      </c>
      <c r="BN103" s="502" t="n">
        <f aca="false">IF($D103="是",AF103-AG103,0)</f>
        <v>0</v>
      </c>
      <c r="BO103" s="502" t="n">
        <f aca="false">IF($D103="是",AH103-AI103,0)</f>
        <v>0</v>
      </c>
      <c r="BP103" s="502" t="n">
        <f aca="false">IF($D103="是",AJ103-AK103,0)</f>
        <v>0</v>
      </c>
      <c r="BQ103" s="502" t="n">
        <f aca="false">IF($D103="是",AL103-AM103,0)</f>
        <v>0</v>
      </c>
      <c r="BR103" s="502" t="n">
        <f aca="false">IF($D103="是",AN103-AO103,0)</f>
        <v>0</v>
      </c>
      <c r="BS103" s="502" t="n">
        <f aca="false">IF($D103="是",AP103-AQ103,0)</f>
        <v>0</v>
      </c>
      <c r="BT103" s="512" t="n">
        <f aca="false">IF($D103="是",AR103-AS103,0)</f>
        <v>0</v>
      </c>
    </row>
    <row r="104" customFormat="false" ht="14.25" hidden="false" customHeight="false" outlineLevel="0" collapsed="false">
      <c r="A104" s="499"/>
      <c r="B104" s="500"/>
      <c r="C104" s="500"/>
      <c r="D104" s="501"/>
      <c r="E104" s="502" t="n">
        <f aca="false">IF($C$3="是",ROUND($A$3*G104/$B$3,2),ROUND($A$3*(G104-AT104)/$B$3,2))</f>
        <v>0</v>
      </c>
      <c r="F104" s="503"/>
      <c r="G104" s="504" t="n">
        <f aca="false">H104+AC104+AT104</f>
        <v>0</v>
      </c>
      <c r="H104" s="505" t="n">
        <f aca="false">SUMIF(I$12:AB$12,"总值",I104:AB104)</f>
        <v>0</v>
      </c>
      <c r="I104" s="506"/>
      <c r="J104" s="506"/>
      <c r="K104" s="506"/>
      <c r="L104" s="506"/>
      <c r="M104" s="506"/>
      <c r="N104" s="506"/>
      <c r="O104" s="506"/>
      <c r="P104" s="506"/>
      <c r="Q104" s="506"/>
      <c r="R104" s="506"/>
      <c r="S104" s="506"/>
      <c r="T104" s="506"/>
      <c r="U104" s="506"/>
      <c r="V104" s="506"/>
      <c r="W104" s="506"/>
      <c r="X104" s="506"/>
      <c r="Y104" s="506"/>
      <c r="Z104" s="506"/>
      <c r="AA104" s="506"/>
      <c r="AB104" s="506"/>
      <c r="AC104" s="502" t="n">
        <f aca="false">SUMIF(AD$12:AS$12,"总值",AD104:AS104)</f>
        <v>0</v>
      </c>
      <c r="AD104" s="507"/>
      <c r="AE104" s="507"/>
      <c r="AF104" s="507"/>
      <c r="AG104" s="507"/>
      <c r="AH104" s="507"/>
      <c r="AI104" s="507"/>
      <c r="AJ104" s="507"/>
      <c r="AK104" s="507"/>
      <c r="AL104" s="507"/>
      <c r="AM104" s="507"/>
      <c r="AN104" s="507"/>
      <c r="AO104" s="507"/>
      <c r="AP104" s="507"/>
      <c r="AQ104" s="507"/>
      <c r="AR104" s="507"/>
      <c r="AS104" s="507"/>
      <c r="AT104" s="508"/>
      <c r="AU104" s="509"/>
      <c r="AV104" s="510" t="n">
        <f aca="false">A104</f>
        <v>0</v>
      </c>
      <c r="AW104" s="510" t="n">
        <f aca="false">B104</f>
        <v>0</v>
      </c>
      <c r="AX104" s="510" t="n">
        <f aca="false">C104</f>
        <v>0</v>
      </c>
      <c r="AY104" s="511" t="n">
        <f aca="false">ROUND($AY$6*AZ104/$AZ$5,2)</f>
        <v>0</v>
      </c>
      <c r="AZ104" s="502" t="n">
        <f aca="false">BA104+BL104</f>
        <v>0</v>
      </c>
      <c r="BA104" s="502" t="n">
        <f aca="false">SUM(BB104:BK104)</f>
        <v>0</v>
      </c>
      <c r="BB104" s="502" t="n">
        <f aca="false">IF($D104="是",I104-J104,0)</f>
        <v>0</v>
      </c>
      <c r="BC104" s="502" t="n">
        <f aca="false">IF($D104="是",K104-L104,0)</f>
        <v>0</v>
      </c>
      <c r="BD104" s="502" t="n">
        <f aca="false">IF($D104="是",M104-N104,0)</f>
        <v>0</v>
      </c>
      <c r="BE104" s="502" t="n">
        <f aca="false">IF($D104="是",O104-P104,0)</f>
        <v>0</v>
      </c>
      <c r="BF104" s="502" t="n">
        <f aca="false">IF($D104="是",Q104-R104,0)</f>
        <v>0</v>
      </c>
      <c r="BG104" s="502" t="n">
        <f aca="false">IF($D104="是",S104-T104,0)</f>
        <v>0</v>
      </c>
      <c r="BH104" s="502" t="n">
        <f aca="false">IF($D104="是",U104-V104,0)</f>
        <v>0</v>
      </c>
      <c r="BI104" s="502" t="n">
        <f aca="false">IF($D104="是",W104-X104,0)</f>
        <v>0</v>
      </c>
      <c r="BJ104" s="502" t="n">
        <f aca="false">IF($D104="是",Y104-Z104,0)</f>
        <v>0</v>
      </c>
      <c r="BK104" s="502" t="n">
        <f aca="false">IF($D104="是",AA104-AB104,0)</f>
        <v>0</v>
      </c>
      <c r="BL104" s="502" t="n">
        <f aca="false">SUM(BM104:BT104)</f>
        <v>0</v>
      </c>
      <c r="BM104" s="502" t="n">
        <f aca="false">IF($D104="是",AD104-AE104,0)</f>
        <v>0</v>
      </c>
      <c r="BN104" s="502" t="n">
        <f aca="false">IF($D104="是",AF104-AG104,0)</f>
        <v>0</v>
      </c>
      <c r="BO104" s="502" t="n">
        <f aca="false">IF($D104="是",AH104-AI104,0)</f>
        <v>0</v>
      </c>
      <c r="BP104" s="502" t="n">
        <f aca="false">IF($D104="是",AJ104-AK104,0)</f>
        <v>0</v>
      </c>
      <c r="BQ104" s="502" t="n">
        <f aca="false">IF($D104="是",AL104-AM104,0)</f>
        <v>0</v>
      </c>
      <c r="BR104" s="502" t="n">
        <f aca="false">IF($D104="是",AN104-AO104,0)</f>
        <v>0</v>
      </c>
      <c r="BS104" s="502" t="n">
        <f aca="false">IF($D104="是",AP104-AQ104,0)</f>
        <v>0</v>
      </c>
      <c r="BT104" s="512" t="n">
        <f aca="false">IF($D104="是",AR104-AS104,0)</f>
        <v>0</v>
      </c>
    </row>
    <row r="105" customFormat="false" ht="14.25" hidden="false" customHeight="false" outlineLevel="0" collapsed="false">
      <c r="A105" s="499"/>
      <c r="B105" s="500"/>
      <c r="C105" s="500"/>
      <c r="D105" s="501"/>
      <c r="E105" s="502" t="n">
        <f aca="false">IF($C$3="是",ROUND($A$3*G105/$B$3,2),ROUND($A$3*(G105-AT105)/$B$3,2))</f>
        <v>0</v>
      </c>
      <c r="F105" s="503"/>
      <c r="G105" s="504" t="n">
        <f aca="false">H105+AC105+AT105</f>
        <v>0</v>
      </c>
      <c r="H105" s="505" t="n">
        <f aca="false">SUMIF(I$12:AB$12,"总值",I105:AB105)</f>
        <v>0</v>
      </c>
      <c r="I105" s="506"/>
      <c r="J105" s="506"/>
      <c r="K105" s="506"/>
      <c r="L105" s="506"/>
      <c r="M105" s="506"/>
      <c r="N105" s="506"/>
      <c r="O105" s="506"/>
      <c r="P105" s="506"/>
      <c r="Q105" s="506"/>
      <c r="R105" s="506"/>
      <c r="S105" s="506"/>
      <c r="T105" s="506"/>
      <c r="U105" s="506"/>
      <c r="V105" s="506"/>
      <c r="W105" s="506"/>
      <c r="X105" s="506"/>
      <c r="Y105" s="506"/>
      <c r="Z105" s="506"/>
      <c r="AA105" s="506"/>
      <c r="AB105" s="506"/>
      <c r="AC105" s="502" t="n">
        <f aca="false">SUMIF(AD$12:AS$12,"总值",AD105:AS105)</f>
        <v>0</v>
      </c>
      <c r="AD105" s="507"/>
      <c r="AE105" s="507"/>
      <c r="AF105" s="507"/>
      <c r="AG105" s="507"/>
      <c r="AH105" s="507"/>
      <c r="AI105" s="507"/>
      <c r="AJ105" s="507"/>
      <c r="AK105" s="507"/>
      <c r="AL105" s="507"/>
      <c r="AM105" s="507"/>
      <c r="AN105" s="507"/>
      <c r="AO105" s="507"/>
      <c r="AP105" s="507"/>
      <c r="AQ105" s="507"/>
      <c r="AR105" s="507"/>
      <c r="AS105" s="507"/>
      <c r="AT105" s="508"/>
      <c r="AU105" s="509"/>
      <c r="AV105" s="510" t="n">
        <f aca="false">A105</f>
        <v>0</v>
      </c>
      <c r="AW105" s="510" t="n">
        <f aca="false">B105</f>
        <v>0</v>
      </c>
      <c r="AX105" s="510" t="n">
        <f aca="false">C105</f>
        <v>0</v>
      </c>
      <c r="AY105" s="511" t="n">
        <f aca="false">ROUND($AY$6*AZ105/$AZ$5,2)</f>
        <v>0</v>
      </c>
      <c r="AZ105" s="502" t="n">
        <f aca="false">BA105+BL105</f>
        <v>0</v>
      </c>
      <c r="BA105" s="502" t="n">
        <f aca="false">SUM(BB105:BK105)</f>
        <v>0</v>
      </c>
      <c r="BB105" s="502" t="n">
        <f aca="false">IF($D105="是",I105-J105,0)</f>
        <v>0</v>
      </c>
      <c r="BC105" s="502" t="n">
        <f aca="false">IF($D105="是",K105-L105,0)</f>
        <v>0</v>
      </c>
      <c r="BD105" s="502" t="n">
        <f aca="false">IF($D105="是",M105-N105,0)</f>
        <v>0</v>
      </c>
      <c r="BE105" s="502" t="n">
        <f aca="false">IF($D105="是",O105-P105,0)</f>
        <v>0</v>
      </c>
      <c r="BF105" s="502" t="n">
        <f aca="false">IF($D105="是",Q105-R105,0)</f>
        <v>0</v>
      </c>
      <c r="BG105" s="502" t="n">
        <f aca="false">IF($D105="是",S105-T105,0)</f>
        <v>0</v>
      </c>
      <c r="BH105" s="502" t="n">
        <f aca="false">IF($D105="是",U105-V105,0)</f>
        <v>0</v>
      </c>
      <c r="BI105" s="502" t="n">
        <f aca="false">IF($D105="是",W105-X105,0)</f>
        <v>0</v>
      </c>
      <c r="BJ105" s="502" t="n">
        <f aca="false">IF($D105="是",Y105-Z105,0)</f>
        <v>0</v>
      </c>
      <c r="BK105" s="502" t="n">
        <f aca="false">IF($D105="是",AA105-AB105,0)</f>
        <v>0</v>
      </c>
      <c r="BL105" s="502" t="n">
        <f aca="false">SUM(BM105:BT105)</f>
        <v>0</v>
      </c>
      <c r="BM105" s="502" t="n">
        <f aca="false">IF($D105="是",AD105-AE105,0)</f>
        <v>0</v>
      </c>
      <c r="BN105" s="502" t="n">
        <f aca="false">IF($D105="是",AF105-AG105,0)</f>
        <v>0</v>
      </c>
      <c r="BO105" s="502" t="n">
        <f aca="false">IF($D105="是",AH105-AI105,0)</f>
        <v>0</v>
      </c>
      <c r="BP105" s="502" t="n">
        <f aca="false">IF($D105="是",AJ105-AK105,0)</f>
        <v>0</v>
      </c>
      <c r="BQ105" s="502" t="n">
        <f aca="false">IF($D105="是",AL105-AM105,0)</f>
        <v>0</v>
      </c>
      <c r="BR105" s="502" t="n">
        <f aca="false">IF($D105="是",AN105-AO105,0)</f>
        <v>0</v>
      </c>
      <c r="BS105" s="502" t="n">
        <f aca="false">IF($D105="是",AP105-AQ105,0)</f>
        <v>0</v>
      </c>
      <c r="BT105" s="512" t="n">
        <f aca="false">IF($D105="是",AR105-AS105,0)</f>
        <v>0</v>
      </c>
    </row>
    <row r="106" customFormat="false" ht="14.25" hidden="false" customHeight="false" outlineLevel="0" collapsed="false">
      <c r="A106" s="499"/>
      <c r="B106" s="500"/>
      <c r="C106" s="500"/>
      <c r="D106" s="501"/>
      <c r="E106" s="502" t="n">
        <f aca="false">IF($C$3="是",ROUND($A$3*G106/$B$3,2),ROUND($A$3*(G106-AT106)/$B$3,2))</f>
        <v>0</v>
      </c>
      <c r="F106" s="503"/>
      <c r="G106" s="504" t="n">
        <f aca="false">H106+AC106+AT106</f>
        <v>0</v>
      </c>
      <c r="H106" s="505" t="n">
        <f aca="false">SUMIF(I$12:AB$12,"总值",I106:AB106)</f>
        <v>0</v>
      </c>
      <c r="I106" s="506"/>
      <c r="J106" s="506"/>
      <c r="K106" s="506"/>
      <c r="L106" s="506"/>
      <c r="M106" s="506"/>
      <c r="N106" s="506"/>
      <c r="O106" s="506"/>
      <c r="P106" s="506"/>
      <c r="Q106" s="506"/>
      <c r="R106" s="506"/>
      <c r="S106" s="506"/>
      <c r="T106" s="506"/>
      <c r="U106" s="506"/>
      <c r="V106" s="506"/>
      <c r="W106" s="506"/>
      <c r="X106" s="506"/>
      <c r="Y106" s="506"/>
      <c r="Z106" s="506"/>
      <c r="AA106" s="506"/>
      <c r="AB106" s="506"/>
      <c r="AC106" s="502" t="n">
        <f aca="false">SUMIF(AD$12:AS$12,"总值",AD106:AS106)</f>
        <v>0</v>
      </c>
      <c r="AD106" s="507"/>
      <c r="AE106" s="507"/>
      <c r="AF106" s="507"/>
      <c r="AG106" s="507"/>
      <c r="AH106" s="507"/>
      <c r="AI106" s="507"/>
      <c r="AJ106" s="507"/>
      <c r="AK106" s="507"/>
      <c r="AL106" s="507"/>
      <c r="AM106" s="507"/>
      <c r="AN106" s="507"/>
      <c r="AO106" s="507"/>
      <c r="AP106" s="507"/>
      <c r="AQ106" s="507"/>
      <c r="AR106" s="507"/>
      <c r="AS106" s="507"/>
      <c r="AT106" s="508"/>
      <c r="AU106" s="509"/>
      <c r="AV106" s="510" t="n">
        <f aca="false">A106</f>
        <v>0</v>
      </c>
      <c r="AW106" s="510" t="n">
        <f aca="false">B106</f>
        <v>0</v>
      </c>
      <c r="AX106" s="510" t="n">
        <f aca="false">C106</f>
        <v>0</v>
      </c>
      <c r="AY106" s="511" t="n">
        <f aca="false">ROUND($AY$6*AZ106/$AZ$5,2)</f>
        <v>0</v>
      </c>
      <c r="AZ106" s="502" t="n">
        <f aca="false">BA106+BL106</f>
        <v>0</v>
      </c>
      <c r="BA106" s="502" t="n">
        <f aca="false">SUM(BB106:BK106)</f>
        <v>0</v>
      </c>
      <c r="BB106" s="502" t="n">
        <f aca="false">IF($D106="是",I106-J106,0)</f>
        <v>0</v>
      </c>
      <c r="BC106" s="502" t="n">
        <f aca="false">IF($D106="是",K106-L106,0)</f>
        <v>0</v>
      </c>
      <c r="BD106" s="502" t="n">
        <f aca="false">IF($D106="是",M106-N106,0)</f>
        <v>0</v>
      </c>
      <c r="BE106" s="502" t="n">
        <f aca="false">IF($D106="是",O106-P106,0)</f>
        <v>0</v>
      </c>
      <c r="BF106" s="502" t="n">
        <f aca="false">IF($D106="是",Q106-R106,0)</f>
        <v>0</v>
      </c>
      <c r="BG106" s="502" t="n">
        <f aca="false">IF($D106="是",S106-T106,0)</f>
        <v>0</v>
      </c>
      <c r="BH106" s="502" t="n">
        <f aca="false">IF($D106="是",U106-V106,0)</f>
        <v>0</v>
      </c>
      <c r="BI106" s="502" t="n">
        <f aca="false">IF($D106="是",W106-X106,0)</f>
        <v>0</v>
      </c>
      <c r="BJ106" s="502" t="n">
        <f aca="false">IF($D106="是",Y106-Z106,0)</f>
        <v>0</v>
      </c>
      <c r="BK106" s="502" t="n">
        <f aca="false">IF($D106="是",AA106-AB106,0)</f>
        <v>0</v>
      </c>
      <c r="BL106" s="502" t="n">
        <f aca="false">SUM(BM106:BT106)</f>
        <v>0</v>
      </c>
      <c r="BM106" s="502" t="n">
        <f aca="false">IF($D106="是",AD106-AE106,0)</f>
        <v>0</v>
      </c>
      <c r="BN106" s="502" t="n">
        <f aca="false">IF($D106="是",AF106-AG106,0)</f>
        <v>0</v>
      </c>
      <c r="BO106" s="502" t="n">
        <f aca="false">IF($D106="是",AH106-AI106,0)</f>
        <v>0</v>
      </c>
      <c r="BP106" s="502" t="n">
        <f aca="false">IF($D106="是",AJ106-AK106,0)</f>
        <v>0</v>
      </c>
      <c r="BQ106" s="502" t="n">
        <f aca="false">IF($D106="是",AL106-AM106,0)</f>
        <v>0</v>
      </c>
      <c r="BR106" s="502" t="n">
        <f aca="false">IF($D106="是",AN106-AO106,0)</f>
        <v>0</v>
      </c>
      <c r="BS106" s="502" t="n">
        <f aca="false">IF($D106="是",AP106-AQ106,0)</f>
        <v>0</v>
      </c>
      <c r="BT106" s="512" t="n">
        <f aca="false">IF($D106="是",AR106-AS106,0)</f>
        <v>0</v>
      </c>
    </row>
    <row r="107" customFormat="false" ht="14.25" hidden="false" customHeight="false" outlineLevel="0" collapsed="false">
      <c r="A107" s="499"/>
      <c r="B107" s="500"/>
      <c r="C107" s="500"/>
      <c r="D107" s="501"/>
      <c r="E107" s="502" t="n">
        <f aca="false">IF($C$3="是",ROUND($A$3*G107/$B$3,2),ROUND($A$3*(G107-AT107)/$B$3,2))</f>
        <v>0</v>
      </c>
      <c r="F107" s="503"/>
      <c r="G107" s="504" t="n">
        <f aca="false">H107+AC107+AT107</f>
        <v>0</v>
      </c>
      <c r="H107" s="505" t="n">
        <f aca="false">SUMIF(I$12:AB$12,"总值",I107:AB107)</f>
        <v>0</v>
      </c>
      <c r="I107" s="506"/>
      <c r="J107" s="506"/>
      <c r="K107" s="506"/>
      <c r="L107" s="506"/>
      <c r="M107" s="506"/>
      <c r="N107" s="506"/>
      <c r="O107" s="506"/>
      <c r="P107" s="506"/>
      <c r="Q107" s="506"/>
      <c r="R107" s="506"/>
      <c r="S107" s="506"/>
      <c r="T107" s="506"/>
      <c r="U107" s="506"/>
      <c r="V107" s="506"/>
      <c r="W107" s="506"/>
      <c r="X107" s="506"/>
      <c r="Y107" s="506"/>
      <c r="Z107" s="506"/>
      <c r="AA107" s="506"/>
      <c r="AB107" s="506"/>
      <c r="AC107" s="502" t="n">
        <f aca="false">SUMIF(AD$12:AS$12,"总值",AD107:AS107)</f>
        <v>0</v>
      </c>
      <c r="AD107" s="507"/>
      <c r="AE107" s="507"/>
      <c r="AF107" s="507"/>
      <c r="AG107" s="507"/>
      <c r="AH107" s="507"/>
      <c r="AI107" s="507"/>
      <c r="AJ107" s="507"/>
      <c r="AK107" s="507"/>
      <c r="AL107" s="507"/>
      <c r="AM107" s="507"/>
      <c r="AN107" s="507"/>
      <c r="AO107" s="507"/>
      <c r="AP107" s="507"/>
      <c r="AQ107" s="507"/>
      <c r="AR107" s="507"/>
      <c r="AS107" s="507"/>
      <c r="AT107" s="508"/>
      <c r="AU107" s="509"/>
      <c r="AV107" s="510" t="n">
        <f aca="false">A107</f>
        <v>0</v>
      </c>
      <c r="AW107" s="510" t="n">
        <f aca="false">B107</f>
        <v>0</v>
      </c>
      <c r="AX107" s="510" t="n">
        <f aca="false">C107</f>
        <v>0</v>
      </c>
      <c r="AY107" s="511" t="n">
        <f aca="false">ROUND($AY$6*AZ107/$AZ$5,2)</f>
        <v>0</v>
      </c>
      <c r="AZ107" s="502" t="n">
        <f aca="false">BA107+BL107</f>
        <v>0</v>
      </c>
      <c r="BA107" s="502" t="n">
        <f aca="false">SUM(BB107:BK107)</f>
        <v>0</v>
      </c>
      <c r="BB107" s="502" t="n">
        <f aca="false">IF($D107="是",I107-J107,0)</f>
        <v>0</v>
      </c>
      <c r="BC107" s="502" t="n">
        <f aca="false">IF($D107="是",K107-L107,0)</f>
        <v>0</v>
      </c>
      <c r="BD107" s="502" t="n">
        <f aca="false">IF($D107="是",M107-N107,0)</f>
        <v>0</v>
      </c>
      <c r="BE107" s="502" t="n">
        <f aca="false">IF($D107="是",O107-P107,0)</f>
        <v>0</v>
      </c>
      <c r="BF107" s="502" t="n">
        <f aca="false">IF($D107="是",Q107-R107,0)</f>
        <v>0</v>
      </c>
      <c r="BG107" s="502" t="n">
        <f aca="false">IF($D107="是",S107-T107,0)</f>
        <v>0</v>
      </c>
      <c r="BH107" s="502" t="n">
        <f aca="false">IF($D107="是",U107-V107,0)</f>
        <v>0</v>
      </c>
      <c r="BI107" s="502" t="n">
        <f aca="false">IF($D107="是",W107-X107,0)</f>
        <v>0</v>
      </c>
      <c r="BJ107" s="502" t="n">
        <f aca="false">IF($D107="是",Y107-Z107,0)</f>
        <v>0</v>
      </c>
      <c r="BK107" s="502" t="n">
        <f aca="false">IF($D107="是",AA107-AB107,0)</f>
        <v>0</v>
      </c>
      <c r="BL107" s="502" t="n">
        <f aca="false">SUM(BM107:BT107)</f>
        <v>0</v>
      </c>
      <c r="BM107" s="502" t="n">
        <f aca="false">IF($D107="是",AD107-AE107,0)</f>
        <v>0</v>
      </c>
      <c r="BN107" s="502" t="n">
        <f aca="false">IF($D107="是",AF107-AG107,0)</f>
        <v>0</v>
      </c>
      <c r="BO107" s="502" t="n">
        <f aca="false">IF($D107="是",AH107-AI107,0)</f>
        <v>0</v>
      </c>
      <c r="BP107" s="502" t="n">
        <f aca="false">IF($D107="是",AJ107-AK107,0)</f>
        <v>0</v>
      </c>
      <c r="BQ107" s="502" t="n">
        <f aca="false">IF($D107="是",AL107-AM107,0)</f>
        <v>0</v>
      </c>
      <c r="BR107" s="502" t="n">
        <f aca="false">IF($D107="是",AN107-AO107,0)</f>
        <v>0</v>
      </c>
      <c r="BS107" s="502" t="n">
        <f aca="false">IF($D107="是",AP107-AQ107,0)</f>
        <v>0</v>
      </c>
      <c r="BT107" s="512" t="n">
        <f aca="false">IF($D107="是",AR107-AS107,0)</f>
        <v>0</v>
      </c>
    </row>
    <row r="108" customFormat="false" ht="14.25" hidden="false" customHeight="false" outlineLevel="0" collapsed="false">
      <c r="A108" s="499"/>
      <c r="B108" s="500"/>
      <c r="C108" s="500"/>
      <c r="D108" s="501"/>
      <c r="E108" s="502" t="n">
        <f aca="false">IF($C$3="是",ROUND($A$3*G108/$B$3,2),ROUND($A$3*(G108-AT108)/$B$3,2))</f>
        <v>0</v>
      </c>
      <c r="F108" s="503"/>
      <c r="G108" s="504" t="n">
        <f aca="false">H108+AC108+AT108</f>
        <v>0</v>
      </c>
      <c r="H108" s="505" t="n">
        <f aca="false">SUMIF(I$12:AB$12,"总值",I108:AB108)</f>
        <v>0</v>
      </c>
      <c r="I108" s="506"/>
      <c r="J108" s="506"/>
      <c r="K108" s="506"/>
      <c r="L108" s="506"/>
      <c r="M108" s="506"/>
      <c r="N108" s="506"/>
      <c r="O108" s="506"/>
      <c r="P108" s="506"/>
      <c r="Q108" s="506"/>
      <c r="R108" s="506"/>
      <c r="S108" s="506"/>
      <c r="T108" s="506"/>
      <c r="U108" s="506"/>
      <c r="V108" s="506"/>
      <c r="W108" s="506"/>
      <c r="X108" s="506"/>
      <c r="Y108" s="506"/>
      <c r="Z108" s="506"/>
      <c r="AA108" s="506"/>
      <c r="AB108" s="506"/>
      <c r="AC108" s="502" t="n">
        <f aca="false">SUMIF(AD$12:AS$12,"总值",AD108:AS108)</f>
        <v>0</v>
      </c>
      <c r="AD108" s="507"/>
      <c r="AE108" s="507"/>
      <c r="AF108" s="507"/>
      <c r="AG108" s="507"/>
      <c r="AH108" s="507"/>
      <c r="AI108" s="507"/>
      <c r="AJ108" s="507"/>
      <c r="AK108" s="507"/>
      <c r="AL108" s="507"/>
      <c r="AM108" s="507"/>
      <c r="AN108" s="507"/>
      <c r="AO108" s="507"/>
      <c r="AP108" s="507"/>
      <c r="AQ108" s="507"/>
      <c r="AR108" s="507"/>
      <c r="AS108" s="507"/>
      <c r="AT108" s="508"/>
      <c r="AU108" s="509"/>
      <c r="AV108" s="510" t="n">
        <f aca="false">A108</f>
        <v>0</v>
      </c>
      <c r="AW108" s="510" t="n">
        <f aca="false">B108</f>
        <v>0</v>
      </c>
      <c r="AX108" s="510" t="n">
        <f aca="false">C108</f>
        <v>0</v>
      </c>
      <c r="AY108" s="511" t="n">
        <f aca="false">ROUND($AY$6*AZ108/$AZ$5,2)</f>
        <v>0</v>
      </c>
      <c r="AZ108" s="502" t="n">
        <f aca="false">BA108+BL108</f>
        <v>0</v>
      </c>
      <c r="BA108" s="502" t="n">
        <f aca="false">SUM(BB108:BK108)</f>
        <v>0</v>
      </c>
      <c r="BB108" s="502" t="n">
        <f aca="false">IF($D108="是",I108-J108,0)</f>
        <v>0</v>
      </c>
      <c r="BC108" s="502" t="n">
        <f aca="false">IF($D108="是",K108-L108,0)</f>
        <v>0</v>
      </c>
      <c r="BD108" s="502" t="n">
        <f aca="false">IF($D108="是",M108-N108,0)</f>
        <v>0</v>
      </c>
      <c r="BE108" s="502" t="n">
        <f aca="false">IF($D108="是",O108-P108,0)</f>
        <v>0</v>
      </c>
      <c r="BF108" s="502" t="n">
        <f aca="false">IF($D108="是",Q108-R108,0)</f>
        <v>0</v>
      </c>
      <c r="BG108" s="502" t="n">
        <f aca="false">IF($D108="是",S108-T108,0)</f>
        <v>0</v>
      </c>
      <c r="BH108" s="502" t="n">
        <f aca="false">IF($D108="是",U108-V108,0)</f>
        <v>0</v>
      </c>
      <c r="BI108" s="502" t="n">
        <f aca="false">IF($D108="是",W108-X108,0)</f>
        <v>0</v>
      </c>
      <c r="BJ108" s="502" t="n">
        <f aca="false">IF($D108="是",Y108-Z108,0)</f>
        <v>0</v>
      </c>
      <c r="BK108" s="502" t="n">
        <f aca="false">IF($D108="是",AA108-AB108,0)</f>
        <v>0</v>
      </c>
      <c r="BL108" s="502" t="n">
        <f aca="false">SUM(BM108:BT108)</f>
        <v>0</v>
      </c>
      <c r="BM108" s="502" t="n">
        <f aca="false">IF($D108="是",AD108-AE108,0)</f>
        <v>0</v>
      </c>
      <c r="BN108" s="502" t="n">
        <f aca="false">IF($D108="是",AF108-AG108,0)</f>
        <v>0</v>
      </c>
      <c r="BO108" s="502" t="n">
        <f aca="false">IF($D108="是",AH108-AI108,0)</f>
        <v>0</v>
      </c>
      <c r="BP108" s="502" t="n">
        <f aca="false">IF($D108="是",AJ108-AK108,0)</f>
        <v>0</v>
      </c>
      <c r="BQ108" s="502" t="n">
        <f aca="false">IF($D108="是",AL108-AM108,0)</f>
        <v>0</v>
      </c>
      <c r="BR108" s="502" t="n">
        <f aca="false">IF($D108="是",AN108-AO108,0)</f>
        <v>0</v>
      </c>
      <c r="BS108" s="502" t="n">
        <f aca="false">IF($D108="是",AP108-AQ108,0)</f>
        <v>0</v>
      </c>
      <c r="BT108" s="512" t="n">
        <f aca="false">IF($D108="是",AR108-AS108,0)</f>
        <v>0</v>
      </c>
    </row>
    <row r="109" customFormat="false" ht="14.25" hidden="false" customHeight="false" outlineLevel="0" collapsed="false">
      <c r="A109" s="499"/>
      <c r="B109" s="500"/>
      <c r="C109" s="500"/>
      <c r="D109" s="501"/>
      <c r="E109" s="502" t="n">
        <f aca="false">IF($C$3="是",ROUND($A$3*G109/$B$3,2),ROUND($A$3*(G109-AT109)/$B$3,2))</f>
        <v>0</v>
      </c>
      <c r="F109" s="503"/>
      <c r="G109" s="504" t="n">
        <f aca="false">H109+AC109+AT109</f>
        <v>0</v>
      </c>
      <c r="H109" s="505" t="n">
        <f aca="false">SUMIF(I$12:AB$12,"总值",I109:AB109)</f>
        <v>0</v>
      </c>
      <c r="I109" s="506"/>
      <c r="J109" s="506"/>
      <c r="K109" s="506"/>
      <c r="L109" s="506"/>
      <c r="M109" s="506"/>
      <c r="N109" s="506"/>
      <c r="O109" s="506"/>
      <c r="P109" s="506"/>
      <c r="Q109" s="506"/>
      <c r="R109" s="506"/>
      <c r="S109" s="506"/>
      <c r="T109" s="506"/>
      <c r="U109" s="506"/>
      <c r="V109" s="506"/>
      <c r="W109" s="506"/>
      <c r="X109" s="506"/>
      <c r="Y109" s="506"/>
      <c r="Z109" s="506"/>
      <c r="AA109" s="506"/>
      <c r="AB109" s="506"/>
      <c r="AC109" s="502" t="n">
        <f aca="false">SUMIF(AD$12:AS$12,"总值",AD109:AS109)</f>
        <v>0</v>
      </c>
      <c r="AD109" s="507"/>
      <c r="AE109" s="507"/>
      <c r="AF109" s="507"/>
      <c r="AG109" s="507"/>
      <c r="AH109" s="507"/>
      <c r="AI109" s="507"/>
      <c r="AJ109" s="507"/>
      <c r="AK109" s="507"/>
      <c r="AL109" s="507"/>
      <c r="AM109" s="507"/>
      <c r="AN109" s="507"/>
      <c r="AO109" s="507"/>
      <c r="AP109" s="507"/>
      <c r="AQ109" s="507"/>
      <c r="AR109" s="507"/>
      <c r="AS109" s="507"/>
      <c r="AT109" s="508"/>
      <c r="AU109" s="509"/>
      <c r="AV109" s="510" t="n">
        <f aca="false">A109</f>
        <v>0</v>
      </c>
      <c r="AW109" s="510" t="n">
        <f aca="false">B109</f>
        <v>0</v>
      </c>
      <c r="AX109" s="510" t="n">
        <f aca="false">C109</f>
        <v>0</v>
      </c>
      <c r="AY109" s="511" t="n">
        <f aca="false">ROUND($AY$6*AZ109/$AZ$5,2)</f>
        <v>0</v>
      </c>
      <c r="AZ109" s="502" t="n">
        <f aca="false">BA109+BL109</f>
        <v>0</v>
      </c>
      <c r="BA109" s="502" t="n">
        <f aca="false">SUM(BB109:BK109)</f>
        <v>0</v>
      </c>
      <c r="BB109" s="502" t="n">
        <f aca="false">IF($D109="是",I109-J109,0)</f>
        <v>0</v>
      </c>
      <c r="BC109" s="502" t="n">
        <f aca="false">IF($D109="是",K109-L109,0)</f>
        <v>0</v>
      </c>
      <c r="BD109" s="502" t="n">
        <f aca="false">IF($D109="是",M109-N109,0)</f>
        <v>0</v>
      </c>
      <c r="BE109" s="502" t="n">
        <f aca="false">IF($D109="是",O109-P109,0)</f>
        <v>0</v>
      </c>
      <c r="BF109" s="502" t="n">
        <f aca="false">IF($D109="是",Q109-R109,0)</f>
        <v>0</v>
      </c>
      <c r="BG109" s="502" t="n">
        <f aca="false">IF($D109="是",S109-T109,0)</f>
        <v>0</v>
      </c>
      <c r="BH109" s="502" t="n">
        <f aca="false">IF($D109="是",U109-V109,0)</f>
        <v>0</v>
      </c>
      <c r="BI109" s="502" t="n">
        <f aca="false">IF($D109="是",W109-X109,0)</f>
        <v>0</v>
      </c>
      <c r="BJ109" s="502" t="n">
        <f aca="false">IF($D109="是",Y109-Z109,0)</f>
        <v>0</v>
      </c>
      <c r="BK109" s="502" t="n">
        <f aca="false">IF($D109="是",AA109-AB109,0)</f>
        <v>0</v>
      </c>
      <c r="BL109" s="502" t="n">
        <f aca="false">SUM(BM109:BT109)</f>
        <v>0</v>
      </c>
      <c r="BM109" s="502" t="n">
        <f aca="false">IF($D109="是",AD109-AE109,0)</f>
        <v>0</v>
      </c>
      <c r="BN109" s="502" t="n">
        <f aca="false">IF($D109="是",AF109-AG109,0)</f>
        <v>0</v>
      </c>
      <c r="BO109" s="502" t="n">
        <f aca="false">IF($D109="是",AH109-AI109,0)</f>
        <v>0</v>
      </c>
      <c r="BP109" s="502" t="n">
        <f aca="false">IF($D109="是",AJ109-AK109,0)</f>
        <v>0</v>
      </c>
      <c r="BQ109" s="502" t="n">
        <f aca="false">IF($D109="是",AL109-AM109,0)</f>
        <v>0</v>
      </c>
      <c r="BR109" s="502" t="n">
        <f aca="false">IF($D109="是",AN109-AO109,0)</f>
        <v>0</v>
      </c>
      <c r="BS109" s="502" t="n">
        <f aca="false">IF($D109="是",AP109-AQ109,0)</f>
        <v>0</v>
      </c>
      <c r="BT109" s="512" t="n">
        <f aca="false">IF($D109="是",AR109-AS109,0)</f>
        <v>0</v>
      </c>
    </row>
    <row r="110" customFormat="false" ht="14.25" hidden="false" customHeight="false" outlineLevel="0" collapsed="false">
      <c r="A110" s="499"/>
      <c r="B110" s="499"/>
      <c r="C110" s="499"/>
      <c r="D110" s="501"/>
      <c r="E110" s="502" t="n">
        <f aca="false">IF($C$3="是",ROUND($A$3*G110/$B$3,2),ROUND($A$3*(G110-AT110)/$B$3,2))</f>
        <v>0</v>
      </c>
      <c r="F110" s="513"/>
      <c r="G110" s="504" t="n">
        <f aca="false">H110+AC110+AT110</f>
        <v>0</v>
      </c>
      <c r="H110" s="505" t="n">
        <f aca="false">SUMIF(I$12:AB$12,"总值",I110:AB110)</f>
        <v>0</v>
      </c>
      <c r="I110" s="514"/>
      <c r="J110" s="514"/>
      <c r="K110" s="506"/>
      <c r="L110" s="506"/>
      <c r="M110" s="506"/>
      <c r="N110" s="506"/>
      <c r="O110" s="506"/>
      <c r="P110" s="506"/>
      <c r="Q110" s="506"/>
      <c r="R110" s="506"/>
      <c r="S110" s="506"/>
      <c r="T110" s="506"/>
      <c r="U110" s="506"/>
      <c r="V110" s="506"/>
      <c r="W110" s="506"/>
      <c r="X110" s="506"/>
      <c r="Y110" s="506"/>
      <c r="Z110" s="506"/>
      <c r="AA110" s="506"/>
      <c r="AB110" s="506"/>
      <c r="AC110" s="502" t="n">
        <f aca="false">SUMIF(AD$12:AS$12,"总值",AD110:AS110)</f>
        <v>0</v>
      </c>
      <c r="AD110" s="507"/>
      <c r="AE110" s="507"/>
      <c r="AF110" s="507"/>
      <c r="AG110" s="507"/>
      <c r="AH110" s="507"/>
      <c r="AI110" s="507"/>
      <c r="AJ110" s="507"/>
      <c r="AK110" s="507"/>
      <c r="AL110" s="507"/>
      <c r="AM110" s="507"/>
      <c r="AN110" s="507"/>
      <c r="AO110" s="507"/>
      <c r="AP110" s="507"/>
      <c r="AQ110" s="507"/>
      <c r="AR110" s="507"/>
      <c r="AS110" s="507"/>
      <c r="AT110" s="507"/>
      <c r="AU110" s="515"/>
      <c r="AV110" s="510" t="n">
        <f aca="false">A110</f>
        <v>0</v>
      </c>
      <c r="AW110" s="510" t="n">
        <f aca="false">B110</f>
        <v>0</v>
      </c>
      <c r="AX110" s="510" t="n">
        <f aca="false">C110</f>
        <v>0</v>
      </c>
      <c r="AY110" s="511" t="n">
        <f aca="false">ROUND($AY$6*AZ110/$AZ$5,2)</f>
        <v>0</v>
      </c>
      <c r="AZ110" s="502" t="n">
        <f aca="false">BA110+BL110</f>
        <v>0</v>
      </c>
      <c r="BA110" s="502" t="n">
        <f aca="false">SUM(BB110:BK110)</f>
        <v>0</v>
      </c>
      <c r="BB110" s="502" t="n">
        <f aca="false">IF($D110="是",I110-J110,0)</f>
        <v>0</v>
      </c>
      <c r="BC110" s="502" t="n">
        <f aca="false">IF($D110="是",K110-L110,0)</f>
        <v>0</v>
      </c>
      <c r="BD110" s="502" t="n">
        <f aca="false">IF($D110="是",M110-N110,0)</f>
        <v>0</v>
      </c>
      <c r="BE110" s="502" t="n">
        <f aca="false">IF($D110="是",O110-P110,0)</f>
        <v>0</v>
      </c>
      <c r="BF110" s="502" t="n">
        <f aca="false">IF($D110="是",Q110-R110,0)</f>
        <v>0</v>
      </c>
      <c r="BG110" s="502" t="n">
        <f aca="false">IF($D110="是",S110-T110,0)</f>
        <v>0</v>
      </c>
      <c r="BH110" s="502" t="n">
        <f aca="false">IF($D110="是",U110-V110,0)</f>
        <v>0</v>
      </c>
      <c r="BI110" s="502" t="n">
        <f aca="false">IF($D110="是",W110-X110,0)</f>
        <v>0</v>
      </c>
      <c r="BJ110" s="502" t="n">
        <f aca="false">IF($D110="是",Y110-Z110,0)</f>
        <v>0</v>
      </c>
      <c r="BK110" s="502" t="n">
        <f aca="false">IF($D110="是",AA110-AB110,0)</f>
        <v>0</v>
      </c>
      <c r="BL110" s="502" t="n">
        <f aca="false">SUM(BM110:BT110)</f>
        <v>0</v>
      </c>
      <c r="BM110" s="502" t="n">
        <f aca="false">IF($D110="是",AD110-AE110,0)</f>
        <v>0</v>
      </c>
      <c r="BN110" s="502" t="n">
        <f aca="false">IF($D110="是",AF110-AG110,0)</f>
        <v>0</v>
      </c>
      <c r="BO110" s="502" t="n">
        <f aca="false">IF($D110="是",AH110-AI110,0)</f>
        <v>0</v>
      </c>
      <c r="BP110" s="502" t="n">
        <f aca="false">IF($D110="是",AJ110-AK110,0)</f>
        <v>0</v>
      </c>
      <c r="BQ110" s="502" t="n">
        <f aca="false">IF($D110="是",AL110-AM110,0)</f>
        <v>0</v>
      </c>
      <c r="BR110" s="502" t="n">
        <f aca="false">IF($D110="是",AN110-AO110,0)</f>
        <v>0</v>
      </c>
      <c r="BS110" s="502" t="n">
        <f aca="false">IF($D110="是",AP110-AQ110,0)</f>
        <v>0</v>
      </c>
      <c r="BT110" s="512" t="n">
        <f aca="false">IF($D110="是",AR110-AS110,0)</f>
        <v>0</v>
      </c>
    </row>
    <row r="111" customFormat="false" ht="14.25" hidden="false" customHeight="false" outlineLevel="0" collapsed="false">
      <c r="A111" s="499"/>
      <c r="B111" s="499"/>
      <c r="C111" s="499"/>
      <c r="D111" s="501"/>
      <c r="E111" s="502" t="n">
        <f aca="false">IF($C$3="是",ROUND($A$3*G111/$B$3,2),ROUND($A$3*(G111-AT111)/$B$3,2))</f>
        <v>0</v>
      </c>
      <c r="F111" s="513"/>
      <c r="G111" s="504" t="n">
        <f aca="false">H111+AC111+AT111</f>
        <v>0</v>
      </c>
      <c r="H111" s="505" t="n">
        <f aca="false">SUMIF(I$12:AB$12,"总值",I111:AB111)</f>
        <v>0</v>
      </c>
      <c r="I111" s="506"/>
      <c r="J111" s="506"/>
      <c r="K111" s="506"/>
      <c r="L111" s="506"/>
      <c r="M111" s="506"/>
      <c r="N111" s="506"/>
      <c r="O111" s="506"/>
      <c r="P111" s="506"/>
      <c r="Q111" s="506"/>
      <c r="R111" s="506"/>
      <c r="S111" s="506"/>
      <c r="T111" s="506"/>
      <c r="U111" s="506"/>
      <c r="V111" s="506"/>
      <c r="W111" s="506"/>
      <c r="X111" s="506"/>
      <c r="Y111" s="506"/>
      <c r="Z111" s="506"/>
      <c r="AA111" s="506"/>
      <c r="AB111" s="506"/>
      <c r="AC111" s="502" t="n">
        <f aca="false">SUMIF(AD$12:AS$12,"总值",AD111:AS111)</f>
        <v>0</v>
      </c>
      <c r="AD111" s="507"/>
      <c r="AE111" s="507"/>
      <c r="AF111" s="507"/>
      <c r="AG111" s="507"/>
      <c r="AH111" s="507"/>
      <c r="AI111" s="507"/>
      <c r="AJ111" s="507"/>
      <c r="AK111" s="507"/>
      <c r="AL111" s="507"/>
      <c r="AM111" s="507"/>
      <c r="AN111" s="507"/>
      <c r="AO111" s="507"/>
      <c r="AP111" s="507"/>
      <c r="AQ111" s="507"/>
      <c r="AR111" s="507"/>
      <c r="AS111" s="507"/>
      <c r="AT111" s="507"/>
      <c r="AU111" s="515"/>
      <c r="AV111" s="510" t="n">
        <f aca="false">A111</f>
        <v>0</v>
      </c>
      <c r="AW111" s="510" t="n">
        <f aca="false">B111</f>
        <v>0</v>
      </c>
      <c r="AX111" s="510" t="n">
        <f aca="false">C111</f>
        <v>0</v>
      </c>
      <c r="AY111" s="511" t="n">
        <f aca="false">ROUND($AY$6*AZ111/$AZ$5,2)</f>
        <v>0</v>
      </c>
      <c r="AZ111" s="502" t="n">
        <f aca="false">BA111+BL111</f>
        <v>0</v>
      </c>
      <c r="BA111" s="502" t="n">
        <f aca="false">SUM(BB111:BK111)</f>
        <v>0</v>
      </c>
      <c r="BB111" s="502" t="n">
        <f aca="false">IF($D111="是",I111-J111,0)</f>
        <v>0</v>
      </c>
      <c r="BC111" s="502" t="n">
        <f aca="false">IF($D111="是",K111-L111,0)</f>
        <v>0</v>
      </c>
      <c r="BD111" s="502" t="n">
        <f aca="false">IF($D111="是",M111-N111,0)</f>
        <v>0</v>
      </c>
      <c r="BE111" s="502" t="n">
        <f aca="false">IF($D111="是",O111-P111,0)</f>
        <v>0</v>
      </c>
      <c r="BF111" s="502" t="n">
        <f aca="false">IF($D111="是",Q111-R111,0)</f>
        <v>0</v>
      </c>
      <c r="BG111" s="502" t="n">
        <f aca="false">IF($D111="是",S111-T111,0)</f>
        <v>0</v>
      </c>
      <c r="BH111" s="502" t="n">
        <f aca="false">IF($D111="是",U111-V111,0)</f>
        <v>0</v>
      </c>
      <c r="BI111" s="502" t="n">
        <f aca="false">IF($D111="是",W111-X111,0)</f>
        <v>0</v>
      </c>
      <c r="BJ111" s="502" t="n">
        <f aca="false">IF($D111="是",Y111-Z111,0)</f>
        <v>0</v>
      </c>
      <c r="BK111" s="502" t="n">
        <f aca="false">IF($D111="是",AA111-AB111,0)</f>
        <v>0</v>
      </c>
      <c r="BL111" s="502" t="n">
        <f aca="false">SUM(BM111:BT111)</f>
        <v>0</v>
      </c>
      <c r="BM111" s="502" t="n">
        <f aca="false">IF($D111="是",AD111-AE111,0)</f>
        <v>0</v>
      </c>
      <c r="BN111" s="502" t="n">
        <f aca="false">IF($D111="是",AF111-AG111,0)</f>
        <v>0</v>
      </c>
      <c r="BO111" s="502" t="n">
        <f aca="false">IF($D111="是",AH111-AI111,0)</f>
        <v>0</v>
      </c>
      <c r="BP111" s="502" t="n">
        <f aca="false">IF($D111="是",AJ111-AK111,0)</f>
        <v>0</v>
      </c>
      <c r="BQ111" s="502" t="n">
        <f aca="false">IF($D111="是",AL111-AM111,0)</f>
        <v>0</v>
      </c>
      <c r="BR111" s="502" t="n">
        <f aca="false">IF($D111="是",AN111-AO111,0)</f>
        <v>0</v>
      </c>
      <c r="BS111" s="502" t="n">
        <f aca="false">IF($D111="是",AP111-AQ111,0)</f>
        <v>0</v>
      </c>
      <c r="BT111" s="512" t="n">
        <f aca="false">IF($D111="是",AR111-AS111,0)</f>
        <v>0</v>
      </c>
    </row>
    <row r="112" customFormat="false" ht="14.25" hidden="false" customHeight="false" outlineLevel="0" collapsed="false">
      <c r="A112" s="499"/>
      <c r="B112" s="499"/>
      <c r="C112" s="499"/>
      <c r="D112" s="501"/>
      <c r="E112" s="502" t="n">
        <f aca="false">IF($C$3="是",ROUND($A$3*G112/$B$3,2),ROUND($A$3*(G112-AT112)/$B$3,2))</f>
        <v>0</v>
      </c>
      <c r="F112" s="513"/>
      <c r="G112" s="504" t="n">
        <f aca="false">H112+AC112+AT112</f>
        <v>0</v>
      </c>
      <c r="H112" s="505" t="n">
        <f aca="false">SUMIF(I$12:AB$12,"总值",I112:AB112)</f>
        <v>0</v>
      </c>
      <c r="I112" s="506"/>
      <c r="J112" s="506"/>
      <c r="K112" s="506"/>
      <c r="L112" s="506"/>
      <c r="M112" s="506"/>
      <c r="N112" s="506"/>
      <c r="O112" s="506"/>
      <c r="P112" s="506"/>
      <c r="Q112" s="506"/>
      <c r="R112" s="506"/>
      <c r="S112" s="506"/>
      <c r="T112" s="506"/>
      <c r="U112" s="506"/>
      <c r="V112" s="506"/>
      <c r="W112" s="506"/>
      <c r="X112" s="506"/>
      <c r="Y112" s="506"/>
      <c r="Z112" s="506"/>
      <c r="AA112" s="506"/>
      <c r="AB112" s="506"/>
      <c r="AC112" s="502" t="n">
        <f aca="false">SUMIF(AD$12:AS$12,"总值",AD112:AS112)</f>
        <v>0</v>
      </c>
      <c r="AD112" s="507"/>
      <c r="AE112" s="507"/>
      <c r="AF112" s="507"/>
      <c r="AG112" s="507"/>
      <c r="AH112" s="507"/>
      <c r="AI112" s="507"/>
      <c r="AJ112" s="507"/>
      <c r="AK112" s="507"/>
      <c r="AL112" s="507"/>
      <c r="AM112" s="507"/>
      <c r="AN112" s="507"/>
      <c r="AO112" s="507"/>
      <c r="AP112" s="507"/>
      <c r="AQ112" s="507"/>
      <c r="AR112" s="507"/>
      <c r="AS112" s="507"/>
      <c r="AT112" s="507"/>
      <c r="AU112" s="515"/>
      <c r="AV112" s="510" t="n">
        <f aca="false">A112</f>
        <v>0</v>
      </c>
      <c r="AW112" s="510" t="n">
        <f aca="false">B112</f>
        <v>0</v>
      </c>
      <c r="AX112" s="510" t="n">
        <f aca="false">C112</f>
        <v>0</v>
      </c>
      <c r="AY112" s="511" t="n">
        <f aca="false">ROUND($AY$6*AZ112/$AZ$5,2)</f>
        <v>0</v>
      </c>
      <c r="AZ112" s="502" t="n">
        <f aca="false">BA112+BL112</f>
        <v>0</v>
      </c>
      <c r="BA112" s="502" t="n">
        <f aca="false">SUM(BB112:BK112)</f>
        <v>0</v>
      </c>
      <c r="BB112" s="502" t="n">
        <f aca="false">IF($D112="是",I112-J112,0)</f>
        <v>0</v>
      </c>
      <c r="BC112" s="502" t="n">
        <f aca="false">IF($D112="是",K112-L112,0)</f>
        <v>0</v>
      </c>
      <c r="BD112" s="502" t="n">
        <f aca="false">IF($D112="是",M112-N112,0)</f>
        <v>0</v>
      </c>
      <c r="BE112" s="502" t="n">
        <f aca="false">IF($D112="是",O112-P112,0)</f>
        <v>0</v>
      </c>
      <c r="BF112" s="502" t="n">
        <f aca="false">IF($D112="是",Q112-R112,0)</f>
        <v>0</v>
      </c>
      <c r="BG112" s="502" t="n">
        <f aca="false">IF($D112="是",S112-T112,0)</f>
        <v>0</v>
      </c>
      <c r="BH112" s="502" t="n">
        <f aca="false">IF($D112="是",U112-V112,0)</f>
        <v>0</v>
      </c>
      <c r="BI112" s="502" t="n">
        <f aca="false">IF($D112="是",W112-X112,0)</f>
        <v>0</v>
      </c>
      <c r="BJ112" s="502" t="n">
        <f aca="false">IF($D112="是",Y112-Z112,0)</f>
        <v>0</v>
      </c>
      <c r="BK112" s="502" t="n">
        <f aca="false">IF($D112="是",AA112-AB112,0)</f>
        <v>0</v>
      </c>
      <c r="BL112" s="502" t="n">
        <f aca="false">SUM(BM112:BT112)</f>
        <v>0</v>
      </c>
      <c r="BM112" s="502" t="n">
        <f aca="false">IF($D112="是",AD112-AE112,0)</f>
        <v>0</v>
      </c>
      <c r="BN112" s="502" t="n">
        <f aca="false">IF($D112="是",AF112-AG112,0)</f>
        <v>0</v>
      </c>
      <c r="BO112" s="502" t="n">
        <f aca="false">IF($D112="是",AH112-AI112,0)</f>
        <v>0</v>
      </c>
      <c r="BP112" s="502" t="n">
        <f aca="false">IF($D112="是",AJ112-AK112,0)</f>
        <v>0</v>
      </c>
      <c r="BQ112" s="502" t="n">
        <f aca="false">IF($D112="是",AL112-AM112,0)</f>
        <v>0</v>
      </c>
      <c r="BR112" s="502" t="n">
        <f aca="false">IF($D112="是",AN112-AO112,0)</f>
        <v>0</v>
      </c>
      <c r="BS112" s="502" t="n">
        <f aca="false">IF($D112="是",AP112-AQ112,0)</f>
        <v>0</v>
      </c>
      <c r="BT112" s="512" t="n">
        <f aca="false">IF($D112="是",AR112-AS112,0)</f>
        <v>0</v>
      </c>
    </row>
    <row r="113" customFormat="false" ht="14.25" hidden="false" customHeight="false" outlineLevel="0" collapsed="false">
      <c r="A113" s="499"/>
      <c r="B113" s="500"/>
      <c r="C113" s="500"/>
      <c r="D113" s="501"/>
      <c r="E113" s="502" t="n">
        <f aca="false">IF($C$3="是",ROUND($A$3*G113/$B$3,2),ROUND($A$3*(G113-AT113)/$B$3,2))</f>
        <v>0</v>
      </c>
      <c r="F113" s="503"/>
      <c r="G113" s="504" t="n">
        <f aca="false">H113+AC113+AT113</f>
        <v>0</v>
      </c>
      <c r="H113" s="505" t="n">
        <f aca="false">SUMIF(I$12:AB$12,"总值",I113:AB113)</f>
        <v>0</v>
      </c>
      <c r="I113" s="506"/>
      <c r="J113" s="506"/>
      <c r="K113" s="506"/>
      <c r="L113" s="506"/>
      <c r="M113" s="506"/>
      <c r="N113" s="506"/>
      <c r="O113" s="506"/>
      <c r="P113" s="506"/>
      <c r="Q113" s="506"/>
      <c r="R113" s="506"/>
      <c r="S113" s="506"/>
      <c r="T113" s="506"/>
      <c r="U113" s="506"/>
      <c r="V113" s="506"/>
      <c r="W113" s="506"/>
      <c r="X113" s="506"/>
      <c r="Y113" s="506"/>
      <c r="Z113" s="506"/>
      <c r="AA113" s="506"/>
      <c r="AB113" s="506"/>
      <c r="AC113" s="502" t="n">
        <f aca="false">SUMIF(AD$12:AS$12,"总值",AD113:AS113)</f>
        <v>0</v>
      </c>
      <c r="AD113" s="507"/>
      <c r="AE113" s="507"/>
      <c r="AF113" s="507"/>
      <c r="AG113" s="507"/>
      <c r="AH113" s="507"/>
      <c r="AI113" s="507"/>
      <c r="AJ113" s="507"/>
      <c r="AK113" s="507"/>
      <c r="AL113" s="507"/>
      <c r="AM113" s="507"/>
      <c r="AN113" s="507"/>
      <c r="AO113" s="507"/>
      <c r="AP113" s="507"/>
      <c r="AQ113" s="507"/>
      <c r="AR113" s="507"/>
      <c r="AS113" s="507"/>
      <c r="AT113" s="508"/>
      <c r="AU113" s="509"/>
      <c r="AV113" s="510" t="n">
        <f aca="false">A113</f>
        <v>0</v>
      </c>
      <c r="AW113" s="510" t="n">
        <f aca="false">B113</f>
        <v>0</v>
      </c>
      <c r="AX113" s="510" t="n">
        <f aca="false">C113</f>
        <v>0</v>
      </c>
      <c r="AY113" s="511" t="n">
        <f aca="false">ROUND($AY$6*AZ113/$AZ$5,2)</f>
        <v>0</v>
      </c>
      <c r="AZ113" s="502" t="n">
        <f aca="false">BA113+BL113</f>
        <v>0</v>
      </c>
      <c r="BA113" s="502" t="n">
        <f aca="false">SUM(BB113:BK113)</f>
        <v>0</v>
      </c>
      <c r="BB113" s="502" t="n">
        <f aca="false">IF($D113="是",I113-J113,0)</f>
        <v>0</v>
      </c>
      <c r="BC113" s="502" t="n">
        <f aca="false">IF($D113="是",K113-L113,0)</f>
        <v>0</v>
      </c>
      <c r="BD113" s="502" t="n">
        <f aca="false">IF($D113="是",M113-N113,0)</f>
        <v>0</v>
      </c>
      <c r="BE113" s="502" t="n">
        <f aca="false">IF($D113="是",O113-P113,0)</f>
        <v>0</v>
      </c>
      <c r="BF113" s="502" t="n">
        <f aca="false">IF($D113="是",Q113-R113,0)</f>
        <v>0</v>
      </c>
      <c r="BG113" s="502" t="n">
        <f aca="false">IF($D113="是",S113-T113,0)</f>
        <v>0</v>
      </c>
      <c r="BH113" s="502" t="n">
        <f aca="false">IF($D113="是",U113-V113,0)</f>
        <v>0</v>
      </c>
      <c r="BI113" s="502" t="n">
        <f aca="false">IF($D113="是",W113-X113,0)</f>
        <v>0</v>
      </c>
      <c r="BJ113" s="502" t="n">
        <f aca="false">IF($D113="是",Y113-Z113,0)</f>
        <v>0</v>
      </c>
      <c r="BK113" s="502" t="n">
        <f aca="false">IF($D113="是",AA113-AB113,0)</f>
        <v>0</v>
      </c>
      <c r="BL113" s="502" t="n">
        <f aca="false">SUM(BM113:BT113)</f>
        <v>0</v>
      </c>
      <c r="BM113" s="502" t="n">
        <f aca="false">IF($D113="是",AD113-AE113,0)</f>
        <v>0</v>
      </c>
      <c r="BN113" s="502" t="n">
        <f aca="false">IF($D113="是",AF113-AG113,0)</f>
        <v>0</v>
      </c>
      <c r="BO113" s="502" t="n">
        <f aca="false">IF($D113="是",AH113-AI113,0)</f>
        <v>0</v>
      </c>
      <c r="BP113" s="502" t="n">
        <f aca="false">IF($D113="是",AJ113-AK113,0)</f>
        <v>0</v>
      </c>
      <c r="BQ113" s="502" t="n">
        <f aca="false">IF($D113="是",AL113-AM113,0)</f>
        <v>0</v>
      </c>
      <c r="BR113" s="502" t="n">
        <f aca="false">IF($D113="是",AN113-AO113,0)</f>
        <v>0</v>
      </c>
      <c r="BS113" s="502" t="n">
        <f aca="false">IF($D113="是",AP113-AQ113,0)</f>
        <v>0</v>
      </c>
      <c r="BT113" s="512" t="n">
        <f aca="false">IF($D113="是",AR113-AS113,0)</f>
        <v>0</v>
      </c>
    </row>
    <row r="114" customFormat="false" ht="14.25" hidden="false" customHeight="false" outlineLevel="0" collapsed="false">
      <c r="A114" s="499"/>
      <c r="B114" s="500"/>
      <c r="C114" s="500"/>
      <c r="D114" s="501"/>
      <c r="E114" s="502" t="n">
        <f aca="false">IF($C$3="是",ROUND($A$3*G114/$B$3,2),ROUND($A$3*(G114-AT114)/$B$3,2))</f>
        <v>0</v>
      </c>
      <c r="F114" s="503"/>
      <c r="G114" s="504" t="n">
        <f aca="false">H114+AC114+AT114</f>
        <v>0</v>
      </c>
      <c r="H114" s="505" t="n">
        <f aca="false">SUMIF(I$12:AB$12,"总值",I114:AB114)</f>
        <v>0</v>
      </c>
      <c r="I114" s="506"/>
      <c r="J114" s="506"/>
      <c r="K114" s="506"/>
      <c r="L114" s="506"/>
      <c r="M114" s="506"/>
      <c r="N114" s="506"/>
      <c r="O114" s="506"/>
      <c r="P114" s="506"/>
      <c r="Q114" s="506"/>
      <c r="R114" s="506"/>
      <c r="S114" s="506"/>
      <c r="T114" s="506"/>
      <c r="U114" s="506"/>
      <c r="V114" s="506"/>
      <c r="W114" s="506"/>
      <c r="X114" s="506"/>
      <c r="Y114" s="506"/>
      <c r="Z114" s="506"/>
      <c r="AA114" s="506"/>
      <c r="AB114" s="506"/>
      <c r="AC114" s="502" t="n">
        <f aca="false">SUMIF(AD$12:AS$12,"总值",AD114:AS114)</f>
        <v>0</v>
      </c>
      <c r="AD114" s="507"/>
      <c r="AE114" s="507"/>
      <c r="AF114" s="507"/>
      <c r="AG114" s="507"/>
      <c r="AH114" s="507"/>
      <c r="AI114" s="507"/>
      <c r="AJ114" s="507"/>
      <c r="AK114" s="507"/>
      <c r="AL114" s="507"/>
      <c r="AM114" s="507"/>
      <c r="AN114" s="507"/>
      <c r="AO114" s="507"/>
      <c r="AP114" s="507"/>
      <c r="AQ114" s="507"/>
      <c r="AR114" s="507"/>
      <c r="AS114" s="507"/>
      <c r="AT114" s="508"/>
      <c r="AU114" s="509"/>
      <c r="AV114" s="510" t="n">
        <f aca="false">A114</f>
        <v>0</v>
      </c>
      <c r="AW114" s="510" t="n">
        <f aca="false">B114</f>
        <v>0</v>
      </c>
      <c r="AX114" s="510" t="n">
        <f aca="false">C114</f>
        <v>0</v>
      </c>
      <c r="AY114" s="511" t="n">
        <f aca="false">ROUND($AY$6*AZ114/$AZ$5,2)</f>
        <v>0</v>
      </c>
      <c r="AZ114" s="502" t="n">
        <f aca="false">BA114+BL114</f>
        <v>0</v>
      </c>
      <c r="BA114" s="502" t="n">
        <f aca="false">SUM(BB114:BK114)</f>
        <v>0</v>
      </c>
      <c r="BB114" s="502" t="n">
        <f aca="false">IF($D114="是",I114-J114,0)</f>
        <v>0</v>
      </c>
      <c r="BC114" s="502" t="n">
        <f aca="false">IF($D114="是",K114-L114,0)</f>
        <v>0</v>
      </c>
      <c r="BD114" s="502" t="n">
        <f aca="false">IF($D114="是",M114-N114,0)</f>
        <v>0</v>
      </c>
      <c r="BE114" s="502" t="n">
        <f aca="false">IF($D114="是",O114-P114,0)</f>
        <v>0</v>
      </c>
      <c r="BF114" s="502" t="n">
        <f aca="false">IF($D114="是",Q114-R114,0)</f>
        <v>0</v>
      </c>
      <c r="BG114" s="502" t="n">
        <f aca="false">IF($D114="是",S114-T114,0)</f>
        <v>0</v>
      </c>
      <c r="BH114" s="502" t="n">
        <f aca="false">IF($D114="是",U114-V114,0)</f>
        <v>0</v>
      </c>
      <c r="BI114" s="502" t="n">
        <f aca="false">IF($D114="是",W114-X114,0)</f>
        <v>0</v>
      </c>
      <c r="BJ114" s="502" t="n">
        <f aca="false">IF($D114="是",Y114-Z114,0)</f>
        <v>0</v>
      </c>
      <c r="BK114" s="502" t="n">
        <f aca="false">IF($D114="是",AA114-AB114,0)</f>
        <v>0</v>
      </c>
      <c r="BL114" s="502" t="n">
        <f aca="false">SUM(BM114:BT114)</f>
        <v>0</v>
      </c>
      <c r="BM114" s="502" t="n">
        <f aca="false">IF($D114="是",AD114-AE114,0)</f>
        <v>0</v>
      </c>
      <c r="BN114" s="502" t="n">
        <f aca="false">IF($D114="是",AF114-AG114,0)</f>
        <v>0</v>
      </c>
      <c r="BO114" s="502" t="n">
        <f aca="false">IF($D114="是",AH114-AI114,0)</f>
        <v>0</v>
      </c>
      <c r="BP114" s="502" t="n">
        <f aca="false">IF($D114="是",AJ114-AK114,0)</f>
        <v>0</v>
      </c>
      <c r="BQ114" s="502" t="n">
        <f aca="false">IF($D114="是",AL114-AM114,0)</f>
        <v>0</v>
      </c>
      <c r="BR114" s="502" t="n">
        <f aca="false">IF($D114="是",AN114-AO114,0)</f>
        <v>0</v>
      </c>
      <c r="BS114" s="502" t="n">
        <f aca="false">IF($D114="是",AP114-AQ114,0)</f>
        <v>0</v>
      </c>
      <c r="BT114" s="512" t="n">
        <f aca="false">IF($D114="是",AR114-AS114,0)</f>
        <v>0</v>
      </c>
    </row>
    <row r="115" customFormat="false" ht="14.25" hidden="false" customHeight="false" outlineLevel="0" collapsed="false">
      <c r="A115" s="499"/>
      <c r="B115" s="500"/>
      <c r="C115" s="500"/>
      <c r="D115" s="501"/>
      <c r="E115" s="502" t="n">
        <f aca="false">IF($C$3="是",ROUND($A$3*G115/$B$3,2),ROUND($A$3*(G115-AT115)/$B$3,2))</f>
        <v>0</v>
      </c>
      <c r="F115" s="503"/>
      <c r="G115" s="504" t="n">
        <f aca="false">H115+AC115+AT115</f>
        <v>0</v>
      </c>
      <c r="H115" s="505" t="n">
        <f aca="false">SUMIF(I$12:AB$12,"总值",I115:AB115)</f>
        <v>0</v>
      </c>
      <c r="I115" s="506"/>
      <c r="J115" s="506"/>
      <c r="K115" s="506"/>
      <c r="L115" s="506"/>
      <c r="M115" s="506"/>
      <c r="N115" s="506"/>
      <c r="O115" s="506"/>
      <c r="P115" s="506"/>
      <c r="Q115" s="506"/>
      <c r="R115" s="506"/>
      <c r="S115" s="506"/>
      <c r="T115" s="506"/>
      <c r="U115" s="506"/>
      <c r="V115" s="506"/>
      <c r="W115" s="506"/>
      <c r="X115" s="506"/>
      <c r="Y115" s="506"/>
      <c r="Z115" s="506"/>
      <c r="AA115" s="506"/>
      <c r="AB115" s="506"/>
      <c r="AC115" s="502" t="n">
        <f aca="false">SUMIF(AD$12:AS$12,"总值",AD115:AS115)</f>
        <v>0</v>
      </c>
      <c r="AD115" s="507"/>
      <c r="AE115" s="507"/>
      <c r="AF115" s="507"/>
      <c r="AG115" s="507"/>
      <c r="AH115" s="507"/>
      <c r="AI115" s="507"/>
      <c r="AJ115" s="507"/>
      <c r="AK115" s="507"/>
      <c r="AL115" s="507"/>
      <c r="AM115" s="507"/>
      <c r="AN115" s="507"/>
      <c r="AO115" s="507"/>
      <c r="AP115" s="507"/>
      <c r="AQ115" s="507"/>
      <c r="AR115" s="507"/>
      <c r="AS115" s="507"/>
      <c r="AT115" s="508"/>
      <c r="AU115" s="509"/>
      <c r="AV115" s="510" t="n">
        <f aca="false">A115</f>
        <v>0</v>
      </c>
      <c r="AW115" s="510" t="n">
        <f aca="false">B115</f>
        <v>0</v>
      </c>
      <c r="AX115" s="510" t="n">
        <f aca="false">C115</f>
        <v>0</v>
      </c>
      <c r="AY115" s="511" t="n">
        <f aca="false">ROUND($AY$6*AZ115/$AZ$5,2)</f>
        <v>0</v>
      </c>
      <c r="AZ115" s="502" t="n">
        <f aca="false">BA115+BL115</f>
        <v>0</v>
      </c>
      <c r="BA115" s="502" t="n">
        <f aca="false">SUM(BB115:BK115)</f>
        <v>0</v>
      </c>
      <c r="BB115" s="502" t="n">
        <f aca="false">IF($D115="是",I115-J115,0)</f>
        <v>0</v>
      </c>
      <c r="BC115" s="502" t="n">
        <f aca="false">IF($D115="是",K115-L115,0)</f>
        <v>0</v>
      </c>
      <c r="BD115" s="502" t="n">
        <f aca="false">IF($D115="是",M115-N115,0)</f>
        <v>0</v>
      </c>
      <c r="BE115" s="502" t="n">
        <f aca="false">IF($D115="是",O115-P115,0)</f>
        <v>0</v>
      </c>
      <c r="BF115" s="502" t="n">
        <f aca="false">IF($D115="是",Q115-R115,0)</f>
        <v>0</v>
      </c>
      <c r="BG115" s="502" t="n">
        <f aca="false">IF($D115="是",S115-T115,0)</f>
        <v>0</v>
      </c>
      <c r="BH115" s="502" t="n">
        <f aca="false">IF($D115="是",U115-V115,0)</f>
        <v>0</v>
      </c>
      <c r="BI115" s="502" t="n">
        <f aca="false">IF($D115="是",W115-X115,0)</f>
        <v>0</v>
      </c>
      <c r="BJ115" s="502" t="n">
        <f aca="false">IF($D115="是",Y115-Z115,0)</f>
        <v>0</v>
      </c>
      <c r="BK115" s="502" t="n">
        <f aca="false">IF($D115="是",AA115-AB115,0)</f>
        <v>0</v>
      </c>
      <c r="BL115" s="502" t="n">
        <f aca="false">SUM(BM115:BT115)</f>
        <v>0</v>
      </c>
      <c r="BM115" s="502" t="n">
        <f aca="false">IF($D115="是",AD115-AE115,0)</f>
        <v>0</v>
      </c>
      <c r="BN115" s="502" t="n">
        <f aca="false">IF($D115="是",AF115-AG115,0)</f>
        <v>0</v>
      </c>
      <c r="BO115" s="502" t="n">
        <f aca="false">IF($D115="是",AH115-AI115,0)</f>
        <v>0</v>
      </c>
      <c r="BP115" s="502" t="n">
        <f aca="false">IF($D115="是",AJ115-AK115,0)</f>
        <v>0</v>
      </c>
      <c r="BQ115" s="502" t="n">
        <f aca="false">IF($D115="是",AL115-AM115,0)</f>
        <v>0</v>
      </c>
      <c r="BR115" s="502" t="n">
        <f aca="false">IF($D115="是",AN115-AO115,0)</f>
        <v>0</v>
      </c>
      <c r="BS115" s="502" t="n">
        <f aca="false">IF($D115="是",AP115-AQ115,0)</f>
        <v>0</v>
      </c>
      <c r="BT115" s="512" t="n">
        <f aca="false">IF($D115="是",AR115-AS115,0)</f>
        <v>0</v>
      </c>
    </row>
    <row r="116" customFormat="false" ht="14.25" hidden="false" customHeight="false" outlineLevel="0" collapsed="false">
      <c r="A116" s="499"/>
      <c r="B116" s="500"/>
      <c r="C116" s="500"/>
      <c r="D116" s="501"/>
      <c r="E116" s="502" t="n">
        <f aca="false">IF($C$3="是",ROUND($A$3*G116/$B$3,2),ROUND($A$3*(G116-AT116)/$B$3,2))</f>
        <v>0</v>
      </c>
      <c r="F116" s="503"/>
      <c r="G116" s="504" t="n">
        <f aca="false">H116+AC116+AT116</f>
        <v>0</v>
      </c>
      <c r="H116" s="505" t="n">
        <f aca="false">SUMIF(I$12:AB$12,"总值",I116:AB116)</f>
        <v>0</v>
      </c>
      <c r="I116" s="506"/>
      <c r="J116" s="506"/>
      <c r="K116" s="506"/>
      <c r="L116" s="506"/>
      <c r="M116" s="506"/>
      <c r="N116" s="506"/>
      <c r="O116" s="506"/>
      <c r="P116" s="506"/>
      <c r="Q116" s="506"/>
      <c r="R116" s="506"/>
      <c r="S116" s="506"/>
      <c r="T116" s="506"/>
      <c r="U116" s="506"/>
      <c r="V116" s="506"/>
      <c r="W116" s="506"/>
      <c r="X116" s="506"/>
      <c r="Y116" s="506"/>
      <c r="Z116" s="506"/>
      <c r="AA116" s="506"/>
      <c r="AB116" s="506"/>
      <c r="AC116" s="502" t="n">
        <f aca="false">SUMIF(AD$12:AS$12,"总值",AD116:AS116)</f>
        <v>0</v>
      </c>
      <c r="AD116" s="507"/>
      <c r="AE116" s="507"/>
      <c r="AF116" s="507"/>
      <c r="AG116" s="507"/>
      <c r="AH116" s="507"/>
      <c r="AI116" s="507"/>
      <c r="AJ116" s="507"/>
      <c r="AK116" s="507"/>
      <c r="AL116" s="507"/>
      <c r="AM116" s="507"/>
      <c r="AN116" s="507"/>
      <c r="AO116" s="507"/>
      <c r="AP116" s="507"/>
      <c r="AQ116" s="507"/>
      <c r="AR116" s="507"/>
      <c r="AS116" s="507"/>
      <c r="AT116" s="508"/>
      <c r="AU116" s="509"/>
      <c r="AV116" s="510" t="n">
        <f aca="false">A116</f>
        <v>0</v>
      </c>
      <c r="AW116" s="510" t="n">
        <f aca="false">B116</f>
        <v>0</v>
      </c>
      <c r="AX116" s="510" t="n">
        <f aca="false">C116</f>
        <v>0</v>
      </c>
      <c r="AY116" s="511" t="n">
        <f aca="false">ROUND($AY$6*AZ116/$AZ$5,2)</f>
        <v>0</v>
      </c>
      <c r="AZ116" s="502" t="n">
        <f aca="false">BA116+BL116</f>
        <v>0</v>
      </c>
      <c r="BA116" s="502" t="n">
        <f aca="false">SUM(BB116:BK116)</f>
        <v>0</v>
      </c>
      <c r="BB116" s="502" t="n">
        <f aca="false">IF($D116="是",I116-J116,0)</f>
        <v>0</v>
      </c>
      <c r="BC116" s="502" t="n">
        <f aca="false">IF($D116="是",K116-L116,0)</f>
        <v>0</v>
      </c>
      <c r="BD116" s="502" t="n">
        <f aca="false">IF($D116="是",M116-N116,0)</f>
        <v>0</v>
      </c>
      <c r="BE116" s="502" t="n">
        <f aca="false">IF($D116="是",O116-P116,0)</f>
        <v>0</v>
      </c>
      <c r="BF116" s="502" t="n">
        <f aca="false">IF($D116="是",Q116-R116,0)</f>
        <v>0</v>
      </c>
      <c r="BG116" s="502" t="n">
        <f aca="false">IF($D116="是",S116-T116,0)</f>
        <v>0</v>
      </c>
      <c r="BH116" s="502" t="n">
        <f aca="false">IF($D116="是",U116-V116,0)</f>
        <v>0</v>
      </c>
      <c r="BI116" s="502" t="n">
        <f aca="false">IF($D116="是",W116-X116,0)</f>
        <v>0</v>
      </c>
      <c r="BJ116" s="502" t="n">
        <f aca="false">IF($D116="是",Y116-Z116,0)</f>
        <v>0</v>
      </c>
      <c r="BK116" s="502" t="n">
        <f aca="false">IF($D116="是",AA116-AB116,0)</f>
        <v>0</v>
      </c>
      <c r="BL116" s="502" t="n">
        <f aca="false">SUM(BM116:BT116)</f>
        <v>0</v>
      </c>
      <c r="BM116" s="502" t="n">
        <f aca="false">IF($D116="是",AD116-AE116,0)</f>
        <v>0</v>
      </c>
      <c r="BN116" s="502" t="n">
        <f aca="false">IF($D116="是",AF116-AG116,0)</f>
        <v>0</v>
      </c>
      <c r="BO116" s="502" t="n">
        <f aca="false">IF($D116="是",AH116-AI116,0)</f>
        <v>0</v>
      </c>
      <c r="BP116" s="502" t="n">
        <f aca="false">IF($D116="是",AJ116-AK116,0)</f>
        <v>0</v>
      </c>
      <c r="BQ116" s="502" t="n">
        <f aca="false">IF($D116="是",AL116-AM116,0)</f>
        <v>0</v>
      </c>
      <c r="BR116" s="502" t="n">
        <f aca="false">IF($D116="是",AN116-AO116,0)</f>
        <v>0</v>
      </c>
      <c r="BS116" s="502" t="n">
        <f aca="false">IF($D116="是",AP116-AQ116,0)</f>
        <v>0</v>
      </c>
      <c r="BT116" s="512" t="n">
        <f aca="false">IF($D116="是",AR116-AS116,0)</f>
        <v>0</v>
      </c>
    </row>
    <row r="117" customFormat="false" ht="14.25" hidden="false" customHeight="false" outlineLevel="0" collapsed="false">
      <c r="A117" s="499"/>
      <c r="B117" s="500"/>
      <c r="C117" s="500"/>
      <c r="D117" s="501"/>
      <c r="E117" s="502" t="n">
        <f aca="false">IF($C$3="是",ROUND($A$3*G117/$B$3,2),ROUND($A$3*(G117-AT117)/$B$3,2))</f>
        <v>0</v>
      </c>
      <c r="F117" s="503"/>
      <c r="G117" s="504" t="n">
        <f aca="false">H117+AC117+AT117</f>
        <v>0</v>
      </c>
      <c r="H117" s="505" t="n">
        <f aca="false">SUMIF(I$12:AB$12,"总值",I117:AB117)</f>
        <v>0</v>
      </c>
      <c r="I117" s="506"/>
      <c r="J117" s="506"/>
      <c r="K117" s="506"/>
      <c r="L117" s="506"/>
      <c r="M117" s="506"/>
      <c r="N117" s="506"/>
      <c r="O117" s="506"/>
      <c r="P117" s="506"/>
      <c r="Q117" s="506"/>
      <c r="R117" s="506"/>
      <c r="S117" s="506"/>
      <c r="T117" s="506"/>
      <c r="U117" s="506"/>
      <c r="V117" s="506"/>
      <c r="W117" s="506"/>
      <c r="X117" s="506"/>
      <c r="Y117" s="506"/>
      <c r="Z117" s="506"/>
      <c r="AA117" s="506"/>
      <c r="AB117" s="506"/>
      <c r="AC117" s="502" t="n">
        <f aca="false">SUMIF(AD$12:AS$12,"总值",AD117:AS117)</f>
        <v>0</v>
      </c>
      <c r="AD117" s="507"/>
      <c r="AE117" s="507"/>
      <c r="AF117" s="507"/>
      <c r="AG117" s="507"/>
      <c r="AH117" s="507"/>
      <c r="AI117" s="507"/>
      <c r="AJ117" s="507"/>
      <c r="AK117" s="507"/>
      <c r="AL117" s="507"/>
      <c r="AM117" s="507"/>
      <c r="AN117" s="507"/>
      <c r="AO117" s="507"/>
      <c r="AP117" s="507"/>
      <c r="AQ117" s="507"/>
      <c r="AR117" s="507"/>
      <c r="AS117" s="507"/>
      <c r="AT117" s="508"/>
      <c r="AU117" s="509"/>
      <c r="AV117" s="510" t="n">
        <f aca="false">A117</f>
        <v>0</v>
      </c>
      <c r="AW117" s="510" t="n">
        <f aca="false">B117</f>
        <v>0</v>
      </c>
      <c r="AX117" s="510" t="n">
        <f aca="false">C117</f>
        <v>0</v>
      </c>
      <c r="AY117" s="511" t="n">
        <f aca="false">ROUND($AY$6*AZ117/$AZ$5,2)</f>
        <v>0</v>
      </c>
      <c r="AZ117" s="502" t="n">
        <f aca="false">BA117+BL117</f>
        <v>0</v>
      </c>
      <c r="BA117" s="502" t="n">
        <f aca="false">SUM(BB117:BK117)</f>
        <v>0</v>
      </c>
      <c r="BB117" s="502" t="n">
        <f aca="false">IF($D117="是",I117-J117,0)</f>
        <v>0</v>
      </c>
      <c r="BC117" s="502" t="n">
        <f aca="false">IF($D117="是",K117-L117,0)</f>
        <v>0</v>
      </c>
      <c r="BD117" s="502" t="n">
        <f aca="false">IF($D117="是",M117-N117,0)</f>
        <v>0</v>
      </c>
      <c r="BE117" s="502" t="n">
        <f aca="false">IF($D117="是",O117-P117,0)</f>
        <v>0</v>
      </c>
      <c r="BF117" s="502" t="n">
        <f aca="false">IF($D117="是",Q117-R117,0)</f>
        <v>0</v>
      </c>
      <c r="BG117" s="502" t="n">
        <f aca="false">IF($D117="是",S117-T117,0)</f>
        <v>0</v>
      </c>
      <c r="BH117" s="502" t="n">
        <f aca="false">IF($D117="是",U117-V117,0)</f>
        <v>0</v>
      </c>
      <c r="BI117" s="502" t="n">
        <f aca="false">IF($D117="是",W117-X117,0)</f>
        <v>0</v>
      </c>
      <c r="BJ117" s="502" t="n">
        <f aca="false">IF($D117="是",Y117-Z117,0)</f>
        <v>0</v>
      </c>
      <c r="BK117" s="502" t="n">
        <f aca="false">IF($D117="是",AA117-AB117,0)</f>
        <v>0</v>
      </c>
      <c r="BL117" s="502" t="n">
        <f aca="false">SUM(BM117:BT117)</f>
        <v>0</v>
      </c>
      <c r="BM117" s="502" t="n">
        <f aca="false">IF($D117="是",AD117-AE117,0)</f>
        <v>0</v>
      </c>
      <c r="BN117" s="502" t="n">
        <f aca="false">IF($D117="是",AF117-AG117,0)</f>
        <v>0</v>
      </c>
      <c r="BO117" s="502" t="n">
        <f aca="false">IF($D117="是",AH117-AI117,0)</f>
        <v>0</v>
      </c>
      <c r="BP117" s="502" t="n">
        <f aca="false">IF($D117="是",AJ117-AK117,0)</f>
        <v>0</v>
      </c>
      <c r="BQ117" s="502" t="n">
        <f aca="false">IF($D117="是",AL117-AM117,0)</f>
        <v>0</v>
      </c>
      <c r="BR117" s="502" t="n">
        <f aca="false">IF($D117="是",AN117-AO117,0)</f>
        <v>0</v>
      </c>
      <c r="BS117" s="502" t="n">
        <f aca="false">IF($D117="是",AP117-AQ117,0)</f>
        <v>0</v>
      </c>
      <c r="BT117" s="512" t="n">
        <f aca="false">IF($D117="是",AR117-AS117,0)</f>
        <v>0</v>
      </c>
    </row>
    <row r="118" customFormat="false" ht="14.25" hidden="false" customHeight="false" outlineLevel="0" collapsed="false">
      <c r="A118" s="499"/>
      <c r="B118" s="500"/>
      <c r="C118" s="500"/>
      <c r="D118" s="501"/>
      <c r="E118" s="502" t="n">
        <f aca="false">IF($C$3="是",ROUND($A$3*G118/$B$3,2),ROUND($A$3*(G118-AT118)/$B$3,2))</f>
        <v>0</v>
      </c>
      <c r="F118" s="503"/>
      <c r="G118" s="504" t="n">
        <f aca="false">H118+AC118+AT118</f>
        <v>0</v>
      </c>
      <c r="H118" s="505" t="n">
        <f aca="false">SUMIF(I$12:AB$12,"总值",I118:AB118)</f>
        <v>0</v>
      </c>
      <c r="I118" s="506"/>
      <c r="J118" s="506"/>
      <c r="K118" s="506"/>
      <c r="L118" s="506"/>
      <c r="M118" s="506"/>
      <c r="N118" s="506"/>
      <c r="O118" s="506"/>
      <c r="P118" s="506"/>
      <c r="Q118" s="506"/>
      <c r="R118" s="506"/>
      <c r="S118" s="506"/>
      <c r="T118" s="506"/>
      <c r="U118" s="506"/>
      <c r="V118" s="506"/>
      <c r="W118" s="506"/>
      <c r="X118" s="506"/>
      <c r="Y118" s="506"/>
      <c r="Z118" s="506"/>
      <c r="AA118" s="506"/>
      <c r="AB118" s="506"/>
      <c r="AC118" s="502" t="n">
        <f aca="false">SUMIF(AD$12:AS$12,"总值",AD118:AS118)</f>
        <v>0</v>
      </c>
      <c r="AD118" s="507"/>
      <c r="AE118" s="507"/>
      <c r="AF118" s="507"/>
      <c r="AG118" s="507"/>
      <c r="AH118" s="507"/>
      <c r="AI118" s="507"/>
      <c r="AJ118" s="507"/>
      <c r="AK118" s="507"/>
      <c r="AL118" s="507"/>
      <c r="AM118" s="507"/>
      <c r="AN118" s="507"/>
      <c r="AO118" s="507"/>
      <c r="AP118" s="507"/>
      <c r="AQ118" s="507"/>
      <c r="AR118" s="507"/>
      <c r="AS118" s="507"/>
      <c r="AT118" s="508"/>
      <c r="AU118" s="509"/>
      <c r="AV118" s="510" t="n">
        <f aca="false">A118</f>
        <v>0</v>
      </c>
      <c r="AW118" s="510" t="n">
        <f aca="false">B118</f>
        <v>0</v>
      </c>
      <c r="AX118" s="510" t="n">
        <f aca="false">C118</f>
        <v>0</v>
      </c>
      <c r="AY118" s="511" t="n">
        <f aca="false">ROUND($AY$6*AZ118/$AZ$5,2)</f>
        <v>0</v>
      </c>
      <c r="AZ118" s="502" t="n">
        <f aca="false">BA118+BL118</f>
        <v>0</v>
      </c>
      <c r="BA118" s="502" t="n">
        <f aca="false">SUM(BB118:BK118)</f>
        <v>0</v>
      </c>
      <c r="BB118" s="502" t="n">
        <f aca="false">IF($D118="是",I118-J118,0)</f>
        <v>0</v>
      </c>
      <c r="BC118" s="502" t="n">
        <f aca="false">IF($D118="是",K118-L118,0)</f>
        <v>0</v>
      </c>
      <c r="BD118" s="502" t="n">
        <f aca="false">IF($D118="是",M118-N118,0)</f>
        <v>0</v>
      </c>
      <c r="BE118" s="502" t="n">
        <f aca="false">IF($D118="是",O118-P118,0)</f>
        <v>0</v>
      </c>
      <c r="BF118" s="502" t="n">
        <f aca="false">IF($D118="是",Q118-R118,0)</f>
        <v>0</v>
      </c>
      <c r="BG118" s="502" t="n">
        <f aca="false">IF($D118="是",S118-T118,0)</f>
        <v>0</v>
      </c>
      <c r="BH118" s="502" t="n">
        <f aca="false">IF($D118="是",U118-V118,0)</f>
        <v>0</v>
      </c>
      <c r="BI118" s="502" t="n">
        <f aca="false">IF($D118="是",W118-X118,0)</f>
        <v>0</v>
      </c>
      <c r="BJ118" s="502" t="n">
        <f aca="false">IF($D118="是",Y118-Z118,0)</f>
        <v>0</v>
      </c>
      <c r="BK118" s="502" t="n">
        <f aca="false">IF($D118="是",AA118-AB118,0)</f>
        <v>0</v>
      </c>
      <c r="BL118" s="502" t="n">
        <f aca="false">SUM(BM118:BT118)</f>
        <v>0</v>
      </c>
      <c r="BM118" s="502" t="n">
        <f aca="false">IF($D118="是",AD118-AE118,0)</f>
        <v>0</v>
      </c>
      <c r="BN118" s="502" t="n">
        <f aca="false">IF($D118="是",AF118-AG118,0)</f>
        <v>0</v>
      </c>
      <c r="BO118" s="502" t="n">
        <f aca="false">IF($D118="是",AH118-AI118,0)</f>
        <v>0</v>
      </c>
      <c r="BP118" s="502" t="n">
        <f aca="false">IF($D118="是",AJ118-AK118,0)</f>
        <v>0</v>
      </c>
      <c r="BQ118" s="502" t="n">
        <f aca="false">IF($D118="是",AL118-AM118,0)</f>
        <v>0</v>
      </c>
      <c r="BR118" s="502" t="n">
        <f aca="false">IF($D118="是",AN118-AO118,0)</f>
        <v>0</v>
      </c>
      <c r="BS118" s="502" t="n">
        <f aca="false">IF($D118="是",AP118-AQ118,0)</f>
        <v>0</v>
      </c>
      <c r="BT118" s="512" t="n">
        <f aca="false">IF($D118="是",AR118-AS118,0)</f>
        <v>0</v>
      </c>
    </row>
    <row r="119" customFormat="false" ht="14.25" hidden="false" customHeight="false" outlineLevel="0" collapsed="false">
      <c r="A119" s="499"/>
      <c r="B119" s="500"/>
      <c r="C119" s="500"/>
      <c r="D119" s="501"/>
      <c r="E119" s="502" t="n">
        <f aca="false">IF($C$3="是",ROUND($A$3*G119/$B$3,2),ROUND($A$3*(G119-AT119)/$B$3,2))</f>
        <v>0</v>
      </c>
      <c r="F119" s="503"/>
      <c r="G119" s="504" t="n">
        <f aca="false">H119+AC119+AT119</f>
        <v>0</v>
      </c>
      <c r="H119" s="505" t="n">
        <f aca="false">SUMIF(I$12:AB$12,"总值",I119:AB119)</f>
        <v>0</v>
      </c>
      <c r="I119" s="506"/>
      <c r="J119" s="506"/>
      <c r="K119" s="506"/>
      <c r="L119" s="506"/>
      <c r="M119" s="506"/>
      <c r="N119" s="506"/>
      <c r="O119" s="506"/>
      <c r="P119" s="506"/>
      <c r="Q119" s="506"/>
      <c r="R119" s="506"/>
      <c r="S119" s="506"/>
      <c r="T119" s="506"/>
      <c r="U119" s="506"/>
      <c r="V119" s="506"/>
      <c r="W119" s="506"/>
      <c r="X119" s="506"/>
      <c r="Y119" s="506"/>
      <c r="Z119" s="506"/>
      <c r="AA119" s="506"/>
      <c r="AB119" s="506"/>
      <c r="AC119" s="502" t="n">
        <f aca="false">SUMIF(AD$12:AS$12,"总值",AD119:AS119)</f>
        <v>0</v>
      </c>
      <c r="AD119" s="507"/>
      <c r="AE119" s="507"/>
      <c r="AF119" s="507"/>
      <c r="AG119" s="507"/>
      <c r="AH119" s="507"/>
      <c r="AI119" s="507"/>
      <c r="AJ119" s="507"/>
      <c r="AK119" s="507"/>
      <c r="AL119" s="507"/>
      <c r="AM119" s="507"/>
      <c r="AN119" s="507"/>
      <c r="AO119" s="507"/>
      <c r="AP119" s="507"/>
      <c r="AQ119" s="507"/>
      <c r="AR119" s="507"/>
      <c r="AS119" s="507"/>
      <c r="AT119" s="508"/>
      <c r="AU119" s="509"/>
      <c r="AV119" s="510" t="n">
        <f aca="false">A119</f>
        <v>0</v>
      </c>
      <c r="AW119" s="510" t="n">
        <f aca="false">B119</f>
        <v>0</v>
      </c>
      <c r="AX119" s="510" t="n">
        <f aca="false">C119</f>
        <v>0</v>
      </c>
      <c r="AY119" s="511" t="n">
        <f aca="false">ROUND($AY$6*AZ119/$AZ$5,2)</f>
        <v>0</v>
      </c>
      <c r="AZ119" s="502" t="n">
        <f aca="false">BA119+BL119</f>
        <v>0</v>
      </c>
      <c r="BA119" s="502" t="n">
        <f aca="false">SUM(BB119:BK119)</f>
        <v>0</v>
      </c>
      <c r="BB119" s="502" t="n">
        <f aca="false">IF($D119="是",I119-J119,0)</f>
        <v>0</v>
      </c>
      <c r="BC119" s="502" t="n">
        <f aca="false">IF($D119="是",K119-L119,0)</f>
        <v>0</v>
      </c>
      <c r="BD119" s="502" t="n">
        <f aca="false">IF($D119="是",M119-N119,0)</f>
        <v>0</v>
      </c>
      <c r="BE119" s="502" t="n">
        <f aca="false">IF($D119="是",O119-P119,0)</f>
        <v>0</v>
      </c>
      <c r="BF119" s="502" t="n">
        <f aca="false">IF($D119="是",Q119-R119,0)</f>
        <v>0</v>
      </c>
      <c r="BG119" s="502" t="n">
        <f aca="false">IF($D119="是",S119-T119,0)</f>
        <v>0</v>
      </c>
      <c r="BH119" s="502" t="n">
        <f aca="false">IF($D119="是",U119-V119,0)</f>
        <v>0</v>
      </c>
      <c r="BI119" s="502" t="n">
        <f aca="false">IF($D119="是",W119-X119,0)</f>
        <v>0</v>
      </c>
      <c r="BJ119" s="502" t="n">
        <f aca="false">IF($D119="是",Y119-Z119,0)</f>
        <v>0</v>
      </c>
      <c r="BK119" s="502" t="n">
        <f aca="false">IF($D119="是",AA119-AB119,0)</f>
        <v>0</v>
      </c>
      <c r="BL119" s="502" t="n">
        <f aca="false">SUM(BM119:BT119)</f>
        <v>0</v>
      </c>
      <c r="BM119" s="502" t="n">
        <f aca="false">IF($D119="是",AD119-AE119,0)</f>
        <v>0</v>
      </c>
      <c r="BN119" s="502" t="n">
        <f aca="false">IF($D119="是",AF119-AG119,0)</f>
        <v>0</v>
      </c>
      <c r="BO119" s="502" t="n">
        <f aca="false">IF($D119="是",AH119-AI119,0)</f>
        <v>0</v>
      </c>
      <c r="BP119" s="502" t="n">
        <f aca="false">IF($D119="是",AJ119-AK119,0)</f>
        <v>0</v>
      </c>
      <c r="BQ119" s="502" t="n">
        <f aca="false">IF($D119="是",AL119-AM119,0)</f>
        <v>0</v>
      </c>
      <c r="BR119" s="502" t="n">
        <f aca="false">IF($D119="是",AN119-AO119,0)</f>
        <v>0</v>
      </c>
      <c r="BS119" s="502" t="n">
        <f aca="false">IF($D119="是",AP119-AQ119,0)</f>
        <v>0</v>
      </c>
      <c r="BT119" s="512" t="n">
        <f aca="false">IF($D119="是",AR119-AS119,0)</f>
        <v>0</v>
      </c>
    </row>
    <row r="120" customFormat="false" ht="14.25" hidden="false" customHeight="false" outlineLevel="0" collapsed="false">
      <c r="A120" s="499"/>
      <c r="B120" s="500"/>
      <c r="C120" s="500"/>
      <c r="D120" s="501"/>
      <c r="E120" s="502" t="n">
        <f aca="false">IF($C$3="是",ROUND($A$3*G120/$B$3,2),ROUND($A$3*(G120-AT120)/$B$3,2))</f>
        <v>0</v>
      </c>
      <c r="F120" s="503"/>
      <c r="G120" s="504" t="n">
        <f aca="false">H120+AC120+AT120</f>
        <v>0</v>
      </c>
      <c r="H120" s="505" t="n">
        <f aca="false">SUMIF(I$12:AB$12,"总值",I120:AB120)</f>
        <v>0</v>
      </c>
      <c r="I120" s="506"/>
      <c r="J120" s="506"/>
      <c r="K120" s="506"/>
      <c r="L120" s="506"/>
      <c r="M120" s="506"/>
      <c r="N120" s="506"/>
      <c r="O120" s="506"/>
      <c r="P120" s="506"/>
      <c r="Q120" s="506"/>
      <c r="R120" s="506"/>
      <c r="S120" s="506"/>
      <c r="T120" s="506"/>
      <c r="U120" s="506"/>
      <c r="V120" s="506"/>
      <c r="W120" s="506"/>
      <c r="X120" s="506"/>
      <c r="Y120" s="506"/>
      <c r="Z120" s="506"/>
      <c r="AA120" s="506"/>
      <c r="AB120" s="506"/>
      <c r="AC120" s="502" t="n">
        <f aca="false">SUMIF(AD$12:AS$12,"总值",AD120:AS120)</f>
        <v>0</v>
      </c>
      <c r="AD120" s="507"/>
      <c r="AE120" s="507"/>
      <c r="AF120" s="507"/>
      <c r="AG120" s="507"/>
      <c r="AH120" s="507"/>
      <c r="AI120" s="507"/>
      <c r="AJ120" s="507"/>
      <c r="AK120" s="507"/>
      <c r="AL120" s="507"/>
      <c r="AM120" s="507"/>
      <c r="AN120" s="507"/>
      <c r="AO120" s="507"/>
      <c r="AP120" s="507"/>
      <c r="AQ120" s="507"/>
      <c r="AR120" s="507"/>
      <c r="AS120" s="507"/>
      <c r="AT120" s="508"/>
      <c r="AU120" s="509"/>
      <c r="AV120" s="510" t="n">
        <f aca="false">A120</f>
        <v>0</v>
      </c>
      <c r="AW120" s="510" t="n">
        <f aca="false">B120</f>
        <v>0</v>
      </c>
      <c r="AX120" s="510" t="n">
        <f aca="false">C120</f>
        <v>0</v>
      </c>
      <c r="AY120" s="511" t="n">
        <f aca="false">ROUND($AY$6*AZ120/$AZ$5,2)</f>
        <v>0</v>
      </c>
      <c r="AZ120" s="502" t="n">
        <f aca="false">BA120+BL120</f>
        <v>0</v>
      </c>
      <c r="BA120" s="502" t="n">
        <f aca="false">SUM(BB120:BK120)</f>
        <v>0</v>
      </c>
      <c r="BB120" s="502" t="n">
        <f aca="false">IF($D120="是",I120-J120,0)</f>
        <v>0</v>
      </c>
      <c r="BC120" s="502" t="n">
        <f aca="false">IF($D120="是",K120-L120,0)</f>
        <v>0</v>
      </c>
      <c r="BD120" s="502" t="n">
        <f aca="false">IF($D120="是",M120-N120,0)</f>
        <v>0</v>
      </c>
      <c r="BE120" s="502" t="n">
        <f aca="false">IF($D120="是",O120-P120,0)</f>
        <v>0</v>
      </c>
      <c r="BF120" s="502" t="n">
        <f aca="false">IF($D120="是",Q120-R120,0)</f>
        <v>0</v>
      </c>
      <c r="BG120" s="502" t="n">
        <f aca="false">IF($D120="是",S120-T120,0)</f>
        <v>0</v>
      </c>
      <c r="BH120" s="502" t="n">
        <f aca="false">IF($D120="是",U120-V120,0)</f>
        <v>0</v>
      </c>
      <c r="BI120" s="502" t="n">
        <f aca="false">IF($D120="是",W120-X120,0)</f>
        <v>0</v>
      </c>
      <c r="BJ120" s="502" t="n">
        <f aca="false">IF($D120="是",Y120-Z120,0)</f>
        <v>0</v>
      </c>
      <c r="BK120" s="502" t="n">
        <f aca="false">IF($D120="是",AA120-AB120,0)</f>
        <v>0</v>
      </c>
      <c r="BL120" s="502" t="n">
        <f aca="false">SUM(BM120:BT120)</f>
        <v>0</v>
      </c>
      <c r="BM120" s="502" t="n">
        <f aca="false">IF($D120="是",AD120-AE120,0)</f>
        <v>0</v>
      </c>
      <c r="BN120" s="502" t="n">
        <f aca="false">IF($D120="是",AF120-AG120,0)</f>
        <v>0</v>
      </c>
      <c r="BO120" s="502" t="n">
        <f aca="false">IF($D120="是",AH120-AI120,0)</f>
        <v>0</v>
      </c>
      <c r="BP120" s="502" t="n">
        <f aca="false">IF($D120="是",AJ120-AK120,0)</f>
        <v>0</v>
      </c>
      <c r="BQ120" s="502" t="n">
        <f aca="false">IF($D120="是",AL120-AM120,0)</f>
        <v>0</v>
      </c>
      <c r="BR120" s="502" t="n">
        <f aca="false">IF($D120="是",AN120-AO120,0)</f>
        <v>0</v>
      </c>
      <c r="BS120" s="502" t="n">
        <f aca="false">IF($D120="是",AP120-AQ120,0)</f>
        <v>0</v>
      </c>
      <c r="BT120" s="512" t="n">
        <f aca="false">IF($D120="是",AR120-AS120,0)</f>
        <v>0</v>
      </c>
    </row>
    <row r="121" customFormat="false" ht="14.25" hidden="false" customHeight="false" outlineLevel="0" collapsed="false">
      <c r="A121" s="499"/>
      <c r="B121" s="500"/>
      <c r="C121" s="500"/>
      <c r="D121" s="501"/>
      <c r="E121" s="502" t="n">
        <f aca="false">IF($C$3="是",ROUND($A$3*G121/$B$3,2),ROUND($A$3*(G121-AT121)/$B$3,2))</f>
        <v>0</v>
      </c>
      <c r="F121" s="503"/>
      <c r="G121" s="504" t="n">
        <f aca="false">H121+AC121+AT121</f>
        <v>0</v>
      </c>
      <c r="H121" s="505" t="n">
        <f aca="false">SUMIF(I$12:AB$12,"总值",I121:AB121)</f>
        <v>0</v>
      </c>
      <c r="I121" s="506"/>
      <c r="J121" s="506"/>
      <c r="K121" s="506"/>
      <c r="L121" s="506"/>
      <c r="M121" s="506"/>
      <c r="N121" s="506"/>
      <c r="O121" s="506"/>
      <c r="P121" s="506"/>
      <c r="Q121" s="506"/>
      <c r="R121" s="506"/>
      <c r="S121" s="506"/>
      <c r="T121" s="506"/>
      <c r="U121" s="506"/>
      <c r="V121" s="506"/>
      <c r="W121" s="506"/>
      <c r="X121" s="506"/>
      <c r="Y121" s="506"/>
      <c r="Z121" s="506"/>
      <c r="AA121" s="506"/>
      <c r="AB121" s="506"/>
      <c r="AC121" s="502" t="n">
        <f aca="false">SUMIF(AD$12:AS$12,"总值",AD121:AS121)</f>
        <v>0</v>
      </c>
      <c r="AD121" s="507"/>
      <c r="AE121" s="507"/>
      <c r="AF121" s="507"/>
      <c r="AG121" s="507"/>
      <c r="AH121" s="507"/>
      <c r="AI121" s="507"/>
      <c r="AJ121" s="507"/>
      <c r="AK121" s="507"/>
      <c r="AL121" s="507"/>
      <c r="AM121" s="507"/>
      <c r="AN121" s="507"/>
      <c r="AO121" s="507"/>
      <c r="AP121" s="507"/>
      <c r="AQ121" s="507"/>
      <c r="AR121" s="507"/>
      <c r="AS121" s="507"/>
      <c r="AT121" s="508"/>
      <c r="AU121" s="509"/>
      <c r="AV121" s="510" t="n">
        <f aca="false">A121</f>
        <v>0</v>
      </c>
      <c r="AW121" s="510" t="n">
        <f aca="false">B121</f>
        <v>0</v>
      </c>
      <c r="AX121" s="510" t="n">
        <f aca="false">C121</f>
        <v>0</v>
      </c>
      <c r="AY121" s="511" t="n">
        <f aca="false">ROUND($AY$6*AZ121/$AZ$5,2)</f>
        <v>0</v>
      </c>
      <c r="AZ121" s="502" t="n">
        <f aca="false">BA121+BL121</f>
        <v>0</v>
      </c>
      <c r="BA121" s="502" t="n">
        <f aca="false">SUM(BB121:BK121)</f>
        <v>0</v>
      </c>
      <c r="BB121" s="502" t="n">
        <f aca="false">IF($D121="是",I121-J121,0)</f>
        <v>0</v>
      </c>
      <c r="BC121" s="502" t="n">
        <f aca="false">IF($D121="是",K121-L121,0)</f>
        <v>0</v>
      </c>
      <c r="BD121" s="502" t="n">
        <f aca="false">IF($D121="是",M121-N121,0)</f>
        <v>0</v>
      </c>
      <c r="BE121" s="502" t="n">
        <f aca="false">IF($D121="是",O121-P121,0)</f>
        <v>0</v>
      </c>
      <c r="BF121" s="502" t="n">
        <f aca="false">IF($D121="是",Q121-R121,0)</f>
        <v>0</v>
      </c>
      <c r="BG121" s="502" t="n">
        <f aca="false">IF($D121="是",S121-T121,0)</f>
        <v>0</v>
      </c>
      <c r="BH121" s="502" t="n">
        <f aca="false">IF($D121="是",U121-V121,0)</f>
        <v>0</v>
      </c>
      <c r="BI121" s="502" t="n">
        <f aca="false">IF($D121="是",W121-X121,0)</f>
        <v>0</v>
      </c>
      <c r="BJ121" s="502" t="n">
        <f aca="false">IF($D121="是",Y121-Z121,0)</f>
        <v>0</v>
      </c>
      <c r="BK121" s="502" t="n">
        <f aca="false">IF($D121="是",AA121-AB121,0)</f>
        <v>0</v>
      </c>
      <c r="BL121" s="502" t="n">
        <f aca="false">SUM(BM121:BT121)</f>
        <v>0</v>
      </c>
      <c r="BM121" s="502" t="n">
        <f aca="false">IF($D121="是",AD121-AE121,0)</f>
        <v>0</v>
      </c>
      <c r="BN121" s="502" t="n">
        <f aca="false">IF($D121="是",AF121-AG121,0)</f>
        <v>0</v>
      </c>
      <c r="BO121" s="502" t="n">
        <f aca="false">IF($D121="是",AH121-AI121,0)</f>
        <v>0</v>
      </c>
      <c r="BP121" s="502" t="n">
        <f aca="false">IF($D121="是",AJ121-AK121,0)</f>
        <v>0</v>
      </c>
      <c r="BQ121" s="502" t="n">
        <f aca="false">IF($D121="是",AL121-AM121,0)</f>
        <v>0</v>
      </c>
      <c r="BR121" s="502" t="n">
        <f aca="false">IF($D121="是",AN121-AO121,0)</f>
        <v>0</v>
      </c>
      <c r="BS121" s="502" t="n">
        <f aca="false">IF($D121="是",AP121-AQ121,0)</f>
        <v>0</v>
      </c>
      <c r="BT121" s="512" t="n">
        <f aca="false">IF($D121="是",AR121-AS121,0)</f>
        <v>0</v>
      </c>
    </row>
    <row r="122" customFormat="false" ht="14.25" hidden="false" customHeight="false" outlineLevel="0" collapsed="false">
      <c r="A122" s="499"/>
      <c r="B122" s="500"/>
      <c r="C122" s="500"/>
      <c r="D122" s="501"/>
      <c r="E122" s="502" t="n">
        <f aca="false">IF($C$3="是",ROUND($A$3*G122/$B$3,2),ROUND($A$3*(G122-AT122)/$B$3,2))</f>
        <v>0</v>
      </c>
      <c r="F122" s="503"/>
      <c r="G122" s="504" t="n">
        <f aca="false">H122+AC122+AT122</f>
        <v>0</v>
      </c>
      <c r="H122" s="505" t="n">
        <f aca="false">SUMIF(I$12:AB$12,"总值",I122:AB122)</f>
        <v>0</v>
      </c>
      <c r="I122" s="506"/>
      <c r="J122" s="506"/>
      <c r="K122" s="506"/>
      <c r="L122" s="506"/>
      <c r="M122" s="506"/>
      <c r="N122" s="506"/>
      <c r="O122" s="506"/>
      <c r="P122" s="506"/>
      <c r="Q122" s="506"/>
      <c r="R122" s="506"/>
      <c r="S122" s="506"/>
      <c r="T122" s="506"/>
      <c r="U122" s="506"/>
      <c r="V122" s="506"/>
      <c r="W122" s="506"/>
      <c r="X122" s="506"/>
      <c r="Y122" s="506"/>
      <c r="Z122" s="506"/>
      <c r="AA122" s="506"/>
      <c r="AB122" s="506"/>
      <c r="AC122" s="502" t="n">
        <f aca="false">SUMIF(AD$12:AS$12,"总值",AD122:AS122)</f>
        <v>0</v>
      </c>
      <c r="AD122" s="507"/>
      <c r="AE122" s="507"/>
      <c r="AF122" s="507"/>
      <c r="AG122" s="507"/>
      <c r="AH122" s="507"/>
      <c r="AI122" s="507"/>
      <c r="AJ122" s="507"/>
      <c r="AK122" s="507"/>
      <c r="AL122" s="507"/>
      <c r="AM122" s="507"/>
      <c r="AN122" s="507"/>
      <c r="AO122" s="507"/>
      <c r="AP122" s="507"/>
      <c r="AQ122" s="507"/>
      <c r="AR122" s="507"/>
      <c r="AS122" s="507"/>
      <c r="AT122" s="508"/>
      <c r="AU122" s="509"/>
      <c r="AV122" s="510" t="n">
        <f aca="false">A122</f>
        <v>0</v>
      </c>
      <c r="AW122" s="510" t="n">
        <f aca="false">B122</f>
        <v>0</v>
      </c>
      <c r="AX122" s="510" t="n">
        <f aca="false">C122</f>
        <v>0</v>
      </c>
      <c r="AY122" s="511" t="n">
        <f aca="false">ROUND($AY$6*AZ122/$AZ$5,2)</f>
        <v>0</v>
      </c>
      <c r="AZ122" s="502" t="n">
        <f aca="false">BA122+BL122</f>
        <v>0</v>
      </c>
      <c r="BA122" s="502" t="n">
        <f aca="false">SUM(BB122:BK122)</f>
        <v>0</v>
      </c>
      <c r="BB122" s="502" t="n">
        <f aca="false">IF($D122="是",I122-J122,0)</f>
        <v>0</v>
      </c>
      <c r="BC122" s="502" t="n">
        <f aca="false">IF($D122="是",K122-L122,0)</f>
        <v>0</v>
      </c>
      <c r="BD122" s="502" t="n">
        <f aca="false">IF($D122="是",M122-N122,0)</f>
        <v>0</v>
      </c>
      <c r="BE122" s="502" t="n">
        <f aca="false">IF($D122="是",O122-P122,0)</f>
        <v>0</v>
      </c>
      <c r="BF122" s="502" t="n">
        <f aca="false">IF($D122="是",Q122-R122,0)</f>
        <v>0</v>
      </c>
      <c r="BG122" s="502" t="n">
        <f aca="false">IF($D122="是",S122-T122,0)</f>
        <v>0</v>
      </c>
      <c r="BH122" s="502" t="n">
        <f aca="false">IF($D122="是",U122-V122,0)</f>
        <v>0</v>
      </c>
      <c r="BI122" s="502" t="n">
        <f aca="false">IF($D122="是",W122-X122,0)</f>
        <v>0</v>
      </c>
      <c r="BJ122" s="502" t="n">
        <f aca="false">IF($D122="是",Y122-Z122,0)</f>
        <v>0</v>
      </c>
      <c r="BK122" s="502" t="n">
        <f aca="false">IF($D122="是",AA122-AB122,0)</f>
        <v>0</v>
      </c>
      <c r="BL122" s="502" t="n">
        <f aca="false">SUM(BM122:BT122)</f>
        <v>0</v>
      </c>
      <c r="BM122" s="502" t="n">
        <f aca="false">IF($D122="是",AD122-AE122,0)</f>
        <v>0</v>
      </c>
      <c r="BN122" s="502" t="n">
        <f aca="false">IF($D122="是",AF122-AG122,0)</f>
        <v>0</v>
      </c>
      <c r="BO122" s="502" t="n">
        <f aca="false">IF($D122="是",AH122-AI122,0)</f>
        <v>0</v>
      </c>
      <c r="BP122" s="502" t="n">
        <f aca="false">IF($D122="是",AJ122-AK122,0)</f>
        <v>0</v>
      </c>
      <c r="BQ122" s="502" t="n">
        <f aca="false">IF($D122="是",AL122-AM122,0)</f>
        <v>0</v>
      </c>
      <c r="BR122" s="502" t="n">
        <f aca="false">IF($D122="是",AN122-AO122,0)</f>
        <v>0</v>
      </c>
      <c r="BS122" s="502" t="n">
        <f aca="false">IF($D122="是",AP122-AQ122,0)</f>
        <v>0</v>
      </c>
      <c r="BT122" s="512" t="n">
        <f aca="false">IF($D122="是",AR122-AS122,0)</f>
        <v>0</v>
      </c>
    </row>
    <row r="123" customFormat="false" ht="14.25" hidden="false" customHeight="false" outlineLevel="0" collapsed="false">
      <c r="A123" s="499"/>
      <c r="B123" s="500"/>
      <c r="C123" s="500"/>
      <c r="D123" s="501"/>
      <c r="E123" s="502" t="n">
        <f aca="false">IF($C$3="是",ROUND($A$3*G123/$B$3,2),ROUND($A$3*(G123-AT123)/$B$3,2))</f>
        <v>0</v>
      </c>
      <c r="F123" s="503"/>
      <c r="G123" s="504" t="n">
        <f aca="false">H123+AC123+AT123</f>
        <v>0</v>
      </c>
      <c r="H123" s="505" t="n">
        <f aca="false">SUMIF(I$12:AB$12,"总值",I123:AB123)</f>
        <v>0</v>
      </c>
      <c r="I123" s="506"/>
      <c r="J123" s="506"/>
      <c r="K123" s="506"/>
      <c r="L123" s="506"/>
      <c r="M123" s="506"/>
      <c r="N123" s="506"/>
      <c r="O123" s="506"/>
      <c r="P123" s="506"/>
      <c r="Q123" s="506"/>
      <c r="R123" s="506"/>
      <c r="S123" s="506"/>
      <c r="T123" s="506"/>
      <c r="U123" s="506"/>
      <c r="V123" s="506"/>
      <c r="W123" s="506"/>
      <c r="X123" s="506"/>
      <c r="Y123" s="506"/>
      <c r="Z123" s="506"/>
      <c r="AA123" s="506"/>
      <c r="AB123" s="506"/>
      <c r="AC123" s="502" t="n">
        <f aca="false">SUMIF(AD$12:AS$12,"总值",AD123:AS123)</f>
        <v>0</v>
      </c>
      <c r="AD123" s="507"/>
      <c r="AE123" s="507"/>
      <c r="AF123" s="507"/>
      <c r="AG123" s="507"/>
      <c r="AH123" s="507"/>
      <c r="AI123" s="507"/>
      <c r="AJ123" s="507"/>
      <c r="AK123" s="507"/>
      <c r="AL123" s="507"/>
      <c r="AM123" s="507"/>
      <c r="AN123" s="507"/>
      <c r="AO123" s="507"/>
      <c r="AP123" s="507"/>
      <c r="AQ123" s="507"/>
      <c r="AR123" s="507"/>
      <c r="AS123" s="507"/>
      <c r="AT123" s="508"/>
      <c r="AU123" s="509"/>
      <c r="AV123" s="510" t="n">
        <f aca="false">A123</f>
        <v>0</v>
      </c>
      <c r="AW123" s="510" t="n">
        <f aca="false">B123</f>
        <v>0</v>
      </c>
      <c r="AX123" s="510" t="n">
        <f aca="false">C123</f>
        <v>0</v>
      </c>
      <c r="AY123" s="511" t="n">
        <f aca="false">ROUND($AY$6*AZ123/$AZ$5,2)</f>
        <v>0</v>
      </c>
      <c r="AZ123" s="502" t="n">
        <f aca="false">BA123+BL123</f>
        <v>0</v>
      </c>
      <c r="BA123" s="502" t="n">
        <f aca="false">SUM(BB123:BK123)</f>
        <v>0</v>
      </c>
      <c r="BB123" s="502" t="n">
        <f aca="false">IF($D123="是",I123-J123,0)</f>
        <v>0</v>
      </c>
      <c r="BC123" s="502" t="n">
        <f aca="false">IF($D123="是",K123-L123,0)</f>
        <v>0</v>
      </c>
      <c r="BD123" s="502" t="n">
        <f aca="false">IF($D123="是",M123-N123,0)</f>
        <v>0</v>
      </c>
      <c r="BE123" s="502" t="n">
        <f aca="false">IF($D123="是",O123-P123,0)</f>
        <v>0</v>
      </c>
      <c r="BF123" s="502" t="n">
        <f aca="false">IF($D123="是",Q123-R123,0)</f>
        <v>0</v>
      </c>
      <c r="BG123" s="502" t="n">
        <f aca="false">IF($D123="是",S123-T123,0)</f>
        <v>0</v>
      </c>
      <c r="BH123" s="502" t="n">
        <f aca="false">IF($D123="是",U123-V123,0)</f>
        <v>0</v>
      </c>
      <c r="BI123" s="502" t="n">
        <f aca="false">IF($D123="是",W123-X123,0)</f>
        <v>0</v>
      </c>
      <c r="BJ123" s="502" t="n">
        <f aca="false">IF($D123="是",Y123-Z123,0)</f>
        <v>0</v>
      </c>
      <c r="BK123" s="502" t="n">
        <f aca="false">IF($D123="是",AA123-AB123,0)</f>
        <v>0</v>
      </c>
      <c r="BL123" s="502" t="n">
        <f aca="false">SUM(BM123:BT123)</f>
        <v>0</v>
      </c>
      <c r="BM123" s="502" t="n">
        <f aca="false">IF($D123="是",AD123-AE123,0)</f>
        <v>0</v>
      </c>
      <c r="BN123" s="502" t="n">
        <f aca="false">IF($D123="是",AF123-AG123,0)</f>
        <v>0</v>
      </c>
      <c r="BO123" s="502" t="n">
        <f aca="false">IF($D123="是",AH123-AI123,0)</f>
        <v>0</v>
      </c>
      <c r="BP123" s="502" t="n">
        <f aca="false">IF($D123="是",AJ123-AK123,0)</f>
        <v>0</v>
      </c>
      <c r="BQ123" s="502" t="n">
        <f aca="false">IF($D123="是",AL123-AM123,0)</f>
        <v>0</v>
      </c>
      <c r="BR123" s="502" t="n">
        <f aca="false">IF($D123="是",AN123-AO123,0)</f>
        <v>0</v>
      </c>
      <c r="BS123" s="502" t="n">
        <f aca="false">IF($D123="是",AP123-AQ123,0)</f>
        <v>0</v>
      </c>
      <c r="BT123" s="512" t="n">
        <f aca="false">IF($D123="是",AR123-AS123,0)</f>
        <v>0</v>
      </c>
    </row>
    <row r="124" customFormat="false" ht="14.25" hidden="false" customHeight="false" outlineLevel="0" collapsed="false">
      <c r="A124" s="499"/>
      <c r="B124" s="500"/>
      <c r="C124" s="500"/>
      <c r="D124" s="501"/>
      <c r="E124" s="502" t="n">
        <f aca="false">IF($C$3="是",ROUND($A$3*G124/$B$3,2),ROUND($A$3*(G124-AT124)/$B$3,2))</f>
        <v>0</v>
      </c>
      <c r="F124" s="503"/>
      <c r="G124" s="504" t="n">
        <f aca="false">H124+AC124+AT124</f>
        <v>0</v>
      </c>
      <c r="H124" s="505" t="n">
        <f aca="false">SUMIF(I$12:AB$12,"总值",I124:AB124)</f>
        <v>0</v>
      </c>
      <c r="I124" s="506"/>
      <c r="J124" s="506"/>
      <c r="K124" s="506"/>
      <c r="L124" s="506"/>
      <c r="M124" s="506"/>
      <c r="N124" s="506"/>
      <c r="O124" s="506"/>
      <c r="P124" s="506"/>
      <c r="Q124" s="506"/>
      <c r="R124" s="506"/>
      <c r="S124" s="506"/>
      <c r="T124" s="506"/>
      <c r="U124" s="506"/>
      <c r="V124" s="506"/>
      <c r="W124" s="506"/>
      <c r="X124" s="506"/>
      <c r="Y124" s="506"/>
      <c r="Z124" s="506"/>
      <c r="AA124" s="506"/>
      <c r="AB124" s="506"/>
      <c r="AC124" s="502" t="n">
        <f aca="false">SUMIF(AD$12:AS$12,"总值",AD124:AS124)</f>
        <v>0</v>
      </c>
      <c r="AD124" s="507"/>
      <c r="AE124" s="507"/>
      <c r="AF124" s="507"/>
      <c r="AG124" s="507"/>
      <c r="AH124" s="507"/>
      <c r="AI124" s="507"/>
      <c r="AJ124" s="507"/>
      <c r="AK124" s="507"/>
      <c r="AL124" s="507"/>
      <c r="AM124" s="507"/>
      <c r="AN124" s="507"/>
      <c r="AO124" s="507"/>
      <c r="AP124" s="507"/>
      <c r="AQ124" s="507"/>
      <c r="AR124" s="507"/>
      <c r="AS124" s="507"/>
      <c r="AT124" s="508"/>
      <c r="AU124" s="509"/>
      <c r="AV124" s="510" t="n">
        <f aca="false">A124</f>
        <v>0</v>
      </c>
      <c r="AW124" s="510" t="n">
        <f aca="false">B124</f>
        <v>0</v>
      </c>
      <c r="AX124" s="510" t="n">
        <f aca="false">C124</f>
        <v>0</v>
      </c>
      <c r="AY124" s="511" t="n">
        <f aca="false">ROUND($AY$6*AZ124/$AZ$5,2)</f>
        <v>0</v>
      </c>
      <c r="AZ124" s="502" t="n">
        <f aca="false">BA124+BL124</f>
        <v>0</v>
      </c>
      <c r="BA124" s="502" t="n">
        <f aca="false">SUM(BB124:BK124)</f>
        <v>0</v>
      </c>
      <c r="BB124" s="502" t="n">
        <f aca="false">IF($D124="是",I124-J124,0)</f>
        <v>0</v>
      </c>
      <c r="BC124" s="502" t="n">
        <f aca="false">IF($D124="是",K124-L124,0)</f>
        <v>0</v>
      </c>
      <c r="BD124" s="502" t="n">
        <f aca="false">IF($D124="是",M124-N124,0)</f>
        <v>0</v>
      </c>
      <c r="BE124" s="502" t="n">
        <f aca="false">IF($D124="是",O124-P124,0)</f>
        <v>0</v>
      </c>
      <c r="BF124" s="502" t="n">
        <f aca="false">IF($D124="是",Q124-R124,0)</f>
        <v>0</v>
      </c>
      <c r="BG124" s="502" t="n">
        <f aca="false">IF($D124="是",S124-T124,0)</f>
        <v>0</v>
      </c>
      <c r="BH124" s="502" t="n">
        <f aca="false">IF($D124="是",U124-V124,0)</f>
        <v>0</v>
      </c>
      <c r="BI124" s="502" t="n">
        <f aca="false">IF($D124="是",W124-X124,0)</f>
        <v>0</v>
      </c>
      <c r="BJ124" s="502" t="n">
        <f aca="false">IF($D124="是",Y124-Z124,0)</f>
        <v>0</v>
      </c>
      <c r="BK124" s="502" t="n">
        <f aca="false">IF($D124="是",AA124-AB124,0)</f>
        <v>0</v>
      </c>
      <c r="BL124" s="502" t="n">
        <f aca="false">SUM(BM124:BT124)</f>
        <v>0</v>
      </c>
      <c r="BM124" s="502" t="n">
        <f aca="false">IF($D124="是",AD124-AE124,0)</f>
        <v>0</v>
      </c>
      <c r="BN124" s="502" t="n">
        <f aca="false">IF($D124="是",AF124-AG124,0)</f>
        <v>0</v>
      </c>
      <c r="BO124" s="502" t="n">
        <f aca="false">IF($D124="是",AH124-AI124,0)</f>
        <v>0</v>
      </c>
      <c r="BP124" s="502" t="n">
        <f aca="false">IF($D124="是",AJ124-AK124,0)</f>
        <v>0</v>
      </c>
      <c r="BQ124" s="502" t="n">
        <f aca="false">IF($D124="是",AL124-AM124,0)</f>
        <v>0</v>
      </c>
      <c r="BR124" s="502" t="n">
        <f aca="false">IF($D124="是",AN124-AO124,0)</f>
        <v>0</v>
      </c>
      <c r="BS124" s="502" t="n">
        <f aca="false">IF($D124="是",AP124-AQ124,0)</f>
        <v>0</v>
      </c>
      <c r="BT124" s="512" t="n">
        <f aca="false">IF($D124="是",AR124-AS124,0)</f>
        <v>0</v>
      </c>
    </row>
    <row r="125" customFormat="false" ht="14.25" hidden="false" customHeight="false" outlineLevel="0" collapsed="false">
      <c r="A125" s="499"/>
      <c r="B125" s="500"/>
      <c r="C125" s="500"/>
      <c r="D125" s="501"/>
      <c r="E125" s="502" t="n">
        <f aca="false">IF($C$3="是",ROUND($A$3*G125/$B$3,2),ROUND($A$3*(G125-AT125)/$B$3,2))</f>
        <v>0</v>
      </c>
      <c r="F125" s="503"/>
      <c r="G125" s="504" t="n">
        <f aca="false">H125+AC125+AT125</f>
        <v>0</v>
      </c>
      <c r="H125" s="505" t="n">
        <f aca="false">SUMIF(I$12:AB$12,"总值",I125:AB125)</f>
        <v>0</v>
      </c>
      <c r="I125" s="506"/>
      <c r="J125" s="506"/>
      <c r="K125" s="506"/>
      <c r="L125" s="506"/>
      <c r="M125" s="506"/>
      <c r="N125" s="506"/>
      <c r="O125" s="506"/>
      <c r="P125" s="506"/>
      <c r="Q125" s="506"/>
      <c r="R125" s="506"/>
      <c r="S125" s="506"/>
      <c r="T125" s="506"/>
      <c r="U125" s="506"/>
      <c r="V125" s="506"/>
      <c r="W125" s="506"/>
      <c r="X125" s="506"/>
      <c r="Y125" s="506"/>
      <c r="Z125" s="506"/>
      <c r="AA125" s="506"/>
      <c r="AB125" s="506"/>
      <c r="AC125" s="502" t="n">
        <f aca="false">SUMIF(AD$12:AS$12,"总值",AD125:AS125)</f>
        <v>0</v>
      </c>
      <c r="AD125" s="507"/>
      <c r="AE125" s="507"/>
      <c r="AF125" s="507"/>
      <c r="AG125" s="507"/>
      <c r="AH125" s="507"/>
      <c r="AI125" s="507"/>
      <c r="AJ125" s="507"/>
      <c r="AK125" s="507"/>
      <c r="AL125" s="507"/>
      <c r="AM125" s="507"/>
      <c r="AN125" s="507"/>
      <c r="AO125" s="507"/>
      <c r="AP125" s="507"/>
      <c r="AQ125" s="507"/>
      <c r="AR125" s="507"/>
      <c r="AS125" s="507"/>
      <c r="AT125" s="508"/>
      <c r="AU125" s="509"/>
      <c r="AV125" s="510" t="n">
        <f aca="false">A125</f>
        <v>0</v>
      </c>
      <c r="AW125" s="510" t="n">
        <f aca="false">B125</f>
        <v>0</v>
      </c>
      <c r="AX125" s="510" t="n">
        <f aca="false">C125</f>
        <v>0</v>
      </c>
      <c r="AY125" s="511" t="n">
        <f aca="false">ROUND($AY$6*AZ125/$AZ$5,2)</f>
        <v>0</v>
      </c>
      <c r="AZ125" s="502" t="n">
        <f aca="false">BA125+BL125</f>
        <v>0</v>
      </c>
      <c r="BA125" s="502" t="n">
        <f aca="false">SUM(BB125:BK125)</f>
        <v>0</v>
      </c>
      <c r="BB125" s="502" t="n">
        <f aca="false">IF($D125="是",I125-J125,0)</f>
        <v>0</v>
      </c>
      <c r="BC125" s="502" t="n">
        <f aca="false">IF($D125="是",K125-L125,0)</f>
        <v>0</v>
      </c>
      <c r="BD125" s="502" t="n">
        <f aca="false">IF($D125="是",M125-N125,0)</f>
        <v>0</v>
      </c>
      <c r="BE125" s="502" t="n">
        <f aca="false">IF($D125="是",O125-P125,0)</f>
        <v>0</v>
      </c>
      <c r="BF125" s="502" t="n">
        <f aca="false">IF($D125="是",Q125-R125,0)</f>
        <v>0</v>
      </c>
      <c r="BG125" s="502" t="n">
        <f aca="false">IF($D125="是",S125-T125,0)</f>
        <v>0</v>
      </c>
      <c r="BH125" s="502" t="n">
        <f aca="false">IF($D125="是",U125-V125,0)</f>
        <v>0</v>
      </c>
      <c r="BI125" s="502" t="n">
        <f aca="false">IF($D125="是",W125-X125,0)</f>
        <v>0</v>
      </c>
      <c r="BJ125" s="502" t="n">
        <f aca="false">IF($D125="是",Y125-Z125,0)</f>
        <v>0</v>
      </c>
      <c r="BK125" s="502" t="n">
        <f aca="false">IF($D125="是",AA125-AB125,0)</f>
        <v>0</v>
      </c>
      <c r="BL125" s="502" t="n">
        <f aca="false">SUM(BM125:BT125)</f>
        <v>0</v>
      </c>
      <c r="BM125" s="502" t="n">
        <f aca="false">IF($D125="是",AD125-AE125,0)</f>
        <v>0</v>
      </c>
      <c r="BN125" s="502" t="n">
        <f aca="false">IF($D125="是",AF125-AG125,0)</f>
        <v>0</v>
      </c>
      <c r="BO125" s="502" t="n">
        <f aca="false">IF($D125="是",AH125-AI125,0)</f>
        <v>0</v>
      </c>
      <c r="BP125" s="502" t="n">
        <f aca="false">IF($D125="是",AJ125-AK125,0)</f>
        <v>0</v>
      </c>
      <c r="BQ125" s="502" t="n">
        <f aca="false">IF($D125="是",AL125-AM125,0)</f>
        <v>0</v>
      </c>
      <c r="BR125" s="502" t="n">
        <f aca="false">IF($D125="是",AN125-AO125,0)</f>
        <v>0</v>
      </c>
      <c r="BS125" s="502" t="n">
        <f aca="false">IF($D125="是",AP125-AQ125,0)</f>
        <v>0</v>
      </c>
      <c r="BT125" s="512" t="n">
        <f aca="false">IF($D125="是",AR125-AS125,0)</f>
        <v>0</v>
      </c>
    </row>
    <row r="126" customFormat="false" ht="14.25" hidden="false" customHeight="false" outlineLevel="0" collapsed="false">
      <c r="A126" s="499"/>
      <c r="B126" s="500"/>
      <c r="C126" s="500"/>
      <c r="D126" s="501"/>
      <c r="E126" s="502" t="n">
        <f aca="false">IF($C$3="是",ROUND($A$3*G126/$B$3,2),ROUND($A$3*(G126-AT126)/$B$3,2))</f>
        <v>0</v>
      </c>
      <c r="F126" s="503"/>
      <c r="G126" s="504" t="n">
        <f aca="false">H126+AC126+AT126</f>
        <v>0</v>
      </c>
      <c r="H126" s="505" t="n">
        <f aca="false">SUMIF(I$12:AB$12,"总值",I126:AB126)</f>
        <v>0</v>
      </c>
      <c r="I126" s="506"/>
      <c r="J126" s="506"/>
      <c r="K126" s="506"/>
      <c r="L126" s="506"/>
      <c r="M126" s="506"/>
      <c r="N126" s="506"/>
      <c r="O126" s="506"/>
      <c r="P126" s="506"/>
      <c r="Q126" s="506"/>
      <c r="R126" s="506"/>
      <c r="S126" s="506"/>
      <c r="T126" s="506"/>
      <c r="U126" s="506"/>
      <c r="V126" s="506"/>
      <c r="W126" s="506"/>
      <c r="X126" s="506"/>
      <c r="Y126" s="506"/>
      <c r="Z126" s="506"/>
      <c r="AA126" s="506"/>
      <c r="AB126" s="506"/>
      <c r="AC126" s="502" t="n">
        <f aca="false">SUMIF(AD$12:AS$12,"总值",AD126:AS126)</f>
        <v>0</v>
      </c>
      <c r="AD126" s="507"/>
      <c r="AE126" s="507"/>
      <c r="AF126" s="507"/>
      <c r="AG126" s="507"/>
      <c r="AH126" s="507"/>
      <c r="AI126" s="507"/>
      <c r="AJ126" s="507"/>
      <c r="AK126" s="507"/>
      <c r="AL126" s="507"/>
      <c r="AM126" s="507"/>
      <c r="AN126" s="507"/>
      <c r="AO126" s="507"/>
      <c r="AP126" s="507"/>
      <c r="AQ126" s="507"/>
      <c r="AR126" s="507"/>
      <c r="AS126" s="507"/>
      <c r="AT126" s="508"/>
      <c r="AU126" s="509"/>
      <c r="AV126" s="510" t="n">
        <f aca="false">A126</f>
        <v>0</v>
      </c>
      <c r="AW126" s="510" t="n">
        <f aca="false">B126</f>
        <v>0</v>
      </c>
      <c r="AX126" s="510" t="n">
        <f aca="false">C126</f>
        <v>0</v>
      </c>
      <c r="AY126" s="511" t="n">
        <f aca="false">ROUND($AY$6*AZ126/$AZ$5,2)</f>
        <v>0</v>
      </c>
      <c r="AZ126" s="502" t="n">
        <f aca="false">BA126+BL126</f>
        <v>0</v>
      </c>
      <c r="BA126" s="502" t="n">
        <f aca="false">SUM(BB126:BK126)</f>
        <v>0</v>
      </c>
      <c r="BB126" s="502" t="n">
        <f aca="false">IF($D126="是",I126-J126,0)</f>
        <v>0</v>
      </c>
      <c r="BC126" s="502" t="n">
        <f aca="false">IF($D126="是",K126-L126,0)</f>
        <v>0</v>
      </c>
      <c r="BD126" s="502" t="n">
        <f aca="false">IF($D126="是",M126-N126,0)</f>
        <v>0</v>
      </c>
      <c r="BE126" s="502" t="n">
        <f aca="false">IF($D126="是",O126-P126,0)</f>
        <v>0</v>
      </c>
      <c r="BF126" s="502" t="n">
        <f aca="false">IF($D126="是",Q126-R126,0)</f>
        <v>0</v>
      </c>
      <c r="BG126" s="502" t="n">
        <f aca="false">IF($D126="是",S126-T126,0)</f>
        <v>0</v>
      </c>
      <c r="BH126" s="502" t="n">
        <f aca="false">IF($D126="是",U126-V126,0)</f>
        <v>0</v>
      </c>
      <c r="BI126" s="502" t="n">
        <f aca="false">IF($D126="是",W126-X126,0)</f>
        <v>0</v>
      </c>
      <c r="BJ126" s="502" t="n">
        <f aca="false">IF($D126="是",Y126-Z126,0)</f>
        <v>0</v>
      </c>
      <c r="BK126" s="502" t="n">
        <f aca="false">IF($D126="是",AA126-AB126,0)</f>
        <v>0</v>
      </c>
      <c r="BL126" s="502" t="n">
        <f aca="false">SUM(BM126:BT126)</f>
        <v>0</v>
      </c>
      <c r="BM126" s="502" t="n">
        <f aca="false">IF($D126="是",AD126-AE126,0)</f>
        <v>0</v>
      </c>
      <c r="BN126" s="502" t="n">
        <f aca="false">IF($D126="是",AF126-AG126,0)</f>
        <v>0</v>
      </c>
      <c r="BO126" s="502" t="n">
        <f aca="false">IF($D126="是",AH126-AI126,0)</f>
        <v>0</v>
      </c>
      <c r="BP126" s="502" t="n">
        <f aca="false">IF($D126="是",AJ126-AK126,0)</f>
        <v>0</v>
      </c>
      <c r="BQ126" s="502" t="n">
        <f aca="false">IF($D126="是",AL126-AM126,0)</f>
        <v>0</v>
      </c>
      <c r="BR126" s="502" t="n">
        <f aca="false">IF($D126="是",AN126-AO126,0)</f>
        <v>0</v>
      </c>
      <c r="BS126" s="502" t="n">
        <f aca="false">IF($D126="是",AP126-AQ126,0)</f>
        <v>0</v>
      </c>
      <c r="BT126" s="512" t="n">
        <f aca="false">IF($D126="是",AR126-AS126,0)</f>
        <v>0</v>
      </c>
    </row>
    <row r="127" customFormat="false" ht="14.25" hidden="false" customHeight="false" outlineLevel="0" collapsed="false">
      <c r="A127" s="499"/>
      <c r="B127" s="500"/>
      <c r="C127" s="500"/>
      <c r="D127" s="501"/>
      <c r="E127" s="502" t="n">
        <f aca="false">IF($C$3="是",ROUND($A$3*G127/$B$3,2),ROUND($A$3*(G127-AT127)/$B$3,2))</f>
        <v>0</v>
      </c>
      <c r="F127" s="503"/>
      <c r="G127" s="504" t="n">
        <f aca="false">H127+AC127+AT127</f>
        <v>0</v>
      </c>
      <c r="H127" s="505" t="n">
        <f aca="false">SUMIF(I$12:AB$12,"总值",I127:AB127)</f>
        <v>0</v>
      </c>
      <c r="I127" s="506"/>
      <c r="J127" s="506"/>
      <c r="K127" s="506"/>
      <c r="L127" s="506"/>
      <c r="M127" s="506"/>
      <c r="N127" s="506"/>
      <c r="O127" s="506"/>
      <c r="P127" s="506"/>
      <c r="Q127" s="506"/>
      <c r="R127" s="506"/>
      <c r="S127" s="506"/>
      <c r="T127" s="506"/>
      <c r="U127" s="506"/>
      <c r="V127" s="506"/>
      <c r="W127" s="506"/>
      <c r="X127" s="506"/>
      <c r="Y127" s="506"/>
      <c r="Z127" s="506"/>
      <c r="AA127" s="506"/>
      <c r="AB127" s="506"/>
      <c r="AC127" s="502" t="n">
        <f aca="false">SUMIF(AD$12:AS$12,"总值",AD127:AS127)</f>
        <v>0</v>
      </c>
      <c r="AD127" s="507"/>
      <c r="AE127" s="507"/>
      <c r="AF127" s="507"/>
      <c r="AG127" s="507"/>
      <c r="AH127" s="507"/>
      <c r="AI127" s="507"/>
      <c r="AJ127" s="507"/>
      <c r="AK127" s="507"/>
      <c r="AL127" s="507"/>
      <c r="AM127" s="507"/>
      <c r="AN127" s="507"/>
      <c r="AO127" s="507"/>
      <c r="AP127" s="507"/>
      <c r="AQ127" s="507"/>
      <c r="AR127" s="507"/>
      <c r="AS127" s="507"/>
      <c r="AT127" s="508"/>
      <c r="AU127" s="509"/>
      <c r="AV127" s="510" t="n">
        <f aca="false">A127</f>
        <v>0</v>
      </c>
      <c r="AW127" s="510" t="n">
        <f aca="false">B127</f>
        <v>0</v>
      </c>
      <c r="AX127" s="510" t="n">
        <f aca="false">C127</f>
        <v>0</v>
      </c>
      <c r="AY127" s="511" t="n">
        <f aca="false">ROUND($AY$6*AZ127/$AZ$5,2)</f>
        <v>0</v>
      </c>
      <c r="AZ127" s="502" t="n">
        <f aca="false">BA127+BL127</f>
        <v>0</v>
      </c>
      <c r="BA127" s="502" t="n">
        <f aca="false">SUM(BB127:BK127)</f>
        <v>0</v>
      </c>
      <c r="BB127" s="502" t="n">
        <f aca="false">IF($D127="是",I127-J127,0)</f>
        <v>0</v>
      </c>
      <c r="BC127" s="502" t="n">
        <f aca="false">IF($D127="是",K127-L127,0)</f>
        <v>0</v>
      </c>
      <c r="BD127" s="502" t="n">
        <f aca="false">IF($D127="是",M127-N127,0)</f>
        <v>0</v>
      </c>
      <c r="BE127" s="502" t="n">
        <f aca="false">IF($D127="是",O127-P127,0)</f>
        <v>0</v>
      </c>
      <c r="BF127" s="502" t="n">
        <f aca="false">IF($D127="是",Q127-R127,0)</f>
        <v>0</v>
      </c>
      <c r="BG127" s="502" t="n">
        <f aca="false">IF($D127="是",S127-T127,0)</f>
        <v>0</v>
      </c>
      <c r="BH127" s="502" t="n">
        <f aca="false">IF($D127="是",U127-V127,0)</f>
        <v>0</v>
      </c>
      <c r="BI127" s="502" t="n">
        <f aca="false">IF($D127="是",W127-X127,0)</f>
        <v>0</v>
      </c>
      <c r="BJ127" s="502" t="n">
        <f aca="false">IF($D127="是",Y127-Z127,0)</f>
        <v>0</v>
      </c>
      <c r="BK127" s="502" t="n">
        <f aca="false">IF($D127="是",AA127-AB127,0)</f>
        <v>0</v>
      </c>
      <c r="BL127" s="502" t="n">
        <f aca="false">SUM(BM127:BT127)</f>
        <v>0</v>
      </c>
      <c r="BM127" s="502" t="n">
        <f aca="false">IF($D127="是",AD127-AE127,0)</f>
        <v>0</v>
      </c>
      <c r="BN127" s="502" t="n">
        <f aca="false">IF($D127="是",AF127-AG127,0)</f>
        <v>0</v>
      </c>
      <c r="BO127" s="502" t="n">
        <f aca="false">IF($D127="是",AH127-AI127,0)</f>
        <v>0</v>
      </c>
      <c r="BP127" s="502" t="n">
        <f aca="false">IF($D127="是",AJ127-AK127,0)</f>
        <v>0</v>
      </c>
      <c r="BQ127" s="502" t="n">
        <f aca="false">IF($D127="是",AL127-AM127,0)</f>
        <v>0</v>
      </c>
      <c r="BR127" s="502" t="n">
        <f aca="false">IF($D127="是",AN127-AO127,0)</f>
        <v>0</v>
      </c>
      <c r="BS127" s="502" t="n">
        <f aca="false">IF($D127="是",AP127-AQ127,0)</f>
        <v>0</v>
      </c>
      <c r="BT127" s="512" t="n">
        <f aca="false">IF($D127="是",AR127-AS127,0)</f>
        <v>0</v>
      </c>
    </row>
    <row r="128" customFormat="false" ht="14.25" hidden="false" customHeight="false" outlineLevel="0" collapsed="false">
      <c r="A128" s="499"/>
      <c r="B128" s="500"/>
      <c r="C128" s="500"/>
      <c r="D128" s="501"/>
      <c r="E128" s="502" t="n">
        <f aca="false">IF($C$3="是",ROUND($A$3*G128/$B$3,2),ROUND($A$3*(G128-AT128)/$B$3,2))</f>
        <v>0</v>
      </c>
      <c r="F128" s="503"/>
      <c r="G128" s="504" t="n">
        <f aca="false">H128+AC128+AT128</f>
        <v>0</v>
      </c>
      <c r="H128" s="505" t="n">
        <f aca="false">SUMIF(I$12:AB$12,"总值",I128:AB128)</f>
        <v>0</v>
      </c>
      <c r="I128" s="506"/>
      <c r="J128" s="506"/>
      <c r="K128" s="506"/>
      <c r="L128" s="506"/>
      <c r="M128" s="506"/>
      <c r="N128" s="506"/>
      <c r="O128" s="506"/>
      <c r="P128" s="506"/>
      <c r="Q128" s="506"/>
      <c r="R128" s="506"/>
      <c r="S128" s="506"/>
      <c r="T128" s="506"/>
      <c r="U128" s="506"/>
      <c r="V128" s="506"/>
      <c r="W128" s="506"/>
      <c r="X128" s="506"/>
      <c r="Y128" s="506"/>
      <c r="Z128" s="506"/>
      <c r="AA128" s="506"/>
      <c r="AB128" s="506"/>
      <c r="AC128" s="502" t="n">
        <f aca="false">SUMIF(AD$12:AS$12,"总值",AD128:AS128)</f>
        <v>0</v>
      </c>
      <c r="AD128" s="507"/>
      <c r="AE128" s="507"/>
      <c r="AF128" s="507"/>
      <c r="AG128" s="507"/>
      <c r="AH128" s="507"/>
      <c r="AI128" s="507"/>
      <c r="AJ128" s="507"/>
      <c r="AK128" s="507"/>
      <c r="AL128" s="507"/>
      <c r="AM128" s="507"/>
      <c r="AN128" s="507"/>
      <c r="AO128" s="507"/>
      <c r="AP128" s="507"/>
      <c r="AQ128" s="507"/>
      <c r="AR128" s="507"/>
      <c r="AS128" s="507"/>
      <c r="AT128" s="508"/>
      <c r="AU128" s="509"/>
      <c r="AV128" s="510" t="n">
        <f aca="false">A128</f>
        <v>0</v>
      </c>
      <c r="AW128" s="510" t="n">
        <f aca="false">B128</f>
        <v>0</v>
      </c>
      <c r="AX128" s="510" t="n">
        <f aca="false">C128</f>
        <v>0</v>
      </c>
      <c r="AY128" s="511" t="n">
        <f aca="false">ROUND($AY$6*AZ128/$AZ$5,2)</f>
        <v>0</v>
      </c>
      <c r="AZ128" s="502" t="n">
        <f aca="false">BA128+BL128</f>
        <v>0</v>
      </c>
      <c r="BA128" s="502" t="n">
        <f aca="false">SUM(BB128:BK128)</f>
        <v>0</v>
      </c>
      <c r="BB128" s="502" t="n">
        <f aca="false">IF($D128="是",I128-J128,0)</f>
        <v>0</v>
      </c>
      <c r="BC128" s="502" t="n">
        <f aca="false">IF($D128="是",K128-L128,0)</f>
        <v>0</v>
      </c>
      <c r="BD128" s="502" t="n">
        <f aca="false">IF($D128="是",M128-N128,0)</f>
        <v>0</v>
      </c>
      <c r="BE128" s="502" t="n">
        <f aca="false">IF($D128="是",O128-P128,0)</f>
        <v>0</v>
      </c>
      <c r="BF128" s="502" t="n">
        <f aca="false">IF($D128="是",Q128-R128,0)</f>
        <v>0</v>
      </c>
      <c r="BG128" s="502" t="n">
        <f aca="false">IF($D128="是",S128-T128,0)</f>
        <v>0</v>
      </c>
      <c r="BH128" s="502" t="n">
        <f aca="false">IF($D128="是",U128-V128,0)</f>
        <v>0</v>
      </c>
      <c r="BI128" s="502" t="n">
        <f aca="false">IF($D128="是",W128-X128,0)</f>
        <v>0</v>
      </c>
      <c r="BJ128" s="502" t="n">
        <f aca="false">IF($D128="是",Y128-Z128,0)</f>
        <v>0</v>
      </c>
      <c r="BK128" s="502" t="n">
        <f aca="false">IF($D128="是",AA128-AB128,0)</f>
        <v>0</v>
      </c>
      <c r="BL128" s="502" t="n">
        <f aca="false">SUM(BM128:BT128)</f>
        <v>0</v>
      </c>
      <c r="BM128" s="502" t="n">
        <f aca="false">IF($D128="是",AD128-AE128,0)</f>
        <v>0</v>
      </c>
      <c r="BN128" s="502" t="n">
        <f aca="false">IF($D128="是",AF128-AG128,0)</f>
        <v>0</v>
      </c>
      <c r="BO128" s="502" t="n">
        <f aca="false">IF($D128="是",AH128-AI128,0)</f>
        <v>0</v>
      </c>
      <c r="BP128" s="502" t="n">
        <f aca="false">IF($D128="是",AJ128-AK128,0)</f>
        <v>0</v>
      </c>
      <c r="BQ128" s="502" t="n">
        <f aca="false">IF($D128="是",AL128-AM128,0)</f>
        <v>0</v>
      </c>
      <c r="BR128" s="502" t="n">
        <f aca="false">IF($D128="是",AN128-AO128,0)</f>
        <v>0</v>
      </c>
      <c r="BS128" s="502" t="n">
        <f aca="false">IF($D128="是",AP128-AQ128,0)</f>
        <v>0</v>
      </c>
      <c r="BT128" s="512" t="n">
        <f aca="false">IF($D128="是",AR128-AS128,0)</f>
        <v>0</v>
      </c>
    </row>
    <row r="129" customFormat="false" ht="14.25" hidden="false" customHeight="false" outlineLevel="0" collapsed="false">
      <c r="A129" s="499"/>
      <c r="B129" s="500"/>
      <c r="C129" s="500"/>
      <c r="D129" s="501"/>
      <c r="E129" s="502" t="n">
        <f aca="false">IF($C$3="是",ROUND($A$3*G129/$B$3,2),ROUND($A$3*(G129-AT129)/$B$3,2))</f>
        <v>0</v>
      </c>
      <c r="F129" s="503"/>
      <c r="G129" s="504" t="n">
        <f aca="false">H129+AC129+AT129</f>
        <v>0</v>
      </c>
      <c r="H129" s="505" t="n">
        <f aca="false">SUMIF(I$12:AB$12,"总值",I129:AB129)</f>
        <v>0</v>
      </c>
      <c r="I129" s="506"/>
      <c r="J129" s="506"/>
      <c r="K129" s="506"/>
      <c r="L129" s="506"/>
      <c r="M129" s="506"/>
      <c r="N129" s="506"/>
      <c r="O129" s="506"/>
      <c r="P129" s="506"/>
      <c r="Q129" s="506"/>
      <c r="R129" s="506"/>
      <c r="S129" s="506"/>
      <c r="T129" s="506"/>
      <c r="U129" s="506"/>
      <c r="V129" s="506"/>
      <c r="W129" s="506"/>
      <c r="X129" s="506"/>
      <c r="Y129" s="506"/>
      <c r="Z129" s="506"/>
      <c r="AA129" s="506"/>
      <c r="AB129" s="506"/>
      <c r="AC129" s="502" t="n">
        <f aca="false">SUMIF(AD$12:AS$12,"总值",AD129:AS129)</f>
        <v>0</v>
      </c>
      <c r="AD129" s="507"/>
      <c r="AE129" s="507"/>
      <c r="AF129" s="507"/>
      <c r="AG129" s="507"/>
      <c r="AH129" s="507"/>
      <c r="AI129" s="507"/>
      <c r="AJ129" s="507"/>
      <c r="AK129" s="507"/>
      <c r="AL129" s="507"/>
      <c r="AM129" s="507"/>
      <c r="AN129" s="507"/>
      <c r="AO129" s="507"/>
      <c r="AP129" s="507"/>
      <c r="AQ129" s="507"/>
      <c r="AR129" s="507"/>
      <c r="AS129" s="507"/>
      <c r="AT129" s="508"/>
      <c r="AU129" s="509"/>
      <c r="AV129" s="510" t="n">
        <f aca="false">A129</f>
        <v>0</v>
      </c>
      <c r="AW129" s="510" t="n">
        <f aca="false">B129</f>
        <v>0</v>
      </c>
      <c r="AX129" s="510" t="n">
        <f aca="false">C129</f>
        <v>0</v>
      </c>
      <c r="AY129" s="511" t="n">
        <f aca="false">ROUND($AY$6*AZ129/$AZ$5,2)</f>
        <v>0</v>
      </c>
      <c r="AZ129" s="502" t="n">
        <f aca="false">BA129+BL129</f>
        <v>0</v>
      </c>
      <c r="BA129" s="502" t="n">
        <f aca="false">SUM(BB129:BK129)</f>
        <v>0</v>
      </c>
      <c r="BB129" s="502" t="n">
        <f aca="false">IF($D129="是",I129-J129,0)</f>
        <v>0</v>
      </c>
      <c r="BC129" s="502" t="n">
        <f aca="false">IF($D129="是",K129-L129,0)</f>
        <v>0</v>
      </c>
      <c r="BD129" s="502" t="n">
        <f aca="false">IF($D129="是",M129-N129,0)</f>
        <v>0</v>
      </c>
      <c r="BE129" s="502" t="n">
        <f aca="false">IF($D129="是",O129-P129,0)</f>
        <v>0</v>
      </c>
      <c r="BF129" s="502" t="n">
        <f aca="false">IF($D129="是",Q129-R129,0)</f>
        <v>0</v>
      </c>
      <c r="BG129" s="502" t="n">
        <f aca="false">IF($D129="是",S129-T129,0)</f>
        <v>0</v>
      </c>
      <c r="BH129" s="502" t="n">
        <f aca="false">IF($D129="是",U129-V129,0)</f>
        <v>0</v>
      </c>
      <c r="BI129" s="502" t="n">
        <f aca="false">IF($D129="是",W129-X129,0)</f>
        <v>0</v>
      </c>
      <c r="BJ129" s="502" t="n">
        <f aca="false">IF($D129="是",Y129-Z129,0)</f>
        <v>0</v>
      </c>
      <c r="BK129" s="502" t="n">
        <f aca="false">IF($D129="是",AA129-AB129,0)</f>
        <v>0</v>
      </c>
      <c r="BL129" s="502" t="n">
        <f aca="false">SUM(BM129:BT129)</f>
        <v>0</v>
      </c>
      <c r="BM129" s="502" t="n">
        <f aca="false">IF($D129="是",AD129-AE129,0)</f>
        <v>0</v>
      </c>
      <c r="BN129" s="502" t="n">
        <f aca="false">IF($D129="是",AF129-AG129,0)</f>
        <v>0</v>
      </c>
      <c r="BO129" s="502" t="n">
        <f aca="false">IF($D129="是",AH129-AI129,0)</f>
        <v>0</v>
      </c>
      <c r="BP129" s="502" t="n">
        <f aca="false">IF($D129="是",AJ129-AK129,0)</f>
        <v>0</v>
      </c>
      <c r="BQ129" s="502" t="n">
        <f aca="false">IF($D129="是",AL129-AM129,0)</f>
        <v>0</v>
      </c>
      <c r="BR129" s="502" t="n">
        <f aca="false">IF($D129="是",AN129-AO129,0)</f>
        <v>0</v>
      </c>
      <c r="BS129" s="502" t="n">
        <f aca="false">IF($D129="是",AP129-AQ129,0)</f>
        <v>0</v>
      </c>
      <c r="BT129" s="512" t="n">
        <f aca="false">IF($D129="是",AR129-AS129,0)</f>
        <v>0</v>
      </c>
    </row>
    <row r="130" customFormat="false" ht="14.25" hidden="false" customHeight="false" outlineLevel="0" collapsed="false">
      <c r="A130" s="499"/>
      <c r="B130" s="500"/>
      <c r="C130" s="500"/>
      <c r="D130" s="501"/>
      <c r="E130" s="502" t="n">
        <f aca="false">IF($C$3="是",ROUND($A$3*G130/$B$3,2),ROUND($A$3*(G130-AT130)/$B$3,2))</f>
        <v>0</v>
      </c>
      <c r="F130" s="503"/>
      <c r="G130" s="504" t="n">
        <f aca="false">H130+AC130+AT130</f>
        <v>0</v>
      </c>
      <c r="H130" s="505" t="n">
        <f aca="false">SUMIF(I$12:AB$12,"总值",I130:AB130)</f>
        <v>0</v>
      </c>
      <c r="I130" s="506"/>
      <c r="J130" s="506"/>
      <c r="K130" s="506"/>
      <c r="L130" s="506"/>
      <c r="M130" s="506"/>
      <c r="N130" s="506"/>
      <c r="O130" s="506"/>
      <c r="P130" s="506"/>
      <c r="Q130" s="506"/>
      <c r="R130" s="506"/>
      <c r="S130" s="506"/>
      <c r="T130" s="506"/>
      <c r="U130" s="506"/>
      <c r="V130" s="506"/>
      <c r="W130" s="506"/>
      <c r="X130" s="506"/>
      <c r="Y130" s="506"/>
      <c r="Z130" s="506"/>
      <c r="AA130" s="506"/>
      <c r="AB130" s="506"/>
      <c r="AC130" s="502" t="n">
        <f aca="false">SUMIF(AD$12:AS$12,"总值",AD130:AS130)</f>
        <v>0</v>
      </c>
      <c r="AD130" s="507"/>
      <c r="AE130" s="507"/>
      <c r="AF130" s="507"/>
      <c r="AG130" s="507"/>
      <c r="AH130" s="507"/>
      <c r="AI130" s="507"/>
      <c r="AJ130" s="507"/>
      <c r="AK130" s="507"/>
      <c r="AL130" s="507"/>
      <c r="AM130" s="507"/>
      <c r="AN130" s="507"/>
      <c r="AO130" s="507"/>
      <c r="AP130" s="507"/>
      <c r="AQ130" s="507"/>
      <c r="AR130" s="507"/>
      <c r="AS130" s="507"/>
      <c r="AT130" s="508"/>
      <c r="AU130" s="509"/>
      <c r="AV130" s="510" t="n">
        <f aca="false">A130</f>
        <v>0</v>
      </c>
      <c r="AW130" s="510" t="n">
        <f aca="false">B130</f>
        <v>0</v>
      </c>
      <c r="AX130" s="510" t="n">
        <f aca="false">C130</f>
        <v>0</v>
      </c>
      <c r="AY130" s="511" t="n">
        <f aca="false">ROUND($AY$6*AZ130/$AZ$5,2)</f>
        <v>0</v>
      </c>
      <c r="AZ130" s="502" t="n">
        <f aca="false">BA130+BL130</f>
        <v>0</v>
      </c>
      <c r="BA130" s="502" t="n">
        <f aca="false">SUM(BB130:BK130)</f>
        <v>0</v>
      </c>
      <c r="BB130" s="502" t="n">
        <f aca="false">IF($D130="是",I130-J130,0)</f>
        <v>0</v>
      </c>
      <c r="BC130" s="502" t="n">
        <f aca="false">IF($D130="是",K130-L130,0)</f>
        <v>0</v>
      </c>
      <c r="BD130" s="502" t="n">
        <f aca="false">IF($D130="是",M130-N130,0)</f>
        <v>0</v>
      </c>
      <c r="BE130" s="502" t="n">
        <f aca="false">IF($D130="是",O130-P130,0)</f>
        <v>0</v>
      </c>
      <c r="BF130" s="502" t="n">
        <f aca="false">IF($D130="是",Q130-R130,0)</f>
        <v>0</v>
      </c>
      <c r="BG130" s="502" t="n">
        <f aca="false">IF($D130="是",S130-T130,0)</f>
        <v>0</v>
      </c>
      <c r="BH130" s="502" t="n">
        <f aca="false">IF($D130="是",U130-V130,0)</f>
        <v>0</v>
      </c>
      <c r="BI130" s="502" t="n">
        <f aca="false">IF($D130="是",W130-X130,0)</f>
        <v>0</v>
      </c>
      <c r="BJ130" s="502" t="n">
        <f aca="false">IF($D130="是",Y130-Z130,0)</f>
        <v>0</v>
      </c>
      <c r="BK130" s="502" t="n">
        <f aca="false">IF($D130="是",AA130-AB130,0)</f>
        <v>0</v>
      </c>
      <c r="BL130" s="502" t="n">
        <f aca="false">SUM(BM130:BT130)</f>
        <v>0</v>
      </c>
      <c r="BM130" s="502" t="n">
        <f aca="false">IF($D130="是",AD130-AE130,0)</f>
        <v>0</v>
      </c>
      <c r="BN130" s="502" t="n">
        <f aca="false">IF($D130="是",AF130-AG130,0)</f>
        <v>0</v>
      </c>
      <c r="BO130" s="502" t="n">
        <f aca="false">IF($D130="是",AH130-AI130,0)</f>
        <v>0</v>
      </c>
      <c r="BP130" s="502" t="n">
        <f aca="false">IF($D130="是",AJ130-AK130,0)</f>
        <v>0</v>
      </c>
      <c r="BQ130" s="502" t="n">
        <f aca="false">IF($D130="是",AL130-AM130,0)</f>
        <v>0</v>
      </c>
      <c r="BR130" s="502" t="n">
        <f aca="false">IF($D130="是",AN130-AO130,0)</f>
        <v>0</v>
      </c>
      <c r="BS130" s="502" t="n">
        <f aca="false">IF($D130="是",AP130-AQ130,0)</f>
        <v>0</v>
      </c>
      <c r="BT130" s="512" t="n">
        <f aca="false">IF($D130="是",AR130-AS130,0)</f>
        <v>0</v>
      </c>
    </row>
    <row r="131" customFormat="false" ht="14.25" hidden="false" customHeight="false" outlineLevel="0" collapsed="false">
      <c r="A131" s="499"/>
      <c r="B131" s="500"/>
      <c r="C131" s="500"/>
      <c r="D131" s="501"/>
      <c r="E131" s="502" t="n">
        <f aca="false">IF($C$3="是",ROUND($A$3*G131/$B$3,2),ROUND($A$3*(G131-AT131)/$B$3,2))</f>
        <v>0</v>
      </c>
      <c r="F131" s="503"/>
      <c r="G131" s="504" t="n">
        <f aca="false">H131+AC131+AT131</f>
        <v>0</v>
      </c>
      <c r="H131" s="505" t="n">
        <f aca="false">SUMIF(I$12:AB$12,"总值",I131:AB131)</f>
        <v>0</v>
      </c>
      <c r="I131" s="506"/>
      <c r="J131" s="506"/>
      <c r="K131" s="506"/>
      <c r="L131" s="506"/>
      <c r="M131" s="506"/>
      <c r="N131" s="506"/>
      <c r="O131" s="506"/>
      <c r="P131" s="506"/>
      <c r="Q131" s="506"/>
      <c r="R131" s="506"/>
      <c r="S131" s="506"/>
      <c r="T131" s="506"/>
      <c r="U131" s="506"/>
      <c r="V131" s="506"/>
      <c r="W131" s="506"/>
      <c r="X131" s="506"/>
      <c r="Y131" s="506"/>
      <c r="Z131" s="506"/>
      <c r="AA131" s="506"/>
      <c r="AB131" s="506"/>
      <c r="AC131" s="502" t="n">
        <f aca="false">SUMIF(AD$12:AS$12,"总值",AD131:AS131)</f>
        <v>0</v>
      </c>
      <c r="AD131" s="507"/>
      <c r="AE131" s="507"/>
      <c r="AF131" s="507"/>
      <c r="AG131" s="507"/>
      <c r="AH131" s="507"/>
      <c r="AI131" s="507"/>
      <c r="AJ131" s="507"/>
      <c r="AK131" s="507"/>
      <c r="AL131" s="507"/>
      <c r="AM131" s="507"/>
      <c r="AN131" s="507"/>
      <c r="AO131" s="507"/>
      <c r="AP131" s="507"/>
      <c r="AQ131" s="507"/>
      <c r="AR131" s="507"/>
      <c r="AS131" s="507"/>
      <c r="AT131" s="508"/>
      <c r="AU131" s="509"/>
      <c r="AV131" s="510" t="n">
        <f aca="false">A131</f>
        <v>0</v>
      </c>
      <c r="AW131" s="510" t="n">
        <f aca="false">B131</f>
        <v>0</v>
      </c>
      <c r="AX131" s="510" t="n">
        <f aca="false">C131</f>
        <v>0</v>
      </c>
      <c r="AY131" s="511" t="n">
        <f aca="false">ROUND($AY$6*AZ131/$AZ$5,2)</f>
        <v>0</v>
      </c>
      <c r="AZ131" s="502" t="n">
        <f aca="false">BA131+BL131</f>
        <v>0</v>
      </c>
      <c r="BA131" s="502" t="n">
        <f aca="false">SUM(BB131:BK131)</f>
        <v>0</v>
      </c>
      <c r="BB131" s="502" t="n">
        <f aca="false">IF($D131="是",I131-J131,0)</f>
        <v>0</v>
      </c>
      <c r="BC131" s="502" t="n">
        <f aca="false">IF($D131="是",K131-L131,0)</f>
        <v>0</v>
      </c>
      <c r="BD131" s="502" t="n">
        <f aca="false">IF($D131="是",M131-N131,0)</f>
        <v>0</v>
      </c>
      <c r="BE131" s="502" t="n">
        <f aca="false">IF($D131="是",O131-P131,0)</f>
        <v>0</v>
      </c>
      <c r="BF131" s="502" t="n">
        <f aca="false">IF($D131="是",Q131-R131,0)</f>
        <v>0</v>
      </c>
      <c r="BG131" s="502" t="n">
        <f aca="false">IF($D131="是",S131-T131,0)</f>
        <v>0</v>
      </c>
      <c r="BH131" s="502" t="n">
        <f aca="false">IF($D131="是",U131-V131,0)</f>
        <v>0</v>
      </c>
      <c r="BI131" s="502" t="n">
        <f aca="false">IF($D131="是",W131-X131,0)</f>
        <v>0</v>
      </c>
      <c r="BJ131" s="502" t="n">
        <f aca="false">IF($D131="是",Y131-Z131,0)</f>
        <v>0</v>
      </c>
      <c r="BK131" s="502" t="n">
        <f aca="false">IF($D131="是",AA131-AB131,0)</f>
        <v>0</v>
      </c>
      <c r="BL131" s="502" t="n">
        <f aca="false">SUM(BM131:BT131)</f>
        <v>0</v>
      </c>
      <c r="BM131" s="502" t="n">
        <f aca="false">IF($D131="是",AD131-AE131,0)</f>
        <v>0</v>
      </c>
      <c r="BN131" s="502" t="n">
        <f aca="false">IF($D131="是",AF131-AG131,0)</f>
        <v>0</v>
      </c>
      <c r="BO131" s="502" t="n">
        <f aca="false">IF($D131="是",AH131-AI131,0)</f>
        <v>0</v>
      </c>
      <c r="BP131" s="502" t="n">
        <f aca="false">IF($D131="是",AJ131-AK131,0)</f>
        <v>0</v>
      </c>
      <c r="BQ131" s="502" t="n">
        <f aca="false">IF($D131="是",AL131-AM131,0)</f>
        <v>0</v>
      </c>
      <c r="BR131" s="502" t="n">
        <f aca="false">IF($D131="是",AN131-AO131,0)</f>
        <v>0</v>
      </c>
      <c r="BS131" s="502" t="n">
        <f aca="false">IF($D131="是",AP131-AQ131,0)</f>
        <v>0</v>
      </c>
      <c r="BT131" s="512" t="n">
        <f aca="false">IF($D131="是",AR131-AS131,0)</f>
        <v>0</v>
      </c>
    </row>
    <row r="132" customFormat="false" ht="14.25" hidden="false" customHeight="false" outlineLevel="0" collapsed="false">
      <c r="A132" s="499"/>
      <c r="B132" s="500"/>
      <c r="C132" s="500"/>
      <c r="D132" s="501"/>
      <c r="E132" s="502" t="n">
        <f aca="false">IF($C$3="是",ROUND($A$3*G132/$B$3,2),ROUND($A$3*(G132-AT132)/$B$3,2))</f>
        <v>0</v>
      </c>
      <c r="F132" s="503"/>
      <c r="G132" s="504" t="n">
        <f aca="false">H132+AC132+AT132</f>
        <v>0</v>
      </c>
      <c r="H132" s="505" t="n">
        <f aca="false">SUMIF(I$12:AB$12,"总值",I132:AB132)</f>
        <v>0</v>
      </c>
      <c r="I132" s="506"/>
      <c r="J132" s="506"/>
      <c r="K132" s="506"/>
      <c r="L132" s="506"/>
      <c r="M132" s="506"/>
      <c r="N132" s="506"/>
      <c r="O132" s="506"/>
      <c r="P132" s="506"/>
      <c r="Q132" s="506"/>
      <c r="R132" s="506"/>
      <c r="S132" s="506"/>
      <c r="T132" s="506"/>
      <c r="U132" s="506"/>
      <c r="V132" s="506"/>
      <c r="W132" s="506"/>
      <c r="X132" s="506"/>
      <c r="Y132" s="506"/>
      <c r="Z132" s="506"/>
      <c r="AA132" s="506"/>
      <c r="AB132" s="506"/>
      <c r="AC132" s="502" t="n">
        <f aca="false">SUMIF(AD$12:AS$12,"总值",AD132:AS132)</f>
        <v>0</v>
      </c>
      <c r="AD132" s="507"/>
      <c r="AE132" s="507"/>
      <c r="AF132" s="507"/>
      <c r="AG132" s="507"/>
      <c r="AH132" s="507"/>
      <c r="AI132" s="507"/>
      <c r="AJ132" s="507"/>
      <c r="AK132" s="507"/>
      <c r="AL132" s="507"/>
      <c r="AM132" s="507"/>
      <c r="AN132" s="507"/>
      <c r="AO132" s="507"/>
      <c r="AP132" s="507"/>
      <c r="AQ132" s="507"/>
      <c r="AR132" s="507"/>
      <c r="AS132" s="507"/>
      <c r="AT132" s="508"/>
      <c r="AU132" s="509"/>
      <c r="AV132" s="510" t="n">
        <f aca="false">A132</f>
        <v>0</v>
      </c>
      <c r="AW132" s="510" t="n">
        <f aca="false">B132</f>
        <v>0</v>
      </c>
      <c r="AX132" s="510" t="n">
        <f aca="false">C132</f>
        <v>0</v>
      </c>
      <c r="AY132" s="511" t="n">
        <f aca="false">ROUND($AY$6*AZ132/$AZ$5,2)</f>
        <v>0</v>
      </c>
      <c r="AZ132" s="502" t="n">
        <f aca="false">BA132+BL132</f>
        <v>0</v>
      </c>
      <c r="BA132" s="502" t="n">
        <f aca="false">SUM(BB132:BK132)</f>
        <v>0</v>
      </c>
      <c r="BB132" s="502" t="n">
        <f aca="false">IF($D132="是",I132-J132,0)</f>
        <v>0</v>
      </c>
      <c r="BC132" s="502" t="n">
        <f aca="false">IF($D132="是",K132-L132,0)</f>
        <v>0</v>
      </c>
      <c r="BD132" s="502" t="n">
        <f aca="false">IF($D132="是",M132-N132,0)</f>
        <v>0</v>
      </c>
      <c r="BE132" s="502" t="n">
        <f aca="false">IF($D132="是",O132-P132,0)</f>
        <v>0</v>
      </c>
      <c r="BF132" s="502" t="n">
        <f aca="false">IF($D132="是",Q132-R132,0)</f>
        <v>0</v>
      </c>
      <c r="BG132" s="502" t="n">
        <f aca="false">IF($D132="是",S132-T132,0)</f>
        <v>0</v>
      </c>
      <c r="BH132" s="502" t="n">
        <f aca="false">IF($D132="是",U132-V132,0)</f>
        <v>0</v>
      </c>
      <c r="BI132" s="502" t="n">
        <f aca="false">IF($D132="是",W132-X132,0)</f>
        <v>0</v>
      </c>
      <c r="BJ132" s="502" t="n">
        <f aca="false">IF($D132="是",Y132-Z132,0)</f>
        <v>0</v>
      </c>
      <c r="BK132" s="502" t="n">
        <f aca="false">IF($D132="是",AA132-AB132,0)</f>
        <v>0</v>
      </c>
      <c r="BL132" s="502" t="n">
        <f aca="false">SUM(BM132:BT132)</f>
        <v>0</v>
      </c>
      <c r="BM132" s="502" t="n">
        <f aca="false">IF($D132="是",AD132-AE132,0)</f>
        <v>0</v>
      </c>
      <c r="BN132" s="502" t="n">
        <f aca="false">IF($D132="是",AF132-AG132,0)</f>
        <v>0</v>
      </c>
      <c r="BO132" s="502" t="n">
        <f aca="false">IF($D132="是",AH132-AI132,0)</f>
        <v>0</v>
      </c>
      <c r="BP132" s="502" t="n">
        <f aca="false">IF($D132="是",AJ132-AK132,0)</f>
        <v>0</v>
      </c>
      <c r="BQ132" s="502" t="n">
        <f aca="false">IF($D132="是",AL132-AM132,0)</f>
        <v>0</v>
      </c>
      <c r="BR132" s="502" t="n">
        <f aca="false">IF($D132="是",AN132-AO132,0)</f>
        <v>0</v>
      </c>
      <c r="BS132" s="502" t="n">
        <f aca="false">IF($D132="是",AP132-AQ132,0)</f>
        <v>0</v>
      </c>
      <c r="BT132" s="512" t="n">
        <f aca="false">IF($D132="是",AR132-AS132,0)</f>
        <v>0</v>
      </c>
    </row>
    <row r="133" customFormat="false" ht="14.25" hidden="false" customHeight="false" outlineLevel="0" collapsed="false">
      <c r="A133" s="499"/>
      <c r="B133" s="500"/>
      <c r="C133" s="500"/>
      <c r="D133" s="501"/>
      <c r="E133" s="502" t="n">
        <f aca="false">IF($C$3="是",ROUND($A$3*G133/$B$3,2),ROUND($A$3*(G133-AT133)/$B$3,2))</f>
        <v>0</v>
      </c>
      <c r="F133" s="503"/>
      <c r="G133" s="504" t="n">
        <f aca="false">H133+AC133+AT133</f>
        <v>0</v>
      </c>
      <c r="H133" s="505" t="n">
        <f aca="false">SUMIF(I$12:AB$12,"总值",I133:AB133)</f>
        <v>0</v>
      </c>
      <c r="I133" s="506"/>
      <c r="J133" s="506"/>
      <c r="K133" s="506"/>
      <c r="L133" s="506"/>
      <c r="M133" s="506"/>
      <c r="N133" s="506"/>
      <c r="O133" s="506"/>
      <c r="P133" s="506"/>
      <c r="Q133" s="506"/>
      <c r="R133" s="506"/>
      <c r="S133" s="506"/>
      <c r="T133" s="506"/>
      <c r="U133" s="506"/>
      <c r="V133" s="506"/>
      <c r="W133" s="506"/>
      <c r="X133" s="506"/>
      <c r="Y133" s="506"/>
      <c r="Z133" s="506"/>
      <c r="AA133" s="506"/>
      <c r="AB133" s="506"/>
      <c r="AC133" s="502" t="n">
        <f aca="false">SUMIF(AD$12:AS$12,"总值",AD133:AS133)</f>
        <v>0</v>
      </c>
      <c r="AD133" s="507"/>
      <c r="AE133" s="507"/>
      <c r="AF133" s="507"/>
      <c r="AG133" s="507"/>
      <c r="AH133" s="507"/>
      <c r="AI133" s="507"/>
      <c r="AJ133" s="507"/>
      <c r="AK133" s="507"/>
      <c r="AL133" s="507"/>
      <c r="AM133" s="507"/>
      <c r="AN133" s="507"/>
      <c r="AO133" s="507"/>
      <c r="AP133" s="507"/>
      <c r="AQ133" s="507"/>
      <c r="AR133" s="507"/>
      <c r="AS133" s="507"/>
      <c r="AT133" s="508"/>
      <c r="AU133" s="509"/>
      <c r="AV133" s="510" t="n">
        <f aca="false">A133</f>
        <v>0</v>
      </c>
      <c r="AW133" s="510" t="n">
        <f aca="false">B133</f>
        <v>0</v>
      </c>
      <c r="AX133" s="510" t="n">
        <f aca="false">C133</f>
        <v>0</v>
      </c>
      <c r="AY133" s="511" t="n">
        <f aca="false">ROUND($AY$6*AZ133/$AZ$5,2)</f>
        <v>0</v>
      </c>
      <c r="AZ133" s="502" t="n">
        <f aca="false">BA133+BL133</f>
        <v>0</v>
      </c>
      <c r="BA133" s="502" t="n">
        <f aca="false">SUM(BB133:BK133)</f>
        <v>0</v>
      </c>
      <c r="BB133" s="502" t="n">
        <f aca="false">IF($D133="是",I133-J133,0)</f>
        <v>0</v>
      </c>
      <c r="BC133" s="502" t="n">
        <f aca="false">IF($D133="是",K133-L133,0)</f>
        <v>0</v>
      </c>
      <c r="BD133" s="502" t="n">
        <f aca="false">IF($D133="是",M133-N133,0)</f>
        <v>0</v>
      </c>
      <c r="BE133" s="502" t="n">
        <f aca="false">IF($D133="是",O133-P133,0)</f>
        <v>0</v>
      </c>
      <c r="BF133" s="502" t="n">
        <f aca="false">IF($D133="是",Q133-R133,0)</f>
        <v>0</v>
      </c>
      <c r="BG133" s="502" t="n">
        <f aca="false">IF($D133="是",S133-T133,0)</f>
        <v>0</v>
      </c>
      <c r="BH133" s="502" t="n">
        <f aca="false">IF($D133="是",U133-V133,0)</f>
        <v>0</v>
      </c>
      <c r="BI133" s="502" t="n">
        <f aca="false">IF($D133="是",W133-X133,0)</f>
        <v>0</v>
      </c>
      <c r="BJ133" s="502" t="n">
        <f aca="false">IF($D133="是",Y133-Z133,0)</f>
        <v>0</v>
      </c>
      <c r="BK133" s="502" t="n">
        <f aca="false">IF($D133="是",AA133-AB133,0)</f>
        <v>0</v>
      </c>
      <c r="BL133" s="502" t="n">
        <f aca="false">SUM(BM133:BT133)</f>
        <v>0</v>
      </c>
      <c r="BM133" s="502" t="n">
        <f aca="false">IF($D133="是",AD133-AE133,0)</f>
        <v>0</v>
      </c>
      <c r="BN133" s="502" t="n">
        <f aca="false">IF($D133="是",AF133-AG133,0)</f>
        <v>0</v>
      </c>
      <c r="BO133" s="502" t="n">
        <f aca="false">IF($D133="是",AH133-AI133,0)</f>
        <v>0</v>
      </c>
      <c r="BP133" s="502" t="n">
        <f aca="false">IF($D133="是",AJ133-AK133,0)</f>
        <v>0</v>
      </c>
      <c r="BQ133" s="502" t="n">
        <f aca="false">IF($D133="是",AL133-AM133,0)</f>
        <v>0</v>
      </c>
      <c r="BR133" s="502" t="n">
        <f aca="false">IF($D133="是",AN133-AO133,0)</f>
        <v>0</v>
      </c>
      <c r="BS133" s="502" t="n">
        <f aca="false">IF($D133="是",AP133-AQ133,0)</f>
        <v>0</v>
      </c>
      <c r="BT133" s="512" t="n">
        <f aca="false">IF($D133="是",AR133-AS133,0)</f>
        <v>0</v>
      </c>
    </row>
    <row r="134" customFormat="false" ht="14.25" hidden="false" customHeight="false" outlineLevel="0" collapsed="false">
      <c r="A134" s="499"/>
      <c r="B134" s="500"/>
      <c r="C134" s="500"/>
      <c r="D134" s="501"/>
      <c r="E134" s="502" t="n">
        <f aca="false">IF($C$3="是",ROUND($A$3*G134/$B$3,2),ROUND($A$3*(G134-AT134)/$B$3,2))</f>
        <v>0</v>
      </c>
      <c r="F134" s="503"/>
      <c r="G134" s="504" t="n">
        <f aca="false">H134+AC134+AT134</f>
        <v>0</v>
      </c>
      <c r="H134" s="505" t="n">
        <f aca="false">SUMIF(I$12:AB$12,"总值",I134:AB134)</f>
        <v>0</v>
      </c>
      <c r="I134" s="506"/>
      <c r="J134" s="506"/>
      <c r="K134" s="506"/>
      <c r="L134" s="506"/>
      <c r="M134" s="506"/>
      <c r="N134" s="506"/>
      <c r="O134" s="506"/>
      <c r="P134" s="506"/>
      <c r="Q134" s="506"/>
      <c r="R134" s="506"/>
      <c r="S134" s="506"/>
      <c r="T134" s="506"/>
      <c r="U134" s="506"/>
      <c r="V134" s="506"/>
      <c r="W134" s="506"/>
      <c r="X134" s="506"/>
      <c r="Y134" s="506"/>
      <c r="Z134" s="506"/>
      <c r="AA134" s="506"/>
      <c r="AB134" s="506"/>
      <c r="AC134" s="502" t="n">
        <f aca="false">SUMIF(AD$12:AS$12,"总值",AD134:AS134)</f>
        <v>0</v>
      </c>
      <c r="AD134" s="507"/>
      <c r="AE134" s="507"/>
      <c r="AF134" s="507"/>
      <c r="AG134" s="507"/>
      <c r="AH134" s="507"/>
      <c r="AI134" s="507"/>
      <c r="AJ134" s="507"/>
      <c r="AK134" s="507"/>
      <c r="AL134" s="507"/>
      <c r="AM134" s="507"/>
      <c r="AN134" s="507"/>
      <c r="AO134" s="507"/>
      <c r="AP134" s="507"/>
      <c r="AQ134" s="507"/>
      <c r="AR134" s="507"/>
      <c r="AS134" s="507"/>
      <c r="AT134" s="508"/>
      <c r="AU134" s="509"/>
      <c r="AV134" s="510" t="n">
        <f aca="false">A134</f>
        <v>0</v>
      </c>
      <c r="AW134" s="510" t="n">
        <f aca="false">B134</f>
        <v>0</v>
      </c>
      <c r="AX134" s="510" t="n">
        <f aca="false">C134</f>
        <v>0</v>
      </c>
      <c r="AY134" s="511" t="n">
        <f aca="false">ROUND($AY$6*AZ134/$AZ$5,2)</f>
        <v>0</v>
      </c>
      <c r="AZ134" s="502" t="n">
        <f aca="false">BA134+BL134</f>
        <v>0</v>
      </c>
      <c r="BA134" s="502" t="n">
        <f aca="false">SUM(BB134:BK134)</f>
        <v>0</v>
      </c>
      <c r="BB134" s="502" t="n">
        <f aca="false">IF($D134="是",I134-J134,0)</f>
        <v>0</v>
      </c>
      <c r="BC134" s="502" t="n">
        <f aca="false">IF($D134="是",K134-L134,0)</f>
        <v>0</v>
      </c>
      <c r="BD134" s="502" t="n">
        <f aca="false">IF($D134="是",M134-N134,0)</f>
        <v>0</v>
      </c>
      <c r="BE134" s="502" t="n">
        <f aca="false">IF($D134="是",O134-P134,0)</f>
        <v>0</v>
      </c>
      <c r="BF134" s="502" t="n">
        <f aca="false">IF($D134="是",Q134-R134,0)</f>
        <v>0</v>
      </c>
      <c r="BG134" s="502" t="n">
        <f aca="false">IF($D134="是",S134-T134,0)</f>
        <v>0</v>
      </c>
      <c r="BH134" s="502" t="n">
        <f aca="false">IF($D134="是",U134-V134,0)</f>
        <v>0</v>
      </c>
      <c r="BI134" s="502" t="n">
        <f aca="false">IF($D134="是",W134-X134,0)</f>
        <v>0</v>
      </c>
      <c r="BJ134" s="502" t="n">
        <f aca="false">IF($D134="是",Y134-Z134,0)</f>
        <v>0</v>
      </c>
      <c r="BK134" s="502" t="n">
        <f aca="false">IF($D134="是",AA134-AB134,0)</f>
        <v>0</v>
      </c>
      <c r="BL134" s="502" t="n">
        <f aca="false">SUM(BM134:BT134)</f>
        <v>0</v>
      </c>
      <c r="BM134" s="502" t="n">
        <f aca="false">IF($D134="是",AD134-AE134,0)</f>
        <v>0</v>
      </c>
      <c r="BN134" s="502" t="n">
        <f aca="false">IF($D134="是",AF134-AG134,0)</f>
        <v>0</v>
      </c>
      <c r="BO134" s="502" t="n">
        <f aca="false">IF($D134="是",AH134-AI134,0)</f>
        <v>0</v>
      </c>
      <c r="BP134" s="502" t="n">
        <f aca="false">IF($D134="是",AJ134-AK134,0)</f>
        <v>0</v>
      </c>
      <c r="BQ134" s="502" t="n">
        <f aca="false">IF($D134="是",AL134-AM134,0)</f>
        <v>0</v>
      </c>
      <c r="BR134" s="502" t="n">
        <f aca="false">IF($D134="是",AN134-AO134,0)</f>
        <v>0</v>
      </c>
      <c r="BS134" s="502" t="n">
        <f aca="false">IF($D134="是",AP134-AQ134,0)</f>
        <v>0</v>
      </c>
      <c r="BT134" s="512" t="n">
        <f aca="false">IF($D134="是",AR134-AS134,0)</f>
        <v>0</v>
      </c>
    </row>
    <row r="135" customFormat="false" ht="14.25" hidden="false" customHeight="false" outlineLevel="0" collapsed="false">
      <c r="A135" s="499"/>
      <c r="B135" s="500"/>
      <c r="C135" s="500"/>
      <c r="D135" s="501"/>
      <c r="E135" s="502" t="n">
        <f aca="false">IF($C$3="是",ROUND($A$3*G135/$B$3,2),ROUND($A$3*(G135-AT135)/$B$3,2))</f>
        <v>0</v>
      </c>
      <c r="F135" s="503"/>
      <c r="G135" s="504" t="n">
        <f aca="false">H135+AC135+AT135</f>
        <v>0</v>
      </c>
      <c r="H135" s="505" t="n">
        <f aca="false">SUMIF(I$12:AB$12,"总值",I135:AB135)</f>
        <v>0</v>
      </c>
      <c r="I135" s="506"/>
      <c r="J135" s="506"/>
      <c r="K135" s="506"/>
      <c r="L135" s="506"/>
      <c r="M135" s="506"/>
      <c r="N135" s="506"/>
      <c r="O135" s="506"/>
      <c r="P135" s="506"/>
      <c r="Q135" s="506"/>
      <c r="R135" s="506"/>
      <c r="S135" s="506"/>
      <c r="T135" s="506"/>
      <c r="U135" s="506"/>
      <c r="V135" s="506"/>
      <c r="W135" s="506"/>
      <c r="X135" s="506"/>
      <c r="Y135" s="506"/>
      <c r="Z135" s="506"/>
      <c r="AA135" s="506"/>
      <c r="AB135" s="506"/>
      <c r="AC135" s="502" t="n">
        <f aca="false">SUMIF(AD$12:AS$12,"总值",AD135:AS135)</f>
        <v>0</v>
      </c>
      <c r="AD135" s="507"/>
      <c r="AE135" s="507"/>
      <c r="AF135" s="507"/>
      <c r="AG135" s="507"/>
      <c r="AH135" s="507"/>
      <c r="AI135" s="507"/>
      <c r="AJ135" s="507"/>
      <c r="AK135" s="507"/>
      <c r="AL135" s="507"/>
      <c r="AM135" s="507"/>
      <c r="AN135" s="507"/>
      <c r="AO135" s="507"/>
      <c r="AP135" s="507"/>
      <c r="AQ135" s="507"/>
      <c r="AR135" s="507"/>
      <c r="AS135" s="507"/>
      <c r="AT135" s="508"/>
      <c r="AU135" s="509"/>
      <c r="AV135" s="510" t="n">
        <f aca="false">A135</f>
        <v>0</v>
      </c>
      <c r="AW135" s="510" t="n">
        <f aca="false">B135</f>
        <v>0</v>
      </c>
      <c r="AX135" s="510" t="n">
        <f aca="false">C135</f>
        <v>0</v>
      </c>
      <c r="AY135" s="511" t="n">
        <f aca="false">ROUND($AY$6*AZ135/$AZ$5,2)</f>
        <v>0</v>
      </c>
      <c r="AZ135" s="502" t="n">
        <f aca="false">BA135+BL135</f>
        <v>0</v>
      </c>
      <c r="BA135" s="502" t="n">
        <f aca="false">SUM(BB135:BK135)</f>
        <v>0</v>
      </c>
      <c r="BB135" s="502" t="n">
        <f aca="false">IF($D135="是",I135-J135,0)</f>
        <v>0</v>
      </c>
      <c r="BC135" s="502" t="n">
        <f aca="false">IF($D135="是",K135-L135,0)</f>
        <v>0</v>
      </c>
      <c r="BD135" s="502" t="n">
        <f aca="false">IF($D135="是",M135-N135,0)</f>
        <v>0</v>
      </c>
      <c r="BE135" s="502" t="n">
        <f aca="false">IF($D135="是",O135-P135,0)</f>
        <v>0</v>
      </c>
      <c r="BF135" s="502" t="n">
        <f aca="false">IF($D135="是",Q135-R135,0)</f>
        <v>0</v>
      </c>
      <c r="BG135" s="502" t="n">
        <f aca="false">IF($D135="是",S135-T135,0)</f>
        <v>0</v>
      </c>
      <c r="BH135" s="502" t="n">
        <f aca="false">IF($D135="是",U135-V135,0)</f>
        <v>0</v>
      </c>
      <c r="BI135" s="502" t="n">
        <f aca="false">IF($D135="是",W135-X135,0)</f>
        <v>0</v>
      </c>
      <c r="BJ135" s="502" t="n">
        <f aca="false">IF($D135="是",Y135-Z135,0)</f>
        <v>0</v>
      </c>
      <c r="BK135" s="502" t="n">
        <f aca="false">IF($D135="是",AA135-AB135,0)</f>
        <v>0</v>
      </c>
      <c r="BL135" s="502" t="n">
        <f aca="false">SUM(BM135:BT135)</f>
        <v>0</v>
      </c>
      <c r="BM135" s="502" t="n">
        <f aca="false">IF($D135="是",AD135-AE135,0)</f>
        <v>0</v>
      </c>
      <c r="BN135" s="502" t="n">
        <f aca="false">IF($D135="是",AF135-AG135,0)</f>
        <v>0</v>
      </c>
      <c r="BO135" s="502" t="n">
        <f aca="false">IF($D135="是",AH135-AI135,0)</f>
        <v>0</v>
      </c>
      <c r="BP135" s="502" t="n">
        <f aca="false">IF($D135="是",AJ135-AK135,0)</f>
        <v>0</v>
      </c>
      <c r="BQ135" s="502" t="n">
        <f aca="false">IF($D135="是",AL135-AM135,0)</f>
        <v>0</v>
      </c>
      <c r="BR135" s="502" t="n">
        <f aca="false">IF($D135="是",AN135-AO135,0)</f>
        <v>0</v>
      </c>
      <c r="BS135" s="502" t="n">
        <f aca="false">IF($D135="是",AP135-AQ135,0)</f>
        <v>0</v>
      </c>
      <c r="BT135" s="512" t="n">
        <f aca="false">IF($D135="是",AR135-AS135,0)</f>
        <v>0</v>
      </c>
    </row>
    <row r="136" customFormat="false" ht="14.25" hidden="false" customHeight="false" outlineLevel="0" collapsed="false">
      <c r="A136" s="499"/>
      <c r="B136" s="500"/>
      <c r="C136" s="500"/>
      <c r="D136" s="501"/>
      <c r="E136" s="502" t="n">
        <f aca="false">IF($C$3="是",ROUND($A$3*G136/$B$3,2),ROUND($A$3*(G136-AT136)/$B$3,2))</f>
        <v>0</v>
      </c>
      <c r="F136" s="503"/>
      <c r="G136" s="504" t="n">
        <f aca="false">H136+AC136+AT136</f>
        <v>0</v>
      </c>
      <c r="H136" s="505" t="n">
        <f aca="false">SUMIF(I$12:AB$12,"总值",I136:AB136)</f>
        <v>0</v>
      </c>
      <c r="I136" s="506"/>
      <c r="J136" s="506"/>
      <c r="K136" s="506"/>
      <c r="L136" s="506"/>
      <c r="M136" s="506"/>
      <c r="N136" s="506"/>
      <c r="O136" s="506"/>
      <c r="P136" s="506"/>
      <c r="Q136" s="506"/>
      <c r="R136" s="506"/>
      <c r="S136" s="506"/>
      <c r="T136" s="506"/>
      <c r="U136" s="506"/>
      <c r="V136" s="506"/>
      <c r="W136" s="506"/>
      <c r="X136" s="506"/>
      <c r="Y136" s="506"/>
      <c r="Z136" s="506"/>
      <c r="AA136" s="506"/>
      <c r="AB136" s="506"/>
      <c r="AC136" s="502" t="n">
        <f aca="false">SUMIF(AD$12:AS$12,"总值",AD136:AS136)</f>
        <v>0</v>
      </c>
      <c r="AD136" s="507"/>
      <c r="AE136" s="507"/>
      <c r="AF136" s="507"/>
      <c r="AG136" s="507"/>
      <c r="AH136" s="507"/>
      <c r="AI136" s="507"/>
      <c r="AJ136" s="507"/>
      <c r="AK136" s="507"/>
      <c r="AL136" s="507"/>
      <c r="AM136" s="507"/>
      <c r="AN136" s="507"/>
      <c r="AO136" s="507"/>
      <c r="AP136" s="507"/>
      <c r="AQ136" s="507"/>
      <c r="AR136" s="507"/>
      <c r="AS136" s="507"/>
      <c r="AT136" s="508"/>
      <c r="AU136" s="509"/>
      <c r="AV136" s="510" t="n">
        <f aca="false">A136</f>
        <v>0</v>
      </c>
      <c r="AW136" s="510" t="n">
        <f aca="false">B136</f>
        <v>0</v>
      </c>
      <c r="AX136" s="510" t="n">
        <f aca="false">C136</f>
        <v>0</v>
      </c>
      <c r="AY136" s="511" t="n">
        <f aca="false">ROUND($AY$6*AZ136/$AZ$5,2)</f>
        <v>0</v>
      </c>
      <c r="AZ136" s="502" t="n">
        <f aca="false">BA136+BL136</f>
        <v>0</v>
      </c>
      <c r="BA136" s="502" t="n">
        <f aca="false">SUM(BB136:BK136)</f>
        <v>0</v>
      </c>
      <c r="BB136" s="502" t="n">
        <f aca="false">IF($D136="是",I136-J136,0)</f>
        <v>0</v>
      </c>
      <c r="BC136" s="502" t="n">
        <f aca="false">IF($D136="是",K136-L136,0)</f>
        <v>0</v>
      </c>
      <c r="BD136" s="502" t="n">
        <f aca="false">IF($D136="是",M136-N136,0)</f>
        <v>0</v>
      </c>
      <c r="BE136" s="502" t="n">
        <f aca="false">IF($D136="是",O136-P136,0)</f>
        <v>0</v>
      </c>
      <c r="BF136" s="502" t="n">
        <f aca="false">IF($D136="是",Q136-R136,0)</f>
        <v>0</v>
      </c>
      <c r="BG136" s="502" t="n">
        <f aca="false">IF($D136="是",S136-T136,0)</f>
        <v>0</v>
      </c>
      <c r="BH136" s="502" t="n">
        <f aca="false">IF($D136="是",U136-V136,0)</f>
        <v>0</v>
      </c>
      <c r="BI136" s="502" t="n">
        <f aca="false">IF($D136="是",W136-X136,0)</f>
        <v>0</v>
      </c>
      <c r="BJ136" s="502" t="n">
        <f aca="false">IF($D136="是",Y136-Z136,0)</f>
        <v>0</v>
      </c>
      <c r="BK136" s="502" t="n">
        <f aca="false">IF($D136="是",AA136-AB136,0)</f>
        <v>0</v>
      </c>
      <c r="BL136" s="502" t="n">
        <f aca="false">SUM(BM136:BT136)</f>
        <v>0</v>
      </c>
      <c r="BM136" s="502" t="n">
        <f aca="false">IF($D136="是",AD136-AE136,0)</f>
        <v>0</v>
      </c>
      <c r="BN136" s="502" t="n">
        <f aca="false">IF($D136="是",AF136-AG136,0)</f>
        <v>0</v>
      </c>
      <c r="BO136" s="502" t="n">
        <f aca="false">IF($D136="是",AH136-AI136,0)</f>
        <v>0</v>
      </c>
      <c r="BP136" s="502" t="n">
        <f aca="false">IF($D136="是",AJ136-AK136,0)</f>
        <v>0</v>
      </c>
      <c r="BQ136" s="502" t="n">
        <f aca="false">IF($D136="是",AL136-AM136,0)</f>
        <v>0</v>
      </c>
      <c r="BR136" s="502" t="n">
        <f aca="false">IF($D136="是",AN136-AO136,0)</f>
        <v>0</v>
      </c>
      <c r="BS136" s="502" t="n">
        <f aca="false">IF($D136="是",AP136-AQ136,0)</f>
        <v>0</v>
      </c>
      <c r="BT136" s="512" t="n">
        <f aca="false">IF($D136="是",AR136-AS136,0)</f>
        <v>0</v>
      </c>
    </row>
    <row r="137" customFormat="false" ht="14.25" hidden="false" customHeight="false" outlineLevel="0" collapsed="false">
      <c r="A137" s="499"/>
      <c r="B137" s="500"/>
      <c r="C137" s="500"/>
      <c r="D137" s="501"/>
      <c r="E137" s="502" t="n">
        <f aca="false">IF($C$3="是",ROUND($A$3*G137/$B$3,2),ROUND($A$3*(G137-AT137)/$B$3,2))</f>
        <v>0</v>
      </c>
      <c r="F137" s="503"/>
      <c r="G137" s="504" t="n">
        <f aca="false">H137+AC137+AT137</f>
        <v>0</v>
      </c>
      <c r="H137" s="505" t="n">
        <f aca="false">SUMIF(I$12:AB$12,"总值",I137:AB137)</f>
        <v>0</v>
      </c>
      <c r="I137" s="506"/>
      <c r="J137" s="506"/>
      <c r="K137" s="506"/>
      <c r="L137" s="506"/>
      <c r="M137" s="506"/>
      <c r="N137" s="506"/>
      <c r="O137" s="506"/>
      <c r="P137" s="506"/>
      <c r="Q137" s="506"/>
      <c r="R137" s="506"/>
      <c r="S137" s="506"/>
      <c r="T137" s="506"/>
      <c r="U137" s="506"/>
      <c r="V137" s="506"/>
      <c r="W137" s="506"/>
      <c r="X137" s="506"/>
      <c r="Y137" s="506"/>
      <c r="Z137" s="506"/>
      <c r="AA137" s="506"/>
      <c r="AB137" s="506"/>
      <c r="AC137" s="502" t="n">
        <f aca="false">SUMIF(AD$12:AS$12,"总值",AD137:AS137)</f>
        <v>0</v>
      </c>
      <c r="AD137" s="507"/>
      <c r="AE137" s="507"/>
      <c r="AF137" s="507"/>
      <c r="AG137" s="507"/>
      <c r="AH137" s="507"/>
      <c r="AI137" s="507"/>
      <c r="AJ137" s="507"/>
      <c r="AK137" s="507"/>
      <c r="AL137" s="507"/>
      <c r="AM137" s="507"/>
      <c r="AN137" s="507"/>
      <c r="AO137" s="507"/>
      <c r="AP137" s="507"/>
      <c r="AQ137" s="507"/>
      <c r="AR137" s="507"/>
      <c r="AS137" s="507"/>
      <c r="AT137" s="508"/>
      <c r="AU137" s="509"/>
      <c r="AV137" s="510" t="n">
        <f aca="false">A137</f>
        <v>0</v>
      </c>
      <c r="AW137" s="510" t="n">
        <f aca="false">B137</f>
        <v>0</v>
      </c>
      <c r="AX137" s="510" t="n">
        <f aca="false">C137</f>
        <v>0</v>
      </c>
      <c r="AY137" s="511" t="n">
        <f aca="false">ROUND($AY$6*AZ137/$AZ$5,2)</f>
        <v>0</v>
      </c>
      <c r="AZ137" s="502" t="n">
        <f aca="false">BA137+BL137</f>
        <v>0</v>
      </c>
      <c r="BA137" s="502" t="n">
        <f aca="false">SUM(BB137:BK137)</f>
        <v>0</v>
      </c>
      <c r="BB137" s="502" t="n">
        <f aca="false">IF($D137="是",I137-J137,0)</f>
        <v>0</v>
      </c>
      <c r="BC137" s="502" t="n">
        <f aca="false">IF($D137="是",K137-L137,0)</f>
        <v>0</v>
      </c>
      <c r="BD137" s="502" t="n">
        <f aca="false">IF($D137="是",M137-N137,0)</f>
        <v>0</v>
      </c>
      <c r="BE137" s="502" t="n">
        <f aca="false">IF($D137="是",O137-P137,0)</f>
        <v>0</v>
      </c>
      <c r="BF137" s="502" t="n">
        <f aca="false">IF($D137="是",Q137-R137,0)</f>
        <v>0</v>
      </c>
      <c r="BG137" s="502" t="n">
        <f aca="false">IF($D137="是",S137-T137,0)</f>
        <v>0</v>
      </c>
      <c r="BH137" s="502" t="n">
        <f aca="false">IF($D137="是",U137-V137,0)</f>
        <v>0</v>
      </c>
      <c r="BI137" s="502" t="n">
        <f aca="false">IF($D137="是",W137-X137,0)</f>
        <v>0</v>
      </c>
      <c r="BJ137" s="502" t="n">
        <f aca="false">IF($D137="是",Y137-Z137,0)</f>
        <v>0</v>
      </c>
      <c r="BK137" s="502" t="n">
        <f aca="false">IF($D137="是",AA137-AB137,0)</f>
        <v>0</v>
      </c>
      <c r="BL137" s="502" t="n">
        <f aca="false">SUM(BM137:BT137)</f>
        <v>0</v>
      </c>
      <c r="BM137" s="502" t="n">
        <f aca="false">IF($D137="是",AD137-AE137,0)</f>
        <v>0</v>
      </c>
      <c r="BN137" s="502" t="n">
        <f aca="false">IF($D137="是",AF137-AG137,0)</f>
        <v>0</v>
      </c>
      <c r="BO137" s="502" t="n">
        <f aca="false">IF($D137="是",AH137-AI137,0)</f>
        <v>0</v>
      </c>
      <c r="BP137" s="502" t="n">
        <f aca="false">IF($D137="是",AJ137-AK137,0)</f>
        <v>0</v>
      </c>
      <c r="BQ137" s="502" t="n">
        <f aca="false">IF($D137="是",AL137-AM137,0)</f>
        <v>0</v>
      </c>
      <c r="BR137" s="502" t="n">
        <f aca="false">IF($D137="是",AN137-AO137,0)</f>
        <v>0</v>
      </c>
      <c r="BS137" s="502" t="n">
        <f aca="false">IF($D137="是",AP137-AQ137,0)</f>
        <v>0</v>
      </c>
      <c r="BT137" s="512" t="n">
        <f aca="false">IF($D137="是",AR137-AS137,0)</f>
        <v>0</v>
      </c>
    </row>
    <row r="138" customFormat="false" ht="14.25" hidden="false" customHeight="false" outlineLevel="0" collapsed="false">
      <c r="A138" s="499"/>
      <c r="B138" s="500"/>
      <c r="C138" s="500"/>
      <c r="D138" s="501"/>
      <c r="E138" s="502" t="n">
        <f aca="false">IF($C$3="是",ROUND($A$3*G138/$B$3,2),ROUND($A$3*(G138-AT138)/$B$3,2))</f>
        <v>0</v>
      </c>
      <c r="F138" s="503"/>
      <c r="G138" s="504" t="n">
        <f aca="false">H138+AC138+AT138</f>
        <v>0</v>
      </c>
      <c r="H138" s="505" t="n">
        <f aca="false">SUMIF(I$12:AB$12,"总值",I138:AB138)</f>
        <v>0</v>
      </c>
      <c r="I138" s="506"/>
      <c r="J138" s="506"/>
      <c r="K138" s="506"/>
      <c r="L138" s="506"/>
      <c r="M138" s="506"/>
      <c r="N138" s="506"/>
      <c r="O138" s="506"/>
      <c r="P138" s="506"/>
      <c r="Q138" s="506"/>
      <c r="R138" s="506"/>
      <c r="S138" s="506"/>
      <c r="T138" s="506"/>
      <c r="U138" s="506"/>
      <c r="V138" s="506"/>
      <c r="W138" s="506"/>
      <c r="X138" s="506"/>
      <c r="Y138" s="506"/>
      <c r="Z138" s="506"/>
      <c r="AA138" s="506"/>
      <c r="AB138" s="506"/>
      <c r="AC138" s="502" t="n">
        <f aca="false">SUMIF(AD$12:AS$12,"总值",AD138:AS138)</f>
        <v>0</v>
      </c>
      <c r="AD138" s="507"/>
      <c r="AE138" s="507"/>
      <c r="AF138" s="507"/>
      <c r="AG138" s="507"/>
      <c r="AH138" s="507"/>
      <c r="AI138" s="507"/>
      <c r="AJ138" s="507"/>
      <c r="AK138" s="507"/>
      <c r="AL138" s="507"/>
      <c r="AM138" s="507"/>
      <c r="AN138" s="507"/>
      <c r="AO138" s="507"/>
      <c r="AP138" s="507"/>
      <c r="AQ138" s="507"/>
      <c r="AR138" s="507"/>
      <c r="AS138" s="507"/>
      <c r="AT138" s="508"/>
      <c r="AU138" s="509"/>
      <c r="AV138" s="510" t="n">
        <f aca="false">A138</f>
        <v>0</v>
      </c>
      <c r="AW138" s="510" t="n">
        <f aca="false">B138</f>
        <v>0</v>
      </c>
      <c r="AX138" s="510" t="n">
        <f aca="false">C138</f>
        <v>0</v>
      </c>
      <c r="AY138" s="511" t="n">
        <f aca="false">ROUND($AY$6*AZ138/$AZ$5,2)</f>
        <v>0</v>
      </c>
      <c r="AZ138" s="502" t="n">
        <f aca="false">BA138+BL138</f>
        <v>0</v>
      </c>
      <c r="BA138" s="502" t="n">
        <f aca="false">SUM(BB138:BK138)</f>
        <v>0</v>
      </c>
      <c r="BB138" s="502" t="n">
        <f aca="false">IF($D138="是",I138-J138,0)</f>
        <v>0</v>
      </c>
      <c r="BC138" s="502" t="n">
        <f aca="false">IF($D138="是",K138-L138,0)</f>
        <v>0</v>
      </c>
      <c r="BD138" s="502" t="n">
        <f aca="false">IF($D138="是",M138-N138,0)</f>
        <v>0</v>
      </c>
      <c r="BE138" s="502" t="n">
        <f aca="false">IF($D138="是",O138-P138,0)</f>
        <v>0</v>
      </c>
      <c r="BF138" s="502" t="n">
        <f aca="false">IF($D138="是",Q138-R138,0)</f>
        <v>0</v>
      </c>
      <c r="BG138" s="502" t="n">
        <f aca="false">IF($D138="是",S138-T138,0)</f>
        <v>0</v>
      </c>
      <c r="BH138" s="502" t="n">
        <f aca="false">IF($D138="是",U138-V138,0)</f>
        <v>0</v>
      </c>
      <c r="BI138" s="502" t="n">
        <f aca="false">IF($D138="是",W138-X138,0)</f>
        <v>0</v>
      </c>
      <c r="BJ138" s="502" t="n">
        <f aca="false">IF($D138="是",Y138-Z138,0)</f>
        <v>0</v>
      </c>
      <c r="BK138" s="502" t="n">
        <f aca="false">IF($D138="是",AA138-AB138,0)</f>
        <v>0</v>
      </c>
      <c r="BL138" s="502" t="n">
        <f aca="false">SUM(BM138:BT138)</f>
        <v>0</v>
      </c>
      <c r="BM138" s="502" t="n">
        <f aca="false">IF($D138="是",AD138-AE138,0)</f>
        <v>0</v>
      </c>
      <c r="BN138" s="502" t="n">
        <f aca="false">IF($D138="是",AF138-AG138,0)</f>
        <v>0</v>
      </c>
      <c r="BO138" s="502" t="n">
        <f aca="false">IF($D138="是",AH138-AI138,0)</f>
        <v>0</v>
      </c>
      <c r="BP138" s="502" t="n">
        <f aca="false">IF($D138="是",AJ138-AK138,0)</f>
        <v>0</v>
      </c>
      <c r="BQ138" s="502" t="n">
        <f aca="false">IF($D138="是",AL138-AM138,0)</f>
        <v>0</v>
      </c>
      <c r="BR138" s="502" t="n">
        <f aca="false">IF($D138="是",AN138-AO138,0)</f>
        <v>0</v>
      </c>
      <c r="BS138" s="502" t="n">
        <f aca="false">IF($D138="是",AP138-AQ138,0)</f>
        <v>0</v>
      </c>
      <c r="BT138" s="512" t="n">
        <f aca="false">IF($D138="是",AR138-AS138,0)</f>
        <v>0</v>
      </c>
    </row>
    <row r="139" customFormat="false" ht="14.25" hidden="false" customHeight="false" outlineLevel="0" collapsed="false">
      <c r="A139" s="499"/>
      <c r="B139" s="500"/>
      <c r="C139" s="500"/>
      <c r="D139" s="501"/>
      <c r="E139" s="502" t="n">
        <f aca="false">IF($C$3="是",ROUND($A$3*G139/$B$3,2),ROUND($A$3*(G139-AT139)/$B$3,2))</f>
        <v>0</v>
      </c>
      <c r="F139" s="503"/>
      <c r="G139" s="504" t="n">
        <f aca="false">H139+AC139+AT139</f>
        <v>0</v>
      </c>
      <c r="H139" s="505" t="n">
        <f aca="false">SUMIF(I$12:AB$12,"总值",I139:AB139)</f>
        <v>0</v>
      </c>
      <c r="I139" s="506"/>
      <c r="J139" s="506"/>
      <c r="K139" s="506"/>
      <c r="L139" s="506"/>
      <c r="M139" s="506"/>
      <c r="N139" s="506"/>
      <c r="O139" s="506"/>
      <c r="P139" s="506"/>
      <c r="Q139" s="506"/>
      <c r="R139" s="506"/>
      <c r="S139" s="506"/>
      <c r="T139" s="506"/>
      <c r="U139" s="506"/>
      <c r="V139" s="506"/>
      <c r="W139" s="506"/>
      <c r="X139" s="506"/>
      <c r="Y139" s="506"/>
      <c r="Z139" s="506"/>
      <c r="AA139" s="506"/>
      <c r="AB139" s="506"/>
      <c r="AC139" s="502" t="n">
        <f aca="false">SUMIF(AD$12:AS$12,"总值",AD139:AS139)</f>
        <v>0</v>
      </c>
      <c r="AD139" s="507"/>
      <c r="AE139" s="507"/>
      <c r="AF139" s="507"/>
      <c r="AG139" s="507"/>
      <c r="AH139" s="507"/>
      <c r="AI139" s="507"/>
      <c r="AJ139" s="507"/>
      <c r="AK139" s="507"/>
      <c r="AL139" s="507"/>
      <c r="AM139" s="507"/>
      <c r="AN139" s="507"/>
      <c r="AO139" s="507"/>
      <c r="AP139" s="507"/>
      <c r="AQ139" s="507"/>
      <c r="AR139" s="507"/>
      <c r="AS139" s="507"/>
      <c r="AT139" s="508"/>
      <c r="AU139" s="509"/>
      <c r="AV139" s="510" t="n">
        <f aca="false">A139</f>
        <v>0</v>
      </c>
      <c r="AW139" s="510" t="n">
        <f aca="false">B139</f>
        <v>0</v>
      </c>
      <c r="AX139" s="510" t="n">
        <f aca="false">C139</f>
        <v>0</v>
      </c>
      <c r="AY139" s="511" t="n">
        <f aca="false">ROUND($AY$6*AZ139/$AZ$5,2)</f>
        <v>0</v>
      </c>
      <c r="AZ139" s="502" t="n">
        <f aca="false">BA139+BL139</f>
        <v>0</v>
      </c>
      <c r="BA139" s="502" t="n">
        <f aca="false">SUM(BB139:BK139)</f>
        <v>0</v>
      </c>
      <c r="BB139" s="502" t="n">
        <f aca="false">IF($D139="是",I139-J139,0)</f>
        <v>0</v>
      </c>
      <c r="BC139" s="502" t="n">
        <f aca="false">IF($D139="是",K139-L139,0)</f>
        <v>0</v>
      </c>
      <c r="BD139" s="502" t="n">
        <f aca="false">IF($D139="是",M139-N139,0)</f>
        <v>0</v>
      </c>
      <c r="BE139" s="502" t="n">
        <f aca="false">IF($D139="是",O139-P139,0)</f>
        <v>0</v>
      </c>
      <c r="BF139" s="502" t="n">
        <f aca="false">IF($D139="是",Q139-R139,0)</f>
        <v>0</v>
      </c>
      <c r="BG139" s="502" t="n">
        <f aca="false">IF($D139="是",S139-T139,0)</f>
        <v>0</v>
      </c>
      <c r="BH139" s="502" t="n">
        <f aca="false">IF($D139="是",U139-V139,0)</f>
        <v>0</v>
      </c>
      <c r="BI139" s="502" t="n">
        <f aca="false">IF($D139="是",W139-X139,0)</f>
        <v>0</v>
      </c>
      <c r="BJ139" s="502" t="n">
        <f aca="false">IF($D139="是",Y139-Z139,0)</f>
        <v>0</v>
      </c>
      <c r="BK139" s="502" t="n">
        <f aca="false">IF($D139="是",AA139-AB139,0)</f>
        <v>0</v>
      </c>
      <c r="BL139" s="502" t="n">
        <f aca="false">SUM(BM139:BT139)</f>
        <v>0</v>
      </c>
      <c r="BM139" s="502" t="n">
        <f aca="false">IF($D139="是",AD139-AE139,0)</f>
        <v>0</v>
      </c>
      <c r="BN139" s="502" t="n">
        <f aca="false">IF($D139="是",AF139-AG139,0)</f>
        <v>0</v>
      </c>
      <c r="BO139" s="502" t="n">
        <f aca="false">IF($D139="是",AH139-AI139,0)</f>
        <v>0</v>
      </c>
      <c r="BP139" s="502" t="n">
        <f aca="false">IF($D139="是",AJ139-AK139,0)</f>
        <v>0</v>
      </c>
      <c r="BQ139" s="502" t="n">
        <f aca="false">IF($D139="是",AL139-AM139,0)</f>
        <v>0</v>
      </c>
      <c r="BR139" s="502" t="n">
        <f aca="false">IF($D139="是",AN139-AO139,0)</f>
        <v>0</v>
      </c>
      <c r="BS139" s="502" t="n">
        <f aca="false">IF($D139="是",AP139-AQ139,0)</f>
        <v>0</v>
      </c>
      <c r="BT139" s="512" t="n">
        <f aca="false">IF($D139="是",AR139-AS139,0)</f>
        <v>0</v>
      </c>
    </row>
    <row r="140" customFormat="false" ht="14.25" hidden="false" customHeight="false" outlineLevel="0" collapsed="false">
      <c r="A140" s="499"/>
      <c r="B140" s="500"/>
      <c r="C140" s="500"/>
      <c r="D140" s="501"/>
      <c r="E140" s="502" t="n">
        <f aca="false">IF($C$3="是",ROUND($A$3*G140/$B$3,2),ROUND($A$3*(G140-AT140)/$B$3,2))</f>
        <v>0</v>
      </c>
      <c r="F140" s="503"/>
      <c r="G140" s="504" t="n">
        <f aca="false">H140+AC140+AT140</f>
        <v>0</v>
      </c>
      <c r="H140" s="505" t="n">
        <f aca="false">SUMIF(I$12:AB$12,"总值",I140:AB140)</f>
        <v>0</v>
      </c>
      <c r="I140" s="506"/>
      <c r="J140" s="506"/>
      <c r="K140" s="506"/>
      <c r="L140" s="506"/>
      <c r="M140" s="506"/>
      <c r="N140" s="506"/>
      <c r="O140" s="506"/>
      <c r="P140" s="506"/>
      <c r="Q140" s="506"/>
      <c r="R140" s="506"/>
      <c r="S140" s="506"/>
      <c r="T140" s="506"/>
      <c r="U140" s="506"/>
      <c r="V140" s="506"/>
      <c r="W140" s="506"/>
      <c r="X140" s="506"/>
      <c r="Y140" s="506"/>
      <c r="Z140" s="506"/>
      <c r="AA140" s="506"/>
      <c r="AB140" s="506"/>
      <c r="AC140" s="502" t="n">
        <f aca="false">SUMIF(AD$12:AS$12,"总值",AD140:AS140)</f>
        <v>0</v>
      </c>
      <c r="AD140" s="507"/>
      <c r="AE140" s="507"/>
      <c r="AF140" s="507"/>
      <c r="AG140" s="507"/>
      <c r="AH140" s="507"/>
      <c r="AI140" s="507"/>
      <c r="AJ140" s="507"/>
      <c r="AK140" s="507"/>
      <c r="AL140" s="507"/>
      <c r="AM140" s="507"/>
      <c r="AN140" s="507"/>
      <c r="AO140" s="507"/>
      <c r="AP140" s="507"/>
      <c r="AQ140" s="507"/>
      <c r="AR140" s="507"/>
      <c r="AS140" s="507"/>
      <c r="AT140" s="508"/>
      <c r="AU140" s="509"/>
      <c r="AV140" s="510" t="n">
        <f aca="false">A140</f>
        <v>0</v>
      </c>
      <c r="AW140" s="510" t="n">
        <f aca="false">B140</f>
        <v>0</v>
      </c>
      <c r="AX140" s="510" t="n">
        <f aca="false">C140</f>
        <v>0</v>
      </c>
      <c r="AY140" s="511" t="n">
        <f aca="false">ROUND($AY$6*AZ140/$AZ$5,2)</f>
        <v>0</v>
      </c>
      <c r="AZ140" s="502" t="n">
        <f aca="false">BA140+BL140</f>
        <v>0</v>
      </c>
      <c r="BA140" s="502" t="n">
        <f aca="false">SUM(BB140:BK140)</f>
        <v>0</v>
      </c>
      <c r="BB140" s="502" t="n">
        <f aca="false">IF($D140="是",I140-J140,0)</f>
        <v>0</v>
      </c>
      <c r="BC140" s="502" t="n">
        <f aca="false">IF($D140="是",K140-L140,0)</f>
        <v>0</v>
      </c>
      <c r="BD140" s="502" t="n">
        <f aca="false">IF($D140="是",M140-N140,0)</f>
        <v>0</v>
      </c>
      <c r="BE140" s="502" t="n">
        <f aca="false">IF($D140="是",O140-P140,0)</f>
        <v>0</v>
      </c>
      <c r="BF140" s="502" t="n">
        <f aca="false">IF($D140="是",Q140-R140,0)</f>
        <v>0</v>
      </c>
      <c r="BG140" s="502" t="n">
        <f aca="false">IF($D140="是",S140-T140,0)</f>
        <v>0</v>
      </c>
      <c r="BH140" s="502" t="n">
        <f aca="false">IF($D140="是",U140-V140,0)</f>
        <v>0</v>
      </c>
      <c r="BI140" s="502" t="n">
        <f aca="false">IF($D140="是",W140-X140,0)</f>
        <v>0</v>
      </c>
      <c r="BJ140" s="502" t="n">
        <f aca="false">IF($D140="是",Y140-Z140,0)</f>
        <v>0</v>
      </c>
      <c r="BK140" s="502" t="n">
        <f aca="false">IF($D140="是",AA140-AB140,0)</f>
        <v>0</v>
      </c>
      <c r="BL140" s="502" t="n">
        <f aca="false">SUM(BM140:BT140)</f>
        <v>0</v>
      </c>
      <c r="BM140" s="502" t="n">
        <f aca="false">IF($D140="是",AD140-AE140,0)</f>
        <v>0</v>
      </c>
      <c r="BN140" s="502" t="n">
        <f aca="false">IF($D140="是",AF140-AG140,0)</f>
        <v>0</v>
      </c>
      <c r="BO140" s="502" t="n">
        <f aca="false">IF($D140="是",AH140-AI140,0)</f>
        <v>0</v>
      </c>
      <c r="BP140" s="502" t="n">
        <f aca="false">IF($D140="是",AJ140-AK140,0)</f>
        <v>0</v>
      </c>
      <c r="BQ140" s="502" t="n">
        <f aca="false">IF($D140="是",AL140-AM140,0)</f>
        <v>0</v>
      </c>
      <c r="BR140" s="502" t="n">
        <f aca="false">IF($D140="是",AN140-AO140,0)</f>
        <v>0</v>
      </c>
      <c r="BS140" s="502" t="n">
        <f aca="false">IF($D140="是",AP140-AQ140,0)</f>
        <v>0</v>
      </c>
      <c r="BT140" s="512" t="n">
        <f aca="false">IF($D140="是",AR140-AS140,0)</f>
        <v>0</v>
      </c>
    </row>
    <row r="141" customFormat="false" ht="14.25" hidden="false" customHeight="false" outlineLevel="0" collapsed="false">
      <c r="A141" s="499"/>
      <c r="B141" s="500"/>
      <c r="C141" s="500"/>
      <c r="D141" s="501"/>
      <c r="E141" s="502" t="n">
        <f aca="false">IF($C$3="是",ROUND($A$3*G141/$B$3,2),ROUND($A$3*(G141-AT141)/$B$3,2))</f>
        <v>0</v>
      </c>
      <c r="F141" s="503"/>
      <c r="G141" s="504" t="n">
        <f aca="false">H141+AC141+AT141</f>
        <v>0</v>
      </c>
      <c r="H141" s="505" t="n">
        <f aca="false">SUMIF(I$12:AB$12,"总值",I141:AB141)</f>
        <v>0</v>
      </c>
      <c r="I141" s="506"/>
      <c r="J141" s="506"/>
      <c r="K141" s="506"/>
      <c r="L141" s="506"/>
      <c r="M141" s="506"/>
      <c r="N141" s="506"/>
      <c r="O141" s="506"/>
      <c r="P141" s="506"/>
      <c r="Q141" s="506"/>
      <c r="R141" s="506"/>
      <c r="S141" s="506"/>
      <c r="T141" s="506"/>
      <c r="U141" s="506"/>
      <c r="V141" s="506"/>
      <c r="W141" s="506"/>
      <c r="X141" s="506"/>
      <c r="Y141" s="506"/>
      <c r="Z141" s="506"/>
      <c r="AA141" s="506"/>
      <c r="AB141" s="506"/>
      <c r="AC141" s="502" t="n">
        <f aca="false">SUMIF(AD$12:AS$12,"总值",AD141:AS141)</f>
        <v>0</v>
      </c>
      <c r="AD141" s="507"/>
      <c r="AE141" s="507"/>
      <c r="AF141" s="507"/>
      <c r="AG141" s="507"/>
      <c r="AH141" s="507"/>
      <c r="AI141" s="507"/>
      <c r="AJ141" s="507"/>
      <c r="AK141" s="507"/>
      <c r="AL141" s="507"/>
      <c r="AM141" s="507"/>
      <c r="AN141" s="507"/>
      <c r="AO141" s="507"/>
      <c r="AP141" s="507"/>
      <c r="AQ141" s="507"/>
      <c r="AR141" s="507"/>
      <c r="AS141" s="507"/>
      <c r="AT141" s="508"/>
      <c r="AU141" s="509"/>
      <c r="AV141" s="510" t="n">
        <f aca="false">A141</f>
        <v>0</v>
      </c>
      <c r="AW141" s="510" t="n">
        <f aca="false">B141</f>
        <v>0</v>
      </c>
      <c r="AX141" s="510" t="n">
        <f aca="false">C141</f>
        <v>0</v>
      </c>
      <c r="AY141" s="511" t="n">
        <f aca="false">ROUND($AY$6*AZ141/$AZ$5,2)</f>
        <v>0</v>
      </c>
      <c r="AZ141" s="502" t="n">
        <f aca="false">BA141+BL141</f>
        <v>0</v>
      </c>
      <c r="BA141" s="502" t="n">
        <f aca="false">SUM(BB141:BK141)</f>
        <v>0</v>
      </c>
      <c r="BB141" s="502" t="n">
        <f aca="false">IF($D141="是",I141-J141,0)</f>
        <v>0</v>
      </c>
      <c r="BC141" s="502" t="n">
        <f aca="false">IF($D141="是",K141-L141,0)</f>
        <v>0</v>
      </c>
      <c r="BD141" s="502" t="n">
        <f aca="false">IF($D141="是",M141-N141,0)</f>
        <v>0</v>
      </c>
      <c r="BE141" s="502" t="n">
        <f aca="false">IF($D141="是",O141-P141,0)</f>
        <v>0</v>
      </c>
      <c r="BF141" s="502" t="n">
        <f aca="false">IF($D141="是",Q141-R141,0)</f>
        <v>0</v>
      </c>
      <c r="BG141" s="502" t="n">
        <f aca="false">IF($D141="是",S141-T141,0)</f>
        <v>0</v>
      </c>
      <c r="BH141" s="502" t="n">
        <f aca="false">IF($D141="是",U141-V141,0)</f>
        <v>0</v>
      </c>
      <c r="BI141" s="502" t="n">
        <f aca="false">IF($D141="是",W141-X141,0)</f>
        <v>0</v>
      </c>
      <c r="BJ141" s="502" t="n">
        <f aca="false">IF($D141="是",Y141-Z141,0)</f>
        <v>0</v>
      </c>
      <c r="BK141" s="502" t="n">
        <f aca="false">IF($D141="是",AA141-AB141,0)</f>
        <v>0</v>
      </c>
      <c r="BL141" s="502" t="n">
        <f aca="false">SUM(BM141:BT141)</f>
        <v>0</v>
      </c>
      <c r="BM141" s="502" t="n">
        <f aca="false">IF($D141="是",AD141-AE141,0)</f>
        <v>0</v>
      </c>
      <c r="BN141" s="502" t="n">
        <f aca="false">IF($D141="是",AF141-AG141,0)</f>
        <v>0</v>
      </c>
      <c r="BO141" s="502" t="n">
        <f aca="false">IF($D141="是",AH141-AI141,0)</f>
        <v>0</v>
      </c>
      <c r="BP141" s="502" t="n">
        <f aca="false">IF($D141="是",AJ141-AK141,0)</f>
        <v>0</v>
      </c>
      <c r="BQ141" s="502" t="n">
        <f aca="false">IF($D141="是",AL141-AM141,0)</f>
        <v>0</v>
      </c>
      <c r="BR141" s="502" t="n">
        <f aca="false">IF($D141="是",AN141-AO141,0)</f>
        <v>0</v>
      </c>
      <c r="BS141" s="502" t="n">
        <f aca="false">IF($D141="是",AP141-AQ141,0)</f>
        <v>0</v>
      </c>
      <c r="BT141" s="512" t="n">
        <f aca="false">IF($D141="是",AR141-AS141,0)</f>
        <v>0</v>
      </c>
    </row>
    <row r="142" customFormat="false" ht="14.25" hidden="false" customHeight="false" outlineLevel="0" collapsed="false">
      <c r="A142" s="499"/>
      <c r="B142" s="500"/>
      <c r="C142" s="500"/>
      <c r="D142" s="501"/>
      <c r="E142" s="502" t="n">
        <f aca="false">IF($C$3="是",ROUND($A$3*G142/$B$3,2),ROUND($A$3*(G142-AT142)/$B$3,2))</f>
        <v>0</v>
      </c>
      <c r="F142" s="503"/>
      <c r="G142" s="504" t="n">
        <f aca="false">H142+AC142+AT142</f>
        <v>0</v>
      </c>
      <c r="H142" s="505" t="n">
        <f aca="false">SUMIF(I$12:AB$12,"总值",I142:AB142)</f>
        <v>0</v>
      </c>
      <c r="I142" s="506"/>
      <c r="J142" s="506"/>
      <c r="K142" s="506"/>
      <c r="L142" s="506"/>
      <c r="M142" s="506"/>
      <c r="N142" s="506"/>
      <c r="O142" s="506"/>
      <c r="P142" s="506"/>
      <c r="Q142" s="506"/>
      <c r="R142" s="506"/>
      <c r="S142" s="506"/>
      <c r="T142" s="506"/>
      <c r="U142" s="506"/>
      <c r="V142" s="506"/>
      <c r="W142" s="506"/>
      <c r="X142" s="506"/>
      <c r="Y142" s="506"/>
      <c r="Z142" s="506"/>
      <c r="AA142" s="506"/>
      <c r="AB142" s="506"/>
      <c r="AC142" s="502" t="n">
        <f aca="false">SUMIF(AD$12:AS$12,"总值",AD142:AS142)</f>
        <v>0</v>
      </c>
      <c r="AD142" s="507"/>
      <c r="AE142" s="507"/>
      <c r="AF142" s="507"/>
      <c r="AG142" s="507"/>
      <c r="AH142" s="507"/>
      <c r="AI142" s="507"/>
      <c r="AJ142" s="507"/>
      <c r="AK142" s="507"/>
      <c r="AL142" s="507"/>
      <c r="AM142" s="507"/>
      <c r="AN142" s="507"/>
      <c r="AO142" s="507"/>
      <c r="AP142" s="507"/>
      <c r="AQ142" s="507"/>
      <c r="AR142" s="507"/>
      <c r="AS142" s="507"/>
      <c r="AT142" s="508"/>
      <c r="AU142" s="509"/>
      <c r="AV142" s="510" t="n">
        <f aca="false">A142</f>
        <v>0</v>
      </c>
      <c r="AW142" s="510" t="n">
        <f aca="false">B142</f>
        <v>0</v>
      </c>
      <c r="AX142" s="510" t="n">
        <f aca="false">C142</f>
        <v>0</v>
      </c>
      <c r="AY142" s="511" t="n">
        <f aca="false">ROUND($AY$6*AZ142/$AZ$5,2)</f>
        <v>0</v>
      </c>
      <c r="AZ142" s="502" t="n">
        <f aca="false">BA142+BL142</f>
        <v>0</v>
      </c>
      <c r="BA142" s="502" t="n">
        <f aca="false">SUM(BB142:BK142)</f>
        <v>0</v>
      </c>
      <c r="BB142" s="502" t="n">
        <f aca="false">IF($D142="是",I142-J142,0)</f>
        <v>0</v>
      </c>
      <c r="BC142" s="502" t="n">
        <f aca="false">IF($D142="是",K142-L142,0)</f>
        <v>0</v>
      </c>
      <c r="BD142" s="502" t="n">
        <f aca="false">IF($D142="是",M142-N142,0)</f>
        <v>0</v>
      </c>
      <c r="BE142" s="502" t="n">
        <f aca="false">IF($D142="是",O142-P142,0)</f>
        <v>0</v>
      </c>
      <c r="BF142" s="502" t="n">
        <f aca="false">IF($D142="是",Q142-R142,0)</f>
        <v>0</v>
      </c>
      <c r="BG142" s="502" t="n">
        <f aca="false">IF($D142="是",S142-T142,0)</f>
        <v>0</v>
      </c>
      <c r="BH142" s="502" t="n">
        <f aca="false">IF($D142="是",U142-V142,0)</f>
        <v>0</v>
      </c>
      <c r="BI142" s="502" t="n">
        <f aca="false">IF($D142="是",W142-X142,0)</f>
        <v>0</v>
      </c>
      <c r="BJ142" s="502" t="n">
        <f aca="false">IF($D142="是",Y142-Z142,0)</f>
        <v>0</v>
      </c>
      <c r="BK142" s="502" t="n">
        <f aca="false">IF($D142="是",AA142-AB142,0)</f>
        <v>0</v>
      </c>
      <c r="BL142" s="502" t="n">
        <f aca="false">SUM(BM142:BT142)</f>
        <v>0</v>
      </c>
      <c r="BM142" s="502" t="n">
        <f aca="false">IF($D142="是",AD142-AE142,0)</f>
        <v>0</v>
      </c>
      <c r="BN142" s="502" t="n">
        <f aca="false">IF($D142="是",AF142-AG142,0)</f>
        <v>0</v>
      </c>
      <c r="BO142" s="502" t="n">
        <f aca="false">IF($D142="是",AH142-AI142,0)</f>
        <v>0</v>
      </c>
      <c r="BP142" s="502" t="n">
        <f aca="false">IF($D142="是",AJ142-AK142,0)</f>
        <v>0</v>
      </c>
      <c r="BQ142" s="502" t="n">
        <f aca="false">IF($D142="是",AL142-AM142,0)</f>
        <v>0</v>
      </c>
      <c r="BR142" s="502" t="n">
        <f aca="false">IF($D142="是",AN142-AO142,0)</f>
        <v>0</v>
      </c>
      <c r="BS142" s="502" t="n">
        <f aca="false">IF($D142="是",AP142-AQ142,0)</f>
        <v>0</v>
      </c>
      <c r="BT142" s="512" t="n">
        <f aca="false">IF($D142="是",AR142-AS142,0)</f>
        <v>0</v>
      </c>
    </row>
    <row r="143" customFormat="false" ht="14.25" hidden="false" customHeight="false" outlineLevel="0" collapsed="false">
      <c r="A143" s="499"/>
      <c r="B143" s="500"/>
      <c r="C143" s="500"/>
      <c r="D143" s="501"/>
      <c r="E143" s="502" t="n">
        <f aca="false">IF($C$3="是",ROUND($A$3*G143/$B$3,2),ROUND($A$3*(G143-AT143)/$B$3,2))</f>
        <v>0</v>
      </c>
      <c r="F143" s="503"/>
      <c r="G143" s="504" t="n">
        <f aca="false">H143+AC143+AT143</f>
        <v>0</v>
      </c>
      <c r="H143" s="505" t="n">
        <f aca="false">SUMIF(I$12:AB$12,"总值",I143:AB143)</f>
        <v>0</v>
      </c>
      <c r="I143" s="506"/>
      <c r="J143" s="506"/>
      <c r="K143" s="506"/>
      <c r="L143" s="506"/>
      <c r="M143" s="506"/>
      <c r="N143" s="506"/>
      <c r="O143" s="506"/>
      <c r="P143" s="506"/>
      <c r="Q143" s="506"/>
      <c r="R143" s="506"/>
      <c r="S143" s="506"/>
      <c r="T143" s="506"/>
      <c r="U143" s="506"/>
      <c r="V143" s="506"/>
      <c r="W143" s="506"/>
      <c r="X143" s="506"/>
      <c r="Y143" s="506"/>
      <c r="Z143" s="506"/>
      <c r="AA143" s="506"/>
      <c r="AB143" s="506"/>
      <c r="AC143" s="502" t="n">
        <f aca="false">SUMIF(AD$12:AS$12,"总值",AD143:AS143)</f>
        <v>0</v>
      </c>
      <c r="AD143" s="507"/>
      <c r="AE143" s="507"/>
      <c r="AF143" s="507"/>
      <c r="AG143" s="507"/>
      <c r="AH143" s="507"/>
      <c r="AI143" s="507"/>
      <c r="AJ143" s="507"/>
      <c r="AK143" s="507"/>
      <c r="AL143" s="507"/>
      <c r="AM143" s="507"/>
      <c r="AN143" s="507"/>
      <c r="AO143" s="507"/>
      <c r="AP143" s="507"/>
      <c r="AQ143" s="507"/>
      <c r="AR143" s="507"/>
      <c r="AS143" s="507"/>
      <c r="AT143" s="508"/>
      <c r="AU143" s="509"/>
      <c r="AV143" s="510" t="n">
        <f aca="false">A143</f>
        <v>0</v>
      </c>
      <c r="AW143" s="510" t="n">
        <f aca="false">B143</f>
        <v>0</v>
      </c>
      <c r="AX143" s="510" t="n">
        <f aca="false">C143</f>
        <v>0</v>
      </c>
      <c r="AY143" s="511" t="n">
        <f aca="false">ROUND($AY$6*AZ143/$AZ$5,2)</f>
        <v>0</v>
      </c>
      <c r="AZ143" s="502" t="n">
        <f aca="false">BA143+BL143</f>
        <v>0</v>
      </c>
      <c r="BA143" s="502" t="n">
        <f aca="false">SUM(BB143:BK143)</f>
        <v>0</v>
      </c>
      <c r="BB143" s="502" t="n">
        <f aca="false">IF($D143="是",I143-J143,0)</f>
        <v>0</v>
      </c>
      <c r="BC143" s="502" t="n">
        <f aca="false">IF($D143="是",K143-L143,0)</f>
        <v>0</v>
      </c>
      <c r="BD143" s="502" t="n">
        <f aca="false">IF($D143="是",M143-N143,0)</f>
        <v>0</v>
      </c>
      <c r="BE143" s="502" t="n">
        <f aca="false">IF($D143="是",O143-P143,0)</f>
        <v>0</v>
      </c>
      <c r="BF143" s="502" t="n">
        <f aca="false">IF($D143="是",Q143-R143,0)</f>
        <v>0</v>
      </c>
      <c r="BG143" s="502" t="n">
        <f aca="false">IF($D143="是",S143-T143,0)</f>
        <v>0</v>
      </c>
      <c r="BH143" s="502" t="n">
        <f aca="false">IF($D143="是",U143-V143,0)</f>
        <v>0</v>
      </c>
      <c r="BI143" s="502" t="n">
        <f aca="false">IF($D143="是",W143-X143,0)</f>
        <v>0</v>
      </c>
      <c r="BJ143" s="502" t="n">
        <f aca="false">IF($D143="是",Y143-Z143,0)</f>
        <v>0</v>
      </c>
      <c r="BK143" s="502" t="n">
        <f aca="false">IF($D143="是",AA143-AB143,0)</f>
        <v>0</v>
      </c>
      <c r="BL143" s="502" t="n">
        <f aca="false">SUM(BM143:BT143)</f>
        <v>0</v>
      </c>
      <c r="BM143" s="502" t="n">
        <f aca="false">IF($D143="是",AD143-AE143,0)</f>
        <v>0</v>
      </c>
      <c r="BN143" s="502" t="n">
        <f aca="false">IF($D143="是",AF143-AG143,0)</f>
        <v>0</v>
      </c>
      <c r="BO143" s="502" t="n">
        <f aca="false">IF($D143="是",AH143-AI143,0)</f>
        <v>0</v>
      </c>
      <c r="BP143" s="502" t="n">
        <f aca="false">IF($D143="是",AJ143-AK143,0)</f>
        <v>0</v>
      </c>
      <c r="BQ143" s="502" t="n">
        <f aca="false">IF($D143="是",AL143-AM143,0)</f>
        <v>0</v>
      </c>
      <c r="BR143" s="502" t="n">
        <f aca="false">IF($D143="是",AN143-AO143,0)</f>
        <v>0</v>
      </c>
      <c r="BS143" s="502" t="n">
        <f aca="false">IF($D143="是",AP143-AQ143,0)</f>
        <v>0</v>
      </c>
      <c r="BT143" s="512" t="n">
        <f aca="false">IF($D143="是",AR143-AS143,0)</f>
        <v>0</v>
      </c>
    </row>
    <row r="144" customFormat="false" ht="14.25" hidden="false" customHeight="false" outlineLevel="0" collapsed="false">
      <c r="A144" s="499"/>
      <c r="B144" s="500"/>
      <c r="C144" s="500"/>
      <c r="D144" s="501"/>
      <c r="E144" s="502" t="n">
        <f aca="false">IF($C$3="是",ROUND($A$3*G144/$B$3,2),ROUND($A$3*(G144-AT144)/$B$3,2))</f>
        <v>0</v>
      </c>
      <c r="F144" s="503"/>
      <c r="G144" s="504" t="n">
        <f aca="false">H144+AC144+AT144</f>
        <v>0</v>
      </c>
      <c r="H144" s="505" t="n">
        <f aca="false">SUMIF(I$12:AB$12,"总值",I144:AB144)</f>
        <v>0</v>
      </c>
      <c r="I144" s="506"/>
      <c r="J144" s="506"/>
      <c r="K144" s="506"/>
      <c r="L144" s="506"/>
      <c r="M144" s="506"/>
      <c r="N144" s="506"/>
      <c r="O144" s="506"/>
      <c r="P144" s="506"/>
      <c r="Q144" s="506"/>
      <c r="R144" s="506"/>
      <c r="S144" s="506"/>
      <c r="T144" s="506"/>
      <c r="U144" s="506"/>
      <c r="V144" s="506"/>
      <c r="W144" s="506"/>
      <c r="X144" s="506"/>
      <c r="Y144" s="506"/>
      <c r="Z144" s="506"/>
      <c r="AA144" s="506"/>
      <c r="AB144" s="506"/>
      <c r="AC144" s="502" t="n">
        <f aca="false">SUMIF(AD$12:AS$12,"总值",AD144:AS144)</f>
        <v>0</v>
      </c>
      <c r="AD144" s="507"/>
      <c r="AE144" s="507"/>
      <c r="AF144" s="507"/>
      <c r="AG144" s="507"/>
      <c r="AH144" s="507"/>
      <c r="AI144" s="507"/>
      <c r="AJ144" s="507"/>
      <c r="AK144" s="507"/>
      <c r="AL144" s="507"/>
      <c r="AM144" s="507"/>
      <c r="AN144" s="507"/>
      <c r="AO144" s="507"/>
      <c r="AP144" s="507"/>
      <c r="AQ144" s="507"/>
      <c r="AR144" s="507"/>
      <c r="AS144" s="507"/>
      <c r="AT144" s="508"/>
      <c r="AU144" s="509"/>
      <c r="AV144" s="510" t="n">
        <f aca="false">A144</f>
        <v>0</v>
      </c>
      <c r="AW144" s="510" t="n">
        <f aca="false">B144</f>
        <v>0</v>
      </c>
      <c r="AX144" s="510" t="n">
        <f aca="false">C144</f>
        <v>0</v>
      </c>
      <c r="AY144" s="511" t="n">
        <f aca="false">ROUND($AY$6*AZ144/$AZ$5,2)</f>
        <v>0</v>
      </c>
      <c r="AZ144" s="502" t="n">
        <f aca="false">BA144+BL144</f>
        <v>0</v>
      </c>
      <c r="BA144" s="502" t="n">
        <f aca="false">SUM(BB144:BK144)</f>
        <v>0</v>
      </c>
      <c r="BB144" s="502" t="n">
        <f aca="false">IF($D144="是",I144-J144,0)</f>
        <v>0</v>
      </c>
      <c r="BC144" s="502" t="n">
        <f aca="false">IF($D144="是",K144-L144,0)</f>
        <v>0</v>
      </c>
      <c r="BD144" s="502" t="n">
        <f aca="false">IF($D144="是",M144-N144,0)</f>
        <v>0</v>
      </c>
      <c r="BE144" s="502" t="n">
        <f aca="false">IF($D144="是",O144-P144,0)</f>
        <v>0</v>
      </c>
      <c r="BF144" s="502" t="n">
        <f aca="false">IF($D144="是",Q144-R144,0)</f>
        <v>0</v>
      </c>
      <c r="BG144" s="502" t="n">
        <f aca="false">IF($D144="是",S144-T144,0)</f>
        <v>0</v>
      </c>
      <c r="BH144" s="502" t="n">
        <f aca="false">IF($D144="是",U144-V144,0)</f>
        <v>0</v>
      </c>
      <c r="BI144" s="502" t="n">
        <f aca="false">IF($D144="是",W144-X144,0)</f>
        <v>0</v>
      </c>
      <c r="BJ144" s="502" t="n">
        <f aca="false">IF($D144="是",Y144-Z144,0)</f>
        <v>0</v>
      </c>
      <c r="BK144" s="502" t="n">
        <f aca="false">IF($D144="是",AA144-AB144,0)</f>
        <v>0</v>
      </c>
      <c r="BL144" s="502" t="n">
        <f aca="false">SUM(BM144:BT144)</f>
        <v>0</v>
      </c>
      <c r="BM144" s="502" t="n">
        <f aca="false">IF($D144="是",AD144-AE144,0)</f>
        <v>0</v>
      </c>
      <c r="BN144" s="502" t="n">
        <f aca="false">IF($D144="是",AF144-AG144,0)</f>
        <v>0</v>
      </c>
      <c r="BO144" s="502" t="n">
        <f aca="false">IF($D144="是",AH144-AI144,0)</f>
        <v>0</v>
      </c>
      <c r="BP144" s="502" t="n">
        <f aca="false">IF($D144="是",AJ144-AK144,0)</f>
        <v>0</v>
      </c>
      <c r="BQ144" s="502" t="n">
        <f aca="false">IF($D144="是",AL144-AM144,0)</f>
        <v>0</v>
      </c>
      <c r="BR144" s="502" t="n">
        <f aca="false">IF($D144="是",AN144-AO144,0)</f>
        <v>0</v>
      </c>
      <c r="BS144" s="502" t="n">
        <f aca="false">IF($D144="是",AP144-AQ144,0)</f>
        <v>0</v>
      </c>
      <c r="BT144" s="512" t="n">
        <f aca="false">IF($D144="是",AR144-AS144,0)</f>
        <v>0</v>
      </c>
    </row>
    <row r="145" customFormat="false" ht="14.25" hidden="false" customHeight="false" outlineLevel="0" collapsed="false">
      <c r="A145" s="499"/>
      <c r="B145" s="500"/>
      <c r="C145" s="500"/>
      <c r="D145" s="501"/>
      <c r="E145" s="502" t="n">
        <f aca="false">IF($C$3="是",ROUND($A$3*G145/$B$3,2),ROUND($A$3*(G145-AT145)/$B$3,2))</f>
        <v>0</v>
      </c>
      <c r="F145" s="503"/>
      <c r="G145" s="504" t="n">
        <f aca="false">H145+AC145+AT145</f>
        <v>0</v>
      </c>
      <c r="H145" s="505" t="n">
        <f aca="false">SUMIF(I$12:AB$12,"总值",I145:AB145)</f>
        <v>0</v>
      </c>
      <c r="I145" s="506"/>
      <c r="J145" s="506"/>
      <c r="K145" s="506"/>
      <c r="L145" s="506"/>
      <c r="M145" s="506"/>
      <c r="N145" s="506"/>
      <c r="O145" s="506"/>
      <c r="P145" s="506"/>
      <c r="Q145" s="506"/>
      <c r="R145" s="506"/>
      <c r="S145" s="506"/>
      <c r="T145" s="506"/>
      <c r="U145" s="506"/>
      <c r="V145" s="506"/>
      <c r="W145" s="506"/>
      <c r="X145" s="506"/>
      <c r="Y145" s="506"/>
      <c r="Z145" s="506"/>
      <c r="AA145" s="506"/>
      <c r="AB145" s="506"/>
      <c r="AC145" s="502" t="n">
        <f aca="false">SUMIF(AD$12:AS$12,"总值",AD145:AS145)</f>
        <v>0</v>
      </c>
      <c r="AD145" s="507"/>
      <c r="AE145" s="507"/>
      <c r="AF145" s="507"/>
      <c r="AG145" s="507"/>
      <c r="AH145" s="507"/>
      <c r="AI145" s="507"/>
      <c r="AJ145" s="507"/>
      <c r="AK145" s="507"/>
      <c r="AL145" s="507"/>
      <c r="AM145" s="507"/>
      <c r="AN145" s="507"/>
      <c r="AO145" s="507"/>
      <c r="AP145" s="507"/>
      <c r="AQ145" s="507"/>
      <c r="AR145" s="507"/>
      <c r="AS145" s="507"/>
      <c r="AT145" s="508"/>
      <c r="AU145" s="509"/>
      <c r="AV145" s="510" t="n">
        <f aca="false">A145</f>
        <v>0</v>
      </c>
      <c r="AW145" s="510" t="n">
        <f aca="false">B145</f>
        <v>0</v>
      </c>
      <c r="AX145" s="510" t="n">
        <f aca="false">C145</f>
        <v>0</v>
      </c>
      <c r="AY145" s="511" t="n">
        <f aca="false">ROUND($AY$6*AZ145/$AZ$5,2)</f>
        <v>0</v>
      </c>
      <c r="AZ145" s="502" t="n">
        <f aca="false">BA145+BL145</f>
        <v>0</v>
      </c>
      <c r="BA145" s="502" t="n">
        <f aca="false">SUM(BB145:BK145)</f>
        <v>0</v>
      </c>
      <c r="BB145" s="502" t="n">
        <f aca="false">IF($D145="是",I145-J145,0)</f>
        <v>0</v>
      </c>
      <c r="BC145" s="502" t="n">
        <f aca="false">IF($D145="是",K145-L145,0)</f>
        <v>0</v>
      </c>
      <c r="BD145" s="502" t="n">
        <f aca="false">IF($D145="是",M145-N145,0)</f>
        <v>0</v>
      </c>
      <c r="BE145" s="502" t="n">
        <f aca="false">IF($D145="是",O145-P145,0)</f>
        <v>0</v>
      </c>
      <c r="BF145" s="502" t="n">
        <f aca="false">IF($D145="是",Q145-R145,0)</f>
        <v>0</v>
      </c>
      <c r="BG145" s="502" t="n">
        <f aca="false">IF($D145="是",S145-T145,0)</f>
        <v>0</v>
      </c>
      <c r="BH145" s="502" t="n">
        <f aca="false">IF($D145="是",U145-V145,0)</f>
        <v>0</v>
      </c>
      <c r="BI145" s="502" t="n">
        <f aca="false">IF($D145="是",W145-X145,0)</f>
        <v>0</v>
      </c>
      <c r="BJ145" s="502" t="n">
        <f aca="false">IF($D145="是",Y145-Z145,0)</f>
        <v>0</v>
      </c>
      <c r="BK145" s="502" t="n">
        <f aca="false">IF($D145="是",AA145-AB145,0)</f>
        <v>0</v>
      </c>
      <c r="BL145" s="502" t="n">
        <f aca="false">SUM(BM145:BT145)</f>
        <v>0</v>
      </c>
      <c r="BM145" s="502" t="n">
        <f aca="false">IF($D145="是",AD145-AE145,0)</f>
        <v>0</v>
      </c>
      <c r="BN145" s="502" t="n">
        <f aca="false">IF($D145="是",AF145-AG145,0)</f>
        <v>0</v>
      </c>
      <c r="BO145" s="502" t="n">
        <f aca="false">IF($D145="是",AH145-AI145,0)</f>
        <v>0</v>
      </c>
      <c r="BP145" s="502" t="n">
        <f aca="false">IF($D145="是",AJ145-AK145,0)</f>
        <v>0</v>
      </c>
      <c r="BQ145" s="502" t="n">
        <f aca="false">IF($D145="是",AL145-AM145,0)</f>
        <v>0</v>
      </c>
      <c r="BR145" s="502" t="n">
        <f aca="false">IF($D145="是",AN145-AO145,0)</f>
        <v>0</v>
      </c>
      <c r="BS145" s="502" t="n">
        <f aca="false">IF($D145="是",AP145-AQ145,0)</f>
        <v>0</v>
      </c>
      <c r="BT145" s="512" t="n">
        <f aca="false">IF($D145="是",AR145-AS145,0)</f>
        <v>0</v>
      </c>
    </row>
    <row r="146" customFormat="false" ht="14.25" hidden="false" customHeight="false" outlineLevel="0" collapsed="false">
      <c r="A146" s="499"/>
      <c r="B146" s="500"/>
      <c r="C146" s="500"/>
      <c r="D146" s="501"/>
      <c r="E146" s="502" t="n">
        <f aca="false">IF($C$3="是",ROUND($A$3*G146/$B$3,2),ROUND($A$3*(G146-AT146)/$B$3,2))</f>
        <v>0</v>
      </c>
      <c r="F146" s="503"/>
      <c r="G146" s="504" t="n">
        <f aca="false">H146+AC146+AT146</f>
        <v>0</v>
      </c>
      <c r="H146" s="505" t="n">
        <f aca="false">SUMIF(I$12:AB$12,"总值",I146:AB146)</f>
        <v>0</v>
      </c>
      <c r="I146" s="506"/>
      <c r="J146" s="506"/>
      <c r="K146" s="506"/>
      <c r="L146" s="506"/>
      <c r="M146" s="506"/>
      <c r="N146" s="506"/>
      <c r="O146" s="506"/>
      <c r="P146" s="506"/>
      <c r="Q146" s="506"/>
      <c r="R146" s="506"/>
      <c r="S146" s="506"/>
      <c r="T146" s="506"/>
      <c r="U146" s="506"/>
      <c r="V146" s="506"/>
      <c r="W146" s="506"/>
      <c r="X146" s="506"/>
      <c r="Y146" s="506"/>
      <c r="Z146" s="506"/>
      <c r="AA146" s="506"/>
      <c r="AB146" s="506"/>
      <c r="AC146" s="502" t="n">
        <f aca="false">SUMIF(AD$12:AS$12,"总值",AD146:AS146)</f>
        <v>0</v>
      </c>
      <c r="AD146" s="507"/>
      <c r="AE146" s="507"/>
      <c r="AF146" s="507"/>
      <c r="AG146" s="507"/>
      <c r="AH146" s="507"/>
      <c r="AI146" s="507"/>
      <c r="AJ146" s="507"/>
      <c r="AK146" s="507"/>
      <c r="AL146" s="507"/>
      <c r="AM146" s="507"/>
      <c r="AN146" s="507"/>
      <c r="AO146" s="507"/>
      <c r="AP146" s="507"/>
      <c r="AQ146" s="507"/>
      <c r="AR146" s="507"/>
      <c r="AS146" s="507"/>
      <c r="AT146" s="508"/>
      <c r="AU146" s="509"/>
      <c r="AV146" s="510" t="n">
        <f aca="false">A146</f>
        <v>0</v>
      </c>
      <c r="AW146" s="510" t="n">
        <f aca="false">B146</f>
        <v>0</v>
      </c>
      <c r="AX146" s="510" t="n">
        <f aca="false">C146</f>
        <v>0</v>
      </c>
      <c r="AY146" s="511" t="n">
        <f aca="false">ROUND($AY$6*AZ146/$AZ$5,2)</f>
        <v>0</v>
      </c>
      <c r="AZ146" s="502" t="n">
        <f aca="false">BA146+BL146</f>
        <v>0</v>
      </c>
      <c r="BA146" s="502" t="n">
        <f aca="false">SUM(BB146:BK146)</f>
        <v>0</v>
      </c>
      <c r="BB146" s="502" t="n">
        <f aca="false">IF($D146="是",I146-J146,0)</f>
        <v>0</v>
      </c>
      <c r="BC146" s="502" t="n">
        <f aca="false">IF($D146="是",K146-L146,0)</f>
        <v>0</v>
      </c>
      <c r="BD146" s="502" t="n">
        <f aca="false">IF($D146="是",M146-N146,0)</f>
        <v>0</v>
      </c>
      <c r="BE146" s="502" t="n">
        <f aca="false">IF($D146="是",O146-P146,0)</f>
        <v>0</v>
      </c>
      <c r="BF146" s="502" t="n">
        <f aca="false">IF($D146="是",Q146-R146,0)</f>
        <v>0</v>
      </c>
      <c r="BG146" s="502" t="n">
        <f aca="false">IF($D146="是",S146-T146,0)</f>
        <v>0</v>
      </c>
      <c r="BH146" s="502" t="n">
        <f aca="false">IF($D146="是",U146-V146,0)</f>
        <v>0</v>
      </c>
      <c r="BI146" s="502" t="n">
        <f aca="false">IF($D146="是",W146-X146,0)</f>
        <v>0</v>
      </c>
      <c r="BJ146" s="502" t="n">
        <f aca="false">IF($D146="是",Y146-Z146,0)</f>
        <v>0</v>
      </c>
      <c r="BK146" s="502" t="n">
        <f aca="false">IF($D146="是",AA146-AB146,0)</f>
        <v>0</v>
      </c>
      <c r="BL146" s="502" t="n">
        <f aca="false">SUM(BM146:BT146)</f>
        <v>0</v>
      </c>
      <c r="BM146" s="502" t="n">
        <f aca="false">IF($D146="是",AD146-AE146,0)</f>
        <v>0</v>
      </c>
      <c r="BN146" s="502" t="n">
        <f aca="false">IF($D146="是",AF146-AG146,0)</f>
        <v>0</v>
      </c>
      <c r="BO146" s="502" t="n">
        <f aca="false">IF($D146="是",AH146-AI146,0)</f>
        <v>0</v>
      </c>
      <c r="BP146" s="502" t="n">
        <f aca="false">IF($D146="是",AJ146-AK146,0)</f>
        <v>0</v>
      </c>
      <c r="BQ146" s="502" t="n">
        <f aca="false">IF($D146="是",AL146-AM146,0)</f>
        <v>0</v>
      </c>
      <c r="BR146" s="502" t="n">
        <f aca="false">IF($D146="是",AN146-AO146,0)</f>
        <v>0</v>
      </c>
      <c r="BS146" s="502" t="n">
        <f aca="false">IF($D146="是",AP146-AQ146,0)</f>
        <v>0</v>
      </c>
      <c r="BT146" s="512" t="n">
        <f aca="false">IF($D146="是",AR146-AS146,0)</f>
        <v>0</v>
      </c>
    </row>
    <row r="147" customFormat="false" ht="14.25" hidden="false" customHeight="false" outlineLevel="0" collapsed="false">
      <c r="A147" s="499"/>
      <c r="B147" s="500"/>
      <c r="C147" s="500"/>
      <c r="D147" s="501"/>
      <c r="E147" s="502" t="n">
        <f aca="false">IF($C$3="是",ROUND($A$3*G147/$B$3,2),ROUND($A$3*(G147-AT147)/$B$3,2))</f>
        <v>0</v>
      </c>
      <c r="F147" s="503"/>
      <c r="G147" s="504" t="n">
        <f aca="false">H147+AC147+AT147</f>
        <v>0</v>
      </c>
      <c r="H147" s="505" t="n">
        <f aca="false">SUMIF(I$12:AB$12,"总值",I147:AB147)</f>
        <v>0</v>
      </c>
      <c r="I147" s="506"/>
      <c r="J147" s="506"/>
      <c r="K147" s="506"/>
      <c r="L147" s="506"/>
      <c r="M147" s="506"/>
      <c r="N147" s="506"/>
      <c r="O147" s="506"/>
      <c r="P147" s="506"/>
      <c r="Q147" s="506"/>
      <c r="R147" s="506"/>
      <c r="S147" s="506"/>
      <c r="T147" s="506"/>
      <c r="U147" s="506"/>
      <c r="V147" s="506"/>
      <c r="W147" s="506"/>
      <c r="X147" s="506"/>
      <c r="Y147" s="506"/>
      <c r="Z147" s="506"/>
      <c r="AA147" s="506"/>
      <c r="AB147" s="506"/>
      <c r="AC147" s="502" t="n">
        <f aca="false">SUMIF(AD$12:AS$12,"总值",AD147:AS147)</f>
        <v>0</v>
      </c>
      <c r="AD147" s="507"/>
      <c r="AE147" s="507"/>
      <c r="AF147" s="507"/>
      <c r="AG147" s="507"/>
      <c r="AH147" s="507"/>
      <c r="AI147" s="507"/>
      <c r="AJ147" s="507"/>
      <c r="AK147" s="507"/>
      <c r="AL147" s="507"/>
      <c r="AM147" s="507"/>
      <c r="AN147" s="507"/>
      <c r="AO147" s="507"/>
      <c r="AP147" s="507"/>
      <c r="AQ147" s="507"/>
      <c r="AR147" s="507"/>
      <c r="AS147" s="507"/>
      <c r="AT147" s="508"/>
      <c r="AU147" s="509"/>
      <c r="AV147" s="510" t="n">
        <f aca="false">A147</f>
        <v>0</v>
      </c>
      <c r="AW147" s="510" t="n">
        <f aca="false">B147</f>
        <v>0</v>
      </c>
      <c r="AX147" s="510" t="n">
        <f aca="false">C147</f>
        <v>0</v>
      </c>
      <c r="AY147" s="511" t="n">
        <f aca="false">ROUND($AY$6*AZ147/$AZ$5,2)</f>
        <v>0</v>
      </c>
      <c r="AZ147" s="502" t="n">
        <f aca="false">BA147+BL147</f>
        <v>0</v>
      </c>
      <c r="BA147" s="502" t="n">
        <f aca="false">SUM(BB147:BK147)</f>
        <v>0</v>
      </c>
      <c r="BB147" s="502" t="n">
        <f aca="false">IF($D147="是",I147-J147,0)</f>
        <v>0</v>
      </c>
      <c r="BC147" s="502" t="n">
        <f aca="false">IF($D147="是",K147-L147,0)</f>
        <v>0</v>
      </c>
      <c r="BD147" s="502" t="n">
        <f aca="false">IF($D147="是",M147-N147,0)</f>
        <v>0</v>
      </c>
      <c r="BE147" s="502" t="n">
        <f aca="false">IF($D147="是",O147-P147,0)</f>
        <v>0</v>
      </c>
      <c r="BF147" s="502" t="n">
        <f aca="false">IF($D147="是",Q147-R147,0)</f>
        <v>0</v>
      </c>
      <c r="BG147" s="502" t="n">
        <f aca="false">IF($D147="是",S147-T147,0)</f>
        <v>0</v>
      </c>
      <c r="BH147" s="502" t="n">
        <f aca="false">IF($D147="是",U147-V147,0)</f>
        <v>0</v>
      </c>
      <c r="BI147" s="502" t="n">
        <f aca="false">IF($D147="是",W147-X147,0)</f>
        <v>0</v>
      </c>
      <c r="BJ147" s="502" t="n">
        <f aca="false">IF($D147="是",Y147-Z147,0)</f>
        <v>0</v>
      </c>
      <c r="BK147" s="502" t="n">
        <f aca="false">IF($D147="是",AA147-AB147,0)</f>
        <v>0</v>
      </c>
      <c r="BL147" s="502" t="n">
        <f aca="false">SUM(BM147:BT147)</f>
        <v>0</v>
      </c>
      <c r="BM147" s="502" t="n">
        <f aca="false">IF($D147="是",AD147-AE147,0)</f>
        <v>0</v>
      </c>
      <c r="BN147" s="502" t="n">
        <f aca="false">IF($D147="是",AF147-AG147,0)</f>
        <v>0</v>
      </c>
      <c r="BO147" s="502" t="n">
        <f aca="false">IF($D147="是",AH147-AI147,0)</f>
        <v>0</v>
      </c>
      <c r="BP147" s="502" t="n">
        <f aca="false">IF($D147="是",AJ147-AK147,0)</f>
        <v>0</v>
      </c>
      <c r="BQ147" s="502" t="n">
        <f aca="false">IF($D147="是",AL147-AM147,0)</f>
        <v>0</v>
      </c>
      <c r="BR147" s="502" t="n">
        <f aca="false">IF($D147="是",AN147-AO147,0)</f>
        <v>0</v>
      </c>
      <c r="BS147" s="502" t="n">
        <f aca="false">IF($D147="是",AP147-AQ147,0)</f>
        <v>0</v>
      </c>
      <c r="BT147" s="512" t="n">
        <f aca="false">IF($D147="是",AR147-AS147,0)</f>
        <v>0</v>
      </c>
    </row>
    <row r="148" customFormat="false" ht="14.25" hidden="false" customHeight="false" outlineLevel="0" collapsed="false">
      <c r="A148" s="499"/>
      <c r="B148" s="500"/>
      <c r="C148" s="500"/>
      <c r="D148" s="501"/>
      <c r="E148" s="502" t="n">
        <f aca="false">IF($C$3="是",ROUND($A$3*G148/$B$3,2),ROUND($A$3*(G148-AT148)/$B$3,2))</f>
        <v>0</v>
      </c>
      <c r="F148" s="503"/>
      <c r="G148" s="504" t="n">
        <f aca="false">H148+AC148+AT148</f>
        <v>0</v>
      </c>
      <c r="H148" s="505" t="n">
        <f aca="false">SUMIF(I$12:AB$12,"总值",I148:AB148)</f>
        <v>0</v>
      </c>
      <c r="I148" s="506"/>
      <c r="J148" s="506"/>
      <c r="K148" s="506"/>
      <c r="L148" s="506"/>
      <c r="M148" s="506"/>
      <c r="N148" s="506"/>
      <c r="O148" s="506"/>
      <c r="P148" s="506"/>
      <c r="Q148" s="506"/>
      <c r="R148" s="506"/>
      <c r="S148" s="506"/>
      <c r="T148" s="506"/>
      <c r="U148" s="506"/>
      <c r="V148" s="506"/>
      <c r="W148" s="506"/>
      <c r="X148" s="506"/>
      <c r="Y148" s="506"/>
      <c r="Z148" s="506"/>
      <c r="AA148" s="506"/>
      <c r="AB148" s="506"/>
      <c r="AC148" s="502" t="n">
        <f aca="false">SUMIF(AD$12:AS$12,"总值",AD148:AS148)</f>
        <v>0</v>
      </c>
      <c r="AD148" s="507"/>
      <c r="AE148" s="507"/>
      <c r="AF148" s="507"/>
      <c r="AG148" s="507"/>
      <c r="AH148" s="507"/>
      <c r="AI148" s="507"/>
      <c r="AJ148" s="507"/>
      <c r="AK148" s="507"/>
      <c r="AL148" s="507"/>
      <c r="AM148" s="507"/>
      <c r="AN148" s="507"/>
      <c r="AO148" s="507"/>
      <c r="AP148" s="507"/>
      <c r="AQ148" s="507"/>
      <c r="AR148" s="507"/>
      <c r="AS148" s="507"/>
      <c r="AT148" s="508"/>
      <c r="AU148" s="509"/>
      <c r="AV148" s="510" t="n">
        <f aca="false">A148</f>
        <v>0</v>
      </c>
      <c r="AW148" s="510" t="n">
        <f aca="false">B148</f>
        <v>0</v>
      </c>
      <c r="AX148" s="510" t="n">
        <f aca="false">C148</f>
        <v>0</v>
      </c>
      <c r="AY148" s="511" t="n">
        <f aca="false">ROUND($AY$6*AZ148/$AZ$5,2)</f>
        <v>0</v>
      </c>
      <c r="AZ148" s="502" t="n">
        <f aca="false">BA148+BL148</f>
        <v>0</v>
      </c>
      <c r="BA148" s="502" t="n">
        <f aca="false">SUM(BB148:BK148)</f>
        <v>0</v>
      </c>
      <c r="BB148" s="502" t="n">
        <f aca="false">IF($D148="是",I148-J148,0)</f>
        <v>0</v>
      </c>
      <c r="BC148" s="502" t="n">
        <f aca="false">IF($D148="是",K148-L148,0)</f>
        <v>0</v>
      </c>
      <c r="BD148" s="502" t="n">
        <f aca="false">IF($D148="是",M148-N148,0)</f>
        <v>0</v>
      </c>
      <c r="BE148" s="502" t="n">
        <f aca="false">IF($D148="是",O148-P148,0)</f>
        <v>0</v>
      </c>
      <c r="BF148" s="502" t="n">
        <f aca="false">IF($D148="是",Q148-R148,0)</f>
        <v>0</v>
      </c>
      <c r="BG148" s="502" t="n">
        <f aca="false">IF($D148="是",S148-T148,0)</f>
        <v>0</v>
      </c>
      <c r="BH148" s="502" t="n">
        <f aca="false">IF($D148="是",U148-V148,0)</f>
        <v>0</v>
      </c>
      <c r="BI148" s="502" t="n">
        <f aca="false">IF($D148="是",W148-X148,0)</f>
        <v>0</v>
      </c>
      <c r="BJ148" s="502" t="n">
        <f aca="false">IF($D148="是",Y148-Z148,0)</f>
        <v>0</v>
      </c>
      <c r="BK148" s="502" t="n">
        <f aca="false">IF($D148="是",AA148-AB148,0)</f>
        <v>0</v>
      </c>
      <c r="BL148" s="502" t="n">
        <f aca="false">SUM(BM148:BT148)</f>
        <v>0</v>
      </c>
      <c r="BM148" s="502" t="n">
        <f aca="false">IF($D148="是",AD148-AE148,0)</f>
        <v>0</v>
      </c>
      <c r="BN148" s="502" t="n">
        <f aca="false">IF($D148="是",AF148-AG148,0)</f>
        <v>0</v>
      </c>
      <c r="BO148" s="502" t="n">
        <f aca="false">IF($D148="是",AH148-AI148,0)</f>
        <v>0</v>
      </c>
      <c r="BP148" s="502" t="n">
        <f aca="false">IF($D148="是",AJ148-AK148,0)</f>
        <v>0</v>
      </c>
      <c r="BQ148" s="502" t="n">
        <f aca="false">IF($D148="是",AL148-AM148,0)</f>
        <v>0</v>
      </c>
      <c r="BR148" s="502" t="n">
        <f aca="false">IF($D148="是",AN148-AO148,0)</f>
        <v>0</v>
      </c>
      <c r="BS148" s="502" t="n">
        <f aca="false">IF($D148="是",AP148-AQ148,0)</f>
        <v>0</v>
      </c>
      <c r="BT148" s="512" t="n">
        <f aca="false">IF($D148="是",AR148-AS148,0)</f>
        <v>0</v>
      </c>
    </row>
    <row r="149" customFormat="false" ht="14.25" hidden="false" customHeight="false" outlineLevel="0" collapsed="false">
      <c r="A149" s="499"/>
      <c r="B149" s="500"/>
      <c r="C149" s="500"/>
      <c r="D149" s="501"/>
      <c r="E149" s="502" t="n">
        <f aca="false">IF($C$3="是",ROUND($A$3*G149/$B$3,2),ROUND($A$3*(G149-AT149)/$B$3,2))</f>
        <v>0</v>
      </c>
      <c r="F149" s="503"/>
      <c r="G149" s="504" t="n">
        <f aca="false">H149+AC149+AT149</f>
        <v>0</v>
      </c>
      <c r="H149" s="505" t="n">
        <f aca="false">SUMIF(I$12:AB$12,"总值",I149:AB149)</f>
        <v>0</v>
      </c>
      <c r="I149" s="506"/>
      <c r="J149" s="506"/>
      <c r="K149" s="506"/>
      <c r="L149" s="506"/>
      <c r="M149" s="506"/>
      <c r="N149" s="506"/>
      <c r="O149" s="506"/>
      <c r="P149" s="506"/>
      <c r="Q149" s="506"/>
      <c r="R149" s="506"/>
      <c r="S149" s="506"/>
      <c r="T149" s="506"/>
      <c r="U149" s="506"/>
      <c r="V149" s="506"/>
      <c r="W149" s="506"/>
      <c r="X149" s="506"/>
      <c r="Y149" s="506"/>
      <c r="Z149" s="506"/>
      <c r="AA149" s="506"/>
      <c r="AB149" s="506"/>
      <c r="AC149" s="502" t="n">
        <f aca="false">SUMIF(AD$12:AS$12,"总值",AD149:AS149)</f>
        <v>0</v>
      </c>
      <c r="AD149" s="507"/>
      <c r="AE149" s="507"/>
      <c r="AF149" s="507"/>
      <c r="AG149" s="507"/>
      <c r="AH149" s="507"/>
      <c r="AI149" s="507"/>
      <c r="AJ149" s="507"/>
      <c r="AK149" s="507"/>
      <c r="AL149" s="507"/>
      <c r="AM149" s="507"/>
      <c r="AN149" s="507"/>
      <c r="AO149" s="507"/>
      <c r="AP149" s="507"/>
      <c r="AQ149" s="507"/>
      <c r="AR149" s="507"/>
      <c r="AS149" s="507"/>
      <c r="AT149" s="508"/>
      <c r="AU149" s="509"/>
      <c r="AV149" s="510" t="n">
        <f aca="false">A149</f>
        <v>0</v>
      </c>
      <c r="AW149" s="510" t="n">
        <f aca="false">B149</f>
        <v>0</v>
      </c>
      <c r="AX149" s="510" t="n">
        <f aca="false">C149</f>
        <v>0</v>
      </c>
      <c r="AY149" s="511" t="n">
        <f aca="false">ROUND($AY$6*AZ149/$AZ$5,2)</f>
        <v>0</v>
      </c>
      <c r="AZ149" s="502" t="n">
        <f aca="false">BA149+BL149</f>
        <v>0</v>
      </c>
      <c r="BA149" s="502" t="n">
        <f aca="false">SUM(BB149:BK149)</f>
        <v>0</v>
      </c>
      <c r="BB149" s="502" t="n">
        <f aca="false">IF($D149="是",I149-J149,0)</f>
        <v>0</v>
      </c>
      <c r="BC149" s="502" t="n">
        <f aca="false">IF($D149="是",K149-L149,0)</f>
        <v>0</v>
      </c>
      <c r="BD149" s="502" t="n">
        <f aca="false">IF($D149="是",M149-N149,0)</f>
        <v>0</v>
      </c>
      <c r="BE149" s="502" t="n">
        <f aca="false">IF($D149="是",O149-P149,0)</f>
        <v>0</v>
      </c>
      <c r="BF149" s="502" t="n">
        <f aca="false">IF($D149="是",Q149-R149,0)</f>
        <v>0</v>
      </c>
      <c r="BG149" s="502" t="n">
        <f aca="false">IF($D149="是",S149-T149,0)</f>
        <v>0</v>
      </c>
      <c r="BH149" s="502" t="n">
        <f aca="false">IF($D149="是",U149-V149,0)</f>
        <v>0</v>
      </c>
      <c r="BI149" s="502" t="n">
        <f aca="false">IF($D149="是",W149-X149,0)</f>
        <v>0</v>
      </c>
      <c r="BJ149" s="502" t="n">
        <f aca="false">IF($D149="是",Y149-Z149,0)</f>
        <v>0</v>
      </c>
      <c r="BK149" s="502" t="n">
        <f aca="false">IF($D149="是",AA149-AB149,0)</f>
        <v>0</v>
      </c>
      <c r="BL149" s="502" t="n">
        <f aca="false">SUM(BM149:BT149)</f>
        <v>0</v>
      </c>
      <c r="BM149" s="502" t="n">
        <f aca="false">IF($D149="是",AD149-AE149,0)</f>
        <v>0</v>
      </c>
      <c r="BN149" s="502" t="n">
        <f aca="false">IF($D149="是",AF149-AG149,0)</f>
        <v>0</v>
      </c>
      <c r="BO149" s="502" t="n">
        <f aca="false">IF($D149="是",AH149-AI149,0)</f>
        <v>0</v>
      </c>
      <c r="BP149" s="502" t="n">
        <f aca="false">IF($D149="是",AJ149-AK149,0)</f>
        <v>0</v>
      </c>
      <c r="BQ149" s="502" t="n">
        <f aca="false">IF($D149="是",AL149-AM149,0)</f>
        <v>0</v>
      </c>
      <c r="BR149" s="502" t="n">
        <f aca="false">IF($D149="是",AN149-AO149,0)</f>
        <v>0</v>
      </c>
      <c r="BS149" s="502" t="n">
        <f aca="false">IF($D149="是",AP149-AQ149,0)</f>
        <v>0</v>
      </c>
      <c r="BT149" s="512" t="n">
        <f aca="false">IF($D149="是",AR149-AS149,0)</f>
        <v>0</v>
      </c>
    </row>
    <row r="150" customFormat="false" ht="14.25" hidden="false" customHeight="false" outlineLevel="0" collapsed="false">
      <c r="A150" s="499"/>
      <c r="B150" s="500"/>
      <c r="C150" s="500"/>
      <c r="D150" s="501"/>
      <c r="E150" s="502" t="n">
        <f aca="false">IF($C$3="是",ROUND($A$3*G150/$B$3,2),ROUND($A$3*(G150-AT150)/$B$3,2))</f>
        <v>0</v>
      </c>
      <c r="F150" s="503"/>
      <c r="G150" s="504" t="n">
        <f aca="false">H150+AC150+AT150</f>
        <v>0</v>
      </c>
      <c r="H150" s="505" t="n">
        <f aca="false">SUMIF(I$12:AB$12,"总值",I150:AB150)</f>
        <v>0</v>
      </c>
      <c r="I150" s="506"/>
      <c r="J150" s="506"/>
      <c r="K150" s="506"/>
      <c r="L150" s="506"/>
      <c r="M150" s="506"/>
      <c r="N150" s="506"/>
      <c r="O150" s="506"/>
      <c r="P150" s="506"/>
      <c r="Q150" s="506"/>
      <c r="R150" s="506"/>
      <c r="S150" s="506"/>
      <c r="T150" s="506"/>
      <c r="U150" s="506"/>
      <c r="V150" s="506"/>
      <c r="W150" s="506"/>
      <c r="X150" s="506"/>
      <c r="Y150" s="506"/>
      <c r="Z150" s="506"/>
      <c r="AA150" s="506"/>
      <c r="AB150" s="506"/>
      <c r="AC150" s="502" t="n">
        <f aca="false">SUMIF(AD$12:AS$12,"总值",AD150:AS150)</f>
        <v>0</v>
      </c>
      <c r="AD150" s="507"/>
      <c r="AE150" s="507"/>
      <c r="AF150" s="507"/>
      <c r="AG150" s="507"/>
      <c r="AH150" s="507"/>
      <c r="AI150" s="507"/>
      <c r="AJ150" s="507"/>
      <c r="AK150" s="507"/>
      <c r="AL150" s="507"/>
      <c r="AM150" s="507"/>
      <c r="AN150" s="507"/>
      <c r="AO150" s="507"/>
      <c r="AP150" s="507"/>
      <c r="AQ150" s="507"/>
      <c r="AR150" s="507"/>
      <c r="AS150" s="507"/>
      <c r="AT150" s="508"/>
      <c r="AU150" s="509"/>
      <c r="AV150" s="510" t="n">
        <f aca="false">A150</f>
        <v>0</v>
      </c>
      <c r="AW150" s="510" t="n">
        <f aca="false">B150</f>
        <v>0</v>
      </c>
      <c r="AX150" s="510" t="n">
        <f aca="false">C150</f>
        <v>0</v>
      </c>
      <c r="AY150" s="511" t="n">
        <f aca="false">ROUND($AY$6*AZ150/$AZ$5,2)</f>
        <v>0</v>
      </c>
      <c r="AZ150" s="502" t="n">
        <f aca="false">BA150+BL150</f>
        <v>0</v>
      </c>
      <c r="BA150" s="502" t="n">
        <f aca="false">SUM(BB150:BK150)</f>
        <v>0</v>
      </c>
      <c r="BB150" s="502" t="n">
        <f aca="false">IF($D150="是",I150-J150,0)</f>
        <v>0</v>
      </c>
      <c r="BC150" s="502" t="n">
        <f aca="false">IF($D150="是",K150-L150,0)</f>
        <v>0</v>
      </c>
      <c r="BD150" s="502" t="n">
        <f aca="false">IF($D150="是",M150-N150,0)</f>
        <v>0</v>
      </c>
      <c r="BE150" s="502" t="n">
        <f aca="false">IF($D150="是",O150-P150,0)</f>
        <v>0</v>
      </c>
      <c r="BF150" s="502" t="n">
        <f aca="false">IF($D150="是",Q150-R150,0)</f>
        <v>0</v>
      </c>
      <c r="BG150" s="502" t="n">
        <f aca="false">IF($D150="是",S150-T150,0)</f>
        <v>0</v>
      </c>
      <c r="BH150" s="502" t="n">
        <f aca="false">IF($D150="是",U150-V150,0)</f>
        <v>0</v>
      </c>
      <c r="BI150" s="502" t="n">
        <f aca="false">IF($D150="是",W150-X150,0)</f>
        <v>0</v>
      </c>
      <c r="BJ150" s="502" t="n">
        <f aca="false">IF($D150="是",Y150-Z150,0)</f>
        <v>0</v>
      </c>
      <c r="BK150" s="502" t="n">
        <f aca="false">IF($D150="是",AA150-AB150,0)</f>
        <v>0</v>
      </c>
      <c r="BL150" s="502" t="n">
        <f aca="false">SUM(BM150:BT150)</f>
        <v>0</v>
      </c>
      <c r="BM150" s="502" t="n">
        <f aca="false">IF($D150="是",AD150-AE150,0)</f>
        <v>0</v>
      </c>
      <c r="BN150" s="502" t="n">
        <f aca="false">IF($D150="是",AF150-AG150,0)</f>
        <v>0</v>
      </c>
      <c r="BO150" s="502" t="n">
        <f aca="false">IF($D150="是",AH150-AI150,0)</f>
        <v>0</v>
      </c>
      <c r="BP150" s="502" t="n">
        <f aca="false">IF($D150="是",AJ150-AK150,0)</f>
        <v>0</v>
      </c>
      <c r="BQ150" s="502" t="n">
        <f aca="false">IF($D150="是",AL150-AM150,0)</f>
        <v>0</v>
      </c>
      <c r="BR150" s="502" t="n">
        <f aca="false">IF($D150="是",AN150-AO150,0)</f>
        <v>0</v>
      </c>
      <c r="BS150" s="502" t="n">
        <f aca="false">IF($D150="是",AP150-AQ150,0)</f>
        <v>0</v>
      </c>
      <c r="BT150" s="512" t="n">
        <f aca="false">IF($D150="是",AR150-AS150,0)</f>
        <v>0</v>
      </c>
    </row>
    <row r="151" customFormat="false" ht="14.25" hidden="false" customHeight="false" outlineLevel="0" collapsed="false">
      <c r="A151" s="499"/>
      <c r="B151" s="500"/>
      <c r="C151" s="500"/>
      <c r="D151" s="501"/>
      <c r="E151" s="502" t="n">
        <f aca="false">IF($C$3="是",ROUND($A$3*G151/$B$3,2),ROUND($A$3*(G151-AT151)/$B$3,2))</f>
        <v>0</v>
      </c>
      <c r="F151" s="503"/>
      <c r="G151" s="504" t="n">
        <f aca="false">H151+AC151+AT151</f>
        <v>0</v>
      </c>
      <c r="H151" s="505" t="n">
        <f aca="false">SUMIF(I$12:AB$12,"总值",I151:AB151)</f>
        <v>0</v>
      </c>
      <c r="I151" s="506"/>
      <c r="J151" s="506"/>
      <c r="K151" s="506"/>
      <c r="L151" s="506"/>
      <c r="M151" s="506"/>
      <c r="N151" s="506"/>
      <c r="O151" s="506"/>
      <c r="P151" s="506"/>
      <c r="Q151" s="506"/>
      <c r="R151" s="506"/>
      <c r="S151" s="506"/>
      <c r="T151" s="506"/>
      <c r="U151" s="506"/>
      <c r="V151" s="506"/>
      <c r="W151" s="506"/>
      <c r="X151" s="506"/>
      <c r="Y151" s="506"/>
      <c r="Z151" s="506"/>
      <c r="AA151" s="506"/>
      <c r="AB151" s="506"/>
      <c r="AC151" s="502" t="n">
        <f aca="false">SUMIF(AD$12:AS$12,"总值",AD151:AS151)</f>
        <v>0</v>
      </c>
      <c r="AD151" s="507"/>
      <c r="AE151" s="507"/>
      <c r="AF151" s="507"/>
      <c r="AG151" s="507"/>
      <c r="AH151" s="507"/>
      <c r="AI151" s="507"/>
      <c r="AJ151" s="507"/>
      <c r="AK151" s="507"/>
      <c r="AL151" s="507"/>
      <c r="AM151" s="507"/>
      <c r="AN151" s="507"/>
      <c r="AO151" s="507"/>
      <c r="AP151" s="507"/>
      <c r="AQ151" s="507"/>
      <c r="AR151" s="507"/>
      <c r="AS151" s="507"/>
      <c r="AT151" s="508"/>
      <c r="AU151" s="509"/>
      <c r="AV151" s="510" t="n">
        <f aca="false">A151</f>
        <v>0</v>
      </c>
      <c r="AW151" s="510" t="n">
        <f aca="false">B151</f>
        <v>0</v>
      </c>
      <c r="AX151" s="510" t="n">
        <f aca="false">C151</f>
        <v>0</v>
      </c>
      <c r="AY151" s="511" t="n">
        <f aca="false">ROUND($AY$6*AZ151/$AZ$5,2)</f>
        <v>0</v>
      </c>
      <c r="AZ151" s="502" t="n">
        <f aca="false">BA151+BL151</f>
        <v>0</v>
      </c>
      <c r="BA151" s="502" t="n">
        <f aca="false">SUM(BB151:BK151)</f>
        <v>0</v>
      </c>
      <c r="BB151" s="502" t="n">
        <f aca="false">IF($D151="是",I151-J151,0)</f>
        <v>0</v>
      </c>
      <c r="BC151" s="502" t="n">
        <f aca="false">IF($D151="是",K151-L151,0)</f>
        <v>0</v>
      </c>
      <c r="BD151" s="502" t="n">
        <f aca="false">IF($D151="是",M151-N151,0)</f>
        <v>0</v>
      </c>
      <c r="BE151" s="502" t="n">
        <f aca="false">IF($D151="是",O151-P151,0)</f>
        <v>0</v>
      </c>
      <c r="BF151" s="502" t="n">
        <f aca="false">IF($D151="是",Q151-R151,0)</f>
        <v>0</v>
      </c>
      <c r="BG151" s="502" t="n">
        <f aca="false">IF($D151="是",S151-T151,0)</f>
        <v>0</v>
      </c>
      <c r="BH151" s="502" t="n">
        <f aca="false">IF($D151="是",U151-V151,0)</f>
        <v>0</v>
      </c>
      <c r="BI151" s="502" t="n">
        <f aca="false">IF($D151="是",W151-X151,0)</f>
        <v>0</v>
      </c>
      <c r="BJ151" s="502" t="n">
        <f aca="false">IF($D151="是",Y151-Z151,0)</f>
        <v>0</v>
      </c>
      <c r="BK151" s="502" t="n">
        <f aca="false">IF($D151="是",AA151-AB151,0)</f>
        <v>0</v>
      </c>
      <c r="BL151" s="502" t="n">
        <f aca="false">SUM(BM151:BT151)</f>
        <v>0</v>
      </c>
      <c r="BM151" s="502" t="n">
        <f aca="false">IF($D151="是",AD151-AE151,0)</f>
        <v>0</v>
      </c>
      <c r="BN151" s="502" t="n">
        <f aca="false">IF($D151="是",AF151-AG151,0)</f>
        <v>0</v>
      </c>
      <c r="BO151" s="502" t="n">
        <f aca="false">IF($D151="是",AH151-AI151,0)</f>
        <v>0</v>
      </c>
      <c r="BP151" s="502" t="n">
        <f aca="false">IF($D151="是",AJ151-AK151,0)</f>
        <v>0</v>
      </c>
      <c r="BQ151" s="502" t="n">
        <f aca="false">IF($D151="是",AL151-AM151,0)</f>
        <v>0</v>
      </c>
      <c r="BR151" s="502" t="n">
        <f aca="false">IF($D151="是",AN151-AO151,0)</f>
        <v>0</v>
      </c>
      <c r="BS151" s="502" t="n">
        <f aca="false">IF($D151="是",AP151-AQ151,0)</f>
        <v>0</v>
      </c>
      <c r="BT151" s="512" t="n">
        <f aca="false">IF($D151="是",AR151-AS151,0)</f>
        <v>0</v>
      </c>
    </row>
    <row r="152" customFormat="false" ht="14.25" hidden="false" customHeight="false" outlineLevel="0" collapsed="false">
      <c r="A152" s="499"/>
      <c r="B152" s="500"/>
      <c r="C152" s="500"/>
      <c r="D152" s="501"/>
      <c r="E152" s="502" t="n">
        <f aca="false">IF($C$3="是",ROUND($A$3*G152/$B$3,2),ROUND($A$3*(G152-AT152)/$B$3,2))</f>
        <v>0</v>
      </c>
      <c r="F152" s="503"/>
      <c r="G152" s="504" t="n">
        <f aca="false">H152+AC152+AT152</f>
        <v>0</v>
      </c>
      <c r="H152" s="505" t="n">
        <f aca="false">SUMIF(I$12:AB$12,"总值",I152:AB152)</f>
        <v>0</v>
      </c>
      <c r="I152" s="506"/>
      <c r="J152" s="506"/>
      <c r="K152" s="506"/>
      <c r="L152" s="506"/>
      <c r="M152" s="506"/>
      <c r="N152" s="506"/>
      <c r="O152" s="506"/>
      <c r="P152" s="506"/>
      <c r="Q152" s="506"/>
      <c r="R152" s="506"/>
      <c r="S152" s="506"/>
      <c r="T152" s="506"/>
      <c r="U152" s="506"/>
      <c r="V152" s="506"/>
      <c r="W152" s="506"/>
      <c r="X152" s="506"/>
      <c r="Y152" s="506"/>
      <c r="Z152" s="506"/>
      <c r="AA152" s="506"/>
      <c r="AB152" s="506"/>
      <c r="AC152" s="502" t="n">
        <f aca="false">SUMIF(AD$12:AS$12,"总值",AD152:AS152)</f>
        <v>0</v>
      </c>
      <c r="AD152" s="507"/>
      <c r="AE152" s="507"/>
      <c r="AF152" s="507"/>
      <c r="AG152" s="507"/>
      <c r="AH152" s="507"/>
      <c r="AI152" s="507"/>
      <c r="AJ152" s="507"/>
      <c r="AK152" s="507"/>
      <c r="AL152" s="507"/>
      <c r="AM152" s="507"/>
      <c r="AN152" s="507"/>
      <c r="AO152" s="507"/>
      <c r="AP152" s="507"/>
      <c r="AQ152" s="507"/>
      <c r="AR152" s="507"/>
      <c r="AS152" s="507"/>
      <c r="AT152" s="508"/>
      <c r="AU152" s="509"/>
      <c r="AV152" s="510" t="n">
        <f aca="false">A152</f>
        <v>0</v>
      </c>
      <c r="AW152" s="510" t="n">
        <f aca="false">B152</f>
        <v>0</v>
      </c>
      <c r="AX152" s="510" t="n">
        <f aca="false">C152</f>
        <v>0</v>
      </c>
      <c r="AY152" s="511" t="n">
        <f aca="false">ROUND($AY$6*AZ152/$AZ$5,2)</f>
        <v>0</v>
      </c>
      <c r="AZ152" s="502" t="n">
        <f aca="false">BA152+BL152</f>
        <v>0</v>
      </c>
      <c r="BA152" s="502" t="n">
        <f aca="false">SUM(BB152:BK152)</f>
        <v>0</v>
      </c>
      <c r="BB152" s="502" t="n">
        <f aca="false">IF($D152="是",I152-J152,0)</f>
        <v>0</v>
      </c>
      <c r="BC152" s="502" t="n">
        <f aca="false">IF($D152="是",K152-L152,0)</f>
        <v>0</v>
      </c>
      <c r="BD152" s="502" t="n">
        <f aca="false">IF($D152="是",M152-N152,0)</f>
        <v>0</v>
      </c>
      <c r="BE152" s="502" t="n">
        <f aca="false">IF($D152="是",O152-P152,0)</f>
        <v>0</v>
      </c>
      <c r="BF152" s="502" t="n">
        <f aca="false">IF($D152="是",Q152-R152,0)</f>
        <v>0</v>
      </c>
      <c r="BG152" s="502" t="n">
        <f aca="false">IF($D152="是",S152-T152,0)</f>
        <v>0</v>
      </c>
      <c r="BH152" s="502" t="n">
        <f aca="false">IF($D152="是",U152-V152,0)</f>
        <v>0</v>
      </c>
      <c r="BI152" s="502" t="n">
        <f aca="false">IF($D152="是",W152-X152,0)</f>
        <v>0</v>
      </c>
      <c r="BJ152" s="502" t="n">
        <f aca="false">IF($D152="是",Y152-Z152,0)</f>
        <v>0</v>
      </c>
      <c r="BK152" s="502" t="n">
        <f aca="false">IF($D152="是",AA152-AB152,0)</f>
        <v>0</v>
      </c>
      <c r="BL152" s="502" t="n">
        <f aca="false">SUM(BM152:BT152)</f>
        <v>0</v>
      </c>
      <c r="BM152" s="502" t="n">
        <f aca="false">IF($D152="是",AD152-AE152,0)</f>
        <v>0</v>
      </c>
      <c r="BN152" s="502" t="n">
        <f aca="false">IF($D152="是",AF152-AG152,0)</f>
        <v>0</v>
      </c>
      <c r="BO152" s="502" t="n">
        <f aca="false">IF($D152="是",AH152-AI152,0)</f>
        <v>0</v>
      </c>
      <c r="BP152" s="502" t="n">
        <f aca="false">IF($D152="是",AJ152-AK152,0)</f>
        <v>0</v>
      </c>
      <c r="BQ152" s="502" t="n">
        <f aca="false">IF($D152="是",AL152-AM152,0)</f>
        <v>0</v>
      </c>
      <c r="BR152" s="502" t="n">
        <f aca="false">IF($D152="是",AN152-AO152,0)</f>
        <v>0</v>
      </c>
      <c r="BS152" s="502" t="n">
        <f aca="false">IF($D152="是",AP152-AQ152,0)</f>
        <v>0</v>
      </c>
      <c r="BT152" s="512" t="n">
        <f aca="false">IF($D152="是",AR152-AS152,0)</f>
        <v>0</v>
      </c>
    </row>
    <row r="153" customFormat="false" ht="14.25" hidden="false" customHeight="false" outlineLevel="0" collapsed="false">
      <c r="A153" s="499"/>
      <c r="B153" s="500"/>
      <c r="C153" s="500"/>
      <c r="D153" s="501"/>
      <c r="E153" s="502" t="n">
        <f aca="false">IF($C$3="是",ROUND($A$3*G153/$B$3,2),ROUND($A$3*(G153-AT153)/$B$3,2))</f>
        <v>0</v>
      </c>
      <c r="F153" s="503"/>
      <c r="G153" s="504" t="n">
        <f aca="false">H153+AC153+AT153</f>
        <v>0</v>
      </c>
      <c r="H153" s="505" t="n">
        <f aca="false">SUMIF(I$12:AB$12,"总值",I153:AB153)</f>
        <v>0</v>
      </c>
      <c r="I153" s="506"/>
      <c r="J153" s="506"/>
      <c r="K153" s="506"/>
      <c r="L153" s="506"/>
      <c r="M153" s="506"/>
      <c r="N153" s="506"/>
      <c r="O153" s="506"/>
      <c r="P153" s="506"/>
      <c r="Q153" s="506"/>
      <c r="R153" s="506"/>
      <c r="S153" s="506"/>
      <c r="T153" s="506"/>
      <c r="U153" s="506"/>
      <c r="V153" s="506"/>
      <c r="W153" s="506"/>
      <c r="X153" s="506"/>
      <c r="Y153" s="506"/>
      <c r="Z153" s="506"/>
      <c r="AA153" s="506"/>
      <c r="AB153" s="506"/>
      <c r="AC153" s="502" t="n">
        <f aca="false">SUMIF(AD$12:AS$12,"总值",AD153:AS153)</f>
        <v>0</v>
      </c>
      <c r="AD153" s="507"/>
      <c r="AE153" s="507"/>
      <c r="AF153" s="507"/>
      <c r="AG153" s="507"/>
      <c r="AH153" s="507"/>
      <c r="AI153" s="507"/>
      <c r="AJ153" s="507"/>
      <c r="AK153" s="507"/>
      <c r="AL153" s="507"/>
      <c r="AM153" s="507"/>
      <c r="AN153" s="507"/>
      <c r="AO153" s="507"/>
      <c r="AP153" s="507"/>
      <c r="AQ153" s="507"/>
      <c r="AR153" s="507"/>
      <c r="AS153" s="507"/>
      <c r="AT153" s="508"/>
      <c r="AU153" s="509"/>
      <c r="AV153" s="510" t="n">
        <f aca="false">A153</f>
        <v>0</v>
      </c>
      <c r="AW153" s="510" t="n">
        <f aca="false">B153</f>
        <v>0</v>
      </c>
      <c r="AX153" s="510" t="n">
        <f aca="false">C153</f>
        <v>0</v>
      </c>
      <c r="AY153" s="511" t="n">
        <f aca="false">ROUND($AY$6*AZ153/$AZ$5,2)</f>
        <v>0</v>
      </c>
      <c r="AZ153" s="502" t="n">
        <f aca="false">BA153+BL153</f>
        <v>0</v>
      </c>
      <c r="BA153" s="502" t="n">
        <f aca="false">SUM(BB153:BK153)</f>
        <v>0</v>
      </c>
      <c r="BB153" s="502" t="n">
        <f aca="false">IF($D153="是",I153-J153,0)</f>
        <v>0</v>
      </c>
      <c r="BC153" s="502" t="n">
        <f aca="false">IF($D153="是",K153-L153,0)</f>
        <v>0</v>
      </c>
      <c r="BD153" s="502" t="n">
        <f aca="false">IF($D153="是",M153-N153,0)</f>
        <v>0</v>
      </c>
      <c r="BE153" s="502" t="n">
        <f aca="false">IF($D153="是",O153-P153,0)</f>
        <v>0</v>
      </c>
      <c r="BF153" s="502" t="n">
        <f aca="false">IF($D153="是",Q153-R153,0)</f>
        <v>0</v>
      </c>
      <c r="BG153" s="502" t="n">
        <f aca="false">IF($D153="是",S153-T153,0)</f>
        <v>0</v>
      </c>
      <c r="BH153" s="502" t="n">
        <f aca="false">IF($D153="是",U153-V153,0)</f>
        <v>0</v>
      </c>
      <c r="BI153" s="502" t="n">
        <f aca="false">IF($D153="是",W153-X153,0)</f>
        <v>0</v>
      </c>
      <c r="BJ153" s="502" t="n">
        <f aca="false">IF($D153="是",Y153-Z153,0)</f>
        <v>0</v>
      </c>
      <c r="BK153" s="502" t="n">
        <f aca="false">IF($D153="是",AA153-AB153,0)</f>
        <v>0</v>
      </c>
      <c r="BL153" s="502" t="n">
        <f aca="false">SUM(BM153:BT153)</f>
        <v>0</v>
      </c>
      <c r="BM153" s="502" t="n">
        <f aca="false">IF($D153="是",AD153-AE153,0)</f>
        <v>0</v>
      </c>
      <c r="BN153" s="502" t="n">
        <f aca="false">IF($D153="是",AF153-AG153,0)</f>
        <v>0</v>
      </c>
      <c r="BO153" s="502" t="n">
        <f aca="false">IF($D153="是",AH153-AI153,0)</f>
        <v>0</v>
      </c>
      <c r="BP153" s="502" t="n">
        <f aca="false">IF($D153="是",AJ153-AK153,0)</f>
        <v>0</v>
      </c>
      <c r="BQ153" s="502" t="n">
        <f aca="false">IF($D153="是",AL153-AM153,0)</f>
        <v>0</v>
      </c>
      <c r="BR153" s="502" t="n">
        <f aca="false">IF($D153="是",AN153-AO153,0)</f>
        <v>0</v>
      </c>
      <c r="BS153" s="502" t="n">
        <f aca="false">IF($D153="是",AP153-AQ153,0)</f>
        <v>0</v>
      </c>
      <c r="BT153" s="512" t="n">
        <f aca="false">IF($D153="是",AR153-AS153,0)</f>
        <v>0</v>
      </c>
    </row>
    <row r="154" customFormat="false" ht="14.25" hidden="false" customHeight="false" outlineLevel="0" collapsed="false">
      <c r="A154" s="499"/>
      <c r="B154" s="500"/>
      <c r="C154" s="500"/>
      <c r="D154" s="501"/>
      <c r="E154" s="502" t="n">
        <f aca="false">IF($C$3="是",ROUND($A$3*G154/$B$3,2),ROUND($A$3*(G154-AT154)/$B$3,2))</f>
        <v>0</v>
      </c>
      <c r="F154" s="503"/>
      <c r="G154" s="504" t="n">
        <f aca="false">H154+AC154+AT154</f>
        <v>0</v>
      </c>
      <c r="H154" s="505" t="n">
        <f aca="false">SUMIF(I$12:AB$12,"总值",I154:AB154)</f>
        <v>0</v>
      </c>
      <c r="I154" s="506"/>
      <c r="J154" s="506"/>
      <c r="K154" s="506"/>
      <c r="L154" s="506"/>
      <c r="M154" s="506"/>
      <c r="N154" s="506"/>
      <c r="O154" s="506"/>
      <c r="P154" s="506"/>
      <c r="Q154" s="506"/>
      <c r="R154" s="506"/>
      <c r="S154" s="506"/>
      <c r="T154" s="506"/>
      <c r="U154" s="506"/>
      <c r="V154" s="506"/>
      <c r="W154" s="506"/>
      <c r="X154" s="506"/>
      <c r="Y154" s="506"/>
      <c r="Z154" s="506"/>
      <c r="AA154" s="506"/>
      <c r="AB154" s="506"/>
      <c r="AC154" s="502" t="n">
        <f aca="false">SUMIF(AD$12:AS$12,"总值",AD154:AS154)</f>
        <v>0</v>
      </c>
      <c r="AD154" s="507"/>
      <c r="AE154" s="507"/>
      <c r="AF154" s="507"/>
      <c r="AG154" s="507"/>
      <c r="AH154" s="507"/>
      <c r="AI154" s="507"/>
      <c r="AJ154" s="507"/>
      <c r="AK154" s="507"/>
      <c r="AL154" s="507"/>
      <c r="AM154" s="507"/>
      <c r="AN154" s="507"/>
      <c r="AO154" s="507"/>
      <c r="AP154" s="507"/>
      <c r="AQ154" s="507"/>
      <c r="AR154" s="507"/>
      <c r="AS154" s="507"/>
      <c r="AT154" s="508"/>
      <c r="AU154" s="509"/>
      <c r="AV154" s="510" t="n">
        <f aca="false">A154</f>
        <v>0</v>
      </c>
      <c r="AW154" s="510" t="n">
        <f aca="false">B154</f>
        <v>0</v>
      </c>
      <c r="AX154" s="510" t="n">
        <f aca="false">C154</f>
        <v>0</v>
      </c>
      <c r="AY154" s="511" t="n">
        <f aca="false">ROUND($AY$6*AZ154/$AZ$5,2)</f>
        <v>0</v>
      </c>
      <c r="AZ154" s="502" t="n">
        <f aca="false">BA154+BL154</f>
        <v>0</v>
      </c>
      <c r="BA154" s="502" t="n">
        <f aca="false">SUM(BB154:BK154)</f>
        <v>0</v>
      </c>
      <c r="BB154" s="502" t="n">
        <f aca="false">IF($D154="是",I154-J154,0)</f>
        <v>0</v>
      </c>
      <c r="BC154" s="502" t="n">
        <f aca="false">IF($D154="是",K154-L154,0)</f>
        <v>0</v>
      </c>
      <c r="BD154" s="502" t="n">
        <f aca="false">IF($D154="是",M154-N154,0)</f>
        <v>0</v>
      </c>
      <c r="BE154" s="502" t="n">
        <f aca="false">IF($D154="是",O154-P154,0)</f>
        <v>0</v>
      </c>
      <c r="BF154" s="502" t="n">
        <f aca="false">IF($D154="是",Q154-R154,0)</f>
        <v>0</v>
      </c>
      <c r="BG154" s="502" t="n">
        <f aca="false">IF($D154="是",S154-T154,0)</f>
        <v>0</v>
      </c>
      <c r="BH154" s="502" t="n">
        <f aca="false">IF($D154="是",U154-V154,0)</f>
        <v>0</v>
      </c>
      <c r="BI154" s="502" t="n">
        <f aca="false">IF($D154="是",W154-X154,0)</f>
        <v>0</v>
      </c>
      <c r="BJ154" s="502" t="n">
        <f aca="false">IF($D154="是",Y154-Z154,0)</f>
        <v>0</v>
      </c>
      <c r="BK154" s="502" t="n">
        <f aca="false">IF($D154="是",AA154-AB154,0)</f>
        <v>0</v>
      </c>
      <c r="BL154" s="502" t="n">
        <f aca="false">SUM(BM154:BT154)</f>
        <v>0</v>
      </c>
      <c r="BM154" s="502" t="n">
        <f aca="false">IF($D154="是",AD154-AE154,0)</f>
        <v>0</v>
      </c>
      <c r="BN154" s="502" t="n">
        <f aca="false">IF($D154="是",AF154-AG154,0)</f>
        <v>0</v>
      </c>
      <c r="BO154" s="502" t="n">
        <f aca="false">IF($D154="是",AH154-AI154,0)</f>
        <v>0</v>
      </c>
      <c r="BP154" s="502" t="n">
        <f aca="false">IF($D154="是",AJ154-AK154,0)</f>
        <v>0</v>
      </c>
      <c r="BQ154" s="502" t="n">
        <f aca="false">IF($D154="是",AL154-AM154,0)</f>
        <v>0</v>
      </c>
      <c r="BR154" s="502" t="n">
        <f aca="false">IF($D154="是",AN154-AO154,0)</f>
        <v>0</v>
      </c>
      <c r="BS154" s="502" t="n">
        <f aca="false">IF($D154="是",AP154-AQ154,0)</f>
        <v>0</v>
      </c>
      <c r="BT154" s="512" t="n">
        <f aca="false">IF($D154="是",AR154-AS154,0)</f>
        <v>0</v>
      </c>
    </row>
    <row r="155" customFormat="false" ht="14.25" hidden="false" customHeight="false" outlineLevel="0" collapsed="false">
      <c r="A155" s="499"/>
      <c r="B155" s="500"/>
      <c r="C155" s="500"/>
      <c r="D155" s="501"/>
      <c r="E155" s="502" t="n">
        <f aca="false">IF($C$3="是",ROUND($A$3*G155/$B$3,2),ROUND($A$3*(G155-AT155)/$B$3,2))</f>
        <v>0</v>
      </c>
      <c r="F155" s="503"/>
      <c r="G155" s="504" t="n">
        <f aca="false">H155+AC155+AT155</f>
        <v>0</v>
      </c>
      <c r="H155" s="505" t="n">
        <f aca="false">SUMIF(I$12:AB$12,"总值",I155:AB155)</f>
        <v>0</v>
      </c>
      <c r="I155" s="506"/>
      <c r="J155" s="506"/>
      <c r="K155" s="506"/>
      <c r="L155" s="506"/>
      <c r="M155" s="506"/>
      <c r="N155" s="506"/>
      <c r="O155" s="506"/>
      <c r="P155" s="506"/>
      <c r="Q155" s="506"/>
      <c r="R155" s="506"/>
      <c r="S155" s="506"/>
      <c r="T155" s="506"/>
      <c r="U155" s="506"/>
      <c r="V155" s="506"/>
      <c r="W155" s="506"/>
      <c r="X155" s="506"/>
      <c r="Y155" s="506"/>
      <c r="Z155" s="506"/>
      <c r="AA155" s="506"/>
      <c r="AB155" s="506"/>
      <c r="AC155" s="502" t="n">
        <f aca="false">SUMIF(AD$12:AS$12,"总值",AD155:AS155)</f>
        <v>0</v>
      </c>
      <c r="AD155" s="507"/>
      <c r="AE155" s="507"/>
      <c r="AF155" s="507"/>
      <c r="AG155" s="507"/>
      <c r="AH155" s="507"/>
      <c r="AI155" s="507"/>
      <c r="AJ155" s="507"/>
      <c r="AK155" s="507"/>
      <c r="AL155" s="507"/>
      <c r="AM155" s="507"/>
      <c r="AN155" s="507"/>
      <c r="AO155" s="507"/>
      <c r="AP155" s="507"/>
      <c r="AQ155" s="507"/>
      <c r="AR155" s="507"/>
      <c r="AS155" s="507"/>
      <c r="AT155" s="508"/>
      <c r="AU155" s="509"/>
      <c r="AV155" s="510" t="n">
        <f aca="false">A155</f>
        <v>0</v>
      </c>
      <c r="AW155" s="510" t="n">
        <f aca="false">B155</f>
        <v>0</v>
      </c>
      <c r="AX155" s="510" t="n">
        <f aca="false">C155</f>
        <v>0</v>
      </c>
      <c r="AY155" s="511" t="n">
        <f aca="false">ROUND($AY$6*AZ155/$AZ$5,2)</f>
        <v>0</v>
      </c>
      <c r="AZ155" s="502" t="n">
        <f aca="false">BA155+BL155</f>
        <v>0</v>
      </c>
      <c r="BA155" s="502" t="n">
        <f aca="false">SUM(BB155:BK155)</f>
        <v>0</v>
      </c>
      <c r="BB155" s="502" t="n">
        <f aca="false">IF($D155="是",I155-J155,0)</f>
        <v>0</v>
      </c>
      <c r="BC155" s="502" t="n">
        <f aca="false">IF($D155="是",K155-L155,0)</f>
        <v>0</v>
      </c>
      <c r="BD155" s="502" t="n">
        <f aca="false">IF($D155="是",M155-N155,0)</f>
        <v>0</v>
      </c>
      <c r="BE155" s="502" t="n">
        <f aca="false">IF($D155="是",O155-P155,0)</f>
        <v>0</v>
      </c>
      <c r="BF155" s="502" t="n">
        <f aca="false">IF($D155="是",Q155-R155,0)</f>
        <v>0</v>
      </c>
      <c r="BG155" s="502" t="n">
        <f aca="false">IF($D155="是",S155-T155,0)</f>
        <v>0</v>
      </c>
      <c r="BH155" s="502" t="n">
        <f aca="false">IF($D155="是",U155-V155,0)</f>
        <v>0</v>
      </c>
      <c r="BI155" s="502" t="n">
        <f aca="false">IF($D155="是",W155-X155,0)</f>
        <v>0</v>
      </c>
      <c r="BJ155" s="502" t="n">
        <f aca="false">IF($D155="是",Y155-Z155,0)</f>
        <v>0</v>
      </c>
      <c r="BK155" s="502" t="n">
        <f aca="false">IF($D155="是",AA155-AB155,0)</f>
        <v>0</v>
      </c>
      <c r="BL155" s="502" t="n">
        <f aca="false">SUM(BM155:BT155)</f>
        <v>0</v>
      </c>
      <c r="BM155" s="502" t="n">
        <f aca="false">IF($D155="是",AD155-AE155,0)</f>
        <v>0</v>
      </c>
      <c r="BN155" s="502" t="n">
        <f aca="false">IF($D155="是",AF155-AG155,0)</f>
        <v>0</v>
      </c>
      <c r="BO155" s="502" t="n">
        <f aca="false">IF($D155="是",AH155-AI155,0)</f>
        <v>0</v>
      </c>
      <c r="BP155" s="502" t="n">
        <f aca="false">IF($D155="是",AJ155-AK155,0)</f>
        <v>0</v>
      </c>
      <c r="BQ155" s="502" t="n">
        <f aca="false">IF($D155="是",AL155-AM155,0)</f>
        <v>0</v>
      </c>
      <c r="BR155" s="502" t="n">
        <f aca="false">IF($D155="是",AN155-AO155,0)</f>
        <v>0</v>
      </c>
      <c r="BS155" s="502" t="n">
        <f aca="false">IF($D155="是",AP155-AQ155,0)</f>
        <v>0</v>
      </c>
      <c r="BT155" s="512" t="n">
        <f aca="false">IF($D155="是",AR155-AS155,0)</f>
        <v>0</v>
      </c>
    </row>
    <row r="156" customFormat="false" ht="14.25" hidden="false" customHeight="false" outlineLevel="0" collapsed="false">
      <c r="A156" s="499"/>
      <c r="B156" s="500"/>
      <c r="C156" s="500"/>
      <c r="D156" s="501"/>
      <c r="E156" s="502" t="n">
        <f aca="false">IF($C$3="是",ROUND($A$3*G156/$B$3,2),ROUND($A$3*(G156-AT156)/$B$3,2))</f>
        <v>0</v>
      </c>
      <c r="F156" s="503"/>
      <c r="G156" s="504" t="n">
        <f aca="false">H156+AC156+AT156</f>
        <v>0</v>
      </c>
      <c r="H156" s="505" t="n">
        <f aca="false">SUMIF(I$12:AB$12,"总值",I156:AB156)</f>
        <v>0</v>
      </c>
      <c r="I156" s="506"/>
      <c r="J156" s="506"/>
      <c r="K156" s="506"/>
      <c r="L156" s="506"/>
      <c r="M156" s="506"/>
      <c r="N156" s="506"/>
      <c r="O156" s="506"/>
      <c r="P156" s="506"/>
      <c r="Q156" s="506"/>
      <c r="R156" s="506"/>
      <c r="S156" s="506"/>
      <c r="T156" s="506"/>
      <c r="U156" s="506"/>
      <c r="V156" s="506"/>
      <c r="W156" s="506"/>
      <c r="X156" s="506"/>
      <c r="Y156" s="506"/>
      <c r="Z156" s="506"/>
      <c r="AA156" s="506"/>
      <c r="AB156" s="506"/>
      <c r="AC156" s="502" t="n">
        <f aca="false">SUMIF(AD$12:AS$12,"总值",AD156:AS156)</f>
        <v>0</v>
      </c>
      <c r="AD156" s="507"/>
      <c r="AE156" s="507"/>
      <c r="AF156" s="507"/>
      <c r="AG156" s="507"/>
      <c r="AH156" s="507"/>
      <c r="AI156" s="507"/>
      <c r="AJ156" s="507"/>
      <c r="AK156" s="507"/>
      <c r="AL156" s="507"/>
      <c r="AM156" s="507"/>
      <c r="AN156" s="507"/>
      <c r="AO156" s="507"/>
      <c r="AP156" s="507"/>
      <c r="AQ156" s="507"/>
      <c r="AR156" s="507"/>
      <c r="AS156" s="507"/>
      <c r="AT156" s="508"/>
      <c r="AU156" s="509"/>
      <c r="AV156" s="510" t="n">
        <f aca="false">A156</f>
        <v>0</v>
      </c>
      <c r="AW156" s="510" t="n">
        <f aca="false">B156</f>
        <v>0</v>
      </c>
      <c r="AX156" s="510" t="n">
        <f aca="false">C156</f>
        <v>0</v>
      </c>
      <c r="AY156" s="511" t="n">
        <f aca="false">ROUND($AY$6*AZ156/$AZ$5,2)</f>
        <v>0</v>
      </c>
      <c r="AZ156" s="502" t="n">
        <f aca="false">BA156+BL156</f>
        <v>0</v>
      </c>
      <c r="BA156" s="502" t="n">
        <f aca="false">SUM(BB156:BK156)</f>
        <v>0</v>
      </c>
      <c r="BB156" s="502" t="n">
        <f aca="false">IF($D156="是",I156-J156,0)</f>
        <v>0</v>
      </c>
      <c r="BC156" s="502" t="n">
        <f aca="false">IF($D156="是",K156-L156,0)</f>
        <v>0</v>
      </c>
      <c r="BD156" s="502" t="n">
        <f aca="false">IF($D156="是",M156-N156,0)</f>
        <v>0</v>
      </c>
      <c r="BE156" s="502" t="n">
        <f aca="false">IF($D156="是",O156-P156,0)</f>
        <v>0</v>
      </c>
      <c r="BF156" s="502" t="n">
        <f aca="false">IF($D156="是",Q156-R156,0)</f>
        <v>0</v>
      </c>
      <c r="BG156" s="502" t="n">
        <f aca="false">IF($D156="是",S156-T156,0)</f>
        <v>0</v>
      </c>
      <c r="BH156" s="502" t="n">
        <f aca="false">IF($D156="是",U156-V156,0)</f>
        <v>0</v>
      </c>
      <c r="BI156" s="502" t="n">
        <f aca="false">IF($D156="是",W156-X156,0)</f>
        <v>0</v>
      </c>
      <c r="BJ156" s="502" t="n">
        <f aca="false">IF($D156="是",Y156-Z156,0)</f>
        <v>0</v>
      </c>
      <c r="BK156" s="502" t="n">
        <f aca="false">IF($D156="是",AA156-AB156,0)</f>
        <v>0</v>
      </c>
      <c r="BL156" s="502" t="n">
        <f aca="false">SUM(BM156:BT156)</f>
        <v>0</v>
      </c>
      <c r="BM156" s="502" t="n">
        <f aca="false">IF($D156="是",AD156-AE156,0)</f>
        <v>0</v>
      </c>
      <c r="BN156" s="502" t="n">
        <f aca="false">IF($D156="是",AF156-AG156,0)</f>
        <v>0</v>
      </c>
      <c r="BO156" s="502" t="n">
        <f aca="false">IF($D156="是",AH156-AI156,0)</f>
        <v>0</v>
      </c>
      <c r="BP156" s="502" t="n">
        <f aca="false">IF($D156="是",AJ156-AK156,0)</f>
        <v>0</v>
      </c>
      <c r="BQ156" s="502" t="n">
        <f aca="false">IF($D156="是",AL156-AM156,0)</f>
        <v>0</v>
      </c>
      <c r="BR156" s="502" t="n">
        <f aca="false">IF($D156="是",AN156-AO156,0)</f>
        <v>0</v>
      </c>
      <c r="BS156" s="502" t="n">
        <f aca="false">IF($D156="是",AP156-AQ156,0)</f>
        <v>0</v>
      </c>
      <c r="BT156" s="512" t="n">
        <f aca="false">IF($D156="是",AR156-AS156,0)</f>
        <v>0</v>
      </c>
    </row>
    <row r="157" customFormat="false" ht="14.25" hidden="false" customHeight="false" outlineLevel="0" collapsed="false">
      <c r="A157" s="499"/>
      <c r="B157" s="500"/>
      <c r="C157" s="500"/>
      <c r="D157" s="501"/>
      <c r="E157" s="502" t="n">
        <f aca="false">IF($C$3="是",ROUND($A$3*G157/$B$3,2),ROUND($A$3*(G157-AT157)/$B$3,2))</f>
        <v>0</v>
      </c>
      <c r="F157" s="503"/>
      <c r="G157" s="504" t="n">
        <f aca="false">H157+AC157+AT157</f>
        <v>0</v>
      </c>
      <c r="H157" s="505" t="n">
        <f aca="false">SUMIF(I$12:AB$12,"总值",I157:AB157)</f>
        <v>0</v>
      </c>
      <c r="I157" s="506"/>
      <c r="J157" s="506"/>
      <c r="K157" s="506"/>
      <c r="L157" s="506"/>
      <c r="M157" s="506"/>
      <c r="N157" s="506"/>
      <c r="O157" s="506"/>
      <c r="P157" s="506"/>
      <c r="Q157" s="506"/>
      <c r="R157" s="506"/>
      <c r="S157" s="506"/>
      <c r="T157" s="506"/>
      <c r="U157" s="506"/>
      <c r="V157" s="506"/>
      <c r="W157" s="506"/>
      <c r="X157" s="506"/>
      <c r="Y157" s="506"/>
      <c r="Z157" s="506"/>
      <c r="AA157" s="506"/>
      <c r="AB157" s="506"/>
      <c r="AC157" s="502" t="n">
        <f aca="false">SUMIF(AD$12:AS$12,"总值",AD157:AS157)</f>
        <v>0</v>
      </c>
      <c r="AD157" s="507"/>
      <c r="AE157" s="507"/>
      <c r="AF157" s="507"/>
      <c r="AG157" s="507"/>
      <c r="AH157" s="507"/>
      <c r="AI157" s="507"/>
      <c r="AJ157" s="507"/>
      <c r="AK157" s="507"/>
      <c r="AL157" s="507"/>
      <c r="AM157" s="507"/>
      <c r="AN157" s="507"/>
      <c r="AO157" s="507"/>
      <c r="AP157" s="507"/>
      <c r="AQ157" s="507"/>
      <c r="AR157" s="507"/>
      <c r="AS157" s="507"/>
      <c r="AT157" s="508"/>
      <c r="AU157" s="509"/>
      <c r="AV157" s="510" t="n">
        <f aca="false">A157</f>
        <v>0</v>
      </c>
      <c r="AW157" s="510" t="n">
        <f aca="false">B157</f>
        <v>0</v>
      </c>
      <c r="AX157" s="510" t="n">
        <f aca="false">C157</f>
        <v>0</v>
      </c>
      <c r="AY157" s="511" t="n">
        <f aca="false">ROUND($AY$6*AZ157/$AZ$5,2)</f>
        <v>0</v>
      </c>
      <c r="AZ157" s="502" t="n">
        <f aca="false">BA157+BL157</f>
        <v>0</v>
      </c>
      <c r="BA157" s="502" t="n">
        <f aca="false">SUM(BB157:BK157)</f>
        <v>0</v>
      </c>
      <c r="BB157" s="502" t="n">
        <f aca="false">IF($D157="是",I157-J157,0)</f>
        <v>0</v>
      </c>
      <c r="BC157" s="502" t="n">
        <f aca="false">IF($D157="是",K157-L157,0)</f>
        <v>0</v>
      </c>
      <c r="BD157" s="502" t="n">
        <f aca="false">IF($D157="是",M157-N157,0)</f>
        <v>0</v>
      </c>
      <c r="BE157" s="502" t="n">
        <f aca="false">IF($D157="是",O157-P157,0)</f>
        <v>0</v>
      </c>
      <c r="BF157" s="502" t="n">
        <f aca="false">IF($D157="是",Q157-R157,0)</f>
        <v>0</v>
      </c>
      <c r="BG157" s="502" t="n">
        <f aca="false">IF($D157="是",S157-T157,0)</f>
        <v>0</v>
      </c>
      <c r="BH157" s="502" t="n">
        <f aca="false">IF($D157="是",U157-V157,0)</f>
        <v>0</v>
      </c>
      <c r="BI157" s="502" t="n">
        <f aca="false">IF($D157="是",W157-X157,0)</f>
        <v>0</v>
      </c>
      <c r="BJ157" s="502" t="n">
        <f aca="false">IF($D157="是",Y157-Z157,0)</f>
        <v>0</v>
      </c>
      <c r="BK157" s="502" t="n">
        <f aca="false">IF($D157="是",AA157-AB157,0)</f>
        <v>0</v>
      </c>
      <c r="BL157" s="502" t="n">
        <f aca="false">SUM(BM157:BT157)</f>
        <v>0</v>
      </c>
      <c r="BM157" s="502" t="n">
        <f aca="false">IF($D157="是",AD157-AE157,0)</f>
        <v>0</v>
      </c>
      <c r="BN157" s="502" t="n">
        <f aca="false">IF($D157="是",AF157-AG157,0)</f>
        <v>0</v>
      </c>
      <c r="BO157" s="502" t="n">
        <f aca="false">IF($D157="是",AH157-AI157,0)</f>
        <v>0</v>
      </c>
      <c r="BP157" s="502" t="n">
        <f aca="false">IF($D157="是",AJ157-AK157,0)</f>
        <v>0</v>
      </c>
      <c r="BQ157" s="502" t="n">
        <f aca="false">IF($D157="是",AL157-AM157,0)</f>
        <v>0</v>
      </c>
      <c r="BR157" s="502" t="n">
        <f aca="false">IF($D157="是",AN157-AO157,0)</f>
        <v>0</v>
      </c>
      <c r="BS157" s="502" t="n">
        <f aca="false">IF($D157="是",AP157-AQ157,0)</f>
        <v>0</v>
      </c>
      <c r="BT157" s="512" t="n">
        <f aca="false">IF($D157="是",AR157-AS157,0)</f>
        <v>0</v>
      </c>
    </row>
    <row r="158" customFormat="false" ht="14.25" hidden="false" customHeight="false" outlineLevel="0" collapsed="false">
      <c r="A158" s="499"/>
      <c r="B158" s="500"/>
      <c r="C158" s="500"/>
      <c r="D158" s="501"/>
      <c r="E158" s="502" t="n">
        <f aca="false">IF($C$3="是",ROUND($A$3*G158/$B$3,2),ROUND($A$3*(G158-AT158)/$B$3,2))</f>
        <v>0</v>
      </c>
      <c r="F158" s="503"/>
      <c r="G158" s="504" t="n">
        <f aca="false">H158+AC158+AT158</f>
        <v>0</v>
      </c>
      <c r="H158" s="505" t="n">
        <f aca="false">SUMIF(I$12:AB$12,"总值",I158:AB158)</f>
        <v>0</v>
      </c>
      <c r="I158" s="506"/>
      <c r="J158" s="506"/>
      <c r="K158" s="506"/>
      <c r="L158" s="506"/>
      <c r="M158" s="506"/>
      <c r="N158" s="506"/>
      <c r="O158" s="506"/>
      <c r="P158" s="506"/>
      <c r="Q158" s="506"/>
      <c r="R158" s="506"/>
      <c r="S158" s="506"/>
      <c r="T158" s="506"/>
      <c r="U158" s="506"/>
      <c r="V158" s="506"/>
      <c r="W158" s="506"/>
      <c r="X158" s="506"/>
      <c r="Y158" s="506"/>
      <c r="Z158" s="506"/>
      <c r="AA158" s="506"/>
      <c r="AB158" s="506"/>
      <c r="AC158" s="502" t="n">
        <f aca="false">SUMIF(AD$12:AS$12,"总值",AD158:AS158)</f>
        <v>0</v>
      </c>
      <c r="AD158" s="507"/>
      <c r="AE158" s="507"/>
      <c r="AF158" s="507"/>
      <c r="AG158" s="507"/>
      <c r="AH158" s="507"/>
      <c r="AI158" s="507"/>
      <c r="AJ158" s="507"/>
      <c r="AK158" s="507"/>
      <c r="AL158" s="507"/>
      <c r="AM158" s="507"/>
      <c r="AN158" s="507"/>
      <c r="AO158" s="507"/>
      <c r="AP158" s="507"/>
      <c r="AQ158" s="507"/>
      <c r="AR158" s="507"/>
      <c r="AS158" s="507"/>
      <c r="AT158" s="508"/>
      <c r="AU158" s="509"/>
      <c r="AV158" s="510" t="n">
        <f aca="false">A158</f>
        <v>0</v>
      </c>
      <c r="AW158" s="510" t="n">
        <f aca="false">B158</f>
        <v>0</v>
      </c>
      <c r="AX158" s="510" t="n">
        <f aca="false">C158</f>
        <v>0</v>
      </c>
      <c r="AY158" s="511" t="n">
        <f aca="false">ROUND($AY$6*AZ158/$AZ$5,2)</f>
        <v>0</v>
      </c>
      <c r="AZ158" s="502" t="n">
        <f aca="false">BA158+BL158</f>
        <v>0</v>
      </c>
      <c r="BA158" s="502" t="n">
        <f aca="false">SUM(BB158:BK158)</f>
        <v>0</v>
      </c>
      <c r="BB158" s="502" t="n">
        <f aca="false">IF($D158="是",I158-J158,0)</f>
        <v>0</v>
      </c>
      <c r="BC158" s="502" t="n">
        <f aca="false">IF($D158="是",K158-L158,0)</f>
        <v>0</v>
      </c>
      <c r="BD158" s="502" t="n">
        <f aca="false">IF($D158="是",M158-N158,0)</f>
        <v>0</v>
      </c>
      <c r="BE158" s="502" t="n">
        <f aca="false">IF($D158="是",O158-P158,0)</f>
        <v>0</v>
      </c>
      <c r="BF158" s="502" t="n">
        <f aca="false">IF($D158="是",Q158-R158,0)</f>
        <v>0</v>
      </c>
      <c r="BG158" s="502" t="n">
        <f aca="false">IF($D158="是",S158-T158,0)</f>
        <v>0</v>
      </c>
      <c r="BH158" s="502" t="n">
        <f aca="false">IF($D158="是",U158-V158,0)</f>
        <v>0</v>
      </c>
      <c r="BI158" s="502" t="n">
        <f aca="false">IF($D158="是",W158-X158,0)</f>
        <v>0</v>
      </c>
      <c r="BJ158" s="502" t="n">
        <f aca="false">IF($D158="是",Y158-Z158,0)</f>
        <v>0</v>
      </c>
      <c r="BK158" s="502" t="n">
        <f aca="false">IF($D158="是",AA158-AB158,0)</f>
        <v>0</v>
      </c>
      <c r="BL158" s="502" t="n">
        <f aca="false">SUM(BM158:BT158)</f>
        <v>0</v>
      </c>
      <c r="BM158" s="502" t="n">
        <f aca="false">IF($D158="是",AD158-AE158,0)</f>
        <v>0</v>
      </c>
      <c r="BN158" s="502" t="n">
        <f aca="false">IF($D158="是",AF158-AG158,0)</f>
        <v>0</v>
      </c>
      <c r="BO158" s="502" t="n">
        <f aca="false">IF($D158="是",AH158-AI158,0)</f>
        <v>0</v>
      </c>
      <c r="BP158" s="502" t="n">
        <f aca="false">IF($D158="是",AJ158-AK158,0)</f>
        <v>0</v>
      </c>
      <c r="BQ158" s="502" t="n">
        <f aca="false">IF($D158="是",AL158-AM158,0)</f>
        <v>0</v>
      </c>
      <c r="BR158" s="502" t="n">
        <f aca="false">IF($D158="是",AN158-AO158,0)</f>
        <v>0</v>
      </c>
      <c r="BS158" s="502" t="n">
        <f aca="false">IF($D158="是",AP158-AQ158,0)</f>
        <v>0</v>
      </c>
      <c r="BT158" s="512" t="n">
        <f aca="false">IF($D158="是",AR158-AS158,0)</f>
        <v>0</v>
      </c>
    </row>
    <row r="159" customFormat="false" ht="14.25" hidden="false" customHeight="false" outlineLevel="0" collapsed="false">
      <c r="A159" s="499"/>
      <c r="B159" s="500"/>
      <c r="C159" s="500"/>
      <c r="D159" s="501"/>
      <c r="E159" s="502" t="n">
        <f aca="false">IF($C$3="是",ROUND($A$3*G159/$B$3,2),ROUND($A$3*(G159-AT159)/$B$3,2))</f>
        <v>0</v>
      </c>
      <c r="F159" s="503"/>
      <c r="G159" s="504" t="n">
        <f aca="false">H159+AC159+AT159</f>
        <v>0</v>
      </c>
      <c r="H159" s="505" t="n">
        <f aca="false">SUMIF(I$12:AB$12,"总值",I159:AB159)</f>
        <v>0</v>
      </c>
      <c r="I159" s="506"/>
      <c r="J159" s="506"/>
      <c r="K159" s="506"/>
      <c r="L159" s="506"/>
      <c r="M159" s="506"/>
      <c r="N159" s="506"/>
      <c r="O159" s="506"/>
      <c r="P159" s="506"/>
      <c r="Q159" s="506"/>
      <c r="R159" s="506"/>
      <c r="S159" s="506"/>
      <c r="T159" s="506"/>
      <c r="U159" s="506"/>
      <c r="V159" s="506"/>
      <c r="W159" s="506"/>
      <c r="X159" s="506"/>
      <c r="Y159" s="506"/>
      <c r="Z159" s="506"/>
      <c r="AA159" s="506"/>
      <c r="AB159" s="506"/>
      <c r="AC159" s="502" t="n">
        <f aca="false">SUMIF(AD$12:AS$12,"总值",AD159:AS159)</f>
        <v>0</v>
      </c>
      <c r="AD159" s="507"/>
      <c r="AE159" s="507"/>
      <c r="AF159" s="507"/>
      <c r="AG159" s="507"/>
      <c r="AH159" s="507"/>
      <c r="AI159" s="507"/>
      <c r="AJ159" s="507"/>
      <c r="AK159" s="507"/>
      <c r="AL159" s="507"/>
      <c r="AM159" s="507"/>
      <c r="AN159" s="507"/>
      <c r="AO159" s="507"/>
      <c r="AP159" s="507"/>
      <c r="AQ159" s="507"/>
      <c r="AR159" s="507"/>
      <c r="AS159" s="507"/>
      <c r="AT159" s="508"/>
      <c r="AU159" s="509"/>
      <c r="AV159" s="510" t="n">
        <f aca="false">A159</f>
        <v>0</v>
      </c>
      <c r="AW159" s="510" t="n">
        <f aca="false">B159</f>
        <v>0</v>
      </c>
      <c r="AX159" s="510" t="n">
        <f aca="false">C159</f>
        <v>0</v>
      </c>
      <c r="AY159" s="511" t="n">
        <f aca="false">ROUND($AY$6*AZ159/$AZ$5,2)</f>
        <v>0</v>
      </c>
      <c r="AZ159" s="502" t="n">
        <f aca="false">BA159+BL159</f>
        <v>0</v>
      </c>
      <c r="BA159" s="502" t="n">
        <f aca="false">SUM(BB159:BK159)</f>
        <v>0</v>
      </c>
      <c r="BB159" s="502" t="n">
        <f aca="false">IF($D159="是",I159-J159,0)</f>
        <v>0</v>
      </c>
      <c r="BC159" s="502" t="n">
        <f aca="false">IF($D159="是",K159-L159,0)</f>
        <v>0</v>
      </c>
      <c r="BD159" s="502" t="n">
        <f aca="false">IF($D159="是",M159-N159,0)</f>
        <v>0</v>
      </c>
      <c r="BE159" s="502" t="n">
        <f aca="false">IF($D159="是",O159-P159,0)</f>
        <v>0</v>
      </c>
      <c r="BF159" s="502" t="n">
        <f aca="false">IF($D159="是",Q159-R159,0)</f>
        <v>0</v>
      </c>
      <c r="BG159" s="502" t="n">
        <f aca="false">IF($D159="是",S159-T159,0)</f>
        <v>0</v>
      </c>
      <c r="BH159" s="502" t="n">
        <f aca="false">IF($D159="是",U159-V159,0)</f>
        <v>0</v>
      </c>
      <c r="BI159" s="502" t="n">
        <f aca="false">IF($D159="是",W159-X159,0)</f>
        <v>0</v>
      </c>
      <c r="BJ159" s="502" t="n">
        <f aca="false">IF($D159="是",Y159-Z159,0)</f>
        <v>0</v>
      </c>
      <c r="BK159" s="502" t="n">
        <f aca="false">IF($D159="是",AA159-AB159,0)</f>
        <v>0</v>
      </c>
      <c r="BL159" s="502" t="n">
        <f aca="false">SUM(BM159:BT159)</f>
        <v>0</v>
      </c>
      <c r="BM159" s="502" t="n">
        <f aca="false">IF($D159="是",AD159-AE159,0)</f>
        <v>0</v>
      </c>
      <c r="BN159" s="502" t="n">
        <f aca="false">IF($D159="是",AF159-AG159,0)</f>
        <v>0</v>
      </c>
      <c r="BO159" s="502" t="n">
        <f aca="false">IF($D159="是",AH159-AI159,0)</f>
        <v>0</v>
      </c>
      <c r="BP159" s="502" t="n">
        <f aca="false">IF($D159="是",AJ159-AK159,0)</f>
        <v>0</v>
      </c>
      <c r="BQ159" s="502" t="n">
        <f aca="false">IF($D159="是",AL159-AM159,0)</f>
        <v>0</v>
      </c>
      <c r="BR159" s="502" t="n">
        <f aca="false">IF($D159="是",AN159-AO159,0)</f>
        <v>0</v>
      </c>
      <c r="BS159" s="502" t="n">
        <f aca="false">IF($D159="是",AP159-AQ159,0)</f>
        <v>0</v>
      </c>
      <c r="BT159" s="512" t="n">
        <f aca="false">IF($D159="是",AR159-AS159,0)</f>
        <v>0</v>
      </c>
    </row>
    <row r="160" customFormat="false" ht="14.25" hidden="false" customHeight="false" outlineLevel="0" collapsed="false">
      <c r="A160" s="499"/>
      <c r="B160" s="500"/>
      <c r="C160" s="500"/>
      <c r="D160" s="501"/>
      <c r="E160" s="502" t="n">
        <f aca="false">IF($C$3="是",ROUND($A$3*G160/$B$3,2),ROUND($A$3*(G160-AT160)/$B$3,2))</f>
        <v>0</v>
      </c>
      <c r="F160" s="503"/>
      <c r="G160" s="504" t="n">
        <f aca="false">H160+AC160+AT160</f>
        <v>0</v>
      </c>
      <c r="H160" s="505" t="n">
        <f aca="false">SUMIF(I$12:AB$12,"总值",I160:AB160)</f>
        <v>0</v>
      </c>
      <c r="I160" s="506"/>
      <c r="J160" s="506"/>
      <c r="K160" s="506"/>
      <c r="L160" s="506"/>
      <c r="M160" s="506"/>
      <c r="N160" s="506"/>
      <c r="O160" s="506"/>
      <c r="P160" s="506"/>
      <c r="Q160" s="506"/>
      <c r="R160" s="506"/>
      <c r="S160" s="506"/>
      <c r="T160" s="506"/>
      <c r="U160" s="506"/>
      <c r="V160" s="506"/>
      <c r="W160" s="506"/>
      <c r="X160" s="506"/>
      <c r="Y160" s="506"/>
      <c r="Z160" s="506"/>
      <c r="AA160" s="506"/>
      <c r="AB160" s="506"/>
      <c r="AC160" s="502" t="n">
        <f aca="false">SUMIF(AD$12:AS$12,"总值",AD160:AS160)</f>
        <v>0</v>
      </c>
      <c r="AD160" s="507"/>
      <c r="AE160" s="507"/>
      <c r="AF160" s="507"/>
      <c r="AG160" s="507"/>
      <c r="AH160" s="507"/>
      <c r="AI160" s="507"/>
      <c r="AJ160" s="507"/>
      <c r="AK160" s="507"/>
      <c r="AL160" s="507"/>
      <c r="AM160" s="507"/>
      <c r="AN160" s="507"/>
      <c r="AO160" s="507"/>
      <c r="AP160" s="507"/>
      <c r="AQ160" s="507"/>
      <c r="AR160" s="507"/>
      <c r="AS160" s="507"/>
      <c r="AT160" s="508"/>
      <c r="AU160" s="509"/>
      <c r="AV160" s="510" t="n">
        <f aca="false">A160</f>
        <v>0</v>
      </c>
      <c r="AW160" s="510" t="n">
        <f aca="false">B160</f>
        <v>0</v>
      </c>
      <c r="AX160" s="510" t="n">
        <f aca="false">C160</f>
        <v>0</v>
      </c>
      <c r="AY160" s="511" t="n">
        <f aca="false">ROUND($AY$6*AZ160/$AZ$5,2)</f>
        <v>0</v>
      </c>
      <c r="AZ160" s="502" t="n">
        <f aca="false">BA160+BL160</f>
        <v>0</v>
      </c>
      <c r="BA160" s="502" t="n">
        <f aca="false">SUM(BB160:BK160)</f>
        <v>0</v>
      </c>
      <c r="BB160" s="502" t="n">
        <f aca="false">IF($D160="是",I160-J160,0)</f>
        <v>0</v>
      </c>
      <c r="BC160" s="502" t="n">
        <f aca="false">IF($D160="是",K160-L160,0)</f>
        <v>0</v>
      </c>
      <c r="BD160" s="502" t="n">
        <f aca="false">IF($D160="是",M160-N160,0)</f>
        <v>0</v>
      </c>
      <c r="BE160" s="502" t="n">
        <f aca="false">IF($D160="是",O160-P160,0)</f>
        <v>0</v>
      </c>
      <c r="BF160" s="502" t="n">
        <f aca="false">IF($D160="是",Q160-R160,0)</f>
        <v>0</v>
      </c>
      <c r="BG160" s="502" t="n">
        <f aca="false">IF($D160="是",S160-T160,0)</f>
        <v>0</v>
      </c>
      <c r="BH160" s="502" t="n">
        <f aca="false">IF($D160="是",U160-V160,0)</f>
        <v>0</v>
      </c>
      <c r="BI160" s="502" t="n">
        <f aca="false">IF($D160="是",W160-X160,0)</f>
        <v>0</v>
      </c>
      <c r="BJ160" s="502" t="n">
        <f aca="false">IF($D160="是",Y160-Z160,0)</f>
        <v>0</v>
      </c>
      <c r="BK160" s="502" t="n">
        <f aca="false">IF($D160="是",AA160-AB160,0)</f>
        <v>0</v>
      </c>
      <c r="BL160" s="502" t="n">
        <f aca="false">SUM(BM160:BT160)</f>
        <v>0</v>
      </c>
      <c r="BM160" s="502" t="n">
        <f aca="false">IF($D160="是",AD160-AE160,0)</f>
        <v>0</v>
      </c>
      <c r="BN160" s="502" t="n">
        <f aca="false">IF($D160="是",AF160-AG160,0)</f>
        <v>0</v>
      </c>
      <c r="BO160" s="502" t="n">
        <f aca="false">IF($D160="是",AH160-AI160,0)</f>
        <v>0</v>
      </c>
      <c r="BP160" s="502" t="n">
        <f aca="false">IF($D160="是",AJ160-AK160,0)</f>
        <v>0</v>
      </c>
      <c r="BQ160" s="502" t="n">
        <f aca="false">IF($D160="是",AL160-AM160,0)</f>
        <v>0</v>
      </c>
      <c r="BR160" s="502" t="n">
        <f aca="false">IF($D160="是",AN160-AO160,0)</f>
        <v>0</v>
      </c>
      <c r="BS160" s="502" t="n">
        <f aca="false">IF($D160="是",AP160-AQ160,0)</f>
        <v>0</v>
      </c>
      <c r="BT160" s="512" t="n">
        <f aca="false">IF($D160="是",AR160-AS160,0)</f>
        <v>0</v>
      </c>
    </row>
    <row r="161" customFormat="false" ht="14.25" hidden="false" customHeight="false" outlineLevel="0" collapsed="false">
      <c r="A161" s="499"/>
      <c r="B161" s="500"/>
      <c r="C161" s="500"/>
      <c r="D161" s="501"/>
      <c r="E161" s="502" t="n">
        <f aca="false">IF($C$3="是",ROUND($A$3*G161/$B$3,2),ROUND($A$3*(G161-AT161)/$B$3,2))</f>
        <v>0</v>
      </c>
      <c r="F161" s="503"/>
      <c r="G161" s="504" t="n">
        <f aca="false">H161+AC161+AT161</f>
        <v>0</v>
      </c>
      <c r="H161" s="505" t="n">
        <f aca="false">SUMIF(I$12:AB$12,"总值",I161:AB161)</f>
        <v>0</v>
      </c>
      <c r="I161" s="506"/>
      <c r="J161" s="506"/>
      <c r="K161" s="506"/>
      <c r="L161" s="506"/>
      <c r="M161" s="506"/>
      <c r="N161" s="506"/>
      <c r="O161" s="506"/>
      <c r="P161" s="506"/>
      <c r="Q161" s="506"/>
      <c r="R161" s="506"/>
      <c r="S161" s="506"/>
      <c r="T161" s="506"/>
      <c r="U161" s="506"/>
      <c r="V161" s="506"/>
      <c r="W161" s="506"/>
      <c r="X161" s="506"/>
      <c r="Y161" s="506"/>
      <c r="Z161" s="506"/>
      <c r="AA161" s="506"/>
      <c r="AB161" s="506"/>
      <c r="AC161" s="502" t="n">
        <f aca="false">SUMIF(AD$12:AS$12,"总值",AD161:AS161)</f>
        <v>0</v>
      </c>
      <c r="AD161" s="507"/>
      <c r="AE161" s="507"/>
      <c r="AF161" s="507"/>
      <c r="AG161" s="507"/>
      <c r="AH161" s="507"/>
      <c r="AI161" s="507"/>
      <c r="AJ161" s="507"/>
      <c r="AK161" s="507"/>
      <c r="AL161" s="507"/>
      <c r="AM161" s="507"/>
      <c r="AN161" s="507"/>
      <c r="AO161" s="507"/>
      <c r="AP161" s="507"/>
      <c r="AQ161" s="507"/>
      <c r="AR161" s="507"/>
      <c r="AS161" s="507"/>
      <c r="AT161" s="508"/>
      <c r="AU161" s="509"/>
      <c r="AV161" s="510" t="n">
        <f aca="false">A161</f>
        <v>0</v>
      </c>
      <c r="AW161" s="510" t="n">
        <f aca="false">B161</f>
        <v>0</v>
      </c>
      <c r="AX161" s="510" t="n">
        <f aca="false">C161</f>
        <v>0</v>
      </c>
      <c r="AY161" s="511" t="n">
        <f aca="false">ROUND($AY$6*AZ161/$AZ$5,2)</f>
        <v>0</v>
      </c>
      <c r="AZ161" s="502" t="n">
        <f aca="false">BA161+BL161</f>
        <v>0</v>
      </c>
      <c r="BA161" s="502" t="n">
        <f aca="false">SUM(BB161:BK161)</f>
        <v>0</v>
      </c>
      <c r="BB161" s="502" t="n">
        <f aca="false">IF($D161="是",I161-J161,0)</f>
        <v>0</v>
      </c>
      <c r="BC161" s="502" t="n">
        <f aca="false">IF($D161="是",K161-L161,0)</f>
        <v>0</v>
      </c>
      <c r="BD161" s="502" t="n">
        <f aca="false">IF($D161="是",M161-N161,0)</f>
        <v>0</v>
      </c>
      <c r="BE161" s="502" t="n">
        <f aca="false">IF($D161="是",O161-P161,0)</f>
        <v>0</v>
      </c>
      <c r="BF161" s="502" t="n">
        <f aca="false">IF($D161="是",Q161-R161,0)</f>
        <v>0</v>
      </c>
      <c r="BG161" s="502" t="n">
        <f aca="false">IF($D161="是",S161-T161,0)</f>
        <v>0</v>
      </c>
      <c r="BH161" s="502" t="n">
        <f aca="false">IF($D161="是",U161-V161,0)</f>
        <v>0</v>
      </c>
      <c r="BI161" s="502" t="n">
        <f aca="false">IF($D161="是",W161-X161,0)</f>
        <v>0</v>
      </c>
      <c r="BJ161" s="502" t="n">
        <f aca="false">IF($D161="是",Y161-Z161,0)</f>
        <v>0</v>
      </c>
      <c r="BK161" s="502" t="n">
        <f aca="false">IF($D161="是",AA161-AB161,0)</f>
        <v>0</v>
      </c>
      <c r="BL161" s="502" t="n">
        <f aca="false">SUM(BM161:BT161)</f>
        <v>0</v>
      </c>
      <c r="BM161" s="502" t="n">
        <f aca="false">IF($D161="是",AD161-AE161,0)</f>
        <v>0</v>
      </c>
      <c r="BN161" s="502" t="n">
        <f aca="false">IF($D161="是",AF161-AG161,0)</f>
        <v>0</v>
      </c>
      <c r="BO161" s="502" t="n">
        <f aca="false">IF($D161="是",AH161-AI161,0)</f>
        <v>0</v>
      </c>
      <c r="BP161" s="502" t="n">
        <f aca="false">IF($D161="是",AJ161-AK161,0)</f>
        <v>0</v>
      </c>
      <c r="BQ161" s="502" t="n">
        <f aca="false">IF($D161="是",AL161-AM161,0)</f>
        <v>0</v>
      </c>
      <c r="BR161" s="502" t="n">
        <f aca="false">IF($D161="是",AN161-AO161,0)</f>
        <v>0</v>
      </c>
      <c r="BS161" s="502" t="n">
        <f aca="false">IF($D161="是",AP161-AQ161,0)</f>
        <v>0</v>
      </c>
      <c r="BT161" s="512" t="n">
        <f aca="false">IF($D161="是",AR161-AS161,0)</f>
        <v>0</v>
      </c>
    </row>
    <row r="162" customFormat="false" ht="14.25" hidden="false" customHeight="false" outlineLevel="0" collapsed="false">
      <c r="A162" s="499"/>
      <c r="B162" s="500"/>
      <c r="C162" s="500"/>
      <c r="D162" s="501"/>
      <c r="E162" s="502" t="n">
        <f aca="false">IF($C$3="是",ROUND($A$3*G162/$B$3,2),ROUND($A$3*(G162-AT162)/$B$3,2))</f>
        <v>0</v>
      </c>
      <c r="F162" s="503"/>
      <c r="G162" s="504" t="n">
        <f aca="false">H162+AC162+AT162</f>
        <v>0</v>
      </c>
      <c r="H162" s="505" t="n">
        <f aca="false">SUMIF(I$12:AB$12,"总值",I162:AB162)</f>
        <v>0</v>
      </c>
      <c r="I162" s="506"/>
      <c r="J162" s="506"/>
      <c r="K162" s="506"/>
      <c r="L162" s="506"/>
      <c r="M162" s="506"/>
      <c r="N162" s="506"/>
      <c r="O162" s="506"/>
      <c r="P162" s="506"/>
      <c r="Q162" s="506"/>
      <c r="R162" s="506"/>
      <c r="S162" s="506"/>
      <c r="T162" s="506"/>
      <c r="U162" s="506"/>
      <c r="V162" s="506"/>
      <c r="W162" s="506"/>
      <c r="X162" s="506"/>
      <c r="Y162" s="506"/>
      <c r="Z162" s="506"/>
      <c r="AA162" s="506"/>
      <c r="AB162" s="506"/>
      <c r="AC162" s="502" t="n">
        <f aca="false">SUMIF(AD$12:AS$12,"总值",AD162:AS162)</f>
        <v>0</v>
      </c>
      <c r="AD162" s="507"/>
      <c r="AE162" s="507"/>
      <c r="AF162" s="507"/>
      <c r="AG162" s="507"/>
      <c r="AH162" s="507"/>
      <c r="AI162" s="507"/>
      <c r="AJ162" s="507"/>
      <c r="AK162" s="507"/>
      <c r="AL162" s="507"/>
      <c r="AM162" s="507"/>
      <c r="AN162" s="507"/>
      <c r="AO162" s="507"/>
      <c r="AP162" s="507"/>
      <c r="AQ162" s="507"/>
      <c r="AR162" s="507"/>
      <c r="AS162" s="507"/>
      <c r="AT162" s="508"/>
      <c r="AU162" s="509"/>
      <c r="AV162" s="510" t="n">
        <f aca="false">A162</f>
        <v>0</v>
      </c>
      <c r="AW162" s="510" t="n">
        <f aca="false">B162</f>
        <v>0</v>
      </c>
      <c r="AX162" s="510" t="n">
        <f aca="false">C162</f>
        <v>0</v>
      </c>
      <c r="AY162" s="511" t="n">
        <f aca="false">ROUND($AY$6*AZ162/$AZ$5,2)</f>
        <v>0</v>
      </c>
      <c r="AZ162" s="502" t="n">
        <f aca="false">BA162+BL162</f>
        <v>0</v>
      </c>
      <c r="BA162" s="502" t="n">
        <f aca="false">SUM(BB162:BK162)</f>
        <v>0</v>
      </c>
      <c r="BB162" s="502" t="n">
        <f aca="false">IF($D162="是",I162-J162,0)</f>
        <v>0</v>
      </c>
      <c r="BC162" s="502" t="n">
        <f aca="false">IF($D162="是",K162-L162,0)</f>
        <v>0</v>
      </c>
      <c r="BD162" s="502" t="n">
        <f aca="false">IF($D162="是",M162-N162,0)</f>
        <v>0</v>
      </c>
      <c r="BE162" s="502" t="n">
        <f aca="false">IF($D162="是",O162-P162,0)</f>
        <v>0</v>
      </c>
      <c r="BF162" s="502" t="n">
        <f aca="false">IF($D162="是",Q162-R162,0)</f>
        <v>0</v>
      </c>
      <c r="BG162" s="502" t="n">
        <f aca="false">IF($D162="是",S162-T162,0)</f>
        <v>0</v>
      </c>
      <c r="BH162" s="502" t="n">
        <f aca="false">IF($D162="是",U162-V162,0)</f>
        <v>0</v>
      </c>
      <c r="BI162" s="502" t="n">
        <f aca="false">IF($D162="是",W162-X162,0)</f>
        <v>0</v>
      </c>
      <c r="BJ162" s="502" t="n">
        <f aca="false">IF($D162="是",Y162-Z162,0)</f>
        <v>0</v>
      </c>
      <c r="BK162" s="502" t="n">
        <f aca="false">IF($D162="是",AA162-AB162,0)</f>
        <v>0</v>
      </c>
      <c r="BL162" s="502" t="n">
        <f aca="false">SUM(BM162:BT162)</f>
        <v>0</v>
      </c>
      <c r="BM162" s="502" t="n">
        <f aca="false">IF($D162="是",AD162-AE162,0)</f>
        <v>0</v>
      </c>
      <c r="BN162" s="502" t="n">
        <f aca="false">IF($D162="是",AF162-AG162,0)</f>
        <v>0</v>
      </c>
      <c r="BO162" s="502" t="n">
        <f aca="false">IF($D162="是",AH162-AI162,0)</f>
        <v>0</v>
      </c>
      <c r="BP162" s="502" t="n">
        <f aca="false">IF($D162="是",AJ162-AK162,0)</f>
        <v>0</v>
      </c>
      <c r="BQ162" s="502" t="n">
        <f aca="false">IF($D162="是",AL162-AM162,0)</f>
        <v>0</v>
      </c>
      <c r="BR162" s="502" t="n">
        <f aca="false">IF($D162="是",AN162-AO162,0)</f>
        <v>0</v>
      </c>
      <c r="BS162" s="502" t="n">
        <f aca="false">IF($D162="是",AP162-AQ162,0)</f>
        <v>0</v>
      </c>
      <c r="BT162" s="512" t="n">
        <f aca="false">IF($D162="是",AR162-AS162,0)</f>
        <v>0</v>
      </c>
    </row>
    <row r="163" customFormat="false" ht="14.25" hidden="false" customHeight="false" outlineLevel="0" collapsed="false">
      <c r="A163" s="499"/>
      <c r="B163" s="500"/>
      <c r="C163" s="500"/>
      <c r="D163" s="501"/>
      <c r="E163" s="502" t="n">
        <f aca="false">IF($C$3="是",ROUND($A$3*G163/$B$3,2),ROUND($A$3*(G163-AT163)/$B$3,2))</f>
        <v>0</v>
      </c>
      <c r="F163" s="503"/>
      <c r="G163" s="504" t="n">
        <f aca="false">H163+AC163+AT163</f>
        <v>0</v>
      </c>
      <c r="H163" s="505" t="n">
        <f aca="false">SUMIF(I$12:AB$12,"总值",I163:AB163)</f>
        <v>0</v>
      </c>
      <c r="I163" s="506"/>
      <c r="J163" s="506"/>
      <c r="K163" s="506"/>
      <c r="L163" s="506"/>
      <c r="M163" s="506"/>
      <c r="N163" s="506"/>
      <c r="O163" s="506"/>
      <c r="P163" s="506"/>
      <c r="Q163" s="506"/>
      <c r="R163" s="506"/>
      <c r="S163" s="506"/>
      <c r="T163" s="506"/>
      <c r="U163" s="506"/>
      <c r="V163" s="506"/>
      <c r="W163" s="506"/>
      <c r="X163" s="506"/>
      <c r="Y163" s="506"/>
      <c r="Z163" s="506"/>
      <c r="AA163" s="506"/>
      <c r="AB163" s="506"/>
      <c r="AC163" s="502" t="n">
        <f aca="false">SUMIF(AD$12:AS$12,"总值",AD163:AS163)</f>
        <v>0</v>
      </c>
      <c r="AD163" s="507"/>
      <c r="AE163" s="507"/>
      <c r="AF163" s="507"/>
      <c r="AG163" s="507"/>
      <c r="AH163" s="507"/>
      <c r="AI163" s="507"/>
      <c r="AJ163" s="507"/>
      <c r="AK163" s="507"/>
      <c r="AL163" s="507"/>
      <c r="AM163" s="507"/>
      <c r="AN163" s="507"/>
      <c r="AO163" s="507"/>
      <c r="AP163" s="507"/>
      <c r="AQ163" s="507"/>
      <c r="AR163" s="507"/>
      <c r="AS163" s="507"/>
      <c r="AT163" s="508"/>
      <c r="AU163" s="509"/>
      <c r="AV163" s="510" t="n">
        <f aca="false">A163</f>
        <v>0</v>
      </c>
      <c r="AW163" s="510" t="n">
        <f aca="false">B163</f>
        <v>0</v>
      </c>
      <c r="AX163" s="510" t="n">
        <f aca="false">C163</f>
        <v>0</v>
      </c>
      <c r="AY163" s="511" t="n">
        <f aca="false">ROUND($AY$6*AZ163/$AZ$5,2)</f>
        <v>0</v>
      </c>
      <c r="AZ163" s="502" t="n">
        <f aca="false">BA163+BL163</f>
        <v>0</v>
      </c>
      <c r="BA163" s="502" t="n">
        <f aca="false">SUM(BB163:BK163)</f>
        <v>0</v>
      </c>
      <c r="BB163" s="502" t="n">
        <f aca="false">IF($D163="是",I163-J163,0)</f>
        <v>0</v>
      </c>
      <c r="BC163" s="502" t="n">
        <f aca="false">IF($D163="是",K163-L163,0)</f>
        <v>0</v>
      </c>
      <c r="BD163" s="502" t="n">
        <f aca="false">IF($D163="是",M163-N163,0)</f>
        <v>0</v>
      </c>
      <c r="BE163" s="502" t="n">
        <f aca="false">IF($D163="是",O163-P163,0)</f>
        <v>0</v>
      </c>
      <c r="BF163" s="502" t="n">
        <f aca="false">IF($D163="是",Q163-R163,0)</f>
        <v>0</v>
      </c>
      <c r="BG163" s="502" t="n">
        <f aca="false">IF($D163="是",S163-T163,0)</f>
        <v>0</v>
      </c>
      <c r="BH163" s="502" t="n">
        <f aca="false">IF($D163="是",U163-V163,0)</f>
        <v>0</v>
      </c>
      <c r="BI163" s="502" t="n">
        <f aca="false">IF($D163="是",W163-X163,0)</f>
        <v>0</v>
      </c>
      <c r="BJ163" s="502" t="n">
        <f aca="false">IF($D163="是",Y163-Z163,0)</f>
        <v>0</v>
      </c>
      <c r="BK163" s="502" t="n">
        <f aca="false">IF($D163="是",AA163-AB163,0)</f>
        <v>0</v>
      </c>
      <c r="BL163" s="502" t="n">
        <f aca="false">SUM(BM163:BT163)</f>
        <v>0</v>
      </c>
      <c r="BM163" s="502" t="n">
        <f aca="false">IF($D163="是",AD163-AE163,0)</f>
        <v>0</v>
      </c>
      <c r="BN163" s="502" t="n">
        <f aca="false">IF($D163="是",AF163-AG163,0)</f>
        <v>0</v>
      </c>
      <c r="BO163" s="502" t="n">
        <f aca="false">IF($D163="是",AH163-AI163,0)</f>
        <v>0</v>
      </c>
      <c r="BP163" s="502" t="n">
        <f aca="false">IF($D163="是",AJ163-AK163,0)</f>
        <v>0</v>
      </c>
      <c r="BQ163" s="502" t="n">
        <f aca="false">IF($D163="是",AL163-AM163,0)</f>
        <v>0</v>
      </c>
      <c r="BR163" s="502" t="n">
        <f aca="false">IF($D163="是",AN163-AO163,0)</f>
        <v>0</v>
      </c>
      <c r="BS163" s="502" t="n">
        <f aca="false">IF($D163="是",AP163-AQ163,0)</f>
        <v>0</v>
      </c>
      <c r="BT163" s="512" t="n">
        <f aca="false">IF($D163="是",AR163-AS163,0)</f>
        <v>0</v>
      </c>
    </row>
    <row r="164" customFormat="false" ht="14.25" hidden="false" customHeight="false" outlineLevel="0" collapsed="false">
      <c r="A164" s="499"/>
      <c r="B164" s="500"/>
      <c r="C164" s="500"/>
      <c r="D164" s="501"/>
      <c r="E164" s="502" t="n">
        <f aca="false">IF($C$3="是",ROUND($A$3*G164/$B$3,2),ROUND($A$3*(G164-AT164)/$B$3,2))</f>
        <v>0</v>
      </c>
      <c r="F164" s="503"/>
      <c r="G164" s="504" t="n">
        <f aca="false">H164+AC164+AT164</f>
        <v>0</v>
      </c>
      <c r="H164" s="505" t="n">
        <f aca="false">SUMIF(I$12:AB$12,"总值",I164:AB164)</f>
        <v>0</v>
      </c>
      <c r="I164" s="506"/>
      <c r="J164" s="506"/>
      <c r="K164" s="506"/>
      <c r="L164" s="506"/>
      <c r="M164" s="506"/>
      <c r="N164" s="506"/>
      <c r="O164" s="506"/>
      <c r="P164" s="506"/>
      <c r="Q164" s="506"/>
      <c r="R164" s="506"/>
      <c r="S164" s="506"/>
      <c r="T164" s="506"/>
      <c r="U164" s="506"/>
      <c r="V164" s="506"/>
      <c r="W164" s="506"/>
      <c r="X164" s="506"/>
      <c r="Y164" s="506"/>
      <c r="Z164" s="506"/>
      <c r="AA164" s="506"/>
      <c r="AB164" s="506"/>
      <c r="AC164" s="502" t="n">
        <f aca="false">SUMIF(AD$12:AS$12,"总值",AD164:AS164)</f>
        <v>0</v>
      </c>
      <c r="AD164" s="507"/>
      <c r="AE164" s="507"/>
      <c r="AF164" s="507"/>
      <c r="AG164" s="507"/>
      <c r="AH164" s="507"/>
      <c r="AI164" s="507"/>
      <c r="AJ164" s="507"/>
      <c r="AK164" s="507"/>
      <c r="AL164" s="507"/>
      <c r="AM164" s="507"/>
      <c r="AN164" s="507"/>
      <c r="AO164" s="507"/>
      <c r="AP164" s="507"/>
      <c r="AQ164" s="507"/>
      <c r="AR164" s="507"/>
      <c r="AS164" s="507"/>
      <c r="AT164" s="508"/>
      <c r="AU164" s="509"/>
      <c r="AV164" s="510" t="n">
        <f aca="false">A164</f>
        <v>0</v>
      </c>
      <c r="AW164" s="510" t="n">
        <f aca="false">B164</f>
        <v>0</v>
      </c>
      <c r="AX164" s="510" t="n">
        <f aca="false">C164</f>
        <v>0</v>
      </c>
      <c r="AY164" s="511" t="n">
        <f aca="false">ROUND($AY$6*AZ164/$AZ$5,2)</f>
        <v>0</v>
      </c>
      <c r="AZ164" s="502" t="n">
        <f aca="false">BA164+BL164</f>
        <v>0</v>
      </c>
      <c r="BA164" s="502" t="n">
        <f aca="false">SUM(BB164:BK164)</f>
        <v>0</v>
      </c>
      <c r="BB164" s="502" t="n">
        <f aca="false">IF($D164="是",I164-J164,0)</f>
        <v>0</v>
      </c>
      <c r="BC164" s="502" t="n">
        <f aca="false">IF($D164="是",K164-L164,0)</f>
        <v>0</v>
      </c>
      <c r="BD164" s="502" t="n">
        <f aca="false">IF($D164="是",M164-N164,0)</f>
        <v>0</v>
      </c>
      <c r="BE164" s="502" t="n">
        <f aca="false">IF($D164="是",O164-P164,0)</f>
        <v>0</v>
      </c>
      <c r="BF164" s="502" t="n">
        <f aca="false">IF($D164="是",Q164-R164,0)</f>
        <v>0</v>
      </c>
      <c r="BG164" s="502" t="n">
        <f aca="false">IF($D164="是",S164-T164,0)</f>
        <v>0</v>
      </c>
      <c r="BH164" s="502" t="n">
        <f aca="false">IF($D164="是",U164-V164,0)</f>
        <v>0</v>
      </c>
      <c r="BI164" s="502" t="n">
        <f aca="false">IF($D164="是",W164-X164,0)</f>
        <v>0</v>
      </c>
      <c r="BJ164" s="502" t="n">
        <f aca="false">IF($D164="是",Y164-Z164,0)</f>
        <v>0</v>
      </c>
      <c r="BK164" s="502" t="n">
        <f aca="false">IF($D164="是",AA164-AB164,0)</f>
        <v>0</v>
      </c>
      <c r="BL164" s="502" t="n">
        <f aca="false">SUM(BM164:BT164)</f>
        <v>0</v>
      </c>
      <c r="BM164" s="502" t="n">
        <f aca="false">IF($D164="是",AD164-AE164,0)</f>
        <v>0</v>
      </c>
      <c r="BN164" s="502" t="n">
        <f aca="false">IF($D164="是",AF164-AG164,0)</f>
        <v>0</v>
      </c>
      <c r="BO164" s="502" t="n">
        <f aca="false">IF($D164="是",AH164-AI164,0)</f>
        <v>0</v>
      </c>
      <c r="BP164" s="502" t="n">
        <f aca="false">IF($D164="是",AJ164-AK164,0)</f>
        <v>0</v>
      </c>
      <c r="BQ164" s="502" t="n">
        <f aca="false">IF($D164="是",AL164-AM164,0)</f>
        <v>0</v>
      </c>
      <c r="BR164" s="502" t="n">
        <f aca="false">IF($D164="是",AN164-AO164,0)</f>
        <v>0</v>
      </c>
      <c r="BS164" s="502" t="n">
        <f aca="false">IF($D164="是",AP164-AQ164,0)</f>
        <v>0</v>
      </c>
      <c r="BT164" s="512" t="n">
        <f aca="false">IF($D164="是",AR164-AS164,0)</f>
        <v>0</v>
      </c>
    </row>
    <row r="165" customFormat="false" ht="14.25" hidden="false" customHeight="false" outlineLevel="0" collapsed="false">
      <c r="A165" s="499"/>
      <c r="B165" s="500"/>
      <c r="C165" s="500"/>
      <c r="D165" s="501"/>
      <c r="E165" s="502" t="n">
        <f aca="false">IF($C$3="是",ROUND($A$3*G165/$B$3,2),ROUND($A$3*(G165-AT165)/$B$3,2))</f>
        <v>0</v>
      </c>
      <c r="F165" s="503"/>
      <c r="G165" s="504" t="n">
        <f aca="false">H165+AC165+AT165</f>
        <v>0</v>
      </c>
      <c r="H165" s="505" t="n">
        <f aca="false">SUMIF(I$12:AB$12,"总值",I165:AB165)</f>
        <v>0</v>
      </c>
      <c r="I165" s="506"/>
      <c r="J165" s="506"/>
      <c r="K165" s="506"/>
      <c r="L165" s="506"/>
      <c r="M165" s="506"/>
      <c r="N165" s="506"/>
      <c r="O165" s="506"/>
      <c r="P165" s="506"/>
      <c r="Q165" s="506"/>
      <c r="R165" s="506"/>
      <c r="S165" s="506"/>
      <c r="T165" s="506"/>
      <c r="U165" s="506"/>
      <c r="V165" s="506"/>
      <c r="W165" s="506"/>
      <c r="X165" s="506"/>
      <c r="Y165" s="506"/>
      <c r="Z165" s="506"/>
      <c r="AA165" s="506"/>
      <c r="AB165" s="506"/>
      <c r="AC165" s="502" t="n">
        <f aca="false">SUMIF(AD$12:AS$12,"总值",AD165:AS165)</f>
        <v>0</v>
      </c>
      <c r="AD165" s="507"/>
      <c r="AE165" s="507"/>
      <c r="AF165" s="507"/>
      <c r="AG165" s="507"/>
      <c r="AH165" s="507"/>
      <c r="AI165" s="507"/>
      <c r="AJ165" s="507"/>
      <c r="AK165" s="507"/>
      <c r="AL165" s="507"/>
      <c r="AM165" s="507"/>
      <c r="AN165" s="507"/>
      <c r="AO165" s="507"/>
      <c r="AP165" s="507"/>
      <c r="AQ165" s="507"/>
      <c r="AR165" s="507"/>
      <c r="AS165" s="507"/>
      <c r="AT165" s="508"/>
      <c r="AU165" s="509"/>
      <c r="AV165" s="510" t="n">
        <f aca="false">A165</f>
        <v>0</v>
      </c>
      <c r="AW165" s="510" t="n">
        <f aca="false">B165</f>
        <v>0</v>
      </c>
      <c r="AX165" s="510" t="n">
        <f aca="false">C165</f>
        <v>0</v>
      </c>
      <c r="AY165" s="511" t="n">
        <f aca="false">ROUND($AY$6*AZ165/$AZ$5,2)</f>
        <v>0</v>
      </c>
      <c r="AZ165" s="502" t="n">
        <f aca="false">BA165+BL165</f>
        <v>0</v>
      </c>
      <c r="BA165" s="502" t="n">
        <f aca="false">SUM(BB165:BK165)</f>
        <v>0</v>
      </c>
      <c r="BB165" s="502" t="n">
        <f aca="false">IF($D165="是",I165-J165,0)</f>
        <v>0</v>
      </c>
      <c r="BC165" s="502" t="n">
        <f aca="false">IF($D165="是",K165-L165,0)</f>
        <v>0</v>
      </c>
      <c r="BD165" s="502" t="n">
        <f aca="false">IF($D165="是",M165-N165,0)</f>
        <v>0</v>
      </c>
      <c r="BE165" s="502" t="n">
        <f aca="false">IF($D165="是",O165-P165,0)</f>
        <v>0</v>
      </c>
      <c r="BF165" s="502" t="n">
        <f aca="false">IF($D165="是",Q165-R165,0)</f>
        <v>0</v>
      </c>
      <c r="BG165" s="502" t="n">
        <f aca="false">IF($D165="是",S165-T165,0)</f>
        <v>0</v>
      </c>
      <c r="BH165" s="502" t="n">
        <f aca="false">IF($D165="是",U165-V165,0)</f>
        <v>0</v>
      </c>
      <c r="BI165" s="502" t="n">
        <f aca="false">IF($D165="是",W165-X165,0)</f>
        <v>0</v>
      </c>
      <c r="BJ165" s="502" t="n">
        <f aca="false">IF($D165="是",Y165-Z165,0)</f>
        <v>0</v>
      </c>
      <c r="BK165" s="502" t="n">
        <f aca="false">IF($D165="是",AA165-AB165,0)</f>
        <v>0</v>
      </c>
      <c r="BL165" s="502" t="n">
        <f aca="false">SUM(BM165:BT165)</f>
        <v>0</v>
      </c>
      <c r="BM165" s="502" t="n">
        <f aca="false">IF($D165="是",AD165-AE165,0)</f>
        <v>0</v>
      </c>
      <c r="BN165" s="502" t="n">
        <f aca="false">IF($D165="是",AF165-AG165,0)</f>
        <v>0</v>
      </c>
      <c r="BO165" s="502" t="n">
        <f aca="false">IF($D165="是",AH165-AI165,0)</f>
        <v>0</v>
      </c>
      <c r="BP165" s="502" t="n">
        <f aca="false">IF($D165="是",AJ165-AK165,0)</f>
        <v>0</v>
      </c>
      <c r="BQ165" s="502" t="n">
        <f aca="false">IF($D165="是",AL165-AM165,0)</f>
        <v>0</v>
      </c>
      <c r="BR165" s="502" t="n">
        <f aca="false">IF($D165="是",AN165-AO165,0)</f>
        <v>0</v>
      </c>
      <c r="BS165" s="502" t="n">
        <f aca="false">IF($D165="是",AP165-AQ165,0)</f>
        <v>0</v>
      </c>
      <c r="BT165" s="512" t="n">
        <f aca="false">IF($D165="是",AR165-AS165,0)</f>
        <v>0</v>
      </c>
    </row>
    <row r="166" customFormat="false" ht="14.25" hidden="false" customHeight="false" outlineLevel="0" collapsed="false">
      <c r="A166" s="499"/>
      <c r="B166" s="500"/>
      <c r="C166" s="500"/>
      <c r="D166" s="501"/>
      <c r="E166" s="502" t="n">
        <f aca="false">IF($C$3="是",ROUND($A$3*G166/$B$3,2),ROUND($A$3*(G166-AT166)/$B$3,2))</f>
        <v>0</v>
      </c>
      <c r="F166" s="503"/>
      <c r="G166" s="504" t="n">
        <f aca="false">H166+AC166+AT166</f>
        <v>0</v>
      </c>
      <c r="H166" s="505" t="n">
        <f aca="false">SUMIF(I$12:AB$12,"总值",I166:AB166)</f>
        <v>0</v>
      </c>
      <c r="I166" s="506"/>
      <c r="J166" s="506"/>
      <c r="K166" s="506"/>
      <c r="L166" s="506"/>
      <c r="M166" s="506"/>
      <c r="N166" s="506"/>
      <c r="O166" s="506"/>
      <c r="P166" s="506"/>
      <c r="Q166" s="506"/>
      <c r="R166" s="506"/>
      <c r="S166" s="506"/>
      <c r="T166" s="506"/>
      <c r="U166" s="506"/>
      <c r="V166" s="506"/>
      <c r="W166" s="506"/>
      <c r="X166" s="506"/>
      <c r="Y166" s="506"/>
      <c r="Z166" s="506"/>
      <c r="AA166" s="506"/>
      <c r="AB166" s="506"/>
      <c r="AC166" s="502" t="n">
        <f aca="false">SUMIF(AD$12:AS$12,"总值",AD166:AS166)</f>
        <v>0</v>
      </c>
      <c r="AD166" s="507"/>
      <c r="AE166" s="507"/>
      <c r="AF166" s="507"/>
      <c r="AG166" s="507"/>
      <c r="AH166" s="507"/>
      <c r="AI166" s="507"/>
      <c r="AJ166" s="507"/>
      <c r="AK166" s="507"/>
      <c r="AL166" s="507"/>
      <c r="AM166" s="507"/>
      <c r="AN166" s="507"/>
      <c r="AO166" s="507"/>
      <c r="AP166" s="507"/>
      <c r="AQ166" s="507"/>
      <c r="AR166" s="507"/>
      <c r="AS166" s="507"/>
      <c r="AT166" s="508"/>
      <c r="AU166" s="509"/>
      <c r="AV166" s="510" t="n">
        <f aca="false">A166</f>
        <v>0</v>
      </c>
      <c r="AW166" s="510" t="n">
        <f aca="false">B166</f>
        <v>0</v>
      </c>
      <c r="AX166" s="510" t="n">
        <f aca="false">C166</f>
        <v>0</v>
      </c>
      <c r="AY166" s="511" t="n">
        <f aca="false">ROUND($AY$6*AZ166/$AZ$5,2)</f>
        <v>0</v>
      </c>
      <c r="AZ166" s="502" t="n">
        <f aca="false">BA166+BL166</f>
        <v>0</v>
      </c>
      <c r="BA166" s="502" t="n">
        <f aca="false">SUM(BB166:BK166)</f>
        <v>0</v>
      </c>
      <c r="BB166" s="502" t="n">
        <f aca="false">IF($D166="是",I166-J166,0)</f>
        <v>0</v>
      </c>
      <c r="BC166" s="502" t="n">
        <f aca="false">IF($D166="是",K166-L166,0)</f>
        <v>0</v>
      </c>
      <c r="BD166" s="502" t="n">
        <f aca="false">IF($D166="是",M166-N166,0)</f>
        <v>0</v>
      </c>
      <c r="BE166" s="502" t="n">
        <f aca="false">IF($D166="是",O166-P166,0)</f>
        <v>0</v>
      </c>
      <c r="BF166" s="502" t="n">
        <f aca="false">IF($D166="是",Q166-R166,0)</f>
        <v>0</v>
      </c>
      <c r="BG166" s="502" t="n">
        <f aca="false">IF($D166="是",S166-T166,0)</f>
        <v>0</v>
      </c>
      <c r="BH166" s="502" t="n">
        <f aca="false">IF($D166="是",U166-V166,0)</f>
        <v>0</v>
      </c>
      <c r="BI166" s="502" t="n">
        <f aca="false">IF($D166="是",W166-X166,0)</f>
        <v>0</v>
      </c>
      <c r="BJ166" s="502" t="n">
        <f aca="false">IF($D166="是",Y166-Z166,0)</f>
        <v>0</v>
      </c>
      <c r="BK166" s="502" t="n">
        <f aca="false">IF($D166="是",AA166-AB166,0)</f>
        <v>0</v>
      </c>
      <c r="BL166" s="502" t="n">
        <f aca="false">SUM(BM166:BT166)</f>
        <v>0</v>
      </c>
      <c r="BM166" s="502" t="n">
        <f aca="false">IF($D166="是",AD166-AE166,0)</f>
        <v>0</v>
      </c>
      <c r="BN166" s="502" t="n">
        <f aca="false">IF($D166="是",AF166-AG166,0)</f>
        <v>0</v>
      </c>
      <c r="BO166" s="502" t="n">
        <f aca="false">IF($D166="是",AH166-AI166,0)</f>
        <v>0</v>
      </c>
      <c r="BP166" s="502" t="n">
        <f aca="false">IF($D166="是",AJ166-AK166,0)</f>
        <v>0</v>
      </c>
      <c r="BQ166" s="502" t="n">
        <f aca="false">IF($D166="是",AL166-AM166,0)</f>
        <v>0</v>
      </c>
      <c r="BR166" s="502" t="n">
        <f aca="false">IF($D166="是",AN166-AO166,0)</f>
        <v>0</v>
      </c>
      <c r="BS166" s="502" t="n">
        <f aca="false">IF($D166="是",AP166-AQ166,0)</f>
        <v>0</v>
      </c>
      <c r="BT166" s="512" t="n">
        <f aca="false">IF($D166="是",AR166-AS166,0)</f>
        <v>0</v>
      </c>
    </row>
    <row r="167" customFormat="false" ht="14.25" hidden="false" customHeight="false" outlineLevel="0" collapsed="false">
      <c r="A167" s="499"/>
      <c r="B167" s="500"/>
      <c r="C167" s="500"/>
      <c r="D167" s="501"/>
      <c r="E167" s="502" t="n">
        <f aca="false">IF($C$3="是",ROUND($A$3*G167/$B$3,2),ROUND($A$3*(G167-AT167)/$B$3,2))</f>
        <v>0</v>
      </c>
      <c r="F167" s="503"/>
      <c r="G167" s="504" t="n">
        <f aca="false">H167+AC167+AT167</f>
        <v>0</v>
      </c>
      <c r="H167" s="505" t="n">
        <f aca="false">SUMIF(I$12:AB$12,"总值",I167:AB167)</f>
        <v>0</v>
      </c>
      <c r="I167" s="506"/>
      <c r="J167" s="506"/>
      <c r="K167" s="506"/>
      <c r="L167" s="506"/>
      <c r="M167" s="506"/>
      <c r="N167" s="506"/>
      <c r="O167" s="506"/>
      <c r="P167" s="506"/>
      <c r="Q167" s="506"/>
      <c r="R167" s="506"/>
      <c r="S167" s="506"/>
      <c r="T167" s="506"/>
      <c r="U167" s="506"/>
      <c r="V167" s="506"/>
      <c r="W167" s="506"/>
      <c r="X167" s="506"/>
      <c r="Y167" s="506"/>
      <c r="Z167" s="506"/>
      <c r="AA167" s="506"/>
      <c r="AB167" s="506"/>
      <c r="AC167" s="502" t="n">
        <f aca="false">SUMIF(AD$12:AS$12,"总值",AD167:AS167)</f>
        <v>0</v>
      </c>
      <c r="AD167" s="507"/>
      <c r="AE167" s="507"/>
      <c r="AF167" s="507"/>
      <c r="AG167" s="507"/>
      <c r="AH167" s="507"/>
      <c r="AI167" s="507"/>
      <c r="AJ167" s="507"/>
      <c r="AK167" s="507"/>
      <c r="AL167" s="507"/>
      <c r="AM167" s="507"/>
      <c r="AN167" s="507"/>
      <c r="AO167" s="507"/>
      <c r="AP167" s="507"/>
      <c r="AQ167" s="507"/>
      <c r="AR167" s="507"/>
      <c r="AS167" s="507"/>
      <c r="AT167" s="508"/>
      <c r="AU167" s="509"/>
      <c r="AV167" s="510" t="n">
        <f aca="false">A167</f>
        <v>0</v>
      </c>
      <c r="AW167" s="510" t="n">
        <f aca="false">B167</f>
        <v>0</v>
      </c>
      <c r="AX167" s="510" t="n">
        <f aca="false">C167</f>
        <v>0</v>
      </c>
      <c r="AY167" s="511" t="n">
        <f aca="false">ROUND($AY$6*AZ167/$AZ$5,2)</f>
        <v>0</v>
      </c>
      <c r="AZ167" s="502" t="n">
        <f aca="false">BA167+BL167</f>
        <v>0</v>
      </c>
      <c r="BA167" s="502" t="n">
        <f aca="false">SUM(BB167:BK167)</f>
        <v>0</v>
      </c>
      <c r="BB167" s="502" t="n">
        <f aca="false">IF($D167="是",I167-J167,0)</f>
        <v>0</v>
      </c>
      <c r="BC167" s="502" t="n">
        <f aca="false">IF($D167="是",K167-L167,0)</f>
        <v>0</v>
      </c>
      <c r="BD167" s="502" t="n">
        <f aca="false">IF($D167="是",M167-N167,0)</f>
        <v>0</v>
      </c>
      <c r="BE167" s="502" t="n">
        <f aca="false">IF($D167="是",O167-P167,0)</f>
        <v>0</v>
      </c>
      <c r="BF167" s="502" t="n">
        <f aca="false">IF($D167="是",Q167-R167,0)</f>
        <v>0</v>
      </c>
      <c r="BG167" s="502" t="n">
        <f aca="false">IF($D167="是",S167-T167,0)</f>
        <v>0</v>
      </c>
      <c r="BH167" s="502" t="n">
        <f aca="false">IF($D167="是",U167-V167,0)</f>
        <v>0</v>
      </c>
      <c r="BI167" s="502" t="n">
        <f aca="false">IF($D167="是",W167-X167,0)</f>
        <v>0</v>
      </c>
      <c r="BJ167" s="502" t="n">
        <f aca="false">IF($D167="是",Y167-Z167,0)</f>
        <v>0</v>
      </c>
      <c r="BK167" s="502" t="n">
        <f aca="false">IF($D167="是",AA167-AB167,0)</f>
        <v>0</v>
      </c>
      <c r="BL167" s="502" t="n">
        <f aca="false">SUM(BM167:BT167)</f>
        <v>0</v>
      </c>
      <c r="BM167" s="502" t="n">
        <f aca="false">IF($D167="是",AD167-AE167,0)</f>
        <v>0</v>
      </c>
      <c r="BN167" s="502" t="n">
        <f aca="false">IF($D167="是",AF167-AG167,0)</f>
        <v>0</v>
      </c>
      <c r="BO167" s="502" t="n">
        <f aca="false">IF($D167="是",AH167-AI167,0)</f>
        <v>0</v>
      </c>
      <c r="BP167" s="502" t="n">
        <f aca="false">IF($D167="是",AJ167-AK167,0)</f>
        <v>0</v>
      </c>
      <c r="BQ167" s="502" t="n">
        <f aca="false">IF($D167="是",AL167-AM167,0)</f>
        <v>0</v>
      </c>
      <c r="BR167" s="502" t="n">
        <f aca="false">IF($D167="是",AN167-AO167,0)</f>
        <v>0</v>
      </c>
      <c r="BS167" s="502" t="n">
        <f aca="false">IF($D167="是",AP167-AQ167,0)</f>
        <v>0</v>
      </c>
      <c r="BT167" s="512" t="n">
        <f aca="false">IF($D167="是",AR167-AS167,0)</f>
        <v>0</v>
      </c>
    </row>
    <row r="168" customFormat="false" ht="14.25" hidden="false" customHeight="false" outlineLevel="0" collapsed="false">
      <c r="A168" s="499"/>
      <c r="B168" s="500"/>
      <c r="C168" s="500"/>
      <c r="D168" s="501"/>
      <c r="E168" s="502" t="n">
        <f aca="false">IF($C$3="是",ROUND($A$3*G168/$B$3,2),ROUND($A$3*(G168-AT168)/$B$3,2))</f>
        <v>0</v>
      </c>
      <c r="F168" s="503"/>
      <c r="G168" s="504" t="n">
        <f aca="false">H168+AC168+AT168</f>
        <v>0</v>
      </c>
      <c r="H168" s="505" t="n">
        <f aca="false">SUMIF(I$12:AB$12,"总值",I168:AB168)</f>
        <v>0</v>
      </c>
      <c r="I168" s="506"/>
      <c r="J168" s="506"/>
      <c r="K168" s="506"/>
      <c r="L168" s="506"/>
      <c r="M168" s="506"/>
      <c r="N168" s="506"/>
      <c r="O168" s="506"/>
      <c r="P168" s="506"/>
      <c r="Q168" s="506"/>
      <c r="R168" s="506"/>
      <c r="S168" s="506"/>
      <c r="T168" s="506"/>
      <c r="U168" s="506"/>
      <c r="V168" s="506"/>
      <c r="W168" s="506"/>
      <c r="X168" s="506"/>
      <c r="Y168" s="506"/>
      <c r="Z168" s="506"/>
      <c r="AA168" s="506"/>
      <c r="AB168" s="506"/>
      <c r="AC168" s="502" t="n">
        <f aca="false">SUMIF(AD$12:AS$12,"总值",AD168:AS168)</f>
        <v>0</v>
      </c>
      <c r="AD168" s="507"/>
      <c r="AE168" s="507"/>
      <c r="AF168" s="507"/>
      <c r="AG168" s="507"/>
      <c r="AH168" s="507"/>
      <c r="AI168" s="507"/>
      <c r="AJ168" s="507"/>
      <c r="AK168" s="507"/>
      <c r="AL168" s="507"/>
      <c r="AM168" s="507"/>
      <c r="AN168" s="507"/>
      <c r="AO168" s="507"/>
      <c r="AP168" s="507"/>
      <c r="AQ168" s="507"/>
      <c r="AR168" s="507"/>
      <c r="AS168" s="507"/>
      <c r="AT168" s="508"/>
      <c r="AU168" s="509"/>
      <c r="AV168" s="510" t="n">
        <f aca="false">A168</f>
        <v>0</v>
      </c>
      <c r="AW168" s="510" t="n">
        <f aca="false">B168</f>
        <v>0</v>
      </c>
      <c r="AX168" s="510" t="n">
        <f aca="false">C168</f>
        <v>0</v>
      </c>
      <c r="AY168" s="511" t="n">
        <f aca="false">ROUND($AY$6*AZ168/$AZ$5,2)</f>
        <v>0</v>
      </c>
      <c r="AZ168" s="502" t="n">
        <f aca="false">BA168+BL168</f>
        <v>0</v>
      </c>
      <c r="BA168" s="502" t="n">
        <f aca="false">SUM(BB168:BK168)</f>
        <v>0</v>
      </c>
      <c r="BB168" s="502" t="n">
        <f aca="false">IF($D168="是",I168-J168,0)</f>
        <v>0</v>
      </c>
      <c r="BC168" s="502" t="n">
        <f aca="false">IF($D168="是",K168-L168,0)</f>
        <v>0</v>
      </c>
      <c r="BD168" s="502" t="n">
        <f aca="false">IF($D168="是",M168-N168,0)</f>
        <v>0</v>
      </c>
      <c r="BE168" s="502" t="n">
        <f aca="false">IF($D168="是",O168-P168,0)</f>
        <v>0</v>
      </c>
      <c r="BF168" s="502" t="n">
        <f aca="false">IF($D168="是",Q168-R168,0)</f>
        <v>0</v>
      </c>
      <c r="BG168" s="502" t="n">
        <f aca="false">IF($D168="是",S168-T168,0)</f>
        <v>0</v>
      </c>
      <c r="BH168" s="502" t="n">
        <f aca="false">IF($D168="是",U168-V168,0)</f>
        <v>0</v>
      </c>
      <c r="BI168" s="502" t="n">
        <f aca="false">IF($D168="是",W168-X168,0)</f>
        <v>0</v>
      </c>
      <c r="BJ168" s="502" t="n">
        <f aca="false">IF($D168="是",Y168-Z168,0)</f>
        <v>0</v>
      </c>
      <c r="BK168" s="502" t="n">
        <f aca="false">IF($D168="是",AA168-AB168,0)</f>
        <v>0</v>
      </c>
      <c r="BL168" s="502" t="n">
        <f aca="false">SUM(BM168:BT168)</f>
        <v>0</v>
      </c>
      <c r="BM168" s="502" t="n">
        <f aca="false">IF($D168="是",AD168-AE168,0)</f>
        <v>0</v>
      </c>
      <c r="BN168" s="502" t="n">
        <f aca="false">IF($D168="是",AF168-AG168,0)</f>
        <v>0</v>
      </c>
      <c r="BO168" s="502" t="n">
        <f aca="false">IF($D168="是",AH168-AI168,0)</f>
        <v>0</v>
      </c>
      <c r="BP168" s="502" t="n">
        <f aca="false">IF($D168="是",AJ168-AK168,0)</f>
        <v>0</v>
      </c>
      <c r="BQ168" s="502" t="n">
        <f aca="false">IF($D168="是",AL168-AM168,0)</f>
        <v>0</v>
      </c>
      <c r="BR168" s="502" t="n">
        <f aca="false">IF($D168="是",AN168-AO168,0)</f>
        <v>0</v>
      </c>
      <c r="BS168" s="502" t="n">
        <f aca="false">IF($D168="是",AP168-AQ168,0)</f>
        <v>0</v>
      </c>
      <c r="BT168" s="512" t="n">
        <f aca="false">IF($D168="是",AR168-AS168,0)</f>
        <v>0</v>
      </c>
    </row>
    <row r="169" customFormat="false" ht="14.25" hidden="false" customHeight="false" outlineLevel="0" collapsed="false">
      <c r="A169" s="499"/>
      <c r="B169" s="500"/>
      <c r="C169" s="500"/>
      <c r="D169" s="501"/>
      <c r="E169" s="502" t="n">
        <f aca="false">IF($C$3="是",ROUND($A$3*G169/$B$3,2),ROUND($A$3*(G169-AT169)/$B$3,2))</f>
        <v>0</v>
      </c>
      <c r="F169" s="503"/>
      <c r="G169" s="504" t="n">
        <f aca="false">H169+AC169+AT169</f>
        <v>0</v>
      </c>
      <c r="H169" s="505" t="n">
        <f aca="false">SUMIF(I$12:AB$12,"总值",I169:AB169)</f>
        <v>0</v>
      </c>
      <c r="I169" s="506"/>
      <c r="J169" s="506"/>
      <c r="K169" s="506"/>
      <c r="L169" s="506"/>
      <c r="M169" s="506"/>
      <c r="N169" s="506"/>
      <c r="O169" s="506"/>
      <c r="P169" s="506"/>
      <c r="Q169" s="506"/>
      <c r="R169" s="506"/>
      <c r="S169" s="506"/>
      <c r="T169" s="506"/>
      <c r="U169" s="506"/>
      <c r="V169" s="506"/>
      <c r="W169" s="506"/>
      <c r="X169" s="506"/>
      <c r="Y169" s="506"/>
      <c r="Z169" s="506"/>
      <c r="AA169" s="506"/>
      <c r="AB169" s="506"/>
      <c r="AC169" s="502" t="n">
        <f aca="false">SUMIF(AD$12:AS$12,"总值",AD169:AS169)</f>
        <v>0</v>
      </c>
      <c r="AD169" s="507"/>
      <c r="AE169" s="507"/>
      <c r="AF169" s="507"/>
      <c r="AG169" s="507"/>
      <c r="AH169" s="507"/>
      <c r="AI169" s="507"/>
      <c r="AJ169" s="507"/>
      <c r="AK169" s="507"/>
      <c r="AL169" s="507"/>
      <c r="AM169" s="507"/>
      <c r="AN169" s="507"/>
      <c r="AO169" s="507"/>
      <c r="AP169" s="507"/>
      <c r="AQ169" s="507"/>
      <c r="AR169" s="507"/>
      <c r="AS169" s="507"/>
      <c r="AT169" s="508"/>
      <c r="AU169" s="509"/>
      <c r="AV169" s="510" t="n">
        <f aca="false">A169</f>
        <v>0</v>
      </c>
      <c r="AW169" s="510" t="n">
        <f aca="false">B169</f>
        <v>0</v>
      </c>
      <c r="AX169" s="510" t="n">
        <f aca="false">C169</f>
        <v>0</v>
      </c>
      <c r="AY169" s="511" t="n">
        <f aca="false">ROUND($AY$6*AZ169/$AZ$5,2)</f>
        <v>0</v>
      </c>
      <c r="AZ169" s="502" t="n">
        <f aca="false">BA169+BL169</f>
        <v>0</v>
      </c>
      <c r="BA169" s="502" t="n">
        <f aca="false">SUM(BB169:BK169)</f>
        <v>0</v>
      </c>
      <c r="BB169" s="502" t="n">
        <f aca="false">IF($D169="是",I169-J169,0)</f>
        <v>0</v>
      </c>
      <c r="BC169" s="502" t="n">
        <f aca="false">IF($D169="是",K169-L169,0)</f>
        <v>0</v>
      </c>
      <c r="BD169" s="502" t="n">
        <f aca="false">IF($D169="是",M169-N169,0)</f>
        <v>0</v>
      </c>
      <c r="BE169" s="502" t="n">
        <f aca="false">IF($D169="是",O169-P169,0)</f>
        <v>0</v>
      </c>
      <c r="BF169" s="502" t="n">
        <f aca="false">IF($D169="是",Q169-R169,0)</f>
        <v>0</v>
      </c>
      <c r="BG169" s="502" t="n">
        <f aca="false">IF($D169="是",S169-T169,0)</f>
        <v>0</v>
      </c>
      <c r="BH169" s="502" t="n">
        <f aca="false">IF($D169="是",U169-V169,0)</f>
        <v>0</v>
      </c>
      <c r="BI169" s="502" t="n">
        <f aca="false">IF($D169="是",W169-X169,0)</f>
        <v>0</v>
      </c>
      <c r="BJ169" s="502" t="n">
        <f aca="false">IF($D169="是",Y169-Z169,0)</f>
        <v>0</v>
      </c>
      <c r="BK169" s="502" t="n">
        <f aca="false">IF($D169="是",AA169-AB169,0)</f>
        <v>0</v>
      </c>
      <c r="BL169" s="502" t="n">
        <f aca="false">SUM(BM169:BT169)</f>
        <v>0</v>
      </c>
      <c r="BM169" s="502" t="n">
        <f aca="false">IF($D169="是",AD169-AE169,0)</f>
        <v>0</v>
      </c>
      <c r="BN169" s="502" t="n">
        <f aca="false">IF($D169="是",AF169-AG169,0)</f>
        <v>0</v>
      </c>
      <c r="BO169" s="502" t="n">
        <f aca="false">IF($D169="是",AH169-AI169,0)</f>
        <v>0</v>
      </c>
      <c r="BP169" s="502" t="n">
        <f aca="false">IF($D169="是",AJ169-AK169,0)</f>
        <v>0</v>
      </c>
      <c r="BQ169" s="502" t="n">
        <f aca="false">IF($D169="是",AL169-AM169,0)</f>
        <v>0</v>
      </c>
      <c r="BR169" s="502" t="n">
        <f aca="false">IF($D169="是",AN169-AO169,0)</f>
        <v>0</v>
      </c>
      <c r="BS169" s="502" t="n">
        <f aca="false">IF($D169="是",AP169-AQ169,0)</f>
        <v>0</v>
      </c>
      <c r="BT169" s="512" t="n">
        <f aca="false">IF($D169="是",AR169-AS169,0)</f>
        <v>0</v>
      </c>
    </row>
    <row r="170" customFormat="false" ht="14.25" hidden="false" customHeight="false" outlineLevel="0" collapsed="false">
      <c r="A170" s="499"/>
      <c r="B170" s="500"/>
      <c r="C170" s="500"/>
      <c r="D170" s="501"/>
      <c r="E170" s="502" t="n">
        <f aca="false">IF($C$3="是",ROUND($A$3*G170/$B$3,2),ROUND($A$3*(G170-AT170)/$B$3,2))</f>
        <v>0</v>
      </c>
      <c r="F170" s="503"/>
      <c r="G170" s="504" t="n">
        <f aca="false">H170+AC170+AT170</f>
        <v>0</v>
      </c>
      <c r="H170" s="505" t="n">
        <f aca="false">SUMIF(I$12:AB$12,"总值",I170:AB170)</f>
        <v>0</v>
      </c>
      <c r="I170" s="506"/>
      <c r="J170" s="506"/>
      <c r="K170" s="506"/>
      <c r="L170" s="506"/>
      <c r="M170" s="506"/>
      <c r="N170" s="506"/>
      <c r="O170" s="506"/>
      <c r="P170" s="506"/>
      <c r="Q170" s="506"/>
      <c r="R170" s="506"/>
      <c r="S170" s="506"/>
      <c r="T170" s="506"/>
      <c r="U170" s="506"/>
      <c r="V170" s="506"/>
      <c r="W170" s="506"/>
      <c r="X170" s="506"/>
      <c r="Y170" s="506"/>
      <c r="Z170" s="506"/>
      <c r="AA170" s="506"/>
      <c r="AB170" s="506"/>
      <c r="AC170" s="502" t="n">
        <f aca="false">SUMIF(AD$12:AS$12,"总值",AD170:AS170)</f>
        <v>0</v>
      </c>
      <c r="AD170" s="507"/>
      <c r="AE170" s="507"/>
      <c r="AF170" s="507"/>
      <c r="AG170" s="507"/>
      <c r="AH170" s="507"/>
      <c r="AI170" s="507"/>
      <c r="AJ170" s="507"/>
      <c r="AK170" s="507"/>
      <c r="AL170" s="507"/>
      <c r="AM170" s="507"/>
      <c r="AN170" s="507"/>
      <c r="AO170" s="507"/>
      <c r="AP170" s="507"/>
      <c r="AQ170" s="507"/>
      <c r="AR170" s="507"/>
      <c r="AS170" s="507"/>
      <c r="AT170" s="508"/>
      <c r="AU170" s="509"/>
      <c r="AV170" s="510" t="n">
        <f aca="false">A170</f>
        <v>0</v>
      </c>
      <c r="AW170" s="510" t="n">
        <f aca="false">B170</f>
        <v>0</v>
      </c>
      <c r="AX170" s="510" t="n">
        <f aca="false">C170</f>
        <v>0</v>
      </c>
      <c r="AY170" s="511" t="n">
        <f aca="false">ROUND($AY$6*AZ170/$AZ$5,2)</f>
        <v>0</v>
      </c>
      <c r="AZ170" s="502" t="n">
        <f aca="false">BA170+BL170</f>
        <v>0</v>
      </c>
      <c r="BA170" s="502" t="n">
        <f aca="false">SUM(BB170:BK170)</f>
        <v>0</v>
      </c>
      <c r="BB170" s="502" t="n">
        <f aca="false">IF($D170="是",I170-J170,0)</f>
        <v>0</v>
      </c>
      <c r="BC170" s="502" t="n">
        <f aca="false">IF($D170="是",K170-L170,0)</f>
        <v>0</v>
      </c>
      <c r="BD170" s="502" t="n">
        <f aca="false">IF($D170="是",M170-N170,0)</f>
        <v>0</v>
      </c>
      <c r="BE170" s="502" t="n">
        <f aca="false">IF($D170="是",O170-P170,0)</f>
        <v>0</v>
      </c>
      <c r="BF170" s="502" t="n">
        <f aca="false">IF($D170="是",Q170-R170,0)</f>
        <v>0</v>
      </c>
      <c r="BG170" s="502" t="n">
        <f aca="false">IF($D170="是",S170-T170,0)</f>
        <v>0</v>
      </c>
      <c r="BH170" s="502" t="n">
        <f aca="false">IF($D170="是",U170-V170,0)</f>
        <v>0</v>
      </c>
      <c r="BI170" s="502" t="n">
        <f aca="false">IF($D170="是",W170-X170,0)</f>
        <v>0</v>
      </c>
      <c r="BJ170" s="502" t="n">
        <f aca="false">IF($D170="是",Y170-Z170,0)</f>
        <v>0</v>
      </c>
      <c r="BK170" s="502" t="n">
        <f aca="false">IF($D170="是",AA170-AB170,0)</f>
        <v>0</v>
      </c>
      <c r="BL170" s="502" t="n">
        <f aca="false">SUM(BM170:BT170)</f>
        <v>0</v>
      </c>
      <c r="BM170" s="502" t="n">
        <f aca="false">IF($D170="是",AD170-AE170,0)</f>
        <v>0</v>
      </c>
      <c r="BN170" s="502" t="n">
        <f aca="false">IF($D170="是",AF170-AG170,0)</f>
        <v>0</v>
      </c>
      <c r="BO170" s="502" t="n">
        <f aca="false">IF($D170="是",AH170-AI170,0)</f>
        <v>0</v>
      </c>
      <c r="BP170" s="502" t="n">
        <f aca="false">IF($D170="是",AJ170-AK170,0)</f>
        <v>0</v>
      </c>
      <c r="BQ170" s="502" t="n">
        <f aca="false">IF($D170="是",AL170-AM170,0)</f>
        <v>0</v>
      </c>
      <c r="BR170" s="502" t="n">
        <f aca="false">IF($D170="是",AN170-AO170,0)</f>
        <v>0</v>
      </c>
      <c r="BS170" s="502" t="n">
        <f aca="false">IF($D170="是",AP170-AQ170,0)</f>
        <v>0</v>
      </c>
      <c r="BT170" s="512" t="n">
        <f aca="false">IF($D170="是",AR170-AS170,0)</f>
        <v>0</v>
      </c>
    </row>
    <row r="171" customFormat="false" ht="14.25" hidden="false" customHeight="false" outlineLevel="0" collapsed="false">
      <c r="A171" s="499"/>
      <c r="B171" s="500"/>
      <c r="C171" s="500"/>
      <c r="D171" s="501"/>
      <c r="E171" s="502" t="n">
        <f aca="false">IF($C$3="是",ROUND($A$3*G171/$B$3,2),ROUND($A$3*(G171-AT171)/$B$3,2))</f>
        <v>0</v>
      </c>
      <c r="F171" s="503"/>
      <c r="G171" s="504" t="n">
        <f aca="false">H171+AC171+AT171</f>
        <v>0</v>
      </c>
      <c r="H171" s="505" t="n">
        <f aca="false">SUMIF(I$12:AB$12,"总值",I171:AB171)</f>
        <v>0</v>
      </c>
      <c r="I171" s="506"/>
      <c r="J171" s="506"/>
      <c r="K171" s="506"/>
      <c r="L171" s="506"/>
      <c r="M171" s="506"/>
      <c r="N171" s="506"/>
      <c r="O171" s="506"/>
      <c r="P171" s="506"/>
      <c r="Q171" s="506"/>
      <c r="R171" s="506"/>
      <c r="S171" s="506"/>
      <c r="T171" s="506"/>
      <c r="U171" s="506"/>
      <c r="V171" s="506"/>
      <c r="W171" s="506"/>
      <c r="X171" s="506"/>
      <c r="Y171" s="506"/>
      <c r="Z171" s="506"/>
      <c r="AA171" s="506"/>
      <c r="AB171" s="506"/>
      <c r="AC171" s="502" t="n">
        <f aca="false">SUMIF(AD$12:AS$12,"总值",AD171:AS171)</f>
        <v>0</v>
      </c>
      <c r="AD171" s="507"/>
      <c r="AE171" s="507"/>
      <c r="AF171" s="507"/>
      <c r="AG171" s="507"/>
      <c r="AH171" s="507"/>
      <c r="AI171" s="507"/>
      <c r="AJ171" s="507"/>
      <c r="AK171" s="507"/>
      <c r="AL171" s="507"/>
      <c r="AM171" s="507"/>
      <c r="AN171" s="507"/>
      <c r="AO171" s="507"/>
      <c r="AP171" s="507"/>
      <c r="AQ171" s="507"/>
      <c r="AR171" s="507"/>
      <c r="AS171" s="507"/>
      <c r="AT171" s="508"/>
      <c r="AU171" s="509"/>
      <c r="AV171" s="510" t="n">
        <f aca="false">A171</f>
        <v>0</v>
      </c>
      <c r="AW171" s="510" t="n">
        <f aca="false">B171</f>
        <v>0</v>
      </c>
      <c r="AX171" s="510" t="n">
        <f aca="false">C171</f>
        <v>0</v>
      </c>
      <c r="AY171" s="511" t="n">
        <f aca="false">ROUND($AY$6*AZ171/$AZ$5,2)</f>
        <v>0</v>
      </c>
      <c r="AZ171" s="502" t="n">
        <f aca="false">BA171+BL171</f>
        <v>0</v>
      </c>
      <c r="BA171" s="502" t="n">
        <f aca="false">SUM(BB171:BK171)</f>
        <v>0</v>
      </c>
      <c r="BB171" s="502" t="n">
        <f aca="false">IF($D171="是",I171-J171,0)</f>
        <v>0</v>
      </c>
      <c r="BC171" s="502" t="n">
        <f aca="false">IF($D171="是",K171-L171,0)</f>
        <v>0</v>
      </c>
      <c r="BD171" s="502" t="n">
        <f aca="false">IF($D171="是",M171-N171,0)</f>
        <v>0</v>
      </c>
      <c r="BE171" s="502" t="n">
        <f aca="false">IF($D171="是",O171-P171,0)</f>
        <v>0</v>
      </c>
      <c r="BF171" s="502" t="n">
        <f aca="false">IF($D171="是",Q171-R171,0)</f>
        <v>0</v>
      </c>
      <c r="BG171" s="502" t="n">
        <f aca="false">IF($D171="是",S171-T171,0)</f>
        <v>0</v>
      </c>
      <c r="BH171" s="502" t="n">
        <f aca="false">IF($D171="是",U171-V171,0)</f>
        <v>0</v>
      </c>
      <c r="BI171" s="502" t="n">
        <f aca="false">IF($D171="是",W171-X171,0)</f>
        <v>0</v>
      </c>
      <c r="BJ171" s="502" t="n">
        <f aca="false">IF($D171="是",Y171-Z171,0)</f>
        <v>0</v>
      </c>
      <c r="BK171" s="502" t="n">
        <f aca="false">IF($D171="是",AA171-AB171,0)</f>
        <v>0</v>
      </c>
      <c r="BL171" s="502" t="n">
        <f aca="false">SUM(BM171:BT171)</f>
        <v>0</v>
      </c>
      <c r="BM171" s="502" t="n">
        <f aca="false">IF($D171="是",AD171-AE171,0)</f>
        <v>0</v>
      </c>
      <c r="BN171" s="502" t="n">
        <f aca="false">IF($D171="是",AF171-AG171,0)</f>
        <v>0</v>
      </c>
      <c r="BO171" s="502" t="n">
        <f aca="false">IF($D171="是",AH171-AI171,0)</f>
        <v>0</v>
      </c>
      <c r="BP171" s="502" t="n">
        <f aca="false">IF($D171="是",AJ171-AK171,0)</f>
        <v>0</v>
      </c>
      <c r="BQ171" s="502" t="n">
        <f aca="false">IF($D171="是",AL171-AM171,0)</f>
        <v>0</v>
      </c>
      <c r="BR171" s="502" t="n">
        <f aca="false">IF($D171="是",AN171-AO171,0)</f>
        <v>0</v>
      </c>
      <c r="BS171" s="502" t="n">
        <f aca="false">IF($D171="是",AP171-AQ171,0)</f>
        <v>0</v>
      </c>
      <c r="BT171" s="512" t="n">
        <f aca="false">IF($D171="是",AR171-AS171,0)</f>
        <v>0</v>
      </c>
    </row>
    <row r="172" customFormat="false" ht="14.25" hidden="false" customHeight="false" outlineLevel="0" collapsed="false">
      <c r="A172" s="499"/>
      <c r="B172" s="500"/>
      <c r="C172" s="500"/>
      <c r="D172" s="501"/>
      <c r="E172" s="502" t="n">
        <f aca="false">IF($C$3="是",ROUND($A$3*G172/$B$3,2),ROUND($A$3*(G172-AT172)/$B$3,2))</f>
        <v>0</v>
      </c>
      <c r="F172" s="503"/>
      <c r="G172" s="504" t="n">
        <f aca="false">H172+AC172+AT172</f>
        <v>0</v>
      </c>
      <c r="H172" s="505" t="n">
        <f aca="false">SUMIF(I$12:AB$12,"总值",I172:AB172)</f>
        <v>0</v>
      </c>
      <c r="I172" s="506"/>
      <c r="J172" s="506"/>
      <c r="K172" s="506"/>
      <c r="L172" s="506"/>
      <c r="M172" s="506"/>
      <c r="N172" s="506"/>
      <c r="O172" s="506"/>
      <c r="P172" s="506"/>
      <c r="Q172" s="506"/>
      <c r="R172" s="506"/>
      <c r="S172" s="506"/>
      <c r="T172" s="506"/>
      <c r="U172" s="506"/>
      <c r="V172" s="506"/>
      <c r="W172" s="506"/>
      <c r="X172" s="506"/>
      <c r="Y172" s="506"/>
      <c r="Z172" s="506"/>
      <c r="AA172" s="506"/>
      <c r="AB172" s="506"/>
      <c r="AC172" s="502" t="n">
        <f aca="false">SUMIF(AD$12:AS$12,"总值",AD172:AS172)</f>
        <v>0</v>
      </c>
      <c r="AD172" s="507"/>
      <c r="AE172" s="507"/>
      <c r="AF172" s="507"/>
      <c r="AG172" s="507"/>
      <c r="AH172" s="507"/>
      <c r="AI172" s="507"/>
      <c r="AJ172" s="507"/>
      <c r="AK172" s="507"/>
      <c r="AL172" s="507"/>
      <c r="AM172" s="507"/>
      <c r="AN172" s="507"/>
      <c r="AO172" s="507"/>
      <c r="AP172" s="507"/>
      <c r="AQ172" s="507"/>
      <c r="AR172" s="507"/>
      <c r="AS172" s="507"/>
      <c r="AT172" s="508"/>
      <c r="AU172" s="509"/>
      <c r="AV172" s="510" t="n">
        <f aca="false">A172</f>
        <v>0</v>
      </c>
      <c r="AW172" s="510" t="n">
        <f aca="false">B172</f>
        <v>0</v>
      </c>
      <c r="AX172" s="510" t="n">
        <f aca="false">C172</f>
        <v>0</v>
      </c>
      <c r="AY172" s="511" t="n">
        <f aca="false">ROUND($AY$6*AZ172/$AZ$5,2)</f>
        <v>0</v>
      </c>
      <c r="AZ172" s="502" t="n">
        <f aca="false">BA172+BL172</f>
        <v>0</v>
      </c>
      <c r="BA172" s="502" t="n">
        <f aca="false">SUM(BB172:BK172)</f>
        <v>0</v>
      </c>
      <c r="BB172" s="502" t="n">
        <f aca="false">IF($D172="是",I172-J172,0)</f>
        <v>0</v>
      </c>
      <c r="BC172" s="502" t="n">
        <f aca="false">IF($D172="是",K172-L172,0)</f>
        <v>0</v>
      </c>
      <c r="BD172" s="502" t="n">
        <f aca="false">IF($D172="是",M172-N172,0)</f>
        <v>0</v>
      </c>
      <c r="BE172" s="502" t="n">
        <f aca="false">IF($D172="是",O172-P172,0)</f>
        <v>0</v>
      </c>
      <c r="BF172" s="502" t="n">
        <f aca="false">IF($D172="是",Q172-R172,0)</f>
        <v>0</v>
      </c>
      <c r="BG172" s="502" t="n">
        <f aca="false">IF($D172="是",S172-T172,0)</f>
        <v>0</v>
      </c>
      <c r="BH172" s="502" t="n">
        <f aca="false">IF($D172="是",U172-V172,0)</f>
        <v>0</v>
      </c>
      <c r="BI172" s="502" t="n">
        <f aca="false">IF($D172="是",W172-X172,0)</f>
        <v>0</v>
      </c>
      <c r="BJ172" s="502" t="n">
        <f aca="false">IF($D172="是",Y172-Z172,0)</f>
        <v>0</v>
      </c>
      <c r="BK172" s="502" t="n">
        <f aca="false">IF($D172="是",AA172-AB172,0)</f>
        <v>0</v>
      </c>
      <c r="BL172" s="502" t="n">
        <f aca="false">SUM(BM172:BT172)</f>
        <v>0</v>
      </c>
      <c r="BM172" s="502" t="n">
        <f aca="false">IF($D172="是",AD172-AE172,0)</f>
        <v>0</v>
      </c>
      <c r="BN172" s="502" t="n">
        <f aca="false">IF($D172="是",AF172-AG172,0)</f>
        <v>0</v>
      </c>
      <c r="BO172" s="502" t="n">
        <f aca="false">IF($D172="是",AH172-AI172,0)</f>
        <v>0</v>
      </c>
      <c r="BP172" s="502" t="n">
        <f aca="false">IF($D172="是",AJ172-AK172,0)</f>
        <v>0</v>
      </c>
      <c r="BQ172" s="502" t="n">
        <f aca="false">IF($D172="是",AL172-AM172,0)</f>
        <v>0</v>
      </c>
      <c r="BR172" s="502" t="n">
        <f aca="false">IF($D172="是",AN172-AO172,0)</f>
        <v>0</v>
      </c>
      <c r="BS172" s="502" t="n">
        <f aca="false">IF($D172="是",AP172-AQ172,0)</f>
        <v>0</v>
      </c>
      <c r="BT172" s="512" t="n">
        <f aca="false">IF($D172="是",AR172-AS172,0)</f>
        <v>0</v>
      </c>
    </row>
    <row r="173" customFormat="false" ht="14.25" hidden="false" customHeight="false" outlineLevel="0" collapsed="false">
      <c r="A173" s="499"/>
      <c r="B173" s="500"/>
      <c r="C173" s="500"/>
      <c r="D173" s="501"/>
      <c r="E173" s="502" t="n">
        <f aca="false">IF($C$3="是",ROUND($A$3*G173/$B$3,2),ROUND($A$3*(G173-AT173)/$B$3,2))</f>
        <v>0</v>
      </c>
      <c r="F173" s="503"/>
      <c r="G173" s="504" t="n">
        <f aca="false">H173+AC173+AT173</f>
        <v>0</v>
      </c>
      <c r="H173" s="505" t="n">
        <f aca="false">SUMIF(I$12:AB$12,"总值",I173:AB173)</f>
        <v>0</v>
      </c>
      <c r="I173" s="506"/>
      <c r="J173" s="506"/>
      <c r="K173" s="506"/>
      <c r="L173" s="506"/>
      <c r="M173" s="506"/>
      <c r="N173" s="506"/>
      <c r="O173" s="506"/>
      <c r="P173" s="506"/>
      <c r="Q173" s="506"/>
      <c r="R173" s="506"/>
      <c r="S173" s="506"/>
      <c r="T173" s="506"/>
      <c r="U173" s="506"/>
      <c r="V173" s="506"/>
      <c r="W173" s="506"/>
      <c r="X173" s="506"/>
      <c r="Y173" s="506"/>
      <c r="Z173" s="506"/>
      <c r="AA173" s="506"/>
      <c r="AB173" s="506"/>
      <c r="AC173" s="502" t="n">
        <f aca="false">SUMIF(AD$12:AS$12,"总值",AD173:AS173)</f>
        <v>0</v>
      </c>
      <c r="AD173" s="507"/>
      <c r="AE173" s="507"/>
      <c r="AF173" s="507"/>
      <c r="AG173" s="507"/>
      <c r="AH173" s="507"/>
      <c r="AI173" s="507"/>
      <c r="AJ173" s="507"/>
      <c r="AK173" s="507"/>
      <c r="AL173" s="507"/>
      <c r="AM173" s="507"/>
      <c r="AN173" s="507"/>
      <c r="AO173" s="507"/>
      <c r="AP173" s="507"/>
      <c r="AQ173" s="507"/>
      <c r="AR173" s="507"/>
      <c r="AS173" s="507"/>
      <c r="AT173" s="508"/>
      <c r="AU173" s="509"/>
      <c r="AV173" s="510" t="n">
        <f aca="false">A173</f>
        <v>0</v>
      </c>
      <c r="AW173" s="510" t="n">
        <f aca="false">B173</f>
        <v>0</v>
      </c>
      <c r="AX173" s="510" t="n">
        <f aca="false">C173</f>
        <v>0</v>
      </c>
      <c r="AY173" s="511" t="n">
        <f aca="false">ROUND($AY$6*AZ173/$AZ$5,2)</f>
        <v>0</v>
      </c>
      <c r="AZ173" s="502" t="n">
        <f aca="false">BA173+BL173</f>
        <v>0</v>
      </c>
      <c r="BA173" s="502" t="n">
        <f aca="false">SUM(BB173:BK173)</f>
        <v>0</v>
      </c>
      <c r="BB173" s="502" t="n">
        <f aca="false">IF($D173="是",I173-J173,0)</f>
        <v>0</v>
      </c>
      <c r="BC173" s="502" t="n">
        <f aca="false">IF($D173="是",K173-L173,0)</f>
        <v>0</v>
      </c>
      <c r="BD173" s="502" t="n">
        <f aca="false">IF($D173="是",M173-N173,0)</f>
        <v>0</v>
      </c>
      <c r="BE173" s="502" t="n">
        <f aca="false">IF($D173="是",O173-P173,0)</f>
        <v>0</v>
      </c>
      <c r="BF173" s="502" t="n">
        <f aca="false">IF($D173="是",Q173-R173,0)</f>
        <v>0</v>
      </c>
      <c r="BG173" s="502" t="n">
        <f aca="false">IF($D173="是",S173-T173,0)</f>
        <v>0</v>
      </c>
      <c r="BH173" s="502" t="n">
        <f aca="false">IF($D173="是",U173-V173,0)</f>
        <v>0</v>
      </c>
      <c r="BI173" s="502" t="n">
        <f aca="false">IF($D173="是",W173-X173,0)</f>
        <v>0</v>
      </c>
      <c r="BJ173" s="502" t="n">
        <f aca="false">IF($D173="是",Y173-Z173,0)</f>
        <v>0</v>
      </c>
      <c r="BK173" s="502" t="n">
        <f aca="false">IF($D173="是",AA173-AB173,0)</f>
        <v>0</v>
      </c>
      <c r="BL173" s="502" t="n">
        <f aca="false">SUM(BM173:BT173)</f>
        <v>0</v>
      </c>
      <c r="BM173" s="502" t="n">
        <f aca="false">IF($D173="是",AD173-AE173,0)</f>
        <v>0</v>
      </c>
      <c r="BN173" s="502" t="n">
        <f aca="false">IF($D173="是",AF173-AG173,0)</f>
        <v>0</v>
      </c>
      <c r="BO173" s="502" t="n">
        <f aca="false">IF($D173="是",AH173-AI173,0)</f>
        <v>0</v>
      </c>
      <c r="BP173" s="502" t="n">
        <f aca="false">IF($D173="是",AJ173-AK173,0)</f>
        <v>0</v>
      </c>
      <c r="BQ173" s="502" t="n">
        <f aca="false">IF($D173="是",AL173-AM173,0)</f>
        <v>0</v>
      </c>
      <c r="BR173" s="502" t="n">
        <f aca="false">IF($D173="是",AN173-AO173,0)</f>
        <v>0</v>
      </c>
      <c r="BS173" s="502" t="n">
        <f aca="false">IF($D173="是",AP173-AQ173,0)</f>
        <v>0</v>
      </c>
      <c r="BT173" s="512" t="n">
        <f aca="false">IF($D173="是",AR173-AS173,0)</f>
        <v>0</v>
      </c>
    </row>
    <row r="174" customFormat="false" ht="14.25" hidden="false" customHeight="false" outlineLevel="0" collapsed="false">
      <c r="A174" s="499"/>
      <c r="B174" s="500"/>
      <c r="C174" s="500"/>
      <c r="D174" s="501"/>
      <c r="E174" s="502" t="n">
        <f aca="false">IF($C$3="是",ROUND($A$3*G174/$B$3,2),ROUND($A$3*(G174-AT174)/$B$3,2))</f>
        <v>0</v>
      </c>
      <c r="F174" s="503"/>
      <c r="G174" s="504" t="n">
        <f aca="false">H174+AC174+AT174</f>
        <v>0</v>
      </c>
      <c r="H174" s="505" t="n">
        <f aca="false">SUMIF(I$12:AB$12,"总值",I174:AB174)</f>
        <v>0</v>
      </c>
      <c r="I174" s="506"/>
      <c r="J174" s="506"/>
      <c r="K174" s="506"/>
      <c r="L174" s="506"/>
      <c r="M174" s="506"/>
      <c r="N174" s="506"/>
      <c r="O174" s="506"/>
      <c r="P174" s="506"/>
      <c r="Q174" s="506"/>
      <c r="R174" s="506"/>
      <c r="S174" s="506"/>
      <c r="T174" s="506"/>
      <c r="U174" s="506"/>
      <c r="V174" s="506"/>
      <c r="W174" s="506"/>
      <c r="X174" s="506"/>
      <c r="Y174" s="506"/>
      <c r="Z174" s="506"/>
      <c r="AA174" s="506"/>
      <c r="AB174" s="506"/>
      <c r="AC174" s="502" t="n">
        <f aca="false">SUMIF(AD$12:AS$12,"总值",AD174:AS174)</f>
        <v>0</v>
      </c>
      <c r="AD174" s="507"/>
      <c r="AE174" s="507"/>
      <c r="AF174" s="507"/>
      <c r="AG174" s="507"/>
      <c r="AH174" s="507"/>
      <c r="AI174" s="507"/>
      <c r="AJ174" s="507"/>
      <c r="AK174" s="507"/>
      <c r="AL174" s="507"/>
      <c r="AM174" s="507"/>
      <c r="AN174" s="507"/>
      <c r="AO174" s="507"/>
      <c r="AP174" s="507"/>
      <c r="AQ174" s="507"/>
      <c r="AR174" s="507"/>
      <c r="AS174" s="507"/>
      <c r="AT174" s="508"/>
      <c r="AU174" s="509"/>
      <c r="AV174" s="510" t="n">
        <f aca="false">A174</f>
        <v>0</v>
      </c>
      <c r="AW174" s="510" t="n">
        <f aca="false">B174</f>
        <v>0</v>
      </c>
      <c r="AX174" s="510" t="n">
        <f aca="false">C174</f>
        <v>0</v>
      </c>
      <c r="AY174" s="511" t="n">
        <f aca="false">ROUND($AY$6*AZ174/$AZ$5,2)</f>
        <v>0</v>
      </c>
      <c r="AZ174" s="502" t="n">
        <f aca="false">BA174+BL174</f>
        <v>0</v>
      </c>
      <c r="BA174" s="502" t="n">
        <f aca="false">SUM(BB174:BK174)</f>
        <v>0</v>
      </c>
      <c r="BB174" s="502" t="n">
        <f aca="false">IF($D174="是",I174-J174,0)</f>
        <v>0</v>
      </c>
      <c r="BC174" s="502" t="n">
        <f aca="false">IF($D174="是",K174-L174,0)</f>
        <v>0</v>
      </c>
      <c r="BD174" s="502" t="n">
        <f aca="false">IF($D174="是",M174-N174,0)</f>
        <v>0</v>
      </c>
      <c r="BE174" s="502" t="n">
        <f aca="false">IF($D174="是",O174-P174,0)</f>
        <v>0</v>
      </c>
      <c r="BF174" s="502" t="n">
        <f aca="false">IF($D174="是",Q174-R174,0)</f>
        <v>0</v>
      </c>
      <c r="BG174" s="502" t="n">
        <f aca="false">IF($D174="是",S174-T174,0)</f>
        <v>0</v>
      </c>
      <c r="BH174" s="502" t="n">
        <f aca="false">IF($D174="是",U174-V174,0)</f>
        <v>0</v>
      </c>
      <c r="BI174" s="502" t="n">
        <f aca="false">IF($D174="是",W174-X174,0)</f>
        <v>0</v>
      </c>
      <c r="BJ174" s="502" t="n">
        <f aca="false">IF($D174="是",Y174-Z174,0)</f>
        <v>0</v>
      </c>
      <c r="BK174" s="502" t="n">
        <f aca="false">IF($D174="是",AA174-AB174,0)</f>
        <v>0</v>
      </c>
      <c r="BL174" s="502" t="n">
        <f aca="false">SUM(BM174:BT174)</f>
        <v>0</v>
      </c>
      <c r="BM174" s="502" t="n">
        <f aca="false">IF($D174="是",AD174-AE174,0)</f>
        <v>0</v>
      </c>
      <c r="BN174" s="502" t="n">
        <f aca="false">IF($D174="是",AF174-AG174,0)</f>
        <v>0</v>
      </c>
      <c r="BO174" s="502" t="n">
        <f aca="false">IF($D174="是",AH174-AI174,0)</f>
        <v>0</v>
      </c>
      <c r="BP174" s="502" t="n">
        <f aca="false">IF($D174="是",AJ174-AK174,0)</f>
        <v>0</v>
      </c>
      <c r="BQ174" s="502" t="n">
        <f aca="false">IF($D174="是",AL174-AM174,0)</f>
        <v>0</v>
      </c>
      <c r="BR174" s="502" t="n">
        <f aca="false">IF($D174="是",AN174-AO174,0)</f>
        <v>0</v>
      </c>
      <c r="BS174" s="502" t="n">
        <f aca="false">IF($D174="是",AP174-AQ174,0)</f>
        <v>0</v>
      </c>
      <c r="BT174" s="512" t="n">
        <f aca="false">IF($D174="是",AR174-AS174,0)</f>
        <v>0</v>
      </c>
    </row>
    <row r="175" customFormat="false" ht="14.25" hidden="false" customHeight="false" outlineLevel="0" collapsed="false">
      <c r="A175" s="499"/>
      <c r="B175" s="500"/>
      <c r="C175" s="500"/>
      <c r="D175" s="501"/>
      <c r="E175" s="502" t="n">
        <f aca="false">IF($C$3="是",ROUND($A$3*G175/$B$3,2),ROUND($A$3*(G175-AT175)/$B$3,2))</f>
        <v>0</v>
      </c>
      <c r="F175" s="503"/>
      <c r="G175" s="504" t="n">
        <f aca="false">H175+AC175+AT175</f>
        <v>0</v>
      </c>
      <c r="H175" s="505" t="n">
        <f aca="false">SUMIF(I$12:AB$12,"总值",I175:AB175)</f>
        <v>0</v>
      </c>
      <c r="I175" s="506"/>
      <c r="J175" s="506"/>
      <c r="K175" s="506"/>
      <c r="L175" s="506"/>
      <c r="M175" s="506"/>
      <c r="N175" s="506"/>
      <c r="O175" s="506"/>
      <c r="P175" s="506"/>
      <c r="Q175" s="506"/>
      <c r="R175" s="506"/>
      <c r="S175" s="506"/>
      <c r="T175" s="506"/>
      <c r="U175" s="506"/>
      <c r="V175" s="506"/>
      <c r="W175" s="506"/>
      <c r="X175" s="506"/>
      <c r="Y175" s="506"/>
      <c r="Z175" s="506"/>
      <c r="AA175" s="506"/>
      <c r="AB175" s="506"/>
      <c r="AC175" s="502" t="n">
        <f aca="false">SUMIF(AD$12:AS$12,"总值",AD175:AS175)</f>
        <v>0</v>
      </c>
      <c r="AD175" s="507"/>
      <c r="AE175" s="507"/>
      <c r="AF175" s="507"/>
      <c r="AG175" s="507"/>
      <c r="AH175" s="507"/>
      <c r="AI175" s="507"/>
      <c r="AJ175" s="507"/>
      <c r="AK175" s="507"/>
      <c r="AL175" s="507"/>
      <c r="AM175" s="507"/>
      <c r="AN175" s="507"/>
      <c r="AO175" s="507"/>
      <c r="AP175" s="507"/>
      <c r="AQ175" s="507"/>
      <c r="AR175" s="507"/>
      <c r="AS175" s="507"/>
      <c r="AT175" s="508"/>
      <c r="AU175" s="509"/>
      <c r="AV175" s="510" t="n">
        <f aca="false">A175</f>
        <v>0</v>
      </c>
      <c r="AW175" s="510" t="n">
        <f aca="false">B175</f>
        <v>0</v>
      </c>
      <c r="AX175" s="510" t="n">
        <f aca="false">C175</f>
        <v>0</v>
      </c>
      <c r="AY175" s="511" t="n">
        <f aca="false">ROUND($AY$6*AZ175/$AZ$5,2)</f>
        <v>0</v>
      </c>
      <c r="AZ175" s="502" t="n">
        <f aca="false">BA175+BL175</f>
        <v>0</v>
      </c>
      <c r="BA175" s="502" t="n">
        <f aca="false">SUM(BB175:BK175)</f>
        <v>0</v>
      </c>
      <c r="BB175" s="502" t="n">
        <f aca="false">IF($D175="是",I175-J175,0)</f>
        <v>0</v>
      </c>
      <c r="BC175" s="502" t="n">
        <f aca="false">IF($D175="是",K175-L175,0)</f>
        <v>0</v>
      </c>
      <c r="BD175" s="502" t="n">
        <f aca="false">IF($D175="是",M175-N175,0)</f>
        <v>0</v>
      </c>
      <c r="BE175" s="502" t="n">
        <f aca="false">IF($D175="是",O175-P175,0)</f>
        <v>0</v>
      </c>
      <c r="BF175" s="502" t="n">
        <f aca="false">IF($D175="是",Q175-R175,0)</f>
        <v>0</v>
      </c>
      <c r="BG175" s="502" t="n">
        <f aca="false">IF($D175="是",S175-T175,0)</f>
        <v>0</v>
      </c>
      <c r="BH175" s="502" t="n">
        <f aca="false">IF($D175="是",U175-V175,0)</f>
        <v>0</v>
      </c>
      <c r="BI175" s="502" t="n">
        <f aca="false">IF($D175="是",W175-X175,0)</f>
        <v>0</v>
      </c>
      <c r="BJ175" s="502" t="n">
        <f aca="false">IF($D175="是",Y175-Z175,0)</f>
        <v>0</v>
      </c>
      <c r="BK175" s="502" t="n">
        <f aca="false">IF($D175="是",AA175-AB175,0)</f>
        <v>0</v>
      </c>
      <c r="BL175" s="502" t="n">
        <f aca="false">SUM(BM175:BT175)</f>
        <v>0</v>
      </c>
      <c r="BM175" s="502" t="n">
        <f aca="false">IF($D175="是",AD175-AE175,0)</f>
        <v>0</v>
      </c>
      <c r="BN175" s="502" t="n">
        <f aca="false">IF($D175="是",AF175-AG175,0)</f>
        <v>0</v>
      </c>
      <c r="BO175" s="502" t="n">
        <f aca="false">IF($D175="是",AH175-AI175,0)</f>
        <v>0</v>
      </c>
      <c r="BP175" s="502" t="n">
        <f aca="false">IF($D175="是",AJ175-AK175,0)</f>
        <v>0</v>
      </c>
      <c r="BQ175" s="502" t="n">
        <f aca="false">IF($D175="是",AL175-AM175,0)</f>
        <v>0</v>
      </c>
      <c r="BR175" s="502" t="n">
        <f aca="false">IF($D175="是",AN175-AO175,0)</f>
        <v>0</v>
      </c>
      <c r="BS175" s="502" t="n">
        <f aca="false">IF($D175="是",AP175-AQ175,0)</f>
        <v>0</v>
      </c>
      <c r="BT175" s="512" t="n">
        <f aca="false">IF($D175="是",AR175-AS175,0)</f>
        <v>0</v>
      </c>
    </row>
    <row r="176" customFormat="false" ht="14.25" hidden="false" customHeight="false" outlineLevel="0" collapsed="false">
      <c r="A176" s="499"/>
      <c r="B176" s="500"/>
      <c r="C176" s="500"/>
      <c r="D176" s="501"/>
      <c r="E176" s="502" t="n">
        <f aca="false">IF($C$3="是",ROUND($A$3*G176/$B$3,2),ROUND($A$3*(G176-AT176)/$B$3,2))</f>
        <v>0</v>
      </c>
      <c r="F176" s="503"/>
      <c r="G176" s="504" t="n">
        <f aca="false">H176+AC176+AT176</f>
        <v>0</v>
      </c>
      <c r="H176" s="505" t="n">
        <f aca="false">SUMIF(I$12:AB$12,"总值",I176:AB176)</f>
        <v>0</v>
      </c>
      <c r="I176" s="506"/>
      <c r="J176" s="506"/>
      <c r="K176" s="506"/>
      <c r="L176" s="506"/>
      <c r="M176" s="506"/>
      <c r="N176" s="506"/>
      <c r="O176" s="506"/>
      <c r="P176" s="506"/>
      <c r="Q176" s="506"/>
      <c r="R176" s="506"/>
      <c r="S176" s="506"/>
      <c r="T176" s="506"/>
      <c r="U176" s="506"/>
      <c r="V176" s="506"/>
      <c r="W176" s="506"/>
      <c r="X176" s="506"/>
      <c r="Y176" s="506"/>
      <c r="Z176" s="506"/>
      <c r="AA176" s="506"/>
      <c r="AB176" s="506"/>
      <c r="AC176" s="502" t="n">
        <f aca="false">SUMIF(AD$12:AS$12,"总值",AD176:AS176)</f>
        <v>0</v>
      </c>
      <c r="AD176" s="507"/>
      <c r="AE176" s="507"/>
      <c r="AF176" s="507"/>
      <c r="AG176" s="507"/>
      <c r="AH176" s="507"/>
      <c r="AI176" s="507"/>
      <c r="AJ176" s="507"/>
      <c r="AK176" s="507"/>
      <c r="AL176" s="507"/>
      <c r="AM176" s="507"/>
      <c r="AN176" s="507"/>
      <c r="AO176" s="507"/>
      <c r="AP176" s="507"/>
      <c r="AQ176" s="507"/>
      <c r="AR176" s="507"/>
      <c r="AS176" s="507"/>
      <c r="AT176" s="508"/>
      <c r="AU176" s="509"/>
      <c r="AV176" s="510" t="n">
        <f aca="false">A176</f>
        <v>0</v>
      </c>
      <c r="AW176" s="510" t="n">
        <f aca="false">B176</f>
        <v>0</v>
      </c>
      <c r="AX176" s="510" t="n">
        <f aca="false">C176</f>
        <v>0</v>
      </c>
      <c r="AY176" s="511" t="n">
        <f aca="false">ROUND($AY$6*AZ176/$AZ$5,2)</f>
        <v>0</v>
      </c>
      <c r="AZ176" s="502" t="n">
        <f aca="false">BA176+BL176</f>
        <v>0</v>
      </c>
      <c r="BA176" s="502" t="n">
        <f aca="false">SUM(BB176:BK176)</f>
        <v>0</v>
      </c>
      <c r="BB176" s="502" t="n">
        <f aca="false">IF($D176="是",I176-J176,0)</f>
        <v>0</v>
      </c>
      <c r="BC176" s="502" t="n">
        <f aca="false">IF($D176="是",K176-L176,0)</f>
        <v>0</v>
      </c>
      <c r="BD176" s="502" t="n">
        <f aca="false">IF($D176="是",M176-N176,0)</f>
        <v>0</v>
      </c>
      <c r="BE176" s="502" t="n">
        <f aca="false">IF($D176="是",O176-P176,0)</f>
        <v>0</v>
      </c>
      <c r="BF176" s="502" t="n">
        <f aca="false">IF($D176="是",Q176-R176,0)</f>
        <v>0</v>
      </c>
      <c r="BG176" s="502" t="n">
        <f aca="false">IF($D176="是",S176-T176,0)</f>
        <v>0</v>
      </c>
      <c r="BH176" s="502" t="n">
        <f aca="false">IF($D176="是",U176-V176,0)</f>
        <v>0</v>
      </c>
      <c r="BI176" s="502" t="n">
        <f aca="false">IF($D176="是",W176-X176,0)</f>
        <v>0</v>
      </c>
      <c r="BJ176" s="502" t="n">
        <f aca="false">IF($D176="是",Y176-Z176,0)</f>
        <v>0</v>
      </c>
      <c r="BK176" s="502" t="n">
        <f aca="false">IF($D176="是",AA176-AB176,0)</f>
        <v>0</v>
      </c>
      <c r="BL176" s="502" t="n">
        <f aca="false">SUM(BM176:BT176)</f>
        <v>0</v>
      </c>
      <c r="BM176" s="502" t="n">
        <f aca="false">IF($D176="是",AD176-AE176,0)</f>
        <v>0</v>
      </c>
      <c r="BN176" s="502" t="n">
        <f aca="false">IF($D176="是",AF176-AG176,0)</f>
        <v>0</v>
      </c>
      <c r="BO176" s="502" t="n">
        <f aca="false">IF($D176="是",AH176-AI176,0)</f>
        <v>0</v>
      </c>
      <c r="BP176" s="502" t="n">
        <f aca="false">IF($D176="是",AJ176-AK176,0)</f>
        <v>0</v>
      </c>
      <c r="BQ176" s="502" t="n">
        <f aca="false">IF($D176="是",AL176-AM176,0)</f>
        <v>0</v>
      </c>
      <c r="BR176" s="502" t="n">
        <f aca="false">IF($D176="是",AN176-AO176,0)</f>
        <v>0</v>
      </c>
      <c r="BS176" s="502" t="n">
        <f aca="false">IF($D176="是",AP176-AQ176,0)</f>
        <v>0</v>
      </c>
      <c r="BT176" s="512" t="n">
        <f aca="false">IF($D176="是",AR176-AS176,0)</f>
        <v>0</v>
      </c>
    </row>
    <row r="177" customFormat="false" ht="14.25" hidden="false" customHeight="false" outlineLevel="0" collapsed="false">
      <c r="A177" s="499"/>
      <c r="B177" s="500"/>
      <c r="C177" s="500"/>
      <c r="D177" s="501"/>
      <c r="E177" s="502" t="n">
        <f aca="false">IF($C$3="是",ROUND($A$3*G177/$B$3,2),ROUND($A$3*(G177-AT177)/$B$3,2))</f>
        <v>0</v>
      </c>
      <c r="F177" s="503"/>
      <c r="G177" s="504" t="n">
        <f aca="false">H177+AC177+AT177</f>
        <v>0</v>
      </c>
      <c r="H177" s="505" t="n">
        <f aca="false">SUMIF(I$12:AB$12,"总值",I177:AB177)</f>
        <v>0</v>
      </c>
      <c r="I177" s="506"/>
      <c r="J177" s="506"/>
      <c r="K177" s="506"/>
      <c r="L177" s="506"/>
      <c r="M177" s="506"/>
      <c r="N177" s="506"/>
      <c r="O177" s="506"/>
      <c r="P177" s="506"/>
      <c r="Q177" s="506"/>
      <c r="R177" s="506"/>
      <c r="S177" s="506"/>
      <c r="T177" s="506"/>
      <c r="U177" s="506"/>
      <c r="V177" s="506"/>
      <c r="W177" s="506"/>
      <c r="X177" s="506"/>
      <c r="Y177" s="506"/>
      <c r="Z177" s="506"/>
      <c r="AA177" s="506"/>
      <c r="AB177" s="506"/>
      <c r="AC177" s="502" t="n">
        <f aca="false">SUMIF(AD$12:AS$12,"总值",AD177:AS177)</f>
        <v>0</v>
      </c>
      <c r="AD177" s="507"/>
      <c r="AE177" s="507"/>
      <c r="AF177" s="507"/>
      <c r="AG177" s="507"/>
      <c r="AH177" s="507"/>
      <c r="AI177" s="507"/>
      <c r="AJ177" s="507"/>
      <c r="AK177" s="507"/>
      <c r="AL177" s="507"/>
      <c r="AM177" s="507"/>
      <c r="AN177" s="507"/>
      <c r="AO177" s="507"/>
      <c r="AP177" s="507"/>
      <c r="AQ177" s="507"/>
      <c r="AR177" s="507"/>
      <c r="AS177" s="507"/>
      <c r="AT177" s="508"/>
      <c r="AU177" s="509"/>
      <c r="AV177" s="510" t="n">
        <f aca="false">A177</f>
        <v>0</v>
      </c>
      <c r="AW177" s="510" t="n">
        <f aca="false">B177</f>
        <v>0</v>
      </c>
      <c r="AX177" s="510" t="n">
        <f aca="false">C177</f>
        <v>0</v>
      </c>
      <c r="AY177" s="511" t="n">
        <f aca="false">ROUND($AY$6*AZ177/$AZ$5,2)</f>
        <v>0</v>
      </c>
      <c r="AZ177" s="502" t="n">
        <f aca="false">BA177+BL177</f>
        <v>0</v>
      </c>
      <c r="BA177" s="502" t="n">
        <f aca="false">SUM(BB177:BK177)</f>
        <v>0</v>
      </c>
      <c r="BB177" s="502" t="n">
        <f aca="false">IF($D177="是",I177-J177,0)</f>
        <v>0</v>
      </c>
      <c r="BC177" s="502" t="n">
        <f aca="false">IF($D177="是",K177-L177,0)</f>
        <v>0</v>
      </c>
      <c r="BD177" s="502" t="n">
        <f aca="false">IF($D177="是",M177-N177,0)</f>
        <v>0</v>
      </c>
      <c r="BE177" s="502" t="n">
        <f aca="false">IF($D177="是",O177-P177,0)</f>
        <v>0</v>
      </c>
      <c r="BF177" s="502" t="n">
        <f aca="false">IF($D177="是",Q177-R177,0)</f>
        <v>0</v>
      </c>
      <c r="BG177" s="502" t="n">
        <f aca="false">IF($D177="是",S177-T177,0)</f>
        <v>0</v>
      </c>
      <c r="BH177" s="502" t="n">
        <f aca="false">IF($D177="是",U177-V177,0)</f>
        <v>0</v>
      </c>
      <c r="BI177" s="502" t="n">
        <f aca="false">IF($D177="是",W177-X177,0)</f>
        <v>0</v>
      </c>
      <c r="BJ177" s="502" t="n">
        <f aca="false">IF($D177="是",Y177-Z177,0)</f>
        <v>0</v>
      </c>
      <c r="BK177" s="502" t="n">
        <f aca="false">IF($D177="是",AA177-AB177,0)</f>
        <v>0</v>
      </c>
      <c r="BL177" s="502" t="n">
        <f aca="false">SUM(BM177:BT177)</f>
        <v>0</v>
      </c>
      <c r="BM177" s="502" t="n">
        <f aca="false">IF($D177="是",AD177-AE177,0)</f>
        <v>0</v>
      </c>
      <c r="BN177" s="502" t="n">
        <f aca="false">IF($D177="是",AF177-AG177,0)</f>
        <v>0</v>
      </c>
      <c r="BO177" s="502" t="n">
        <f aca="false">IF($D177="是",AH177-AI177,0)</f>
        <v>0</v>
      </c>
      <c r="BP177" s="502" t="n">
        <f aca="false">IF($D177="是",AJ177-AK177,0)</f>
        <v>0</v>
      </c>
      <c r="BQ177" s="502" t="n">
        <f aca="false">IF($D177="是",AL177-AM177,0)</f>
        <v>0</v>
      </c>
      <c r="BR177" s="502" t="n">
        <f aca="false">IF($D177="是",AN177-AO177,0)</f>
        <v>0</v>
      </c>
      <c r="BS177" s="502" t="n">
        <f aca="false">IF($D177="是",AP177-AQ177,0)</f>
        <v>0</v>
      </c>
      <c r="BT177" s="512" t="n">
        <f aca="false">IF($D177="是",AR177-AS177,0)</f>
        <v>0</v>
      </c>
    </row>
    <row r="178" customFormat="false" ht="14.25" hidden="false" customHeight="false" outlineLevel="0" collapsed="false">
      <c r="A178" s="499"/>
      <c r="B178" s="500"/>
      <c r="C178" s="500"/>
      <c r="D178" s="501"/>
      <c r="E178" s="502" t="n">
        <f aca="false">IF($C$3="是",ROUND($A$3*G178/$B$3,2),ROUND($A$3*(G178-AT178)/$B$3,2))</f>
        <v>0</v>
      </c>
      <c r="F178" s="503"/>
      <c r="G178" s="504" t="n">
        <f aca="false">H178+AC178+AT178</f>
        <v>0</v>
      </c>
      <c r="H178" s="505" t="n">
        <f aca="false">SUMIF(I$12:AB$12,"总值",I178:AB178)</f>
        <v>0</v>
      </c>
      <c r="I178" s="506"/>
      <c r="J178" s="506"/>
      <c r="K178" s="506"/>
      <c r="L178" s="506"/>
      <c r="M178" s="506"/>
      <c r="N178" s="506"/>
      <c r="O178" s="506"/>
      <c r="P178" s="506"/>
      <c r="Q178" s="506"/>
      <c r="R178" s="506"/>
      <c r="S178" s="506"/>
      <c r="T178" s="506"/>
      <c r="U178" s="506"/>
      <c r="V178" s="506"/>
      <c r="W178" s="506"/>
      <c r="X178" s="506"/>
      <c r="Y178" s="506"/>
      <c r="Z178" s="506"/>
      <c r="AA178" s="506"/>
      <c r="AB178" s="506"/>
      <c r="AC178" s="502" t="n">
        <f aca="false">SUMIF(AD$12:AS$12,"总值",AD178:AS178)</f>
        <v>0</v>
      </c>
      <c r="AD178" s="507"/>
      <c r="AE178" s="507"/>
      <c r="AF178" s="507"/>
      <c r="AG178" s="507"/>
      <c r="AH178" s="507"/>
      <c r="AI178" s="507"/>
      <c r="AJ178" s="507"/>
      <c r="AK178" s="507"/>
      <c r="AL178" s="507"/>
      <c r="AM178" s="507"/>
      <c r="AN178" s="507"/>
      <c r="AO178" s="507"/>
      <c r="AP178" s="507"/>
      <c r="AQ178" s="507"/>
      <c r="AR178" s="507"/>
      <c r="AS178" s="507"/>
      <c r="AT178" s="508"/>
      <c r="AU178" s="509"/>
      <c r="AV178" s="510" t="n">
        <f aca="false">A178</f>
        <v>0</v>
      </c>
      <c r="AW178" s="510" t="n">
        <f aca="false">B178</f>
        <v>0</v>
      </c>
      <c r="AX178" s="510" t="n">
        <f aca="false">C178</f>
        <v>0</v>
      </c>
      <c r="AY178" s="511" t="n">
        <f aca="false">ROUND($AY$6*AZ178/$AZ$5,2)</f>
        <v>0</v>
      </c>
      <c r="AZ178" s="502" t="n">
        <f aca="false">BA178+BL178</f>
        <v>0</v>
      </c>
      <c r="BA178" s="502" t="n">
        <f aca="false">SUM(BB178:BK178)</f>
        <v>0</v>
      </c>
      <c r="BB178" s="502" t="n">
        <f aca="false">IF($D178="是",I178-J178,0)</f>
        <v>0</v>
      </c>
      <c r="BC178" s="502" t="n">
        <f aca="false">IF($D178="是",K178-L178,0)</f>
        <v>0</v>
      </c>
      <c r="BD178" s="502" t="n">
        <f aca="false">IF($D178="是",M178-N178,0)</f>
        <v>0</v>
      </c>
      <c r="BE178" s="502" t="n">
        <f aca="false">IF($D178="是",O178-P178,0)</f>
        <v>0</v>
      </c>
      <c r="BF178" s="502" t="n">
        <f aca="false">IF($D178="是",Q178-R178,0)</f>
        <v>0</v>
      </c>
      <c r="BG178" s="502" t="n">
        <f aca="false">IF($D178="是",S178-T178,0)</f>
        <v>0</v>
      </c>
      <c r="BH178" s="502" t="n">
        <f aca="false">IF($D178="是",U178-V178,0)</f>
        <v>0</v>
      </c>
      <c r="BI178" s="502" t="n">
        <f aca="false">IF($D178="是",W178-X178,0)</f>
        <v>0</v>
      </c>
      <c r="BJ178" s="502" t="n">
        <f aca="false">IF($D178="是",Y178-Z178,0)</f>
        <v>0</v>
      </c>
      <c r="BK178" s="502" t="n">
        <f aca="false">IF($D178="是",AA178-AB178,0)</f>
        <v>0</v>
      </c>
      <c r="BL178" s="502" t="n">
        <f aca="false">SUM(BM178:BT178)</f>
        <v>0</v>
      </c>
      <c r="BM178" s="502" t="n">
        <f aca="false">IF($D178="是",AD178-AE178,0)</f>
        <v>0</v>
      </c>
      <c r="BN178" s="502" t="n">
        <f aca="false">IF($D178="是",AF178-AG178,0)</f>
        <v>0</v>
      </c>
      <c r="BO178" s="502" t="n">
        <f aca="false">IF($D178="是",AH178-AI178,0)</f>
        <v>0</v>
      </c>
      <c r="BP178" s="502" t="n">
        <f aca="false">IF($D178="是",AJ178-AK178,0)</f>
        <v>0</v>
      </c>
      <c r="BQ178" s="502" t="n">
        <f aca="false">IF($D178="是",AL178-AM178,0)</f>
        <v>0</v>
      </c>
      <c r="BR178" s="502" t="n">
        <f aca="false">IF($D178="是",AN178-AO178,0)</f>
        <v>0</v>
      </c>
      <c r="BS178" s="502" t="n">
        <f aca="false">IF($D178="是",AP178-AQ178,0)</f>
        <v>0</v>
      </c>
      <c r="BT178" s="512" t="n">
        <f aca="false">IF($D178="是",AR178-AS178,0)</f>
        <v>0</v>
      </c>
    </row>
    <row r="179" customFormat="false" ht="14.25" hidden="false" customHeight="false" outlineLevel="0" collapsed="false">
      <c r="A179" s="499"/>
      <c r="B179" s="500"/>
      <c r="C179" s="500"/>
      <c r="D179" s="501"/>
      <c r="E179" s="502" t="n">
        <f aca="false">IF($C$3="是",ROUND($A$3*G179/$B$3,2),ROUND($A$3*(G179-AT179)/$B$3,2))</f>
        <v>0</v>
      </c>
      <c r="F179" s="503"/>
      <c r="G179" s="504" t="n">
        <f aca="false">H179+AC179+AT179</f>
        <v>0</v>
      </c>
      <c r="H179" s="505" t="n">
        <f aca="false">SUMIF(I$12:AB$12,"总值",I179:AB179)</f>
        <v>0</v>
      </c>
      <c r="I179" s="506"/>
      <c r="J179" s="506"/>
      <c r="K179" s="506"/>
      <c r="L179" s="506"/>
      <c r="M179" s="506"/>
      <c r="N179" s="506"/>
      <c r="O179" s="506"/>
      <c r="P179" s="506"/>
      <c r="Q179" s="506"/>
      <c r="R179" s="506"/>
      <c r="S179" s="506"/>
      <c r="T179" s="506"/>
      <c r="U179" s="506"/>
      <c r="V179" s="506"/>
      <c r="W179" s="506"/>
      <c r="X179" s="506"/>
      <c r="Y179" s="506"/>
      <c r="Z179" s="506"/>
      <c r="AA179" s="506"/>
      <c r="AB179" s="506"/>
      <c r="AC179" s="502" t="n">
        <f aca="false">SUMIF(AD$12:AS$12,"总值",AD179:AS179)</f>
        <v>0</v>
      </c>
      <c r="AD179" s="507"/>
      <c r="AE179" s="507"/>
      <c r="AF179" s="507"/>
      <c r="AG179" s="507"/>
      <c r="AH179" s="507"/>
      <c r="AI179" s="507"/>
      <c r="AJ179" s="507"/>
      <c r="AK179" s="507"/>
      <c r="AL179" s="507"/>
      <c r="AM179" s="507"/>
      <c r="AN179" s="507"/>
      <c r="AO179" s="507"/>
      <c r="AP179" s="507"/>
      <c r="AQ179" s="507"/>
      <c r="AR179" s="507"/>
      <c r="AS179" s="507"/>
      <c r="AT179" s="508"/>
      <c r="AU179" s="509"/>
      <c r="AV179" s="510" t="n">
        <f aca="false">A179</f>
        <v>0</v>
      </c>
      <c r="AW179" s="510" t="n">
        <f aca="false">B179</f>
        <v>0</v>
      </c>
      <c r="AX179" s="510" t="n">
        <f aca="false">C179</f>
        <v>0</v>
      </c>
      <c r="AY179" s="511" t="n">
        <f aca="false">ROUND($AY$6*AZ179/$AZ$5,2)</f>
        <v>0</v>
      </c>
      <c r="AZ179" s="502" t="n">
        <f aca="false">BA179+BL179</f>
        <v>0</v>
      </c>
      <c r="BA179" s="502" t="n">
        <f aca="false">SUM(BB179:BK179)</f>
        <v>0</v>
      </c>
      <c r="BB179" s="502" t="n">
        <f aca="false">IF($D179="是",I179-J179,0)</f>
        <v>0</v>
      </c>
      <c r="BC179" s="502" t="n">
        <f aca="false">IF($D179="是",K179-L179,0)</f>
        <v>0</v>
      </c>
      <c r="BD179" s="502" t="n">
        <f aca="false">IF($D179="是",M179-N179,0)</f>
        <v>0</v>
      </c>
      <c r="BE179" s="502" t="n">
        <f aca="false">IF($D179="是",O179-P179,0)</f>
        <v>0</v>
      </c>
      <c r="BF179" s="502" t="n">
        <f aca="false">IF($D179="是",Q179-R179,0)</f>
        <v>0</v>
      </c>
      <c r="BG179" s="502" t="n">
        <f aca="false">IF($D179="是",S179-T179,0)</f>
        <v>0</v>
      </c>
      <c r="BH179" s="502" t="n">
        <f aca="false">IF($D179="是",U179-V179,0)</f>
        <v>0</v>
      </c>
      <c r="BI179" s="502" t="n">
        <f aca="false">IF($D179="是",W179-X179,0)</f>
        <v>0</v>
      </c>
      <c r="BJ179" s="502" t="n">
        <f aca="false">IF($D179="是",Y179-Z179,0)</f>
        <v>0</v>
      </c>
      <c r="BK179" s="502" t="n">
        <f aca="false">IF($D179="是",AA179-AB179,0)</f>
        <v>0</v>
      </c>
      <c r="BL179" s="502" t="n">
        <f aca="false">SUM(BM179:BT179)</f>
        <v>0</v>
      </c>
      <c r="BM179" s="502" t="n">
        <f aca="false">IF($D179="是",AD179-AE179,0)</f>
        <v>0</v>
      </c>
      <c r="BN179" s="502" t="n">
        <f aca="false">IF($D179="是",AF179-AG179,0)</f>
        <v>0</v>
      </c>
      <c r="BO179" s="502" t="n">
        <f aca="false">IF($D179="是",AH179-AI179,0)</f>
        <v>0</v>
      </c>
      <c r="BP179" s="502" t="n">
        <f aca="false">IF($D179="是",AJ179-AK179,0)</f>
        <v>0</v>
      </c>
      <c r="BQ179" s="502" t="n">
        <f aca="false">IF($D179="是",AL179-AM179,0)</f>
        <v>0</v>
      </c>
      <c r="BR179" s="502" t="n">
        <f aca="false">IF($D179="是",AN179-AO179,0)</f>
        <v>0</v>
      </c>
      <c r="BS179" s="502" t="n">
        <f aca="false">IF($D179="是",AP179-AQ179,0)</f>
        <v>0</v>
      </c>
      <c r="BT179" s="512" t="n">
        <f aca="false">IF($D179="是",AR179-AS179,0)</f>
        <v>0</v>
      </c>
    </row>
    <row r="180" customFormat="false" ht="14.25" hidden="false" customHeight="false" outlineLevel="0" collapsed="false">
      <c r="A180" s="499"/>
      <c r="B180" s="500"/>
      <c r="C180" s="500"/>
      <c r="D180" s="501"/>
      <c r="E180" s="502" t="n">
        <f aca="false">IF($C$3="是",ROUND($A$3*G180/$B$3,2),ROUND($A$3*(G180-AT180)/$B$3,2))</f>
        <v>0</v>
      </c>
      <c r="F180" s="503"/>
      <c r="G180" s="504" t="n">
        <f aca="false">H180+AC180+AT180</f>
        <v>0</v>
      </c>
      <c r="H180" s="505" t="n">
        <f aca="false">SUMIF(I$12:AB$12,"总值",I180:AB180)</f>
        <v>0</v>
      </c>
      <c r="I180" s="506"/>
      <c r="J180" s="506"/>
      <c r="K180" s="506"/>
      <c r="L180" s="506"/>
      <c r="M180" s="506"/>
      <c r="N180" s="506"/>
      <c r="O180" s="506"/>
      <c r="P180" s="506"/>
      <c r="Q180" s="506"/>
      <c r="R180" s="506"/>
      <c r="S180" s="506"/>
      <c r="T180" s="506"/>
      <c r="U180" s="506"/>
      <c r="V180" s="506"/>
      <c r="W180" s="506"/>
      <c r="X180" s="506"/>
      <c r="Y180" s="506"/>
      <c r="Z180" s="506"/>
      <c r="AA180" s="506"/>
      <c r="AB180" s="506"/>
      <c r="AC180" s="502" t="n">
        <f aca="false">SUMIF(AD$12:AS$12,"总值",AD180:AS180)</f>
        <v>0</v>
      </c>
      <c r="AD180" s="507"/>
      <c r="AE180" s="507"/>
      <c r="AF180" s="507"/>
      <c r="AG180" s="507"/>
      <c r="AH180" s="507"/>
      <c r="AI180" s="507"/>
      <c r="AJ180" s="507"/>
      <c r="AK180" s="507"/>
      <c r="AL180" s="507"/>
      <c r="AM180" s="507"/>
      <c r="AN180" s="507"/>
      <c r="AO180" s="507"/>
      <c r="AP180" s="507"/>
      <c r="AQ180" s="507"/>
      <c r="AR180" s="507"/>
      <c r="AS180" s="507"/>
      <c r="AT180" s="508"/>
      <c r="AU180" s="509"/>
      <c r="AV180" s="510" t="n">
        <f aca="false">A180</f>
        <v>0</v>
      </c>
      <c r="AW180" s="510" t="n">
        <f aca="false">B180</f>
        <v>0</v>
      </c>
      <c r="AX180" s="510" t="n">
        <f aca="false">C180</f>
        <v>0</v>
      </c>
      <c r="AY180" s="511" t="n">
        <f aca="false">ROUND($AY$6*AZ180/$AZ$5,2)</f>
        <v>0</v>
      </c>
      <c r="AZ180" s="502" t="n">
        <f aca="false">BA180+BL180</f>
        <v>0</v>
      </c>
      <c r="BA180" s="502" t="n">
        <f aca="false">SUM(BB180:BK180)</f>
        <v>0</v>
      </c>
      <c r="BB180" s="502" t="n">
        <f aca="false">IF($D180="是",I180-J180,0)</f>
        <v>0</v>
      </c>
      <c r="BC180" s="502" t="n">
        <f aca="false">IF($D180="是",K180-L180,0)</f>
        <v>0</v>
      </c>
      <c r="BD180" s="502" t="n">
        <f aca="false">IF($D180="是",M180-N180,0)</f>
        <v>0</v>
      </c>
      <c r="BE180" s="502" t="n">
        <f aca="false">IF($D180="是",O180-P180,0)</f>
        <v>0</v>
      </c>
      <c r="BF180" s="502" t="n">
        <f aca="false">IF($D180="是",Q180-R180,0)</f>
        <v>0</v>
      </c>
      <c r="BG180" s="502" t="n">
        <f aca="false">IF($D180="是",S180-T180,0)</f>
        <v>0</v>
      </c>
      <c r="BH180" s="502" t="n">
        <f aca="false">IF($D180="是",U180-V180,0)</f>
        <v>0</v>
      </c>
      <c r="BI180" s="502" t="n">
        <f aca="false">IF($D180="是",W180-X180,0)</f>
        <v>0</v>
      </c>
      <c r="BJ180" s="502" t="n">
        <f aca="false">IF($D180="是",Y180-Z180,0)</f>
        <v>0</v>
      </c>
      <c r="BK180" s="502" t="n">
        <f aca="false">IF($D180="是",AA180-AB180,0)</f>
        <v>0</v>
      </c>
      <c r="BL180" s="502" t="n">
        <f aca="false">SUM(BM180:BT180)</f>
        <v>0</v>
      </c>
      <c r="BM180" s="502" t="n">
        <f aca="false">IF($D180="是",AD180-AE180,0)</f>
        <v>0</v>
      </c>
      <c r="BN180" s="502" t="n">
        <f aca="false">IF($D180="是",AF180-AG180,0)</f>
        <v>0</v>
      </c>
      <c r="BO180" s="502" t="n">
        <f aca="false">IF($D180="是",AH180-AI180,0)</f>
        <v>0</v>
      </c>
      <c r="BP180" s="502" t="n">
        <f aca="false">IF($D180="是",AJ180-AK180,0)</f>
        <v>0</v>
      </c>
      <c r="BQ180" s="502" t="n">
        <f aca="false">IF($D180="是",AL180-AM180,0)</f>
        <v>0</v>
      </c>
      <c r="BR180" s="502" t="n">
        <f aca="false">IF($D180="是",AN180-AO180,0)</f>
        <v>0</v>
      </c>
      <c r="BS180" s="502" t="n">
        <f aca="false">IF($D180="是",AP180-AQ180,0)</f>
        <v>0</v>
      </c>
      <c r="BT180" s="512" t="n">
        <f aca="false">IF($D180="是",AR180-AS180,0)</f>
        <v>0</v>
      </c>
    </row>
    <row r="181" customFormat="false" ht="14.25" hidden="false" customHeight="false" outlineLevel="0" collapsed="false">
      <c r="A181" s="499"/>
      <c r="B181" s="500"/>
      <c r="C181" s="500"/>
      <c r="D181" s="501"/>
      <c r="E181" s="502" t="n">
        <f aca="false">IF($C$3="是",ROUND($A$3*G181/$B$3,2),ROUND($A$3*(G181-AT181)/$B$3,2))</f>
        <v>0</v>
      </c>
      <c r="F181" s="503"/>
      <c r="G181" s="504" t="n">
        <f aca="false">H181+AC181+AT181</f>
        <v>0</v>
      </c>
      <c r="H181" s="505" t="n">
        <f aca="false">SUMIF(I$12:AB$12,"总值",I181:AB181)</f>
        <v>0</v>
      </c>
      <c r="I181" s="506"/>
      <c r="J181" s="506"/>
      <c r="K181" s="506"/>
      <c r="L181" s="506"/>
      <c r="M181" s="506"/>
      <c r="N181" s="506"/>
      <c r="O181" s="506"/>
      <c r="P181" s="506"/>
      <c r="Q181" s="506"/>
      <c r="R181" s="506"/>
      <c r="S181" s="506"/>
      <c r="T181" s="506"/>
      <c r="U181" s="506"/>
      <c r="V181" s="506"/>
      <c r="W181" s="506"/>
      <c r="X181" s="506"/>
      <c r="Y181" s="506"/>
      <c r="Z181" s="506"/>
      <c r="AA181" s="506"/>
      <c r="AB181" s="506"/>
      <c r="AC181" s="502" t="n">
        <f aca="false">SUMIF(AD$12:AS$12,"总值",AD181:AS181)</f>
        <v>0</v>
      </c>
      <c r="AD181" s="507"/>
      <c r="AE181" s="507"/>
      <c r="AF181" s="507"/>
      <c r="AG181" s="507"/>
      <c r="AH181" s="507"/>
      <c r="AI181" s="507"/>
      <c r="AJ181" s="507"/>
      <c r="AK181" s="507"/>
      <c r="AL181" s="507"/>
      <c r="AM181" s="507"/>
      <c r="AN181" s="507"/>
      <c r="AO181" s="507"/>
      <c r="AP181" s="507"/>
      <c r="AQ181" s="507"/>
      <c r="AR181" s="507"/>
      <c r="AS181" s="507"/>
      <c r="AT181" s="508"/>
      <c r="AU181" s="509"/>
      <c r="AV181" s="510" t="n">
        <f aca="false">A181</f>
        <v>0</v>
      </c>
      <c r="AW181" s="510" t="n">
        <f aca="false">B181</f>
        <v>0</v>
      </c>
      <c r="AX181" s="510" t="n">
        <f aca="false">C181</f>
        <v>0</v>
      </c>
      <c r="AY181" s="511" t="n">
        <f aca="false">ROUND($AY$6*AZ181/$AZ$5,2)</f>
        <v>0</v>
      </c>
      <c r="AZ181" s="502" t="n">
        <f aca="false">BA181+BL181</f>
        <v>0</v>
      </c>
      <c r="BA181" s="502" t="n">
        <f aca="false">SUM(BB181:BK181)</f>
        <v>0</v>
      </c>
      <c r="BB181" s="502" t="n">
        <f aca="false">IF($D181="是",I181-J181,0)</f>
        <v>0</v>
      </c>
      <c r="BC181" s="502" t="n">
        <f aca="false">IF($D181="是",K181-L181,0)</f>
        <v>0</v>
      </c>
      <c r="BD181" s="502" t="n">
        <f aca="false">IF($D181="是",M181-N181,0)</f>
        <v>0</v>
      </c>
      <c r="BE181" s="502" t="n">
        <f aca="false">IF($D181="是",O181-P181,0)</f>
        <v>0</v>
      </c>
      <c r="BF181" s="502" t="n">
        <f aca="false">IF($D181="是",Q181-R181,0)</f>
        <v>0</v>
      </c>
      <c r="BG181" s="502" t="n">
        <f aca="false">IF($D181="是",S181-T181,0)</f>
        <v>0</v>
      </c>
      <c r="BH181" s="502" t="n">
        <f aca="false">IF($D181="是",U181-V181,0)</f>
        <v>0</v>
      </c>
      <c r="BI181" s="502" t="n">
        <f aca="false">IF($D181="是",W181-X181,0)</f>
        <v>0</v>
      </c>
      <c r="BJ181" s="502" t="n">
        <f aca="false">IF($D181="是",Y181-Z181,0)</f>
        <v>0</v>
      </c>
      <c r="BK181" s="502" t="n">
        <f aca="false">IF($D181="是",AA181-AB181,0)</f>
        <v>0</v>
      </c>
      <c r="BL181" s="502" t="n">
        <f aca="false">SUM(BM181:BT181)</f>
        <v>0</v>
      </c>
      <c r="BM181" s="502" t="n">
        <f aca="false">IF($D181="是",AD181-AE181,0)</f>
        <v>0</v>
      </c>
      <c r="BN181" s="502" t="n">
        <f aca="false">IF($D181="是",AF181-AG181,0)</f>
        <v>0</v>
      </c>
      <c r="BO181" s="502" t="n">
        <f aca="false">IF($D181="是",AH181-AI181,0)</f>
        <v>0</v>
      </c>
      <c r="BP181" s="502" t="n">
        <f aca="false">IF($D181="是",AJ181-AK181,0)</f>
        <v>0</v>
      </c>
      <c r="BQ181" s="502" t="n">
        <f aca="false">IF($D181="是",AL181-AM181,0)</f>
        <v>0</v>
      </c>
      <c r="BR181" s="502" t="n">
        <f aca="false">IF($D181="是",AN181-AO181,0)</f>
        <v>0</v>
      </c>
      <c r="BS181" s="502" t="n">
        <f aca="false">IF($D181="是",AP181-AQ181,0)</f>
        <v>0</v>
      </c>
      <c r="BT181" s="512" t="n">
        <f aca="false">IF($D181="是",AR181-AS181,0)</f>
        <v>0</v>
      </c>
    </row>
    <row r="182" customFormat="false" ht="14.25" hidden="false" customHeight="false" outlineLevel="0" collapsed="false">
      <c r="A182" s="499"/>
      <c r="B182" s="500"/>
      <c r="C182" s="500"/>
      <c r="D182" s="501"/>
      <c r="E182" s="502" t="n">
        <f aca="false">IF($C$3="是",ROUND($A$3*G182/$B$3,2),ROUND($A$3*(G182-AT182)/$B$3,2))</f>
        <v>0</v>
      </c>
      <c r="F182" s="503"/>
      <c r="G182" s="504" t="n">
        <f aca="false">H182+AC182+AT182</f>
        <v>0</v>
      </c>
      <c r="H182" s="505" t="n">
        <f aca="false">SUMIF(I$12:AB$12,"总值",I182:AB182)</f>
        <v>0</v>
      </c>
      <c r="I182" s="506"/>
      <c r="J182" s="506"/>
      <c r="K182" s="506"/>
      <c r="L182" s="506"/>
      <c r="M182" s="506"/>
      <c r="N182" s="506"/>
      <c r="O182" s="506"/>
      <c r="P182" s="506"/>
      <c r="Q182" s="506"/>
      <c r="R182" s="506"/>
      <c r="S182" s="506"/>
      <c r="T182" s="506"/>
      <c r="U182" s="506"/>
      <c r="V182" s="506"/>
      <c r="W182" s="506"/>
      <c r="X182" s="506"/>
      <c r="Y182" s="506"/>
      <c r="Z182" s="506"/>
      <c r="AA182" s="506"/>
      <c r="AB182" s="506"/>
      <c r="AC182" s="502" t="n">
        <f aca="false">SUMIF(AD$12:AS$12,"总值",AD182:AS182)</f>
        <v>0</v>
      </c>
      <c r="AD182" s="507"/>
      <c r="AE182" s="507"/>
      <c r="AF182" s="507"/>
      <c r="AG182" s="507"/>
      <c r="AH182" s="507"/>
      <c r="AI182" s="507"/>
      <c r="AJ182" s="507"/>
      <c r="AK182" s="507"/>
      <c r="AL182" s="507"/>
      <c r="AM182" s="507"/>
      <c r="AN182" s="507"/>
      <c r="AO182" s="507"/>
      <c r="AP182" s="507"/>
      <c r="AQ182" s="507"/>
      <c r="AR182" s="507"/>
      <c r="AS182" s="507"/>
      <c r="AT182" s="508"/>
      <c r="AU182" s="509"/>
      <c r="AV182" s="510" t="n">
        <f aca="false">A182</f>
        <v>0</v>
      </c>
      <c r="AW182" s="510" t="n">
        <f aca="false">B182</f>
        <v>0</v>
      </c>
      <c r="AX182" s="510" t="n">
        <f aca="false">C182</f>
        <v>0</v>
      </c>
      <c r="AY182" s="511" t="n">
        <f aca="false">ROUND($AY$6*AZ182/$AZ$5,2)</f>
        <v>0</v>
      </c>
      <c r="AZ182" s="502" t="n">
        <f aca="false">BA182+BL182</f>
        <v>0</v>
      </c>
      <c r="BA182" s="502" t="n">
        <f aca="false">SUM(BB182:BK182)</f>
        <v>0</v>
      </c>
      <c r="BB182" s="502" t="n">
        <f aca="false">IF($D182="是",I182-J182,0)</f>
        <v>0</v>
      </c>
      <c r="BC182" s="502" t="n">
        <f aca="false">IF($D182="是",K182-L182,0)</f>
        <v>0</v>
      </c>
      <c r="BD182" s="502" t="n">
        <f aca="false">IF($D182="是",M182-N182,0)</f>
        <v>0</v>
      </c>
      <c r="BE182" s="502" t="n">
        <f aca="false">IF($D182="是",O182-P182,0)</f>
        <v>0</v>
      </c>
      <c r="BF182" s="502" t="n">
        <f aca="false">IF($D182="是",Q182-R182,0)</f>
        <v>0</v>
      </c>
      <c r="BG182" s="502" t="n">
        <f aca="false">IF($D182="是",S182-T182,0)</f>
        <v>0</v>
      </c>
      <c r="BH182" s="502" t="n">
        <f aca="false">IF($D182="是",U182-V182,0)</f>
        <v>0</v>
      </c>
      <c r="BI182" s="502" t="n">
        <f aca="false">IF($D182="是",W182-X182,0)</f>
        <v>0</v>
      </c>
      <c r="BJ182" s="502" t="n">
        <f aca="false">IF($D182="是",Y182-Z182,0)</f>
        <v>0</v>
      </c>
      <c r="BK182" s="502" t="n">
        <f aca="false">IF($D182="是",AA182-AB182,0)</f>
        <v>0</v>
      </c>
      <c r="BL182" s="502" t="n">
        <f aca="false">SUM(BM182:BT182)</f>
        <v>0</v>
      </c>
      <c r="BM182" s="502" t="n">
        <f aca="false">IF($D182="是",AD182-AE182,0)</f>
        <v>0</v>
      </c>
      <c r="BN182" s="502" t="n">
        <f aca="false">IF($D182="是",AF182-AG182,0)</f>
        <v>0</v>
      </c>
      <c r="BO182" s="502" t="n">
        <f aca="false">IF($D182="是",AH182-AI182,0)</f>
        <v>0</v>
      </c>
      <c r="BP182" s="502" t="n">
        <f aca="false">IF($D182="是",AJ182-AK182,0)</f>
        <v>0</v>
      </c>
      <c r="BQ182" s="502" t="n">
        <f aca="false">IF($D182="是",AL182-AM182,0)</f>
        <v>0</v>
      </c>
      <c r="BR182" s="502" t="n">
        <f aca="false">IF($D182="是",AN182-AO182,0)</f>
        <v>0</v>
      </c>
      <c r="BS182" s="502" t="n">
        <f aca="false">IF($D182="是",AP182-AQ182,0)</f>
        <v>0</v>
      </c>
      <c r="BT182" s="512" t="n">
        <f aca="false">IF($D182="是",AR182-AS182,0)</f>
        <v>0</v>
      </c>
    </row>
    <row r="183" customFormat="false" ht="14.25" hidden="false" customHeight="false" outlineLevel="0" collapsed="false">
      <c r="A183" s="499"/>
      <c r="B183" s="500"/>
      <c r="C183" s="500"/>
      <c r="D183" s="501"/>
      <c r="E183" s="502" t="n">
        <f aca="false">IF($C$3="是",ROUND($A$3*G183/$B$3,2),ROUND($A$3*(G183-AT183)/$B$3,2))</f>
        <v>0</v>
      </c>
      <c r="F183" s="503"/>
      <c r="G183" s="504" t="n">
        <f aca="false">H183+AC183+AT183</f>
        <v>0</v>
      </c>
      <c r="H183" s="505" t="n">
        <f aca="false">SUMIF(I$12:AB$12,"总值",I183:AB183)</f>
        <v>0</v>
      </c>
      <c r="I183" s="506"/>
      <c r="J183" s="506"/>
      <c r="K183" s="506"/>
      <c r="L183" s="506"/>
      <c r="M183" s="506"/>
      <c r="N183" s="506"/>
      <c r="O183" s="506"/>
      <c r="P183" s="506"/>
      <c r="Q183" s="506"/>
      <c r="R183" s="506"/>
      <c r="S183" s="506"/>
      <c r="T183" s="506"/>
      <c r="U183" s="506"/>
      <c r="V183" s="506"/>
      <c r="W183" s="506"/>
      <c r="X183" s="506"/>
      <c r="Y183" s="506"/>
      <c r="Z183" s="506"/>
      <c r="AA183" s="506"/>
      <c r="AB183" s="506"/>
      <c r="AC183" s="502" t="n">
        <f aca="false">SUMIF(AD$12:AS$12,"总值",AD183:AS183)</f>
        <v>0</v>
      </c>
      <c r="AD183" s="507"/>
      <c r="AE183" s="507"/>
      <c r="AF183" s="507"/>
      <c r="AG183" s="507"/>
      <c r="AH183" s="507"/>
      <c r="AI183" s="507"/>
      <c r="AJ183" s="507"/>
      <c r="AK183" s="507"/>
      <c r="AL183" s="507"/>
      <c r="AM183" s="507"/>
      <c r="AN183" s="507"/>
      <c r="AO183" s="507"/>
      <c r="AP183" s="507"/>
      <c r="AQ183" s="507"/>
      <c r="AR183" s="507"/>
      <c r="AS183" s="507"/>
      <c r="AT183" s="508"/>
      <c r="AU183" s="509"/>
      <c r="AV183" s="510" t="n">
        <f aca="false">A183</f>
        <v>0</v>
      </c>
      <c r="AW183" s="510" t="n">
        <f aca="false">B183</f>
        <v>0</v>
      </c>
      <c r="AX183" s="510" t="n">
        <f aca="false">C183</f>
        <v>0</v>
      </c>
      <c r="AY183" s="511" t="n">
        <f aca="false">ROUND($AY$6*AZ183/$AZ$5,2)</f>
        <v>0</v>
      </c>
      <c r="AZ183" s="502" t="n">
        <f aca="false">BA183+BL183</f>
        <v>0</v>
      </c>
      <c r="BA183" s="502" t="n">
        <f aca="false">SUM(BB183:BK183)</f>
        <v>0</v>
      </c>
      <c r="BB183" s="502" t="n">
        <f aca="false">IF($D183="是",I183-J183,0)</f>
        <v>0</v>
      </c>
      <c r="BC183" s="502" t="n">
        <f aca="false">IF($D183="是",K183-L183,0)</f>
        <v>0</v>
      </c>
      <c r="BD183" s="502" t="n">
        <f aca="false">IF($D183="是",M183-N183,0)</f>
        <v>0</v>
      </c>
      <c r="BE183" s="502" t="n">
        <f aca="false">IF($D183="是",O183-P183,0)</f>
        <v>0</v>
      </c>
      <c r="BF183" s="502" t="n">
        <f aca="false">IF($D183="是",Q183-R183,0)</f>
        <v>0</v>
      </c>
      <c r="BG183" s="502" t="n">
        <f aca="false">IF($D183="是",S183-T183,0)</f>
        <v>0</v>
      </c>
      <c r="BH183" s="502" t="n">
        <f aca="false">IF($D183="是",U183-V183,0)</f>
        <v>0</v>
      </c>
      <c r="BI183" s="502" t="n">
        <f aca="false">IF($D183="是",W183-X183,0)</f>
        <v>0</v>
      </c>
      <c r="BJ183" s="502" t="n">
        <f aca="false">IF($D183="是",Y183-Z183,0)</f>
        <v>0</v>
      </c>
      <c r="BK183" s="502" t="n">
        <f aca="false">IF($D183="是",AA183-AB183,0)</f>
        <v>0</v>
      </c>
      <c r="BL183" s="502" t="n">
        <f aca="false">SUM(BM183:BT183)</f>
        <v>0</v>
      </c>
      <c r="BM183" s="502" t="n">
        <f aca="false">IF($D183="是",AD183-AE183,0)</f>
        <v>0</v>
      </c>
      <c r="BN183" s="502" t="n">
        <f aca="false">IF($D183="是",AF183-AG183,0)</f>
        <v>0</v>
      </c>
      <c r="BO183" s="502" t="n">
        <f aca="false">IF($D183="是",AH183-AI183,0)</f>
        <v>0</v>
      </c>
      <c r="BP183" s="502" t="n">
        <f aca="false">IF($D183="是",AJ183-AK183,0)</f>
        <v>0</v>
      </c>
      <c r="BQ183" s="502" t="n">
        <f aca="false">IF($D183="是",AL183-AM183,0)</f>
        <v>0</v>
      </c>
      <c r="BR183" s="502" t="n">
        <f aca="false">IF($D183="是",AN183-AO183,0)</f>
        <v>0</v>
      </c>
      <c r="BS183" s="502" t="n">
        <f aca="false">IF($D183="是",AP183-AQ183,0)</f>
        <v>0</v>
      </c>
      <c r="BT183" s="512" t="n">
        <f aca="false">IF($D183="是",AR183-AS183,0)</f>
        <v>0</v>
      </c>
    </row>
    <row r="184" customFormat="false" ht="14.25" hidden="false" customHeight="false" outlineLevel="0" collapsed="false">
      <c r="A184" s="499"/>
      <c r="B184" s="500"/>
      <c r="C184" s="500"/>
      <c r="D184" s="501"/>
      <c r="E184" s="502" t="n">
        <f aca="false">IF($C$3="是",ROUND($A$3*G184/$B$3,2),ROUND($A$3*(G184-AT184)/$B$3,2))</f>
        <v>0</v>
      </c>
      <c r="F184" s="503"/>
      <c r="G184" s="504" t="n">
        <f aca="false">H184+AC184+AT184</f>
        <v>0</v>
      </c>
      <c r="H184" s="505" t="n">
        <f aca="false">SUMIF(I$12:AB$12,"总值",I184:AB184)</f>
        <v>0</v>
      </c>
      <c r="I184" s="506"/>
      <c r="J184" s="506"/>
      <c r="K184" s="506"/>
      <c r="L184" s="506"/>
      <c r="M184" s="506"/>
      <c r="N184" s="506"/>
      <c r="O184" s="506"/>
      <c r="P184" s="506"/>
      <c r="Q184" s="506"/>
      <c r="R184" s="506"/>
      <c r="S184" s="506"/>
      <c r="T184" s="506"/>
      <c r="U184" s="506"/>
      <c r="V184" s="506"/>
      <c r="W184" s="506"/>
      <c r="X184" s="506"/>
      <c r="Y184" s="506"/>
      <c r="Z184" s="506"/>
      <c r="AA184" s="506"/>
      <c r="AB184" s="506"/>
      <c r="AC184" s="502" t="n">
        <f aca="false">SUMIF(AD$12:AS$12,"总值",AD184:AS184)</f>
        <v>0</v>
      </c>
      <c r="AD184" s="507"/>
      <c r="AE184" s="507"/>
      <c r="AF184" s="507"/>
      <c r="AG184" s="507"/>
      <c r="AH184" s="507"/>
      <c r="AI184" s="507"/>
      <c r="AJ184" s="507"/>
      <c r="AK184" s="507"/>
      <c r="AL184" s="507"/>
      <c r="AM184" s="507"/>
      <c r="AN184" s="507"/>
      <c r="AO184" s="507"/>
      <c r="AP184" s="507"/>
      <c r="AQ184" s="507"/>
      <c r="AR184" s="507"/>
      <c r="AS184" s="507"/>
      <c r="AT184" s="508"/>
      <c r="AU184" s="509"/>
      <c r="AV184" s="510" t="n">
        <f aca="false">A184</f>
        <v>0</v>
      </c>
      <c r="AW184" s="510" t="n">
        <f aca="false">B184</f>
        <v>0</v>
      </c>
      <c r="AX184" s="510" t="n">
        <f aca="false">C184</f>
        <v>0</v>
      </c>
      <c r="AY184" s="511" t="n">
        <f aca="false">ROUND($AY$6*AZ184/$AZ$5,2)</f>
        <v>0</v>
      </c>
      <c r="AZ184" s="502" t="n">
        <f aca="false">BA184+BL184</f>
        <v>0</v>
      </c>
      <c r="BA184" s="502" t="n">
        <f aca="false">SUM(BB184:BK184)</f>
        <v>0</v>
      </c>
      <c r="BB184" s="502" t="n">
        <f aca="false">IF($D184="是",I184-J184,0)</f>
        <v>0</v>
      </c>
      <c r="BC184" s="502" t="n">
        <f aca="false">IF($D184="是",K184-L184,0)</f>
        <v>0</v>
      </c>
      <c r="BD184" s="502" t="n">
        <f aca="false">IF($D184="是",M184-N184,0)</f>
        <v>0</v>
      </c>
      <c r="BE184" s="502" t="n">
        <f aca="false">IF($D184="是",O184-P184,0)</f>
        <v>0</v>
      </c>
      <c r="BF184" s="502" t="n">
        <f aca="false">IF($D184="是",Q184-R184,0)</f>
        <v>0</v>
      </c>
      <c r="BG184" s="502" t="n">
        <f aca="false">IF($D184="是",S184-T184,0)</f>
        <v>0</v>
      </c>
      <c r="BH184" s="502" t="n">
        <f aca="false">IF($D184="是",U184-V184,0)</f>
        <v>0</v>
      </c>
      <c r="BI184" s="502" t="n">
        <f aca="false">IF($D184="是",W184-X184,0)</f>
        <v>0</v>
      </c>
      <c r="BJ184" s="502" t="n">
        <f aca="false">IF($D184="是",Y184-Z184,0)</f>
        <v>0</v>
      </c>
      <c r="BK184" s="502" t="n">
        <f aca="false">IF($D184="是",AA184-AB184,0)</f>
        <v>0</v>
      </c>
      <c r="BL184" s="502" t="n">
        <f aca="false">SUM(BM184:BT184)</f>
        <v>0</v>
      </c>
      <c r="BM184" s="502" t="n">
        <f aca="false">IF($D184="是",AD184-AE184,0)</f>
        <v>0</v>
      </c>
      <c r="BN184" s="502" t="n">
        <f aca="false">IF($D184="是",AF184-AG184,0)</f>
        <v>0</v>
      </c>
      <c r="BO184" s="502" t="n">
        <f aca="false">IF($D184="是",AH184-AI184,0)</f>
        <v>0</v>
      </c>
      <c r="BP184" s="502" t="n">
        <f aca="false">IF($D184="是",AJ184-AK184,0)</f>
        <v>0</v>
      </c>
      <c r="BQ184" s="502" t="n">
        <f aca="false">IF($D184="是",AL184-AM184,0)</f>
        <v>0</v>
      </c>
      <c r="BR184" s="502" t="n">
        <f aca="false">IF($D184="是",AN184-AO184,0)</f>
        <v>0</v>
      </c>
      <c r="BS184" s="502" t="n">
        <f aca="false">IF($D184="是",AP184-AQ184,0)</f>
        <v>0</v>
      </c>
      <c r="BT184" s="512" t="n">
        <f aca="false">IF($D184="是",AR184-AS184,0)</f>
        <v>0</v>
      </c>
    </row>
    <row r="185" customFormat="false" ht="14.25" hidden="false" customHeight="false" outlineLevel="0" collapsed="false">
      <c r="A185" s="499"/>
      <c r="B185" s="500"/>
      <c r="C185" s="500"/>
      <c r="D185" s="501"/>
      <c r="E185" s="502" t="n">
        <f aca="false">IF($C$3="是",ROUND($A$3*G185/$B$3,2),ROUND($A$3*(G185-AT185)/$B$3,2))</f>
        <v>0</v>
      </c>
      <c r="F185" s="503"/>
      <c r="G185" s="504" t="n">
        <f aca="false">H185+AC185+AT185</f>
        <v>0</v>
      </c>
      <c r="H185" s="505" t="n">
        <f aca="false">SUMIF(I$12:AB$12,"总值",I185:AB185)</f>
        <v>0</v>
      </c>
      <c r="I185" s="506"/>
      <c r="J185" s="506"/>
      <c r="K185" s="506"/>
      <c r="L185" s="506"/>
      <c r="M185" s="506"/>
      <c r="N185" s="506"/>
      <c r="O185" s="506"/>
      <c r="P185" s="506"/>
      <c r="Q185" s="506"/>
      <c r="R185" s="506"/>
      <c r="S185" s="506"/>
      <c r="T185" s="506"/>
      <c r="U185" s="506"/>
      <c r="V185" s="506"/>
      <c r="W185" s="506"/>
      <c r="X185" s="506"/>
      <c r="Y185" s="506"/>
      <c r="Z185" s="506"/>
      <c r="AA185" s="506"/>
      <c r="AB185" s="506"/>
      <c r="AC185" s="502" t="n">
        <f aca="false">SUMIF(AD$12:AS$12,"总值",AD185:AS185)</f>
        <v>0</v>
      </c>
      <c r="AD185" s="507"/>
      <c r="AE185" s="507"/>
      <c r="AF185" s="507"/>
      <c r="AG185" s="507"/>
      <c r="AH185" s="507"/>
      <c r="AI185" s="507"/>
      <c r="AJ185" s="507"/>
      <c r="AK185" s="507"/>
      <c r="AL185" s="507"/>
      <c r="AM185" s="507"/>
      <c r="AN185" s="507"/>
      <c r="AO185" s="507"/>
      <c r="AP185" s="507"/>
      <c r="AQ185" s="507"/>
      <c r="AR185" s="507"/>
      <c r="AS185" s="507"/>
      <c r="AT185" s="508"/>
      <c r="AU185" s="509"/>
      <c r="AV185" s="510" t="n">
        <f aca="false">A185</f>
        <v>0</v>
      </c>
      <c r="AW185" s="510" t="n">
        <f aca="false">B185</f>
        <v>0</v>
      </c>
      <c r="AX185" s="510" t="n">
        <f aca="false">C185</f>
        <v>0</v>
      </c>
      <c r="AY185" s="511" t="n">
        <f aca="false">ROUND($AY$6*AZ185/$AZ$5,2)</f>
        <v>0</v>
      </c>
      <c r="AZ185" s="502" t="n">
        <f aca="false">BA185+BL185</f>
        <v>0</v>
      </c>
      <c r="BA185" s="502" t="n">
        <f aca="false">SUM(BB185:BK185)</f>
        <v>0</v>
      </c>
      <c r="BB185" s="502" t="n">
        <f aca="false">IF($D185="是",I185-J185,0)</f>
        <v>0</v>
      </c>
      <c r="BC185" s="502" t="n">
        <f aca="false">IF($D185="是",K185-L185,0)</f>
        <v>0</v>
      </c>
      <c r="BD185" s="502" t="n">
        <f aca="false">IF($D185="是",M185-N185,0)</f>
        <v>0</v>
      </c>
      <c r="BE185" s="502" t="n">
        <f aca="false">IF($D185="是",O185-P185,0)</f>
        <v>0</v>
      </c>
      <c r="BF185" s="502" t="n">
        <f aca="false">IF($D185="是",Q185-R185,0)</f>
        <v>0</v>
      </c>
      <c r="BG185" s="502" t="n">
        <f aca="false">IF($D185="是",S185-T185,0)</f>
        <v>0</v>
      </c>
      <c r="BH185" s="502" t="n">
        <f aca="false">IF($D185="是",U185-V185,0)</f>
        <v>0</v>
      </c>
      <c r="BI185" s="502" t="n">
        <f aca="false">IF($D185="是",W185-X185,0)</f>
        <v>0</v>
      </c>
      <c r="BJ185" s="502" t="n">
        <f aca="false">IF($D185="是",Y185-Z185,0)</f>
        <v>0</v>
      </c>
      <c r="BK185" s="502" t="n">
        <f aca="false">IF($D185="是",AA185-AB185,0)</f>
        <v>0</v>
      </c>
      <c r="BL185" s="502" t="n">
        <f aca="false">SUM(BM185:BT185)</f>
        <v>0</v>
      </c>
      <c r="BM185" s="502" t="n">
        <f aca="false">IF($D185="是",AD185-AE185,0)</f>
        <v>0</v>
      </c>
      <c r="BN185" s="502" t="n">
        <f aca="false">IF($D185="是",AF185-AG185,0)</f>
        <v>0</v>
      </c>
      <c r="BO185" s="502" t="n">
        <f aca="false">IF($D185="是",AH185-AI185,0)</f>
        <v>0</v>
      </c>
      <c r="BP185" s="502" t="n">
        <f aca="false">IF($D185="是",AJ185-AK185,0)</f>
        <v>0</v>
      </c>
      <c r="BQ185" s="502" t="n">
        <f aca="false">IF($D185="是",AL185-AM185,0)</f>
        <v>0</v>
      </c>
      <c r="BR185" s="502" t="n">
        <f aca="false">IF($D185="是",AN185-AO185,0)</f>
        <v>0</v>
      </c>
      <c r="BS185" s="502" t="n">
        <f aca="false">IF($D185="是",AP185-AQ185,0)</f>
        <v>0</v>
      </c>
      <c r="BT185" s="512" t="n">
        <f aca="false">IF($D185="是",AR185-AS185,0)</f>
        <v>0</v>
      </c>
    </row>
    <row r="186" customFormat="false" ht="14.25" hidden="false" customHeight="false" outlineLevel="0" collapsed="false">
      <c r="A186" s="499"/>
      <c r="B186" s="500"/>
      <c r="C186" s="500"/>
      <c r="D186" s="501"/>
      <c r="E186" s="502" t="n">
        <f aca="false">IF($C$3="是",ROUND($A$3*G186/$B$3,2),ROUND($A$3*(G186-AT186)/$B$3,2))</f>
        <v>0</v>
      </c>
      <c r="F186" s="503"/>
      <c r="G186" s="504" t="n">
        <f aca="false">H186+AC186+AT186</f>
        <v>0</v>
      </c>
      <c r="H186" s="505" t="n">
        <f aca="false">SUMIF(I$12:AB$12,"总值",I186:AB186)</f>
        <v>0</v>
      </c>
      <c r="I186" s="506"/>
      <c r="J186" s="506"/>
      <c r="K186" s="506"/>
      <c r="L186" s="506"/>
      <c r="M186" s="506"/>
      <c r="N186" s="506"/>
      <c r="O186" s="506"/>
      <c r="P186" s="506"/>
      <c r="Q186" s="506"/>
      <c r="R186" s="506"/>
      <c r="S186" s="506"/>
      <c r="T186" s="506"/>
      <c r="U186" s="506"/>
      <c r="V186" s="506"/>
      <c r="W186" s="506"/>
      <c r="X186" s="506"/>
      <c r="Y186" s="506"/>
      <c r="Z186" s="506"/>
      <c r="AA186" s="506"/>
      <c r="AB186" s="506"/>
      <c r="AC186" s="502" t="n">
        <f aca="false">SUMIF(AD$12:AS$12,"总值",AD186:AS186)</f>
        <v>0</v>
      </c>
      <c r="AD186" s="507"/>
      <c r="AE186" s="507"/>
      <c r="AF186" s="507"/>
      <c r="AG186" s="507"/>
      <c r="AH186" s="507"/>
      <c r="AI186" s="507"/>
      <c r="AJ186" s="507"/>
      <c r="AK186" s="507"/>
      <c r="AL186" s="507"/>
      <c r="AM186" s="507"/>
      <c r="AN186" s="507"/>
      <c r="AO186" s="507"/>
      <c r="AP186" s="507"/>
      <c r="AQ186" s="507"/>
      <c r="AR186" s="507"/>
      <c r="AS186" s="507"/>
      <c r="AT186" s="508"/>
      <c r="AU186" s="509"/>
      <c r="AV186" s="510" t="n">
        <f aca="false">A186</f>
        <v>0</v>
      </c>
      <c r="AW186" s="510" t="n">
        <f aca="false">B186</f>
        <v>0</v>
      </c>
      <c r="AX186" s="510" t="n">
        <f aca="false">C186</f>
        <v>0</v>
      </c>
      <c r="AY186" s="511" t="n">
        <f aca="false">ROUND($AY$6*AZ186/$AZ$5,2)</f>
        <v>0</v>
      </c>
      <c r="AZ186" s="502" t="n">
        <f aca="false">BA186+BL186</f>
        <v>0</v>
      </c>
      <c r="BA186" s="502" t="n">
        <f aca="false">SUM(BB186:BK186)</f>
        <v>0</v>
      </c>
      <c r="BB186" s="502" t="n">
        <f aca="false">IF($D186="是",I186-J186,0)</f>
        <v>0</v>
      </c>
      <c r="BC186" s="502" t="n">
        <f aca="false">IF($D186="是",K186-L186,0)</f>
        <v>0</v>
      </c>
      <c r="BD186" s="502" t="n">
        <f aca="false">IF($D186="是",M186-N186,0)</f>
        <v>0</v>
      </c>
      <c r="BE186" s="502" t="n">
        <f aca="false">IF($D186="是",O186-P186,0)</f>
        <v>0</v>
      </c>
      <c r="BF186" s="502" t="n">
        <f aca="false">IF($D186="是",Q186-R186,0)</f>
        <v>0</v>
      </c>
      <c r="BG186" s="502" t="n">
        <f aca="false">IF($D186="是",S186-T186,0)</f>
        <v>0</v>
      </c>
      <c r="BH186" s="502" t="n">
        <f aca="false">IF($D186="是",U186-V186,0)</f>
        <v>0</v>
      </c>
      <c r="BI186" s="502" t="n">
        <f aca="false">IF($D186="是",W186-X186,0)</f>
        <v>0</v>
      </c>
      <c r="BJ186" s="502" t="n">
        <f aca="false">IF($D186="是",Y186-Z186,0)</f>
        <v>0</v>
      </c>
      <c r="BK186" s="502" t="n">
        <f aca="false">IF($D186="是",AA186-AB186,0)</f>
        <v>0</v>
      </c>
      <c r="BL186" s="502" t="n">
        <f aca="false">SUM(BM186:BT186)</f>
        <v>0</v>
      </c>
      <c r="BM186" s="502" t="n">
        <f aca="false">IF($D186="是",AD186-AE186,0)</f>
        <v>0</v>
      </c>
      <c r="BN186" s="502" t="n">
        <f aca="false">IF($D186="是",AF186-AG186,0)</f>
        <v>0</v>
      </c>
      <c r="BO186" s="502" t="n">
        <f aca="false">IF($D186="是",AH186-AI186,0)</f>
        <v>0</v>
      </c>
      <c r="BP186" s="502" t="n">
        <f aca="false">IF($D186="是",AJ186-AK186,0)</f>
        <v>0</v>
      </c>
      <c r="BQ186" s="502" t="n">
        <f aca="false">IF($D186="是",AL186-AM186,0)</f>
        <v>0</v>
      </c>
      <c r="BR186" s="502" t="n">
        <f aca="false">IF($D186="是",AN186-AO186,0)</f>
        <v>0</v>
      </c>
      <c r="BS186" s="502" t="n">
        <f aca="false">IF($D186="是",AP186-AQ186,0)</f>
        <v>0</v>
      </c>
      <c r="BT186" s="512" t="n">
        <f aca="false">IF($D186="是",AR186-AS186,0)</f>
        <v>0</v>
      </c>
    </row>
    <row r="187" customFormat="false" ht="14.25" hidden="false" customHeight="false" outlineLevel="0" collapsed="false">
      <c r="A187" s="499"/>
      <c r="B187" s="500"/>
      <c r="C187" s="500"/>
      <c r="D187" s="501"/>
      <c r="E187" s="502" t="n">
        <f aca="false">IF($C$3="是",ROUND($A$3*G187/$B$3,2),ROUND($A$3*(G187-AT187)/$B$3,2))</f>
        <v>0</v>
      </c>
      <c r="F187" s="503"/>
      <c r="G187" s="504" t="n">
        <f aca="false">H187+AC187+AT187</f>
        <v>0</v>
      </c>
      <c r="H187" s="505" t="n">
        <f aca="false">SUMIF(I$12:AB$12,"总值",I187:AB187)</f>
        <v>0</v>
      </c>
      <c r="I187" s="506"/>
      <c r="J187" s="506"/>
      <c r="K187" s="506"/>
      <c r="L187" s="506"/>
      <c r="M187" s="506"/>
      <c r="N187" s="506"/>
      <c r="O187" s="506"/>
      <c r="P187" s="506"/>
      <c r="Q187" s="506"/>
      <c r="R187" s="506"/>
      <c r="S187" s="506"/>
      <c r="T187" s="506"/>
      <c r="U187" s="506"/>
      <c r="V187" s="506"/>
      <c r="W187" s="506"/>
      <c r="X187" s="506"/>
      <c r="Y187" s="506"/>
      <c r="Z187" s="506"/>
      <c r="AA187" s="506"/>
      <c r="AB187" s="506"/>
      <c r="AC187" s="502" t="n">
        <f aca="false">SUMIF(AD$12:AS$12,"总值",AD187:AS187)</f>
        <v>0</v>
      </c>
      <c r="AD187" s="507"/>
      <c r="AE187" s="507"/>
      <c r="AF187" s="507"/>
      <c r="AG187" s="507"/>
      <c r="AH187" s="507"/>
      <c r="AI187" s="507"/>
      <c r="AJ187" s="507"/>
      <c r="AK187" s="507"/>
      <c r="AL187" s="507"/>
      <c r="AM187" s="507"/>
      <c r="AN187" s="507"/>
      <c r="AO187" s="507"/>
      <c r="AP187" s="507"/>
      <c r="AQ187" s="507"/>
      <c r="AR187" s="507"/>
      <c r="AS187" s="507"/>
      <c r="AT187" s="508"/>
      <c r="AU187" s="509"/>
      <c r="AV187" s="510" t="n">
        <f aca="false">A187</f>
        <v>0</v>
      </c>
      <c r="AW187" s="510" t="n">
        <f aca="false">B187</f>
        <v>0</v>
      </c>
      <c r="AX187" s="510" t="n">
        <f aca="false">C187</f>
        <v>0</v>
      </c>
      <c r="AY187" s="511" t="n">
        <f aca="false">ROUND($AY$6*AZ187/$AZ$5,2)</f>
        <v>0</v>
      </c>
      <c r="AZ187" s="502" t="n">
        <f aca="false">BA187+BL187</f>
        <v>0</v>
      </c>
      <c r="BA187" s="502" t="n">
        <f aca="false">SUM(BB187:BK187)</f>
        <v>0</v>
      </c>
      <c r="BB187" s="502" t="n">
        <f aca="false">IF($D187="是",I187-J187,0)</f>
        <v>0</v>
      </c>
      <c r="BC187" s="502" t="n">
        <f aca="false">IF($D187="是",K187-L187,0)</f>
        <v>0</v>
      </c>
      <c r="BD187" s="502" t="n">
        <f aca="false">IF($D187="是",M187-N187,0)</f>
        <v>0</v>
      </c>
      <c r="BE187" s="502" t="n">
        <f aca="false">IF($D187="是",O187-P187,0)</f>
        <v>0</v>
      </c>
      <c r="BF187" s="502" t="n">
        <f aca="false">IF($D187="是",Q187-R187,0)</f>
        <v>0</v>
      </c>
      <c r="BG187" s="502" t="n">
        <f aca="false">IF($D187="是",S187-T187,0)</f>
        <v>0</v>
      </c>
      <c r="BH187" s="502" t="n">
        <f aca="false">IF($D187="是",U187-V187,0)</f>
        <v>0</v>
      </c>
      <c r="BI187" s="502" t="n">
        <f aca="false">IF($D187="是",W187-X187,0)</f>
        <v>0</v>
      </c>
      <c r="BJ187" s="502" t="n">
        <f aca="false">IF($D187="是",Y187-Z187,0)</f>
        <v>0</v>
      </c>
      <c r="BK187" s="502" t="n">
        <f aca="false">IF($D187="是",AA187-AB187,0)</f>
        <v>0</v>
      </c>
      <c r="BL187" s="502" t="n">
        <f aca="false">SUM(BM187:BT187)</f>
        <v>0</v>
      </c>
      <c r="BM187" s="502" t="n">
        <f aca="false">IF($D187="是",AD187-AE187,0)</f>
        <v>0</v>
      </c>
      <c r="BN187" s="502" t="n">
        <f aca="false">IF($D187="是",AF187-AG187,0)</f>
        <v>0</v>
      </c>
      <c r="BO187" s="502" t="n">
        <f aca="false">IF($D187="是",AH187-AI187,0)</f>
        <v>0</v>
      </c>
      <c r="BP187" s="502" t="n">
        <f aca="false">IF($D187="是",AJ187-AK187,0)</f>
        <v>0</v>
      </c>
      <c r="BQ187" s="502" t="n">
        <f aca="false">IF($D187="是",AL187-AM187,0)</f>
        <v>0</v>
      </c>
      <c r="BR187" s="502" t="n">
        <f aca="false">IF($D187="是",AN187-AO187,0)</f>
        <v>0</v>
      </c>
      <c r="BS187" s="502" t="n">
        <f aca="false">IF($D187="是",AP187-AQ187,0)</f>
        <v>0</v>
      </c>
      <c r="BT187" s="512" t="n">
        <f aca="false">IF($D187="是",AR187-AS187,0)</f>
        <v>0</v>
      </c>
    </row>
    <row r="188" customFormat="false" ht="14.25" hidden="false" customHeight="false" outlineLevel="0" collapsed="false">
      <c r="A188" s="499"/>
      <c r="B188" s="500"/>
      <c r="C188" s="500"/>
      <c r="D188" s="501"/>
      <c r="E188" s="502" t="n">
        <f aca="false">IF($C$3="是",ROUND($A$3*G188/$B$3,2),ROUND($A$3*(G188-AT188)/$B$3,2))</f>
        <v>0</v>
      </c>
      <c r="F188" s="503"/>
      <c r="G188" s="504" t="n">
        <f aca="false">H188+AC188+AT188</f>
        <v>0</v>
      </c>
      <c r="H188" s="505" t="n">
        <f aca="false">SUMIF(I$12:AB$12,"总值",I188:AB188)</f>
        <v>0</v>
      </c>
      <c r="I188" s="506"/>
      <c r="J188" s="506"/>
      <c r="K188" s="506"/>
      <c r="L188" s="506"/>
      <c r="M188" s="506"/>
      <c r="N188" s="506"/>
      <c r="O188" s="506"/>
      <c r="P188" s="506"/>
      <c r="Q188" s="506"/>
      <c r="R188" s="506"/>
      <c r="S188" s="506"/>
      <c r="T188" s="506"/>
      <c r="U188" s="506"/>
      <c r="V188" s="506"/>
      <c r="W188" s="506"/>
      <c r="X188" s="506"/>
      <c r="Y188" s="506"/>
      <c r="Z188" s="506"/>
      <c r="AA188" s="506"/>
      <c r="AB188" s="506"/>
      <c r="AC188" s="502" t="n">
        <f aca="false">SUMIF(AD$12:AS$12,"总值",AD188:AS188)</f>
        <v>0</v>
      </c>
      <c r="AD188" s="507"/>
      <c r="AE188" s="507"/>
      <c r="AF188" s="507"/>
      <c r="AG188" s="507"/>
      <c r="AH188" s="507"/>
      <c r="AI188" s="507"/>
      <c r="AJ188" s="507"/>
      <c r="AK188" s="507"/>
      <c r="AL188" s="507"/>
      <c r="AM188" s="507"/>
      <c r="AN188" s="507"/>
      <c r="AO188" s="507"/>
      <c r="AP188" s="507"/>
      <c r="AQ188" s="507"/>
      <c r="AR188" s="507"/>
      <c r="AS188" s="507"/>
      <c r="AT188" s="508"/>
      <c r="AU188" s="509"/>
      <c r="AV188" s="510" t="n">
        <f aca="false">A188</f>
        <v>0</v>
      </c>
      <c r="AW188" s="510" t="n">
        <f aca="false">B188</f>
        <v>0</v>
      </c>
      <c r="AX188" s="510" t="n">
        <f aca="false">C188</f>
        <v>0</v>
      </c>
      <c r="AY188" s="511" t="n">
        <f aca="false">ROUND($AY$6*AZ188/$AZ$5,2)</f>
        <v>0</v>
      </c>
      <c r="AZ188" s="502" t="n">
        <f aca="false">BA188+BL188</f>
        <v>0</v>
      </c>
      <c r="BA188" s="502" t="n">
        <f aca="false">SUM(BB188:BK188)</f>
        <v>0</v>
      </c>
      <c r="BB188" s="502" t="n">
        <f aca="false">IF($D188="是",I188-J188,0)</f>
        <v>0</v>
      </c>
      <c r="BC188" s="502" t="n">
        <f aca="false">IF($D188="是",K188-L188,0)</f>
        <v>0</v>
      </c>
      <c r="BD188" s="502" t="n">
        <f aca="false">IF($D188="是",M188-N188,0)</f>
        <v>0</v>
      </c>
      <c r="BE188" s="502" t="n">
        <f aca="false">IF($D188="是",O188-P188,0)</f>
        <v>0</v>
      </c>
      <c r="BF188" s="502" t="n">
        <f aca="false">IF($D188="是",Q188-R188,0)</f>
        <v>0</v>
      </c>
      <c r="BG188" s="502" t="n">
        <f aca="false">IF($D188="是",S188-T188,0)</f>
        <v>0</v>
      </c>
      <c r="BH188" s="502" t="n">
        <f aca="false">IF($D188="是",U188-V188,0)</f>
        <v>0</v>
      </c>
      <c r="BI188" s="502" t="n">
        <f aca="false">IF($D188="是",W188-X188,0)</f>
        <v>0</v>
      </c>
      <c r="BJ188" s="502" t="n">
        <f aca="false">IF($D188="是",Y188-Z188,0)</f>
        <v>0</v>
      </c>
      <c r="BK188" s="502" t="n">
        <f aca="false">IF($D188="是",AA188-AB188,0)</f>
        <v>0</v>
      </c>
      <c r="BL188" s="502" t="n">
        <f aca="false">SUM(BM188:BT188)</f>
        <v>0</v>
      </c>
      <c r="BM188" s="502" t="n">
        <f aca="false">IF($D188="是",AD188-AE188,0)</f>
        <v>0</v>
      </c>
      <c r="BN188" s="502" t="n">
        <f aca="false">IF($D188="是",AF188-AG188,0)</f>
        <v>0</v>
      </c>
      <c r="BO188" s="502" t="n">
        <f aca="false">IF($D188="是",AH188-AI188,0)</f>
        <v>0</v>
      </c>
      <c r="BP188" s="502" t="n">
        <f aca="false">IF($D188="是",AJ188-AK188,0)</f>
        <v>0</v>
      </c>
      <c r="BQ188" s="502" t="n">
        <f aca="false">IF($D188="是",AL188-AM188,0)</f>
        <v>0</v>
      </c>
      <c r="BR188" s="502" t="n">
        <f aca="false">IF($D188="是",AN188-AO188,0)</f>
        <v>0</v>
      </c>
      <c r="BS188" s="502" t="n">
        <f aca="false">IF($D188="是",AP188-AQ188,0)</f>
        <v>0</v>
      </c>
      <c r="BT188" s="512" t="n">
        <f aca="false">IF($D188="是",AR188-AS188,0)</f>
        <v>0</v>
      </c>
    </row>
    <row r="189" customFormat="false" ht="14.25" hidden="false" customHeight="false" outlineLevel="0" collapsed="false">
      <c r="A189" s="499"/>
      <c r="B189" s="500"/>
      <c r="C189" s="500"/>
      <c r="D189" s="501"/>
      <c r="E189" s="502" t="n">
        <f aca="false">IF($C$3="是",ROUND($A$3*G189/$B$3,2),ROUND($A$3*(G189-AT189)/$B$3,2))</f>
        <v>0</v>
      </c>
      <c r="F189" s="503"/>
      <c r="G189" s="504" t="n">
        <f aca="false">H189+AC189+AT189</f>
        <v>0</v>
      </c>
      <c r="H189" s="505" t="n">
        <f aca="false">SUMIF(I$12:AB$12,"总值",I189:AB189)</f>
        <v>0</v>
      </c>
      <c r="I189" s="506"/>
      <c r="J189" s="506"/>
      <c r="K189" s="506"/>
      <c r="L189" s="506"/>
      <c r="M189" s="506"/>
      <c r="N189" s="506"/>
      <c r="O189" s="506"/>
      <c r="P189" s="506"/>
      <c r="Q189" s="506"/>
      <c r="R189" s="506"/>
      <c r="S189" s="506"/>
      <c r="T189" s="506"/>
      <c r="U189" s="506"/>
      <c r="V189" s="506"/>
      <c r="W189" s="506"/>
      <c r="X189" s="506"/>
      <c r="Y189" s="506"/>
      <c r="Z189" s="506"/>
      <c r="AA189" s="506"/>
      <c r="AB189" s="506"/>
      <c r="AC189" s="502" t="n">
        <f aca="false">SUMIF(AD$12:AS$12,"总值",AD189:AS189)</f>
        <v>0</v>
      </c>
      <c r="AD189" s="507"/>
      <c r="AE189" s="507"/>
      <c r="AF189" s="507"/>
      <c r="AG189" s="507"/>
      <c r="AH189" s="507"/>
      <c r="AI189" s="507"/>
      <c r="AJ189" s="507"/>
      <c r="AK189" s="507"/>
      <c r="AL189" s="507"/>
      <c r="AM189" s="507"/>
      <c r="AN189" s="507"/>
      <c r="AO189" s="507"/>
      <c r="AP189" s="507"/>
      <c r="AQ189" s="507"/>
      <c r="AR189" s="507"/>
      <c r="AS189" s="507"/>
      <c r="AT189" s="508"/>
      <c r="AU189" s="509"/>
      <c r="AV189" s="510" t="n">
        <f aca="false">A189</f>
        <v>0</v>
      </c>
      <c r="AW189" s="510" t="n">
        <f aca="false">B189</f>
        <v>0</v>
      </c>
      <c r="AX189" s="510" t="n">
        <f aca="false">C189</f>
        <v>0</v>
      </c>
      <c r="AY189" s="511" t="n">
        <f aca="false">ROUND($AY$6*AZ189/$AZ$5,2)</f>
        <v>0</v>
      </c>
      <c r="AZ189" s="502" t="n">
        <f aca="false">BA189+BL189</f>
        <v>0</v>
      </c>
      <c r="BA189" s="502" t="n">
        <f aca="false">SUM(BB189:BK189)</f>
        <v>0</v>
      </c>
      <c r="BB189" s="502" t="n">
        <f aca="false">IF($D189="是",I189-J189,0)</f>
        <v>0</v>
      </c>
      <c r="BC189" s="502" t="n">
        <f aca="false">IF($D189="是",K189-L189,0)</f>
        <v>0</v>
      </c>
      <c r="BD189" s="502" t="n">
        <f aca="false">IF($D189="是",M189-N189,0)</f>
        <v>0</v>
      </c>
      <c r="BE189" s="502" t="n">
        <f aca="false">IF($D189="是",O189-P189,0)</f>
        <v>0</v>
      </c>
      <c r="BF189" s="502" t="n">
        <f aca="false">IF($D189="是",Q189-R189,0)</f>
        <v>0</v>
      </c>
      <c r="BG189" s="502" t="n">
        <f aca="false">IF($D189="是",S189-T189,0)</f>
        <v>0</v>
      </c>
      <c r="BH189" s="502" t="n">
        <f aca="false">IF($D189="是",U189-V189,0)</f>
        <v>0</v>
      </c>
      <c r="BI189" s="502" t="n">
        <f aca="false">IF($D189="是",W189-X189,0)</f>
        <v>0</v>
      </c>
      <c r="BJ189" s="502" t="n">
        <f aca="false">IF($D189="是",Y189-Z189,0)</f>
        <v>0</v>
      </c>
      <c r="BK189" s="502" t="n">
        <f aca="false">IF($D189="是",AA189-AB189,0)</f>
        <v>0</v>
      </c>
      <c r="BL189" s="502" t="n">
        <f aca="false">SUM(BM189:BT189)</f>
        <v>0</v>
      </c>
      <c r="BM189" s="502" t="n">
        <f aca="false">IF($D189="是",AD189-AE189,0)</f>
        <v>0</v>
      </c>
      <c r="BN189" s="502" t="n">
        <f aca="false">IF($D189="是",AF189-AG189,0)</f>
        <v>0</v>
      </c>
      <c r="BO189" s="502" t="n">
        <f aca="false">IF($D189="是",AH189-AI189,0)</f>
        <v>0</v>
      </c>
      <c r="BP189" s="502" t="n">
        <f aca="false">IF($D189="是",AJ189-AK189,0)</f>
        <v>0</v>
      </c>
      <c r="BQ189" s="502" t="n">
        <f aca="false">IF($D189="是",AL189-AM189,0)</f>
        <v>0</v>
      </c>
      <c r="BR189" s="502" t="n">
        <f aca="false">IF($D189="是",AN189-AO189,0)</f>
        <v>0</v>
      </c>
      <c r="BS189" s="502" t="n">
        <f aca="false">IF($D189="是",AP189-AQ189,0)</f>
        <v>0</v>
      </c>
      <c r="BT189" s="512" t="n">
        <f aca="false">IF($D189="是",AR189-AS189,0)</f>
        <v>0</v>
      </c>
    </row>
    <row r="190" customFormat="false" ht="14.25" hidden="false" customHeight="false" outlineLevel="0" collapsed="false">
      <c r="A190" s="499"/>
      <c r="B190" s="500"/>
      <c r="C190" s="500"/>
      <c r="D190" s="501"/>
      <c r="E190" s="502" t="n">
        <f aca="false">IF($C$3="是",ROUND($A$3*G190/$B$3,2),ROUND($A$3*(G190-AT190)/$B$3,2))</f>
        <v>0</v>
      </c>
      <c r="F190" s="503"/>
      <c r="G190" s="504" t="n">
        <f aca="false">H190+AC190+AT190</f>
        <v>0</v>
      </c>
      <c r="H190" s="505" t="n">
        <f aca="false">SUMIF(I$12:AB$12,"总值",I190:AB190)</f>
        <v>0</v>
      </c>
      <c r="I190" s="506"/>
      <c r="J190" s="506"/>
      <c r="K190" s="506"/>
      <c r="L190" s="506"/>
      <c r="M190" s="506"/>
      <c r="N190" s="506"/>
      <c r="O190" s="506"/>
      <c r="P190" s="506"/>
      <c r="Q190" s="506"/>
      <c r="R190" s="506"/>
      <c r="S190" s="506"/>
      <c r="T190" s="506"/>
      <c r="U190" s="506"/>
      <c r="V190" s="506"/>
      <c r="W190" s="506"/>
      <c r="X190" s="506"/>
      <c r="Y190" s="506"/>
      <c r="Z190" s="506"/>
      <c r="AA190" s="506"/>
      <c r="AB190" s="506"/>
      <c r="AC190" s="502" t="n">
        <f aca="false">SUMIF(AD$12:AS$12,"总值",AD190:AS190)</f>
        <v>0</v>
      </c>
      <c r="AD190" s="507"/>
      <c r="AE190" s="507"/>
      <c r="AF190" s="507"/>
      <c r="AG190" s="507"/>
      <c r="AH190" s="507"/>
      <c r="AI190" s="507"/>
      <c r="AJ190" s="507"/>
      <c r="AK190" s="507"/>
      <c r="AL190" s="507"/>
      <c r="AM190" s="507"/>
      <c r="AN190" s="507"/>
      <c r="AO190" s="507"/>
      <c r="AP190" s="507"/>
      <c r="AQ190" s="507"/>
      <c r="AR190" s="507"/>
      <c r="AS190" s="507"/>
      <c r="AT190" s="508"/>
      <c r="AU190" s="509"/>
      <c r="AV190" s="510" t="n">
        <f aca="false">A190</f>
        <v>0</v>
      </c>
      <c r="AW190" s="510" t="n">
        <f aca="false">B190</f>
        <v>0</v>
      </c>
      <c r="AX190" s="510" t="n">
        <f aca="false">C190</f>
        <v>0</v>
      </c>
      <c r="AY190" s="511" t="n">
        <f aca="false">ROUND($AY$6*AZ190/$AZ$5,2)</f>
        <v>0</v>
      </c>
      <c r="AZ190" s="502" t="n">
        <f aca="false">BA190+BL190</f>
        <v>0</v>
      </c>
      <c r="BA190" s="502" t="n">
        <f aca="false">SUM(BB190:BK190)</f>
        <v>0</v>
      </c>
      <c r="BB190" s="502" t="n">
        <f aca="false">IF($D190="是",I190-J190,0)</f>
        <v>0</v>
      </c>
      <c r="BC190" s="502" t="n">
        <f aca="false">IF($D190="是",K190-L190,0)</f>
        <v>0</v>
      </c>
      <c r="BD190" s="502" t="n">
        <f aca="false">IF($D190="是",M190-N190,0)</f>
        <v>0</v>
      </c>
      <c r="BE190" s="502" t="n">
        <f aca="false">IF($D190="是",O190-P190,0)</f>
        <v>0</v>
      </c>
      <c r="BF190" s="502" t="n">
        <f aca="false">IF($D190="是",Q190-R190,0)</f>
        <v>0</v>
      </c>
      <c r="BG190" s="502" t="n">
        <f aca="false">IF($D190="是",S190-T190,0)</f>
        <v>0</v>
      </c>
      <c r="BH190" s="502" t="n">
        <f aca="false">IF($D190="是",U190-V190,0)</f>
        <v>0</v>
      </c>
      <c r="BI190" s="502" t="n">
        <f aca="false">IF($D190="是",W190-X190,0)</f>
        <v>0</v>
      </c>
      <c r="BJ190" s="502" t="n">
        <f aca="false">IF($D190="是",Y190-Z190,0)</f>
        <v>0</v>
      </c>
      <c r="BK190" s="502" t="n">
        <f aca="false">IF($D190="是",AA190-AB190,0)</f>
        <v>0</v>
      </c>
      <c r="BL190" s="502" t="n">
        <f aca="false">SUM(BM190:BT190)</f>
        <v>0</v>
      </c>
      <c r="BM190" s="502" t="n">
        <f aca="false">IF($D190="是",AD190-AE190,0)</f>
        <v>0</v>
      </c>
      <c r="BN190" s="502" t="n">
        <f aca="false">IF($D190="是",AF190-AG190,0)</f>
        <v>0</v>
      </c>
      <c r="BO190" s="502" t="n">
        <f aca="false">IF($D190="是",AH190-AI190,0)</f>
        <v>0</v>
      </c>
      <c r="BP190" s="502" t="n">
        <f aca="false">IF($D190="是",AJ190-AK190,0)</f>
        <v>0</v>
      </c>
      <c r="BQ190" s="502" t="n">
        <f aca="false">IF($D190="是",AL190-AM190,0)</f>
        <v>0</v>
      </c>
      <c r="BR190" s="502" t="n">
        <f aca="false">IF($D190="是",AN190-AO190,0)</f>
        <v>0</v>
      </c>
      <c r="BS190" s="502" t="n">
        <f aca="false">IF($D190="是",AP190-AQ190,0)</f>
        <v>0</v>
      </c>
      <c r="BT190" s="512" t="n">
        <f aca="false">IF($D190="是",AR190-AS190,0)</f>
        <v>0</v>
      </c>
    </row>
    <row r="191" customFormat="false" ht="14.25" hidden="false" customHeight="false" outlineLevel="0" collapsed="false">
      <c r="A191" s="499"/>
      <c r="B191" s="500"/>
      <c r="C191" s="500"/>
      <c r="D191" s="501"/>
      <c r="E191" s="502" t="n">
        <f aca="false">IF($C$3="是",ROUND($A$3*G191/$B$3,2),ROUND($A$3*(G191-AT191)/$B$3,2))</f>
        <v>0</v>
      </c>
      <c r="F191" s="503"/>
      <c r="G191" s="504" t="n">
        <f aca="false">H191+AC191+AT191</f>
        <v>0</v>
      </c>
      <c r="H191" s="505" t="n">
        <f aca="false">SUMIF(I$12:AB$12,"总值",I191:AB191)</f>
        <v>0</v>
      </c>
      <c r="I191" s="506"/>
      <c r="J191" s="506"/>
      <c r="K191" s="506"/>
      <c r="L191" s="506"/>
      <c r="M191" s="506"/>
      <c r="N191" s="506"/>
      <c r="O191" s="506"/>
      <c r="P191" s="506"/>
      <c r="Q191" s="506"/>
      <c r="R191" s="506"/>
      <c r="S191" s="506"/>
      <c r="T191" s="506"/>
      <c r="U191" s="506"/>
      <c r="V191" s="506"/>
      <c r="W191" s="506"/>
      <c r="X191" s="506"/>
      <c r="Y191" s="506"/>
      <c r="Z191" s="506"/>
      <c r="AA191" s="506"/>
      <c r="AB191" s="506"/>
      <c r="AC191" s="502" t="n">
        <f aca="false">SUMIF(AD$12:AS$12,"总值",AD191:AS191)</f>
        <v>0</v>
      </c>
      <c r="AD191" s="507"/>
      <c r="AE191" s="507"/>
      <c r="AF191" s="507"/>
      <c r="AG191" s="507"/>
      <c r="AH191" s="507"/>
      <c r="AI191" s="507"/>
      <c r="AJ191" s="507"/>
      <c r="AK191" s="507"/>
      <c r="AL191" s="507"/>
      <c r="AM191" s="507"/>
      <c r="AN191" s="507"/>
      <c r="AO191" s="507"/>
      <c r="AP191" s="507"/>
      <c r="AQ191" s="507"/>
      <c r="AR191" s="507"/>
      <c r="AS191" s="507"/>
      <c r="AT191" s="508"/>
      <c r="AU191" s="509"/>
      <c r="AV191" s="510" t="n">
        <f aca="false">A191</f>
        <v>0</v>
      </c>
      <c r="AW191" s="510" t="n">
        <f aca="false">B191</f>
        <v>0</v>
      </c>
      <c r="AX191" s="510" t="n">
        <f aca="false">C191</f>
        <v>0</v>
      </c>
      <c r="AY191" s="511" t="n">
        <f aca="false">ROUND($AY$6*AZ191/$AZ$5,2)</f>
        <v>0</v>
      </c>
      <c r="AZ191" s="502" t="n">
        <f aca="false">BA191+BL191</f>
        <v>0</v>
      </c>
      <c r="BA191" s="502" t="n">
        <f aca="false">SUM(BB191:BK191)</f>
        <v>0</v>
      </c>
      <c r="BB191" s="502" t="n">
        <f aca="false">IF($D191="是",I191-J191,0)</f>
        <v>0</v>
      </c>
      <c r="BC191" s="502" t="n">
        <f aca="false">IF($D191="是",K191-L191,0)</f>
        <v>0</v>
      </c>
      <c r="BD191" s="502" t="n">
        <f aca="false">IF($D191="是",M191-N191,0)</f>
        <v>0</v>
      </c>
      <c r="BE191" s="502" t="n">
        <f aca="false">IF($D191="是",O191-P191,0)</f>
        <v>0</v>
      </c>
      <c r="BF191" s="502" t="n">
        <f aca="false">IF($D191="是",Q191-R191,0)</f>
        <v>0</v>
      </c>
      <c r="BG191" s="502" t="n">
        <f aca="false">IF($D191="是",S191-T191,0)</f>
        <v>0</v>
      </c>
      <c r="BH191" s="502" t="n">
        <f aca="false">IF($D191="是",U191-V191,0)</f>
        <v>0</v>
      </c>
      <c r="BI191" s="502" t="n">
        <f aca="false">IF($D191="是",W191-X191,0)</f>
        <v>0</v>
      </c>
      <c r="BJ191" s="502" t="n">
        <f aca="false">IF($D191="是",Y191-Z191,0)</f>
        <v>0</v>
      </c>
      <c r="BK191" s="502" t="n">
        <f aca="false">IF($D191="是",AA191-AB191,0)</f>
        <v>0</v>
      </c>
      <c r="BL191" s="502" t="n">
        <f aca="false">SUM(BM191:BT191)</f>
        <v>0</v>
      </c>
      <c r="BM191" s="502" t="n">
        <f aca="false">IF($D191="是",AD191-AE191,0)</f>
        <v>0</v>
      </c>
      <c r="BN191" s="502" t="n">
        <f aca="false">IF($D191="是",AF191-AG191,0)</f>
        <v>0</v>
      </c>
      <c r="BO191" s="502" t="n">
        <f aca="false">IF($D191="是",AH191-AI191,0)</f>
        <v>0</v>
      </c>
      <c r="BP191" s="502" t="n">
        <f aca="false">IF($D191="是",AJ191-AK191,0)</f>
        <v>0</v>
      </c>
      <c r="BQ191" s="502" t="n">
        <f aca="false">IF($D191="是",AL191-AM191,0)</f>
        <v>0</v>
      </c>
      <c r="BR191" s="502" t="n">
        <f aca="false">IF($D191="是",AN191-AO191,0)</f>
        <v>0</v>
      </c>
      <c r="BS191" s="502" t="n">
        <f aca="false">IF($D191="是",AP191-AQ191,0)</f>
        <v>0</v>
      </c>
      <c r="BT191" s="512" t="n">
        <f aca="false">IF($D191="是",AR191-AS191,0)</f>
        <v>0</v>
      </c>
    </row>
    <row r="192" customFormat="false" ht="14.25" hidden="false" customHeight="false" outlineLevel="0" collapsed="false">
      <c r="A192" s="499"/>
      <c r="B192" s="500"/>
      <c r="C192" s="500"/>
      <c r="D192" s="501"/>
      <c r="E192" s="502" t="n">
        <f aca="false">IF($C$3="是",ROUND($A$3*G192/$B$3,2),ROUND($A$3*(G192-AT192)/$B$3,2))</f>
        <v>0</v>
      </c>
      <c r="F192" s="503"/>
      <c r="G192" s="504" t="n">
        <f aca="false">H192+AC192+AT192</f>
        <v>0</v>
      </c>
      <c r="H192" s="505" t="n">
        <f aca="false">SUMIF(I$12:AB$12,"总值",I192:AB192)</f>
        <v>0</v>
      </c>
      <c r="I192" s="506"/>
      <c r="J192" s="506"/>
      <c r="K192" s="506"/>
      <c r="L192" s="506"/>
      <c r="M192" s="506"/>
      <c r="N192" s="506"/>
      <c r="O192" s="506"/>
      <c r="P192" s="506"/>
      <c r="Q192" s="506"/>
      <c r="R192" s="506"/>
      <c r="S192" s="506"/>
      <c r="T192" s="506"/>
      <c r="U192" s="506"/>
      <c r="V192" s="506"/>
      <c r="W192" s="506"/>
      <c r="X192" s="506"/>
      <c r="Y192" s="506"/>
      <c r="Z192" s="506"/>
      <c r="AA192" s="506"/>
      <c r="AB192" s="506"/>
      <c r="AC192" s="502" t="n">
        <f aca="false">SUMIF(AD$12:AS$12,"总值",AD192:AS192)</f>
        <v>0</v>
      </c>
      <c r="AD192" s="507"/>
      <c r="AE192" s="507"/>
      <c r="AF192" s="507"/>
      <c r="AG192" s="507"/>
      <c r="AH192" s="507"/>
      <c r="AI192" s="507"/>
      <c r="AJ192" s="507"/>
      <c r="AK192" s="507"/>
      <c r="AL192" s="507"/>
      <c r="AM192" s="507"/>
      <c r="AN192" s="507"/>
      <c r="AO192" s="507"/>
      <c r="AP192" s="507"/>
      <c r="AQ192" s="507"/>
      <c r="AR192" s="507"/>
      <c r="AS192" s="507"/>
      <c r="AT192" s="508"/>
      <c r="AU192" s="509"/>
      <c r="AV192" s="510" t="n">
        <f aca="false">A192</f>
        <v>0</v>
      </c>
      <c r="AW192" s="510" t="n">
        <f aca="false">B192</f>
        <v>0</v>
      </c>
      <c r="AX192" s="510" t="n">
        <f aca="false">C192</f>
        <v>0</v>
      </c>
      <c r="AY192" s="511" t="n">
        <f aca="false">ROUND($AY$6*AZ192/$AZ$5,2)</f>
        <v>0</v>
      </c>
      <c r="AZ192" s="502" t="n">
        <f aca="false">BA192+BL192</f>
        <v>0</v>
      </c>
      <c r="BA192" s="502" t="n">
        <f aca="false">SUM(BB192:BK192)</f>
        <v>0</v>
      </c>
      <c r="BB192" s="502" t="n">
        <f aca="false">IF($D192="是",I192-J192,0)</f>
        <v>0</v>
      </c>
      <c r="BC192" s="502" t="n">
        <f aca="false">IF($D192="是",K192-L192,0)</f>
        <v>0</v>
      </c>
      <c r="BD192" s="502" t="n">
        <f aca="false">IF($D192="是",M192-N192,0)</f>
        <v>0</v>
      </c>
      <c r="BE192" s="502" t="n">
        <f aca="false">IF($D192="是",O192-P192,0)</f>
        <v>0</v>
      </c>
      <c r="BF192" s="502" t="n">
        <f aca="false">IF($D192="是",Q192-R192,0)</f>
        <v>0</v>
      </c>
      <c r="BG192" s="502" t="n">
        <f aca="false">IF($D192="是",S192-T192,0)</f>
        <v>0</v>
      </c>
      <c r="BH192" s="502" t="n">
        <f aca="false">IF($D192="是",U192-V192,0)</f>
        <v>0</v>
      </c>
      <c r="BI192" s="502" t="n">
        <f aca="false">IF($D192="是",W192-X192,0)</f>
        <v>0</v>
      </c>
      <c r="BJ192" s="502" t="n">
        <f aca="false">IF($D192="是",Y192-Z192,0)</f>
        <v>0</v>
      </c>
      <c r="BK192" s="502" t="n">
        <f aca="false">IF($D192="是",AA192-AB192,0)</f>
        <v>0</v>
      </c>
      <c r="BL192" s="502" t="n">
        <f aca="false">SUM(BM192:BT192)</f>
        <v>0</v>
      </c>
      <c r="BM192" s="502" t="n">
        <f aca="false">IF($D192="是",AD192-AE192,0)</f>
        <v>0</v>
      </c>
      <c r="BN192" s="502" t="n">
        <f aca="false">IF($D192="是",AF192-AG192,0)</f>
        <v>0</v>
      </c>
      <c r="BO192" s="502" t="n">
        <f aca="false">IF($D192="是",AH192-AI192,0)</f>
        <v>0</v>
      </c>
      <c r="BP192" s="502" t="n">
        <f aca="false">IF($D192="是",AJ192-AK192,0)</f>
        <v>0</v>
      </c>
      <c r="BQ192" s="502" t="n">
        <f aca="false">IF($D192="是",AL192-AM192,0)</f>
        <v>0</v>
      </c>
      <c r="BR192" s="502" t="n">
        <f aca="false">IF($D192="是",AN192-AO192,0)</f>
        <v>0</v>
      </c>
      <c r="BS192" s="502" t="n">
        <f aca="false">IF($D192="是",AP192-AQ192,0)</f>
        <v>0</v>
      </c>
      <c r="BT192" s="512" t="n">
        <f aca="false">IF($D192="是",AR192-AS192,0)</f>
        <v>0</v>
      </c>
    </row>
    <row r="193" customFormat="false" ht="14.25" hidden="false" customHeight="false" outlineLevel="0" collapsed="false">
      <c r="A193" s="499"/>
      <c r="B193" s="500"/>
      <c r="C193" s="500"/>
      <c r="D193" s="501"/>
      <c r="E193" s="502" t="n">
        <f aca="false">IF($C$3="是",ROUND($A$3*G193/$B$3,2),ROUND($A$3*(G193-AT193)/$B$3,2))</f>
        <v>0</v>
      </c>
      <c r="F193" s="503"/>
      <c r="G193" s="504" t="n">
        <f aca="false">H193+AC193+AT193</f>
        <v>0</v>
      </c>
      <c r="H193" s="505" t="n">
        <f aca="false">SUMIF(I$12:AB$12,"总值",I193:AB193)</f>
        <v>0</v>
      </c>
      <c r="I193" s="506"/>
      <c r="J193" s="506"/>
      <c r="K193" s="506"/>
      <c r="L193" s="506"/>
      <c r="M193" s="506"/>
      <c r="N193" s="506"/>
      <c r="O193" s="506"/>
      <c r="P193" s="506"/>
      <c r="Q193" s="506"/>
      <c r="R193" s="506"/>
      <c r="S193" s="506"/>
      <c r="T193" s="506"/>
      <c r="U193" s="506"/>
      <c r="V193" s="506"/>
      <c r="W193" s="506"/>
      <c r="X193" s="506"/>
      <c r="Y193" s="506"/>
      <c r="Z193" s="506"/>
      <c r="AA193" s="506"/>
      <c r="AB193" s="506"/>
      <c r="AC193" s="502" t="n">
        <f aca="false">SUMIF(AD$12:AS$12,"总值",AD193:AS193)</f>
        <v>0</v>
      </c>
      <c r="AD193" s="507"/>
      <c r="AE193" s="507"/>
      <c r="AF193" s="507"/>
      <c r="AG193" s="507"/>
      <c r="AH193" s="507"/>
      <c r="AI193" s="507"/>
      <c r="AJ193" s="507"/>
      <c r="AK193" s="507"/>
      <c r="AL193" s="507"/>
      <c r="AM193" s="507"/>
      <c r="AN193" s="507"/>
      <c r="AO193" s="507"/>
      <c r="AP193" s="507"/>
      <c r="AQ193" s="507"/>
      <c r="AR193" s="507"/>
      <c r="AS193" s="507"/>
      <c r="AT193" s="508"/>
      <c r="AU193" s="509"/>
      <c r="AV193" s="510" t="n">
        <f aca="false">A193</f>
        <v>0</v>
      </c>
      <c r="AW193" s="510" t="n">
        <f aca="false">B193</f>
        <v>0</v>
      </c>
      <c r="AX193" s="510" t="n">
        <f aca="false">C193</f>
        <v>0</v>
      </c>
      <c r="AY193" s="511" t="n">
        <f aca="false">ROUND($AY$6*AZ193/$AZ$5,2)</f>
        <v>0</v>
      </c>
      <c r="AZ193" s="502" t="n">
        <f aca="false">BA193+BL193</f>
        <v>0</v>
      </c>
      <c r="BA193" s="502" t="n">
        <f aca="false">SUM(BB193:BK193)</f>
        <v>0</v>
      </c>
      <c r="BB193" s="502" t="n">
        <f aca="false">IF($D193="是",I193-J193,0)</f>
        <v>0</v>
      </c>
      <c r="BC193" s="502" t="n">
        <f aca="false">IF($D193="是",K193-L193,0)</f>
        <v>0</v>
      </c>
      <c r="BD193" s="502" t="n">
        <f aca="false">IF($D193="是",M193-N193,0)</f>
        <v>0</v>
      </c>
      <c r="BE193" s="502" t="n">
        <f aca="false">IF($D193="是",O193-P193,0)</f>
        <v>0</v>
      </c>
      <c r="BF193" s="502" t="n">
        <f aca="false">IF($D193="是",Q193-R193,0)</f>
        <v>0</v>
      </c>
      <c r="BG193" s="502" t="n">
        <f aca="false">IF($D193="是",S193-T193,0)</f>
        <v>0</v>
      </c>
      <c r="BH193" s="502" t="n">
        <f aca="false">IF($D193="是",U193-V193,0)</f>
        <v>0</v>
      </c>
      <c r="BI193" s="502" t="n">
        <f aca="false">IF($D193="是",W193-X193,0)</f>
        <v>0</v>
      </c>
      <c r="BJ193" s="502" t="n">
        <f aca="false">IF($D193="是",Y193-Z193,0)</f>
        <v>0</v>
      </c>
      <c r="BK193" s="502" t="n">
        <f aca="false">IF($D193="是",AA193-AB193,0)</f>
        <v>0</v>
      </c>
      <c r="BL193" s="502" t="n">
        <f aca="false">SUM(BM193:BT193)</f>
        <v>0</v>
      </c>
      <c r="BM193" s="502" t="n">
        <f aca="false">IF($D193="是",AD193-AE193,0)</f>
        <v>0</v>
      </c>
      <c r="BN193" s="502" t="n">
        <f aca="false">IF($D193="是",AF193-AG193,0)</f>
        <v>0</v>
      </c>
      <c r="BO193" s="502" t="n">
        <f aca="false">IF($D193="是",AH193-AI193,0)</f>
        <v>0</v>
      </c>
      <c r="BP193" s="502" t="n">
        <f aca="false">IF($D193="是",AJ193-AK193,0)</f>
        <v>0</v>
      </c>
      <c r="BQ193" s="502" t="n">
        <f aca="false">IF($D193="是",AL193-AM193,0)</f>
        <v>0</v>
      </c>
      <c r="BR193" s="502" t="n">
        <f aca="false">IF($D193="是",AN193-AO193,0)</f>
        <v>0</v>
      </c>
      <c r="BS193" s="502" t="n">
        <f aca="false">IF($D193="是",AP193-AQ193,0)</f>
        <v>0</v>
      </c>
      <c r="BT193" s="512" t="n">
        <f aca="false">IF($D193="是",AR193-AS193,0)</f>
        <v>0</v>
      </c>
    </row>
    <row r="194" customFormat="false" ht="14.25" hidden="false" customHeight="false" outlineLevel="0" collapsed="false">
      <c r="A194" s="499"/>
      <c r="B194" s="500"/>
      <c r="C194" s="500"/>
      <c r="D194" s="501"/>
      <c r="E194" s="502" t="n">
        <f aca="false">IF($C$3="是",ROUND($A$3*G194/$B$3,2),ROUND($A$3*(G194-AT194)/$B$3,2))</f>
        <v>0</v>
      </c>
      <c r="F194" s="503"/>
      <c r="G194" s="504" t="n">
        <f aca="false">H194+AC194+AT194</f>
        <v>0</v>
      </c>
      <c r="H194" s="505" t="n">
        <f aca="false">SUMIF(I$12:AB$12,"总值",I194:AB194)</f>
        <v>0</v>
      </c>
      <c r="I194" s="506"/>
      <c r="J194" s="506"/>
      <c r="K194" s="506"/>
      <c r="L194" s="506"/>
      <c r="M194" s="506"/>
      <c r="N194" s="506"/>
      <c r="O194" s="506"/>
      <c r="P194" s="506"/>
      <c r="Q194" s="506"/>
      <c r="R194" s="506"/>
      <c r="S194" s="506"/>
      <c r="T194" s="506"/>
      <c r="U194" s="506"/>
      <c r="V194" s="506"/>
      <c r="W194" s="506"/>
      <c r="X194" s="506"/>
      <c r="Y194" s="506"/>
      <c r="Z194" s="506"/>
      <c r="AA194" s="506"/>
      <c r="AB194" s="506"/>
      <c r="AC194" s="502" t="n">
        <f aca="false">SUMIF(AD$12:AS$12,"总值",AD194:AS194)</f>
        <v>0</v>
      </c>
      <c r="AD194" s="507"/>
      <c r="AE194" s="507"/>
      <c r="AF194" s="507"/>
      <c r="AG194" s="507"/>
      <c r="AH194" s="507"/>
      <c r="AI194" s="507"/>
      <c r="AJ194" s="507"/>
      <c r="AK194" s="507"/>
      <c r="AL194" s="507"/>
      <c r="AM194" s="507"/>
      <c r="AN194" s="507"/>
      <c r="AO194" s="507"/>
      <c r="AP194" s="507"/>
      <c r="AQ194" s="507"/>
      <c r="AR194" s="507"/>
      <c r="AS194" s="507"/>
      <c r="AT194" s="508"/>
      <c r="AU194" s="509"/>
      <c r="AV194" s="510" t="n">
        <f aca="false">A194</f>
        <v>0</v>
      </c>
      <c r="AW194" s="510" t="n">
        <f aca="false">B194</f>
        <v>0</v>
      </c>
      <c r="AX194" s="510" t="n">
        <f aca="false">C194</f>
        <v>0</v>
      </c>
      <c r="AY194" s="511" t="n">
        <f aca="false">ROUND($AY$6*AZ194/$AZ$5,2)</f>
        <v>0</v>
      </c>
      <c r="AZ194" s="502" t="n">
        <f aca="false">BA194+BL194</f>
        <v>0</v>
      </c>
      <c r="BA194" s="502" t="n">
        <f aca="false">SUM(BB194:BK194)</f>
        <v>0</v>
      </c>
      <c r="BB194" s="502" t="n">
        <f aca="false">IF($D194="是",I194-J194,0)</f>
        <v>0</v>
      </c>
      <c r="BC194" s="502" t="n">
        <f aca="false">IF($D194="是",K194-L194,0)</f>
        <v>0</v>
      </c>
      <c r="BD194" s="502" t="n">
        <f aca="false">IF($D194="是",M194-N194,0)</f>
        <v>0</v>
      </c>
      <c r="BE194" s="502" t="n">
        <f aca="false">IF($D194="是",O194-P194,0)</f>
        <v>0</v>
      </c>
      <c r="BF194" s="502" t="n">
        <f aca="false">IF($D194="是",Q194-R194,0)</f>
        <v>0</v>
      </c>
      <c r="BG194" s="502" t="n">
        <f aca="false">IF($D194="是",S194-T194,0)</f>
        <v>0</v>
      </c>
      <c r="BH194" s="502" t="n">
        <f aca="false">IF($D194="是",U194-V194,0)</f>
        <v>0</v>
      </c>
      <c r="BI194" s="502" t="n">
        <f aca="false">IF($D194="是",W194-X194,0)</f>
        <v>0</v>
      </c>
      <c r="BJ194" s="502" t="n">
        <f aca="false">IF($D194="是",Y194-Z194,0)</f>
        <v>0</v>
      </c>
      <c r="BK194" s="502" t="n">
        <f aca="false">IF($D194="是",AA194-AB194,0)</f>
        <v>0</v>
      </c>
      <c r="BL194" s="502" t="n">
        <f aca="false">SUM(BM194:BT194)</f>
        <v>0</v>
      </c>
      <c r="BM194" s="502" t="n">
        <f aca="false">IF($D194="是",AD194-AE194,0)</f>
        <v>0</v>
      </c>
      <c r="BN194" s="502" t="n">
        <f aca="false">IF($D194="是",AF194-AG194,0)</f>
        <v>0</v>
      </c>
      <c r="BO194" s="502" t="n">
        <f aca="false">IF($D194="是",AH194-AI194,0)</f>
        <v>0</v>
      </c>
      <c r="BP194" s="502" t="n">
        <f aca="false">IF($D194="是",AJ194-AK194,0)</f>
        <v>0</v>
      </c>
      <c r="BQ194" s="502" t="n">
        <f aca="false">IF($D194="是",AL194-AM194,0)</f>
        <v>0</v>
      </c>
      <c r="BR194" s="502" t="n">
        <f aca="false">IF($D194="是",AN194-AO194,0)</f>
        <v>0</v>
      </c>
      <c r="BS194" s="502" t="n">
        <f aca="false">IF($D194="是",AP194-AQ194,0)</f>
        <v>0</v>
      </c>
      <c r="BT194" s="512" t="n">
        <f aca="false">IF($D194="是",AR194-AS194,0)</f>
        <v>0</v>
      </c>
    </row>
    <row r="195" customFormat="false" ht="14.25" hidden="false" customHeight="false" outlineLevel="0" collapsed="false">
      <c r="A195" s="499"/>
      <c r="B195" s="500"/>
      <c r="C195" s="500"/>
      <c r="D195" s="501"/>
      <c r="E195" s="502" t="n">
        <f aca="false">IF($C$3="是",ROUND($A$3*G195/$B$3,2),ROUND($A$3*(G195-AT195)/$B$3,2))</f>
        <v>0</v>
      </c>
      <c r="F195" s="503"/>
      <c r="G195" s="504" t="n">
        <f aca="false">H195+AC195+AT195</f>
        <v>0</v>
      </c>
      <c r="H195" s="505" t="n">
        <f aca="false">SUMIF(I$12:AB$12,"总值",I195:AB195)</f>
        <v>0</v>
      </c>
      <c r="I195" s="506"/>
      <c r="J195" s="506"/>
      <c r="K195" s="506"/>
      <c r="L195" s="506"/>
      <c r="M195" s="506"/>
      <c r="N195" s="506"/>
      <c r="O195" s="506"/>
      <c r="P195" s="506"/>
      <c r="Q195" s="506"/>
      <c r="R195" s="506"/>
      <c r="S195" s="506"/>
      <c r="T195" s="506"/>
      <c r="U195" s="506"/>
      <c r="V195" s="506"/>
      <c r="W195" s="506"/>
      <c r="X195" s="506"/>
      <c r="Y195" s="506"/>
      <c r="Z195" s="506"/>
      <c r="AA195" s="506"/>
      <c r="AB195" s="506"/>
      <c r="AC195" s="502" t="n">
        <f aca="false">SUMIF(AD$12:AS$12,"总值",AD195:AS195)</f>
        <v>0</v>
      </c>
      <c r="AD195" s="507"/>
      <c r="AE195" s="507"/>
      <c r="AF195" s="507"/>
      <c r="AG195" s="507"/>
      <c r="AH195" s="507"/>
      <c r="AI195" s="507"/>
      <c r="AJ195" s="507"/>
      <c r="AK195" s="507"/>
      <c r="AL195" s="507"/>
      <c r="AM195" s="507"/>
      <c r="AN195" s="507"/>
      <c r="AO195" s="507"/>
      <c r="AP195" s="507"/>
      <c r="AQ195" s="507"/>
      <c r="AR195" s="507"/>
      <c r="AS195" s="507"/>
      <c r="AT195" s="508"/>
      <c r="AU195" s="509"/>
      <c r="AV195" s="510" t="n">
        <f aca="false">A195</f>
        <v>0</v>
      </c>
      <c r="AW195" s="510" t="n">
        <f aca="false">B195</f>
        <v>0</v>
      </c>
      <c r="AX195" s="510" t="n">
        <f aca="false">C195</f>
        <v>0</v>
      </c>
      <c r="AY195" s="511" t="n">
        <f aca="false">ROUND($AY$6*AZ195/$AZ$5,2)</f>
        <v>0</v>
      </c>
      <c r="AZ195" s="502" t="n">
        <f aca="false">BA195+BL195</f>
        <v>0</v>
      </c>
      <c r="BA195" s="502" t="n">
        <f aca="false">SUM(BB195:BK195)</f>
        <v>0</v>
      </c>
      <c r="BB195" s="502" t="n">
        <f aca="false">IF($D195="是",I195-J195,0)</f>
        <v>0</v>
      </c>
      <c r="BC195" s="502" t="n">
        <f aca="false">IF($D195="是",K195-L195,0)</f>
        <v>0</v>
      </c>
      <c r="BD195" s="502" t="n">
        <f aca="false">IF($D195="是",M195-N195,0)</f>
        <v>0</v>
      </c>
      <c r="BE195" s="502" t="n">
        <f aca="false">IF($D195="是",O195-P195,0)</f>
        <v>0</v>
      </c>
      <c r="BF195" s="502" t="n">
        <f aca="false">IF($D195="是",Q195-R195,0)</f>
        <v>0</v>
      </c>
      <c r="BG195" s="502" t="n">
        <f aca="false">IF($D195="是",S195-T195,0)</f>
        <v>0</v>
      </c>
      <c r="BH195" s="502" t="n">
        <f aca="false">IF($D195="是",U195-V195,0)</f>
        <v>0</v>
      </c>
      <c r="BI195" s="502" t="n">
        <f aca="false">IF($D195="是",W195-X195,0)</f>
        <v>0</v>
      </c>
      <c r="BJ195" s="502" t="n">
        <f aca="false">IF($D195="是",Y195-Z195,0)</f>
        <v>0</v>
      </c>
      <c r="BK195" s="502" t="n">
        <f aca="false">IF($D195="是",AA195-AB195,0)</f>
        <v>0</v>
      </c>
      <c r="BL195" s="502" t="n">
        <f aca="false">SUM(BM195:BT195)</f>
        <v>0</v>
      </c>
      <c r="BM195" s="502" t="n">
        <f aca="false">IF($D195="是",AD195-AE195,0)</f>
        <v>0</v>
      </c>
      <c r="BN195" s="502" t="n">
        <f aca="false">IF($D195="是",AF195-AG195,0)</f>
        <v>0</v>
      </c>
      <c r="BO195" s="502" t="n">
        <f aca="false">IF($D195="是",AH195-AI195,0)</f>
        <v>0</v>
      </c>
      <c r="BP195" s="502" t="n">
        <f aca="false">IF($D195="是",AJ195-AK195,0)</f>
        <v>0</v>
      </c>
      <c r="BQ195" s="502" t="n">
        <f aca="false">IF($D195="是",AL195-AM195,0)</f>
        <v>0</v>
      </c>
      <c r="BR195" s="502" t="n">
        <f aca="false">IF($D195="是",AN195-AO195,0)</f>
        <v>0</v>
      </c>
      <c r="BS195" s="502" t="n">
        <f aca="false">IF($D195="是",AP195-AQ195,0)</f>
        <v>0</v>
      </c>
      <c r="BT195" s="512" t="n">
        <f aca="false">IF($D195="是",AR195-AS195,0)</f>
        <v>0</v>
      </c>
    </row>
    <row r="196" customFormat="false" ht="14.25" hidden="false" customHeight="false" outlineLevel="0" collapsed="false">
      <c r="A196" s="499"/>
      <c r="B196" s="500"/>
      <c r="C196" s="500"/>
      <c r="D196" s="501"/>
      <c r="E196" s="502" t="n">
        <f aca="false">IF($C$3="是",ROUND($A$3*G196/$B$3,2),ROUND($A$3*(G196-AT196)/$B$3,2))</f>
        <v>0</v>
      </c>
      <c r="F196" s="503"/>
      <c r="G196" s="504" t="n">
        <f aca="false">H196+AC196+AT196</f>
        <v>0</v>
      </c>
      <c r="H196" s="505" t="n">
        <f aca="false">SUMIF(I$12:AB$12,"总值",I196:AB196)</f>
        <v>0</v>
      </c>
      <c r="I196" s="506"/>
      <c r="J196" s="506"/>
      <c r="K196" s="506"/>
      <c r="L196" s="506"/>
      <c r="M196" s="506"/>
      <c r="N196" s="506"/>
      <c r="O196" s="506"/>
      <c r="P196" s="506"/>
      <c r="Q196" s="506"/>
      <c r="R196" s="506"/>
      <c r="S196" s="506"/>
      <c r="T196" s="506"/>
      <c r="U196" s="506"/>
      <c r="V196" s="506"/>
      <c r="W196" s="506"/>
      <c r="X196" s="506"/>
      <c r="Y196" s="506"/>
      <c r="Z196" s="506"/>
      <c r="AA196" s="506"/>
      <c r="AB196" s="506"/>
      <c r="AC196" s="502" t="n">
        <f aca="false">SUMIF(AD$12:AS$12,"总值",AD196:AS196)</f>
        <v>0</v>
      </c>
      <c r="AD196" s="507"/>
      <c r="AE196" s="507"/>
      <c r="AF196" s="507"/>
      <c r="AG196" s="507"/>
      <c r="AH196" s="507"/>
      <c r="AI196" s="507"/>
      <c r="AJ196" s="507"/>
      <c r="AK196" s="507"/>
      <c r="AL196" s="507"/>
      <c r="AM196" s="507"/>
      <c r="AN196" s="507"/>
      <c r="AO196" s="507"/>
      <c r="AP196" s="507"/>
      <c r="AQ196" s="507"/>
      <c r="AR196" s="507"/>
      <c r="AS196" s="507"/>
      <c r="AT196" s="508"/>
      <c r="AU196" s="509"/>
      <c r="AV196" s="510" t="n">
        <f aca="false">A196</f>
        <v>0</v>
      </c>
      <c r="AW196" s="510" t="n">
        <f aca="false">B196</f>
        <v>0</v>
      </c>
      <c r="AX196" s="510" t="n">
        <f aca="false">C196</f>
        <v>0</v>
      </c>
      <c r="AY196" s="511" t="n">
        <f aca="false">ROUND($AY$6*AZ196/$AZ$5,2)</f>
        <v>0</v>
      </c>
      <c r="AZ196" s="502" t="n">
        <f aca="false">BA196+BL196</f>
        <v>0</v>
      </c>
      <c r="BA196" s="502" t="n">
        <f aca="false">SUM(BB196:BK196)</f>
        <v>0</v>
      </c>
      <c r="BB196" s="502" t="n">
        <f aca="false">IF($D196="是",I196-J196,0)</f>
        <v>0</v>
      </c>
      <c r="BC196" s="502" t="n">
        <f aca="false">IF($D196="是",K196-L196,0)</f>
        <v>0</v>
      </c>
      <c r="BD196" s="502" t="n">
        <f aca="false">IF($D196="是",M196-N196,0)</f>
        <v>0</v>
      </c>
      <c r="BE196" s="502" t="n">
        <f aca="false">IF($D196="是",O196-P196,0)</f>
        <v>0</v>
      </c>
      <c r="BF196" s="502" t="n">
        <f aca="false">IF($D196="是",Q196-R196,0)</f>
        <v>0</v>
      </c>
      <c r="BG196" s="502" t="n">
        <f aca="false">IF($D196="是",S196-T196,0)</f>
        <v>0</v>
      </c>
      <c r="BH196" s="502" t="n">
        <f aca="false">IF($D196="是",U196-V196,0)</f>
        <v>0</v>
      </c>
      <c r="BI196" s="502" t="n">
        <f aca="false">IF($D196="是",W196-X196,0)</f>
        <v>0</v>
      </c>
      <c r="BJ196" s="502" t="n">
        <f aca="false">IF($D196="是",Y196-Z196,0)</f>
        <v>0</v>
      </c>
      <c r="BK196" s="502" t="n">
        <f aca="false">IF($D196="是",AA196-AB196,0)</f>
        <v>0</v>
      </c>
      <c r="BL196" s="502" t="n">
        <f aca="false">SUM(BM196:BT196)</f>
        <v>0</v>
      </c>
      <c r="BM196" s="502" t="n">
        <f aca="false">IF($D196="是",AD196-AE196,0)</f>
        <v>0</v>
      </c>
      <c r="BN196" s="502" t="n">
        <f aca="false">IF($D196="是",AF196-AG196,0)</f>
        <v>0</v>
      </c>
      <c r="BO196" s="502" t="n">
        <f aca="false">IF($D196="是",AH196-AI196,0)</f>
        <v>0</v>
      </c>
      <c r="BP196" s="502" t="n">
        <f aca="false">IF($D196="是",AJ196-AK196,0)</f>
        <v>0</v>
      </c>
      <c r="BQ196" s="502" t="n">
        <f aca="false">IF($D196="是",AL196-AM196,0)</f>
        <v>0</v>
      </c>
      <c r="BR196" s="502" t="n">
        <f aca="false">IF($D196="是",AN196-AO196,0)</f>
        <v>0</v>
      </c>
      <c r="BS196" s="502" t="n">
        <f aca="false">IF($D196="是",AP196-AQ196,0)</f>
        <v>0</v>
      </c>
      <c r="BT196" s="512" t="n">
        <f aca="false">IF($D196="是",AR196-AS196,0)</f>
        <v>0</v>
      </c>
    </row>
    <row r="197" customFormat="false" ht="14.25" hidden="false" customHeight="false" outlineLevel="0" collapsed="false">
      <c r="A197" s="499"/>
      <c r="B197" s="500"/>
      <c r="C197" s="500"/>
      <c r="D197" s="501"/>
      <c r="E197" s="502" t="n">
        <f aca="false">IF($C$3="是",ROUND($A$3*G197/$B$3,2),ROUND($A$3*(G197-AT197)/$B$3,2))</f>
        <v>0</v>
      </c>
      <c r="F197" s="503"/>
      <c r="G197" s="504" t="n">
        <f aca="false">H197+AC197+AT197</f>
        <v>0</v>
      </c>
      <c r="H197" s="505" t="n">
        <f aca="false">SUMIF(I$12:AB$12,"总值",I197:AB197)</f>
        <v>0</v>
      </c>
      <c r="I197" s="506"/>
      <c r="J197" s="506"/>
      <c r="K197" s="506"/>
      <c r="L197" s="506"/>
      <c r="M197" s="506"/>
      <c r="N197" s="506"/>
      <c r="O197" s="506"/>
      <c r="P197" s="506"/>
      <c r="Q197" s="506"/>
      <c r="R197" s="506"/>
      <c r="S197" s="506"/>
      <c r="T197" s="506"/>
      <c r="U197" s="506"/>
      <c r="V197" s="506"/>
      <c r="W197" s="506"/>
      <c r="X197" s="506"/>
      <c r="Y197" s="506"/>
      <c r="Z197" s="506"/>
      <c r="AA197" s="506"/>
      <c r="AB197" s="506"/>
      <c r="AC197" s="502" t="n">
        <f aca="false">SUMIF(AD$12:AS$12,"总值",AD197:AS197)</f>
        <v>0</v>
      </c>
      <c r="AD197" s="507"/>
      <c r="AE197" s="507"/>
      <c r="AF197" s="507"/>
      <c r="AG197" s="507"/>
      <c r="AH197" s="507"/>
      <c r="AI197" s="507"/>
      <c r="AJ197" s="507"/>
      <c r="AK197" s="507"/>
      <c r="AL197" s="507"/>
      <c r="AM197" s="507"/>
      <c r="AN197" s="507"/>
      <c r="AO197" s="507"/>
      <c r="AP197" s="507"/>
      <c r="AQ197" s="507"/>
      <c r="AR197" s="507"/>
      <c r="AS197" s="507"/>
      <c r="AT197" s="508"/>
      <c r="AU197" s="509"/>
      <c r="AV197" s="510" t="n">
        <f aca="false">A197</f>
        <v>0</v>
      </c>
      <c r="AW197" s="510" t="n">
        <f aca="false">B197</f>
        <v>0</v>
      </c>
      <c r="AX197" s="510" t="n">
        <f aca="false">C197</f>
        <v>0</v>
      </c>
      <c r="AY197" s="511" t="n">
        <f aca="false">ROUND($AY$6*AZ197/$AZ$5,2)</f>
        <v>0</v>
      </c>
      <c r="AZ197" s="502" t="n">
        <f aca="false">BA197+BL197</f>
        <v>0</v>
      </c>
      <c r="BA197" s="502" t="n">
        <f aca="false">SUM(BB197:BK197)</f>
        <v>0</v>
      </c>
      <c r="BB197" s="502" t="n">
        <f aca="false">IF($D197="是",I197-J197,0)</f>
        <v>0</v>
      </c>
      <c r="BC197" s="502" t="n">
        <f aca="false">IF($D197="是",K197-L197,0)</f>
        <v>0</v>
      </c>
      <c r="BD197" s="502" t="n">
        <f aca="false">IF($D197="是",M197-N197,0)</f>
        <v>0</v>
      </c>
      <c r="BE197" s="502" t="n">
        <f aca="false">IF($D197="是",O197-P197,0)</f>
        <v>0</v>
      </c>
      <c r="BF197" s="502" t="n">
        <f aca="false">IF($D197="是",Q197-R197,0)</f>
        <v>0</v>
      </c>
      <c r="BG197" s="502" t="n">
        <f aca="false">IF($D197="是",S197-T197,0)</f>
        <v>0</v>
      </c>
      <c r="BH197" s="502" t="n">
        <f aca="false">IF($D197="是",U197-V197,0)</f>
        <v>0</v>
      </c>
      <c r="BI197" s="502" t="n">
        <f aca="false">IF($D197="是",W197-X197,0)</f>
        <v>0</v>
      </c>
      <c r="BJ197" s="502" t="n">
        <f aca="false">IF($D197="是",Y197-Z197,0)</f>
        <v>0</v>
      </c>
      <c r="BK197" s="502" t="n">
        <f aca="false">IF($D197="是",AA197-AB197,0)</f>
        <v>0</v>
      </c>
      <c r="BL197" s="502" t="n">
        <f aca="false">SUM(BM197:BT197)</f>
        <v>0</v>
      </c>
      <c r="BM197" s="502" t="n">
        <f aca="false">IF($D197="是",AD197-AE197,0)</f>
        <v>0</v>
      </c>
      <c r="BN197" s="502" t="n">
        <f aca="false">IF($D197="是",AF197-AG197,0)</f>
        <v>0</v>
      </c>
      <c r="BO197" s="502" t="n">
        <f aca="false">IF($D197="是",AH197-AI197,0)</f>
        <v>0</v>
      </c>
      <c r="BP197" s="502" t="n">
        <f aca="false">IF($D197="是",AJ197-AK197,0)</f>
        <v>0</v>
      </c>
      <c r="BQ197" s="502" t="n">
        <f aca="false">IF($D197="是",AL197-AM197,0)</f>
        <v>0</v>
      </c>
      <c r="BR197" s="502" t="n">
        <f aca="false">IF($D197="是",AN197-AO197,0)</f>
        <v>0</v>
      </c>
      <c r="BS197" s="502" t="n">
        <f aca="false">IF($D197="是",AP197-AQ197,0)</f>
        <v>0</v>
      </c>
      <c r="BT197" s="512" t="n">
        <f aca="false">IF($D197="是",AR197-AS197,0)</f>
        <v>0</v>
      </c>
    </row>
    <row r="198" customFormat="false" ht="14.25" hidden="false" customHeight="false" outlineLevel="0" collapsed="false">
      <c r="A198" s="499"/>
      <c r="B198" s="500"/>
      <c r="C198" s="500"/>
      <c r="D198" s="501"/>
      <c r="E198" s="502" t="n">
        <f aca="false">IF($C$3="是",ROUND($A$3*G198/$B$3,2),ROUND($A$3*(G198-AT198)/$B$3,2))</f>
        <v>0</v>
      </c>
      <c r="F198" s="503"/>
      <c r="G198" s="504" t="n">
        <f aca="false">H198+AC198+AT198</f>
        <v>0</v>
      </c>
      <c r="H198" s="505" t="n">
        <f aca="false">SUMIF(I$12:AB$12,"总值",I198:AB198)</f>
        <v>0</v>
      </c>
      <c r="I198" s="506"/>
      <c r="J198" s="506"/>
      <c r="K198" s="506"/>
      <c r="L198" s="506"/>
      <c r="M198" s="506"/>
      <c r="N198" s="506"/>
      <c r="O198" s="506"/>
      <c r="P198" s="506"/>
      <c r="Q198" s="506"/>
      <c r="R198" s="506"/>
      <c r="S198" s="506"/>
      <c r="T198" s="506"/>
      <c r="U198" s="506"/>
      <c r="V198" s="506"/>
      <c r="W198" s="506"/>
      <c r="X198" s="506"/>
      <c r="Y198" s="506"/>
      <c r="Z198" s="506"/>
      <c r="AA198" s="506"/>
      <c r="AB198" s="506"/>
      <c r="AC198" s="502" t="n">
        <f aca="false">SUMIF(AD$12:AS$12,"总值",AD198:AS198)</f>
        <v>0</v>
      </c>
      <c r="AD198" s="507"/>
      <c r="AE198" s="507"/>
      <c r="AF198" s="507"/>
      <c r="AG198" s="507"/>
      <c r="AH198" s="507"/>
      <c r="AI198" s="507"/>
      <c r="AJ198" s="507"/>
      <c r="AK198" s="507"/>
      <c r="AL198" s="507"/>
      <c r="AM198" s="507"/>
      <c r="AN198" s="507"/>
      <c r="AO198" s="507"/>
      <c r="AP198" s="507"/>
      <c r="AQ198" s="507"/>
      <c r="AR198" s="507"/>
      <c r="AS198" s="507"/>
      <c r="AT198" s="508"/>
      <c r="AU198" s="509"/>
      <c r="AV198" s="510" t="n">
        <f aca="false">A198</f>
        <v>0</v>
      </c>
      <c r="AW198" s="510" t="n">
        <f aca="false">B198</f>
        <v>0</v>
      </c>
      <c r="AX198" s="510" t="n">
        <f aca="false">C198</f>
        <v>0</v>
      </c>
      <c r="AY198" s="511" t="n">
        <f aca="false">ROUND($AY$6*AZ198/$AZ$5,2)</f>
        <v>0</v>
      </c>
      <c r="AZ198" s="502" t="n">
        <f aca="false">BA198+BL198</f>
        <v>0</v>
      </c>
      <c r="BA198" s="502" t="n">
        <f aca="false">SUM(BB198:BK198)</f>
        <v>0</v>
      </c>
      <c r="BB198" s="502" t="n">
        <f aca="false">IF($D198="是",I198-J198,0)</f>
        <v>0</v>
      </c>
      <c r="BC198" s="502" t="n">
        <f aca="false">IF($D198="是",K198-L198,0)</f>
        <v>0</v>
      </c>
      <c r="BD198" s="502" t="n">
        <f aca="false">IF($D198="是",M198-N198,0)</f>
        <v>0</v>
      </c>
      <c r="BE198" s="502" t="n">
        <f aca="false">IF($D198="是",O198-P198,0)</f>
        <v>0</v>
      </c>
      <c r="BF198" s="502" t="n">
        <f aca="false">IF($D198="是",Q198-R198,0)</f>
        <v>0</v>
      </c>
      <c r="BG198" s="502" t="n">
        <f aca="false">IF($D198="是",S198-T198,0)</f>
        <v>0</v>
      </c>
      <c r="BH198" s="502" t="n">
        <f aca="false">IF($D198="是",U198-V198,0)</f>
        <v>0</v>
      </c>
      <c r="BI198" s="502" t="n">
        <f aca="false">IF($D198="是",W198-X198,0)</f>
        <v>0</v>
      </c>
      <c r="BJ198" s="502" t="n">
        <f aca="false">IF($D198="是",Y198-Z198,0)</f>
        <v>0</v>
      </c>
      <c r="BK198" s="502" t="n">
        <f aca="false">IF($D198="是",AA198-AB198,0)</f>
        <v>0</v>
      </c>
      <c r="BL198" s="502" t="n">
        <f aca="false">SUM(BM198:BT198)</f>
        <v>0</v>
      </c>
      <c r="BM198" s="502" t="n">
        <f aca="false">IF($D198="是",AD198-AE198,0)</f>
        <v>0</v>
      </c>
      <c r="BN198" s="502" t="n">
        <f aca="false">IF($D198="是",AF198-AG198,0)</f>
        <v>0</v>
      </c>
      <c r="BO198" s="502" t="n">
        <f aca="false">IF($D198="是",AH198-AI198,0)</f>
        <v>0</v>
      </c>
      <c r="BP198" s="502" t="n">
        <f aca="false">IF($D198="是",AJ198-AK198,0)</f>
        <v>0</v>
      </c>
      <c r="BQ198" s="502" t="n">
        <f aca="false">IF($D198="是",AL198-AM198,0)</f>
        <v>0</v>
      </c>
      <c r="BR198" s="502" t="n">
        <f aca="false">IF($D198="是",AN198-AO198,0)</f>
        <v>0</v>
      </c>
      <c r="BS198" s="502" t="n">
        <f aca="false">IF($D198="是",AP198-AQ198,0)</f>
        <v>0</v>
      </c>
      <c r="BT198" s="512" t="n">
        <f aca="false">IF($D198="是",AR198-AS198,0)</f>
        <v>0</v>
      </c>
    </row>
    <row r="199" customFormat="false" ht="14.25" hidden="false" customHeight="false" outlineLevel="0" collapsed="false">
      <c r="A199" s="499"/>
      <c r="B199" s="500"/>
      <c r="C199" s="500"/>
      <c r="D199" s="501"/>
      <c r="E199" s="502" t="n">
        <f aca="false">IF($C$3="是",ROUND($A$3*G199/$B$3,2),ROUND($A$3*(G199-AT199)/$B$3,2))</f>
        <v>0</v>
      </c>
      <c r="F199" s="503"/>
      <c r="G199" s="504" t="n">
        <f aca="false">H199+AC199+AT199</f>
        <v>0</v>
      </c>
      <c r="H199" s="505" t="n">
        <f aca="false">SUMIF(I$12:AB$12,"总值",I199:AB199)</f>
        <v>0</v>
      </c>
      <c r="I199" s="506"/>
      <c r="J199" s="506"/>
      <c r="K199" s="506"/>
      <c r="L199" s="506"/>
      <c r="M199" s="506"/>
      <c r="N199" s="506"/>
      <c r="O199" s="506"/>
      <c r="P199" s="506"/>
      <c r="Q199" s="506"/>
      <c r="R199" s="506"/>
      <c r="S199" s="506"/>
      <c r="T199" s="506"/>
      <c r="U199" s="506"/>
      <c r="V199" s="506"/>
      <c r="W199" s="506"/>
      <c r="X199" s="506"/>
      <c r="Y199" s="506"/>
      <c r="Z199" s="506"/>
      <c r="AA199" s="506"/>
      <c r="AB199" s="506"/>
      <c r="AC199" s="502" t="n">
        <f aca="false">SUMIF(AD$12:AS$12,"总值",AD199:AS199)</f>
        <v>0</v>
      </c>
      <c r="AD199" s="507"/>
      <c r="AE199" s="507"/>
      <c r="AF199" s="507"/>
      <c r="AG199" s="507"/>
      <c r="AH199" s="507"/>
      <c r="AI199" s="507"/>
      <c r="AJ199" s="507"/>
      <c r="AK199" s="507"/>
      <c r="AL199" s="507"/>
      <c r="AM199" s="507"/>
      <c r="AN199" s="507"/>
      <c r="AO199" s="507"/>
      <c r="AP199" s="507"/>
      <c r="AQ199" s="507"/>
      <c r="AR199" s="507"/>
      <c r="AS199" s="507"/>
      <c r="AT199" s="508"/>
      <c r="AU199" s="509"/>
      <c r="AV199" s="510" t="n">
        <f aca="false">A199</f>
        <v>0</v>
      </c>
      <c r="AW199" s="510" t="n">
        <f aca="false">B199</f>
        <v>0</v>
      </c>
      <c r="AX199" s="510" t="n">
        <f aca="false">C199</f>
        <v>0</v>
      </c>
      <c r="AY199" s="511" t="n">
        <f aca="false">ROUND($AY$6*AZ199/$AZ$5,2)</f>
        <v>0</v>
      </c>
      <c r="AZ199" s="502" t="n">
        <f aca="false">BA199+BL199</f>
        <v>0</v>
      </c>
      <c r="BA199" s="502" t="n">
        <f aca="false">SUM(BB199:BK199)</f>
        <v>0</v>
      </c>
      <c r="BB199" s="502" t="n">
        <f aca="false">IF($D199="是",I199-J199,0)</f>
        <v>0</v>
      </c>
      <c r="BC199" s="502" t="n">
        <f aca="false">IF($D199="是",K199-L199,0)</f>
        <v>0</v>
      </c>
      <c r="BD199" s="502" t="n">
        <f aca="false">IF($D199="是",M199-N199,0)</f>
        <v>0</v>
      </c>
      <c r="BE199" s="502" t="n">
        <f aca="false">IF($D199="是",O199-P199,0)</f>
        <v>0</v>
      </c>
      <c r="BF199" s="502" t="n">
        <f aca="false">IF($D199="是",Q199-R199,0)</f>
        <v>0</v>
      </c>
      <c r="BG199" s="502" t="n">
        <f aca="false">IF($D199="是",S199-T199,0)</f>
        <v>0</v>
      </c>
      <c r="BH199" s="502" t="n">
        <f aca="false">IF($D199="是",U199-V199,0)</f>
        <v>0</v>
      </c>
      <c r="BI199" s="502" t="n">
        <f aca="false">IF($D199="是",W199-X199,0)</f>
        <v>0</v>
      </c>
      <c r="BJ199" s="502" t="n">
        <f aca="false">IF($D199="是",Y199-Z199,0)</f>
        <v>0</v>
      </c>
      <c r="BK199" s="502" t="n">
        <f aca="false">IF($D199="是",AA199-AB199,0)</f>
        <v>0</v>
      </c>
      <c r="BL199" s="502" t="n">
        <f aca="false">SUM(BM199:BT199)</f>
        <v>0</v>
      </c>
      <c r="BM199" s="502" t="n">
        <f aca="false">IF($D199="是",AD199-AE199,0)</f>
        <v>0</v>
      </c>
      <c r="BN199" s="502" t="n">
        <f aca="false">IF($D199="是",AF199-AG199,0)</f>
        <v>0</v>
      </c>
      <c r="BO199" s="502" t="n">
        <f aca="false">IF($D199="是",AH199-AI199,0)</f>
        <v>0</v>
      </c>
      <c r="BP199" s="502" t="n">
        <f aca="false">IF($D199="是",AJ199-AK199,0)</f>
        <v>0</v>
      </c>
      <c r="BQ199" s="502" t="n">
        <f aca="false">IF($D199="是",AL199-AM199,0)</f>
        <v>0</v>
      </c>
      <c r="BR199" s="502" t="n">
        <f aca="false">IF($D199="是",AN199-AO199,0)</f>
        <v>0</v>
      </c>
      <c r="BS199" s="502" t="n">
        <f aca="false">IF($D199="是",AP199-AQ199,0)</f>
        <v>0</v>
      </c>
      <c r="BT199" s="512" t="n">
        <f aca="false">IF($D199="是",AR199-AS199,0)</f>
        <v>0</v>
      </c>
    </row>
    <row r="200" customFormat="false" ht="14.25" hidden="false" customHeight="false" outlineLevel="0" collapsed="false">
      <c r="A200" s="499"/>
      <c r="B200" s="500"/>
      <c r="C200" s="500"/>
      <c r="D200" s="501"/>
      <c r="E200" s="502" t="n">
        <f aca="false">IF($C$3="是",ROUND($A$3*G200/$B$3,2),ROUND($A$3*(G200-AT200)/$B$3,2))</f>
        <v>0</v>
      </c>
      <c r="F200" s="503"/>
      <c r="G200" s="504" t="n">
        <f aca="false">H200+AC200+AT200</f>
        <v>0</v>
      </c>
      <c r="H200" s="505" t="n">
        <f aca="false">SUMIF(I$12:AB$12,"总值",I200:AB200)</f>
        <v>0</v>
      </c>
      <c r="I200" s="506"/>
      <c r="J200" s="506"/>
      <c r="K200" s="506"/>
      <c r="L200" s="506"/>
      <c r="M200" s="506"/>
      <c r="N200" s="506"/>
      <c r="O200" s="506"/>
      <c r="P200" s="506"/>
      <c r="Q200" s="506"/>
      <c r="R200" s="506"/>
      <c r="S200" s="506"/>
      <c r="T200" s="506"/>
      <c r="U200" s="506"/>
      <c r="V200" s="506"/>
      <c r="W200" s="506"/>
      <c r="X200" s="506"/>
      <c r="Y200" s="506"/>
      <c r="Z200" s="506"/>
      <c r="AA200" s="506"/>
      <c r="AB200" s="506"/>
      <c r="AC200" s="502" t="n">
        <f aca="false">SUMIF(AD$12:AS$12,"总值",AD200:AS200)</f>
        <v>0</v>
      </c>
      <c r="AD200" s="507"/>
      <c r="AE200" s="507"/>
      <c r="AF200" s="507"/>
      <c r="AG200" s="507"/>
      <c r="AH200" s="507"/>
      <c r="AI200" s="507"/>
      <c r="AJ200" s="507"/>
      <c r="AK200" s="507"/>
      <c r="AL200" s="507"/>
      <c r="AM200" s="507"/>
      <c r="AN200" s="507"/>
      <c r="AO200" s="507"/>
      <c r="AP200" s="507"/>
      <c r="AQ200" s="507"/>
      <c r="AR200" s="507"/>
      <c r="AS200" s="507"/>
      <c r="AT200" s="508"/>
      <c r="AU200" s="509"/>
      <c r="AV200" s="510" t="n">
        <f aca="false">A200</f>
        <v>0</v>
      </c>
      <c r="AW200" s="510" t="n">
        <f aca="false">B200</f>
        <v>0</v>
      </c>
      <c r="AX200" s="510" t="n">
        <f aca="false">C200</f>
        <v>0</v>
      </c>
      <c r="AY200" s="511" t="n">
        <f aca="false">ROUND($AY$6*AZ200/$AZ$5,2)</f>
        <v>0</v>
      </c>
      <c r="AZ200" s="502" t="n">
        <f aca="false">BA200+BL200</f>
        <v>0</v>
      </c>
      <c r="BA200" s="502" t="n">
        <f aca="false">SUM(BB200:BK200)</f>
        <v>0</v>
      </c>
      <c r="BB200" s="502" t="n">
        <f aca="false">IF($D200="是",I200-J200,0)</f>
        <v>0</v>
      </c>
      <c r="BC200" s="502" t="n">
        <f aca="false">IF($D200="是",K200-L200,0)</f>
        <v>0</v>
      </c>
      <c r="BD200" s="502" t="n">
        <f aca="false">IF($D200="是",M200-N200,0)</f>
        <v>0</v>
      </c>
      <c r="BE200" s="502" t="n">
        <f aca="false">IF($D200="是",O200-P200,0)</f>
        <v>0</v>
      </c>
      <c r="BF200" s="502" t="n">
        <f aca="false">IF($D200="是",Q200-R200,0)</f>
        <v>0</v>
      </c>
      <c r="BG200" s="502" t="n">
        <f aca="false">IF($D200="是",S200-T200,0)</f>
        <v>0</v>
      </c>
      <c r="BH200" s="502" t="n">
        <f aca="false">IF($D200="是",U200-V200,0)</f>
        <v>0</v>
      </c>
      <c r="BI200" s="502" t="n">
        <f aca="false">IF($D200="是",W200-X200,0)</f>
        <v>0</v>
      </c>
      <c r="BJ200" s="502" t="n">
        <f aca="false">IF($D200="是",Y200-Z200,0)</f>
        <v>0</v>
      </c>
      <c r="BK200" s="502" t="n">
        <f aca="false">IF($D200="是",AA200-AB200,0)</f>
        <v>0</v>
      </c>
      <c r="BL200" s="502" t="n">
        <f aca="false">SUM(BM200:BT200)</f>
        <v>0</v>
      </c>
      <c r="BM200" s="502" t="n">
        <f aca="false">IF($D200="是",AD200-AE200,0)</f>
        <v>0</v>
      </c>
      <c r="BN200" s="502" t="n">
        <f aca="false">IF($D200="是",AF200-AG200,0)</f>
        <v>0</v>
      </c>
      <c r="BO200" s="502" t="n">
        <f aca="false">IF($D200="是",AH200-AI200,0)</f>
        <v>0</v>
      </c>
      <c r="BP200" s="502" t="n">
        <f aca="false">IF($D200="是",AJ200-AK200,0)</f>
        <v>0</v>
      </c>
      <c r="BQ200" s="502" t="n">
        <f aca="false">IF($D200="是",AL200-AM200,0)</f>
        <v>0</v>
      </c>
      <c r="BR200" s="502" t="n">
        <f aca="false">IF($D200="是",AN200-AO200,0)</f>
        <v>0</v>
      </c>
      <c r="BS200" s="502" t="n">
        <f aca="false">IF($D200="是",AP200-AQ200,0)</f>
        <v>0</v>
      </c>
      <c r="BT200" s="512" t="n">
        <f aca="false">IF($D200="是",AR200-AS200,0)</f>
        <v>0</v>
      </c>
    </row>
    <row r="201" customFormat="false" ht="14.25" hidden="false" customHeight="false" outlineLevel="0" collapsed="false">
      <c r="A201" s="499"/>
      <c r="B201" s="500"/>
      <c r="C201" s="500"/>
      <c r="D201" s="501"/>
      <c r="E201" s="502" t="n">
        <f aca="false">IF($C$3="是",ROUND($A$3*G201/$B$3,2),ROUND($A$3*(G201-AT201)/$B$3,2))</f>
        <v>0</v>
      </c>
      <c r="F201" s="503"/>
      <c r="G201" s="504" t="n">
        <f aca="false">H201+AC201+AT201</f>
        <v>0</v>
      </c>
      <c r="H201" s="505" t="n">
        <f aca="false">SUMIF(I$12:AB$12,"总值",I201:AB201)</f>
        <v>0</v>
      </c>
      <c r="I201" s="506"/>
      <c r="J201" s="506"/>
      <c r="K201" s="506"/>
      <c r="L201" s="506"/>
      <c r="M201" s="506"/>
      <c r="N201" s="506"/>
      <c r="O201" s="506"/>
      <c r="P201" s="506"/>
      <c r="Q201" s="506"/>
      <c r="R201" s="506"/>
      <c r="S201" s="506"/>
      <c r="T201" s="506"/>
      <c r="U201" s="506"/>
      <c r="V201" s="506"/>
      <c r="W201" s="506"/>
      <c r="X201" s="506"/>
      <c r="Y201" s="506"/>
      <c r="Z201" s="506"/>
      <c r="AA201" s="506"/>
      <c r="AB201" s="506"/>
      <c r="AC201" s="502" t="n">
        <f aca="false">SUMIF(AD$12:AS$12,"总值",AD201:AS201)</f>
        <v>0</v>
      </c>
      <c r="AD201" s="507"/>
      <c r="AE201" s="507"/>
      <c r="AF201" s="507"/>
      <c r="AG201" s="507"/>
      <c r="AH201" s="507"/>
      <c r="AI201" s="507"/>
      <c r="AJ201" s="507"/>
      <c r="AK201" s="507"/>
      <c r="AL201" s="507"/>
      <c r="AM201" s="507"/>
      <c r="AN201" s="507"/>
      <c r="AO201" s="507"/>
      <c r="AP201" s="507"/>
      <c r="AQ201" s="507"/>
      <c r="AR201" s="507"/>
      <c r="AS201" s="507"/>
      <c r="AT201" s="508"/>
      <c r="AU201" s="509"/>
      <c r="AV201" s="510" t="n">
        <f aca="false">A201</f>
        <v>0</v>
      </c>
      <c r="AW201" s="510" t="n">
        <f aca="false">B201</f>
        <v>0</v>
      </c>
      <c r="AX201" s="510" t="n">
        <f aca="false">C201</f>
        <v>0</v>
      </c>
      <c r="AY201" s="511" t="n">
        <f aca="false">ROUND($AY$6*AZ201/$AZ$5,2)</f>
        <v>0</v>
      </c>
      <c r="AZ201" s="502" t="n">
        <f aca="false">BA201+BL201</f>
        <v>0</v>
      </c>
      <c r="BA201" s="502" t="n">
        <f aca="false">SUM(BB201:BK201)</f>
        <v>0</v>
      </c>
      <c r="BB201" s="502" t="n">
        <f aca="false">IF($D201="是",I201-J201,0)</f>
        <v>0</v>
      </c>
      <c r="BC201" s="502" t="n">
        <f aca="false">IF($D201="是",K201-L201,0)</f>
        <v>0</v>
      </c>
      <c r="BD201" s="502" t="n">
        <f aca="false">IF($D201="是",M201-N201,0)</f>
        <v>0</v>
      </c>
      <c r="BE201" s="502" t="n">
        <f aca="false">IF($D201="是",O201-P201,0)</f>
        <v>0</v>
      </c>
      <c r="BF201" s="502" t="n">
        <f aca="false">IF($D201="是",Q201-R201,0)</f>
        <v>0</v>
      </c>
      <c r="BG201" s="502" t="n">
        <f aca="false">IF($D201="是",S201-T201,0)</f>
        <v>0</v>
      </c>
      <c r="BH201" s="502" t="n">
        <f aca="false">IF($D201="是",U201-V201,0)</f>
        <v>0</v>
      </c>
      <c r="BI201" s="502" t="n">
        <f aca="false">IF($D201="是",W201-X201,0)</f>
        <v>0</v>
      </c>
      <c r="BJ201" s="502" t="n">
        <f aca="false">IF($D201="是",Y201-Z201,0)</f>
        <v>0</v>
      </c>
      <c r="BK201" s="502" t="n">
        <f aca="false">IF($D201="是",AA201-AB201,0)</f>
        <v>0</v>
      </c>
      <c r="BL201" s="502" t="n">
        <f aca="false">SUM(BM201:BT201)</f>
        <v>0</v>
      </c>
      <c r="BM201" s="502" t="n">
        <f aca="false">IF($D201="是",AD201-AE201,0)</f>
        <v>0</v>
      </c>
      <c r="BN201" s="502" t="n">
        <f aca="false">IF($D201="是",AF201-AG201,0)</f>
        <v>0</v>
      </c>
      <c r="BO201" s="502" t="n">
        <f aca="false">IF($D201="是",AH201-AI201,0)</f>
        <v>0</v>
      </c>
      <c r="BP201" s="502" t="n">
        <f aca="false">IF($D201="是",AJ201-AK201,0)</f>
        <v>0</v>
      </c>
      <c r="BQ201" s="502" t="n">
        <f aca="false">IF($D201="是",AL201-AM201,0)</f>
        <v>0</v>
      </c>
      <c r="BR201" s="502" t="n">
        <f aca="false">IF($D201="是",AN201-AO201,0)</f>
        <v>0</v>
      </c>
      <c r="BS201" s="502" t="n">
        <f aca="false">IF($D201="是",AP201-AQ201,0)</f>
        <v>0</v>
      </c>
      <c r="BT201" s="512" t="n">
        <f aca="false">IF($D201="是",AR201-AS201,0)</f>
        <v>0</v>
      </c>
    </row>
    <row r="202" customFormat="false" ht="14.25" hidden="false" customHeight="false" outlineLevel="0" collapsed="false">
      <c r="A202" s="499"/>
      <c r="B202" s="500"/>
      <c r="C202" s="500"/>
      <c r="D202" s="501"/>
      <c r="E202" s="502" t="n">
        <f aca="false">IF($C$3="是",ROUND($A$3*G202/$B$3,2),ROUND($A$3*(G202-AT202)/$B$3,2))</f>
        <v>0</v>
      </c>
      <c r="F202" s="503"/>
      <c r="G202" s="504" t="n">
        <f aca="false">H202+AC202+AT202</f>
        <v>0</v>
      </c>
      <c r="H202" s="505" t="n">
        <f aca="false">SUMIF(I$12:AB$12,"总值",I202:AB202)</f>
        <v>0</v>
      </c>
      <c r="I202" s="506"/>
      <c r="J202" s="506"/>
      <c r="K202" s="506"/>
      <c r="L202" s="506"/>
      <c r="M202" s="506"/>
      <c r="N202" s="506"/>
      <c r="O202" s="506"/>
      <c r="P202" s="506"/>
      <c r="Q202" s="506"/>
      <c r="R202" s="506"/>
      <c r="S202" s="506"/>
      <c r="T202" s="506"/>
      <c r="U202" s="506"/>
      <c r="V202" s="506"/>
      <c r="W202" s="506"/>
      <c r="X202" s="506"/>
      <c r="Y202" s="506"/>
      <c r="Z202" s="506"/>
      <c r="AA202" s="506"/>
      <c r="AB202" s="506"/>
      <c r="AC202" s="502" t="n">
        <f aca="false">SUMIF(AD$12:AS$12,"总值",AD202:AS202)</f>
        <v>0</v>
      </c>
      <c r="AD202" s="507"/>
      <c r="AE202" s="507"/>
      <c r="AF202" s="507"/>
      <c r="AG202" s="507"/>
      <c r="AH202" s="507"/>
      <c r="AI202" s="507"/>
      <c r="AJ202" s="507"/>
      <c r="AK202" s="507"/>
      <c r="AL202" s="507"/>
      <c r="AM202" s="507"/>
      <c r="AN202" s="507"/>
      <c r="AO202" s="507"/>
      <c r="AP202" s="507"/>
      <c r="AQ202" s="507"/>
      <c r="AR202" s="507"/>
      <c r="AS202" s="507"/>
      <c r="AT202" s="508"/>
      <c r="AU202" s="509"/>
      <c r="AV202" s="510" t="n">
        <f aca="false">A202</f>
        <v>0</v>
      </c>
      <c r="AW202" s="510" t="n">
        <f aca="false">B202</f>
        <v>0</v>
      </c>
      <c r="AX202" s="510" t="n">
        <f aca="false">C202</f>
        <v>0</v>
      </c>
      <c r="AY202" s="511" t="n">
        <f aca="false">ROUND($AY$6*AZ202/$AZ$5,2)</f>
        <v>0</v>
      </c>
      <c r="AZ202" s="502" t="n">
        <f aca="false">BA202+BL202</f>
        <v>0</v>
      </c>
      <c r="BA202" s="502" t="n">
        <f aca="false">SUM(BB202:BK202)</f>
        <v>0</v>
      </c>
      <c r="BB202" s="502" t="n">
        <f aca="false">IF($D202="是",I202-J202,0)</f>
        <v>0</v>
      </c>
      <c r="BC202" s="502" t="n">
        <f aca="false">IF($D202="是",K202-L202,0)</f>
        <v>0</v>
      </c>
      <c r="BD202" s="502" t="n">
        <f aca="false">IF($D202="是",M202-N202,0)</f>
        <v>0</v>
      </c>
      <c r="BE202" s="502" t="n">
        <f aca="false">IF($D202="是",O202-P202,0)</f>
        <v>0</v>
      </c>
      <c r="BF202" s="502" t="n">
        <f aca="false">IF($D202="是",Q202-R202,0)</f>
        <v>0</v>
      </c>
      <c r="BG202" s="502" t="n">
        <f aca="false">IF($D202="是",S202-T202,0)</f>
        <v>0</v>
      </c>
      <c r="BH202" s="502" t="n">
        <f aca="false">IF($D202="是",U202-V202,0)</f>
        <v>0</v>
      </c>
      <c r="BI202" s="502" t="n">
        <f aca="false">IF($D202="是",W202-X202,0)</f>
        <v>0</v>
      </c>
      <c r="BJ202" s="502" t="n">
        <f aca="false">IF($D202="是",Y202-Z202,0)</f>
        <v>0</v>
      </c>
      <c r="BK202" s="502" t="n">
        <f aca="false">IF($D202="是",AA202-AB202,0)</f>
        <v>0</v>
      </c>
      <c r="BL202" s="502" t="n">
        <f aca="false">SUM(BM202:BT202)</f>
        <v>0</v>
      </c>
      <c r="BM202" s="502" t="n">
        <f aca="false">IF($D202="是",AD202-AE202,0)</f>
        <v>0</v>
      </c>
      <c r="BN202" s="502" t="n">
        <f aca="false">IF($D202="是",AF202-AG202,0)</f>
        <v>0</v>
      </c>
      <c r="BO202" s="502" t="n">
        <f aca="false">IF($D202="是",AH202-AI202,0)</f>
        <v>0</v>
      </c>
      <c r="BP202" s="502" t="n">
        <f aca="false">IF($D202="是",AJ202-AK202,0)</f>
        <v>0</v>
      </c>
      <c r="BQ202" s="502" t="n">
        <f aca="false">IF($D202="是",AL202-AM202,0)</f>
        <v>0</v>
      </c>
      <c r="BR202" s="502" t="n">
        <f aca="false">IF($D202="是",AN202-AO202,0)</f>
        <v>0</v>
      </c>
      <c r="BS202" s="502" t="n">
        <f aca="false">IF($D202="是",AP202-AQ202,0)</f>
        <v>0</v>
      </c>
      <c r="BT202" s="512" t="n">
        <f aca="false">IF($D202="是",AR202-AS202,0)</f>
        <v>0</v>
      </c>
    </row>
    <row r="203" customFormat="false" ht="14.25" hidden="false" customHeight="false" outlineLevel="0" collapsed="false">
      <c r="A203" s="499"/>
      <c r="B203" s="500"/>
      <c r="C203" s="500"/>
      <c r="D203" s="501"/>
      <c r="E203" s="502" t="n">
        <f aca="false">IF($C$3="是",ROUND($A$3*G203/$B$3,2),ROUND($A$3*(G203-AT203)/$B$3,2))</f>
        <v>0</v>
      </c>
      <c r="F203" s="503"/>
      <c r="G203" s="504" t="n">
        <f aca="false">H203+AC203+AT203</f>
        <v>0</v>
      </c>
      <c r="H203" s="505" t="n">
        <f aca="false">SUMIF(I$12:AB$12,"总值",I203:AB203)</f>
        <v>0</v>
      </c>
      <c r="I203" s="506"/>
      <c r="J203" s="506"/>
      <c r="K203" s="506"/>
      <c r="L203" s="506"/>
      <c r="M203" s="506"/>
      <c r="N203" s="506"/>
      <c r="O203" s="506"/>
      <c r="P203" s="506"/>
      <c r="Q203" s="506"/>
      <c r="R203" s="506"/>
      <c r="S203" s="506"/>
      <c r="T203" s="506"/>
      <c r="U203" s="506"/>
      <c r="V203" s="506"/>
      <c r="W203" s="506"/>
      <c r="X203" s="506"/>
      <c r="Y203" s="506"/>
      <c r="Z203" s="506"/>
      <c r="AA203" s="506"/>
      <c r="AB203" s="506"/>
      <c r="AC203" s="502" t="n">
        <f aca="false">SUMIF(AD$12:AS$12,"总值",AD203:AS203)</f>
        <v>0</v>
      </c>
      <c r="AD203" s="507"/>
      <c r="AE203" s="507"/>
      <c r="AF203" s="507"/>
      <c r="AG203" s="507"/>
      <c r="AH203" s="507"/>
      <c r="AI203" s="507"/>
      <c r="AJ203" s="507"/>
      <c r="AK203" s="507"/>
      <c r="AL203" s="507"/>
      <c r="AM203" s="507"/>
      <c r="AN203" s="507"/>
      <c r="AO203" s="507"/>
      <c r="AP203" s="507"/>
      <c r="AQ203" s="507"/>
      <c r="AR203" s="507"/>
      <c r="AS203" s="507"/>
      <c r="AT203" s="508"/>
      <c r="AU203" s="509"/>
      <c r="AV203" s="510" t="n">
        <f aca="false">A203</f>
        <v>0</v>
      </c>
      <c r="AW203" s="510" t="n">
        <f aca="false">B203</f>
        <v>0</v>
      </c>
      <c r="AX203" s="510" t="n">
        <f aca="false">C203</f>
        <v>0</v>
      </c>
      <c r="AY203" s="511" t="n">
        <f aca="false">ROUND($AY$6*AZ203/$AZ$5,2)</f>
        <v>0</v>
      </c>
      <c r="AZ203" s="502" t="n">
        <f aca="false">BA203+BL203</f>
        <v>0</v>
      </c>
      <c r="BA203" s="502" t="n">
        <f aca="false">SUM(BB203:BK203)</f>
        <v>0</v>
      </c>
      <c r="BB203" s="502" t="n">
        <f aca="false">IF($D203="是",I203-J203,0)</f>
        <v>0</v>
      </c>
      <c r="BC203" s="502" t="n">
        <f aca="false">IF($D203="是",K203-L203,0)</f>
        <v>0</v>
      </c>
      <c r="BD203" s="502" t="n">
        <f aca="false">IF($D203="是",M203-N203,0)</f>
        <v>0</v>
      </c>
      <c r="BE203" s="502" t="n">
        <f aca="false">IF($D203="是",O203-P203,0)</f>
        <v>0</v>
      </c>
      <c r="BF203" s="502" t="n">
        <f aca="false">IF($D203="是",Q203-R203,0)</f>
        <v>0</v>
      </c>
      <c r="BG203" s="502" t="n">
        <f aca="false">IF($D203="是",S203-T203,0)</f>
        <v>0</v>
      </c>
      <c r="BH203" s="502" t="n">
        <f aca="false">IF($D203="是",U203-V203,0)</f>
        <v>0</v>
      </c>
      <c r="BI203" s="502" t="n">
        <f aca="false">IF($D203="是",W203-X203,0)</f>
        <v>0</v>
      </c>
      <c r="BJ203" s="502" t="n">
        <f aca="false">IF($D203="是",Y203-Z203,0)</f>
        <v>0</v>
      </c>
      <c r="BK203" s="502" t="n">
        <f aca="false">IF($D203="是",AA203-AB203,0)</f>
        <v>0</v>
      </c>
      <c r="BL203" s="502" t="n">
        <f aca="false">SUM(BM203:BT203)</f>
        <v>0</v>
      </c>
      <c r="BM203" s="502" t="n">
        <f aca="false">IF($D203="是",AD203-AE203,0)</f>
        <v>0</v>
      </c>
      <c r="BN203" s="502" t="n">
        <f aca="false">IF($D203="是",AF203-AG203,0)</f>
        <v>0</v>
      </c>
      <c r="BO203" s="502" t="n">
        <f aca="false">IF($D203="是",AH203-AI203,0)</f>
        <v>0</v>
      </c>
      <c r="BP203" s="502" t="n">
        <f aca="false">IF($D203="是",AJ203-AK203,0)</f>
        <v>0</v>
      </c>
      <c r="BQ203" s="502" t="n">
        <f aca="false">IF($D203="是",AL203-AM203,0)</f>
        <v>0</v>
      </c>
      <c r="BR203" s="502" t="n">
        <f aca="false">IF($D203="是",AN203-AO203,0)</f>
        <v>0</v>
      </c>
      <c r="BS203" s="502" t="n">
        <f aca="false">IF($D203="是",AP203-AQ203,0)</f>
        <v>0</v>
      </c>
      <c r="BT203" s="512" t="n">
        <f aca="false">IF($D203="是",AR203-AS203,0)</f>
        <v>0</v>
      </c>
    </row>
    <row r="204" customFormat="false" ht="14.25" hidden="false" customHeight="false" outlineLevel="0" collapsed="false">
      <c r="A204" s="499"/>
      <c r="B204" s="500"/>
      <c r="C204" s="500"/>
      <c r="D204" s="501"/>
      <c r="E204" s="502" t="n">
        <f aca="false">IF($C$3="是",ROUND($A$3*G204/$B$3,2),ROUND($A$3*(G204-AT204)/$B$3,2))</f>
        <v>0</v>
      </c>
      <c r="F204" s="503"/>
      <c r="G204" s="504" t="n">
        <f aca="false">H204+AC204+AT204</f>
        <v>0</v>
      </c>
      <c r="H204" s="505" t="n">
        <f aca="false">SUMIF(I$12:AB$12,"总值",I204:AB204)</f>
        <v>0</v>
      </c>
      <c r="I204" s="506"/>
      <c r="J204" s="506"/>
      <c r="K204" s="506"/>
      <c r="L204" s="506"/>
      <c r="M204" s="506"/>
      <c r="N204" s="506"/>
      <c r="O204" s="506"/>
      <c r="P204" s="506"/>
      <c r="Q204" s="506"/>
      <c r="R204" s="506"/>
      <c r="S204" s="506"/>
      <c r="T204" s="506"/>
      <c r="U204" s="506"/>
      <c r="V204" s="506"/>
      <c r="W204" s="506"/>
      <c r="X204" s="506"/>
      <c r="Y204" s="506"/>
      <c r="Z204" s="506"/>
      <c r="AA204" s="506"/>
      <c r="AB204" s="506"/>
      <c r="AC204" s="502" t="n">
        <f aca="false">SUMIF(AD$12:AS$12,"总值",AD204:AS204)</f>
        <v>0</v>
      </c>
      <c r="AD204" s="507"/>
      <c r="AE204" s="507"/>
      <c r="AF204" s="507"/>
      <c r="AG204" s="507"/>
      <c r="AH204" s="507"/>
      <c r="AI204" s="507"/>
      <c r="AJ204" s="507"/>
      <c r="AK204" s="507"/>
      <c r="AL204" s="507"/>
      <c r="AM204" s="507"/>
      <c r="AN204" s="507"/>
      <c r="AO204" s="507"/>
      <c r="AP204" s="507"/>
      <c r="AQ204" s="507"/>
      <c r="AR204" s="507"/>
      <c r="AS204" s="507"/>
      <c r="AT204" s="508"/>
      <c r="AU204" s="509"/>
      <c r="AV204" s="510" t="n">
        <f aca="false">A204</f>
        <v>0</v>
      </c>
      <c r="AW204" s="510" t="n">
        <f aca="false">B204</f>
        <v>0</v>
      </c>
      <c r="AX204" s="510" t="n">
        <f aca="false">C204</f>
        <v>0</v>
      </c>
      <c r="AY204" s="511" t="n">
        <f aca="false">ROUND($AY$6*AZ204/$AZ$5,2)</f>
        <v>0</v>
      </c>
      <c r="AZ204" s="502" t="n">
        <f aca="false">BA204+BL204</f>
        <v>0</v>
      </c>
      <c r="BA204" s="502" t="n">
        <f aca="false">SUM(BB204:BK204)</f>
        <v>0</v>
      </c>
      <c r="BB204" s="502" t="n">
        <f aca="false">IF($D204="是",I204-J204,0)</f>
        <v>0</v>
      </c>
      <c r="BC204" s="502" t="n">
        <f aca="false">IF($D204="是",K204-L204,0)</f>
        <v>0</v>
      </c>
      <c r="BD204" s="502" t="n">
        <f aca="false">IF($D204="是",M204-N204,0)</f>
        <v>0</v>
      </c>
      <c r="BE204" s="502" t="n">
        <f aca="false">IF($D204="是",O204-P204,0)</f>
        <v>0</v>
      </c>
      <c r="BF204" s="502" t="n">
        <f aca="false">IF($D204="是",Q204-R204,0)</f>
        <v>0</v>
      </c>
      <c r="BG204" s="502" t="n">
        <f aca="false">IF($D204="是",S204-T204,0)</f>
        <v>0</v>
      </c>
      <c r="BH204" s="502" t="n">
        <f aca="false">IF($D204="是",U204-V204,0)</f>
        <v>0</v>
      </c>
      <c r="BI204" s="502" t="n">
        <f aca="false">IF($D204="是",W204-X204,0)</f>
        <v>0</v>
      </c>
      <c r="BJ204" s="502" t="n">
        <f aca="false">IF($D204="是",Y204-Z204,0)</f>
        <v>0</v>
      </c>
      <c r="BK204" s="502" t="n">
        <f aca="false">IF($D204="是",AA204-AB204,0)</f>
        <v>0</v>
      </c>
      <c r="BL204" s="502" t="n">
        <f aca="false">SUM(BM204:BT204)</f>
        <v>0</v>
      </c>
      <c r="BM204" s="502" t="n">
        <f aca="false">IF($D204="是",AD204-AE204,0)</f>
        <v>0</v>
      </c>
      <c r="BN204" s="502" t="n">
        <f aca="false">IF($D204="是",AF204-AG204,0)</f>
        <v>0</v>
      </c>
      <c r="BO204" s="502" t="n">
        <f aca="false">IF($D204="是",AH204-AI204,0)</f>
        <v>0</v>
      </c>
      <c r="BP204" s="502" t="n">
        <f aca="false">IF($D204="是",AJ204-AK204,0)</f>
        <v>0</v>
      </c>
      <c r="BQ204" s="502" t="n">
        <f aca="false">IF($D204="是",AL204-AM204,0)</f>
        <v>0</v>
      </c>
      <c r="BR204" s="502" t="n">
        <f aca="false">IF($D204="是",AN204-AO204,0)</f>
        <v>0</v>
      </c>
      <c r="BS204" s="502" t="n">
        <f aca="false">IF($D204="是",AP204-AQ204,0)</f>
        <v>0</v>
      </c>
      <c r="BT204" s="512" t="n">
        <f aca="false">IF($D204="是",AR204-AS204,0)</f>
        <v>0</v>
      </c>
    </row>
    <row r="205" customFormat="false" ht="14.25" hidden="false" customHeight="false" outlineLevel="0" collapsed="false">
      <c r="A205" s="499"/>
      <c r="B205" s="499"/>
      <c r="C205" s="499"/>
      <c r="D205" s="501"/>
      <c r="E205" s="502" t="n">
        <f aca="false">IF($C$3="是",ROUND($A$3*G205/$B$3,2),ROUND($A$3*(G205-AT205)/$B$3,2))</f>
        <v>0</v>
      </c>
      <c r="F205" s="513"/>
      <c r="G205" s="504" t="n">
        <f aca="false">H205+AC205+AT205</f>
        <v>0</v>
      </c>
      <c r="H205" s="505" t="n">
        <f aca="false">SUMIF(I$12:AB$12,"总值",I205:AB205)</f>
        <v>0</v>
      </c>
      <c r="I205" s="514"/>
      <c r="J205" s="514"/>
      <c r="K205" s="506"/>
      <c r="L205" s="506"/>
      <c r="M205" s="506"/>
      <c r="N205" s="506"/>
      <c r="O205" s="506"/>
      <c r="P205" s="506"/>
      <c r="Q205" s="506"/>
      <c r="R205" s="506"/>
      <c r="S205" s="506"/>
      <c r="T205" s="506"/>
      <c r="U205" s="506"/>
      <c r="V205" s="506"/>
      <c r="W205" s="506"/>
      <c r="X205" s="506"/>
      <c r="Y205" s="506"/>
      <c r="Z205" s="506"/>
      <c r="AA205" s="506"/>
      <c r="AB205" s="506"/>
      <c r="AC205" s="502" t="n">
        <f aca="false">SUMIF(AD$12:AS$12,"总值",AD205:AS205)</f>
        <v>0</v>
      </c>
      <c r="AD205" s="507"/>
      <c r="AE205" s="507"/>
      <c r="AF205" s="507"/>
      <c r="AG205" s="507"/>
      <c r="AH205" s="507"/>
      <c r="AI205" s="507"/>
      <c r="AJ205" s="507"/>
      <c r="AK205" s="507"/>
      <c r="AL205" s="507"/>
      <c r="AM205" s="507"/>
      <c r="AN205" s="507"/>
      <c r="AO205" s="507"/>
      <c r="AP205" s="507"/>
      <c r="AQ205" s="507"/>
      <c r="AR205" s="507"/>
      <c r="AS205" s="507"/>
      <c r="AT205" s="507"/>
      <c r="AU205" s="515"/>
      <c r="AV205" s="510" t="n">
        <f aca="false">A205</f>
        <v>0</v>
      </c>
      <c r="AW205" s="510" t="n">
        <f aca="false">B205</f>
        <v>0</v>
      </c>
      <c r="AX205" s="510" t="n">
        <f aca="false">C205</f>
        <v>0</v>
      </c>
      <c r="AY205" s="511" t="n">
        <f aca="false">ROUND($AY$6*AZ205/$AZ$5,2)</f>
        <v>0</v>
      </c>
      <c r="AZ205" s="502" t="n">
        <f aca="false">BA205+BL205</f>
        <v>0</v>
      </c>
      <c r="BA205" s="502" t="n">
        <f aca="false">SUM(BB205:BK205)</f>
        <v>0</v>
      </c>
      <c r="BB205" s="502" t="n">
        <f aca="false">IF($D205="是",I205-J205,0)</f>
        <v>0</v>
      </c>
      <c r="BC205" s="502" t="n">
        <f aca="false">IF($D205="是",K205-L205,0)</f>
        <v>0</v>
      </c>
      <c r="BD205" s="502" t="n">
        <f aca="false">IF($D205="是",M205-N205,0)</f>
        <v>0</v>
      </c>
      <c r="BE205" s="502" t="n">
        <f aca="false">IF($D205="是",O205-P205,0)</f>
        <v>0</v>
      </c>
      <c r="BF205" s="502" t="n">
        <f aca="false">IF($D205="是",Q205-R205,0)</f>
        <v>0</v>
      </c>
      <c r="BG205" s="502" t="n">
        <f aca="false">IF($D205="是",S205-T205,0)</f>
        <v>0</v>
      </c>
      <c r="BH205" s="502" t="n">
        <f aca="false">IF($D205="是",U205-V205,0)</f>
        <v>0</v>
      </c>
      <c r="BI205" s="502" t="n">
        <f aca="false">IF($D205="是",W205-X205,0)</f>
        <v>0</v>
      </c>
      <c r="BJ205" s="502" t="n">
        <f aca="false">IF($D205="是",Y205-Z205,0)</f>
        <v>0</v>
      </c>
      <c r="BK205" s="502" t="n">
        <f aca="false">IF($D205="是",AA205-AB205,0)</f>
        <v>0</v>
      </c>
      <c r="BL205" s="502" t="n">
        <f aca="false">SUM(BM205:BT205)</f>
        <v>0</v>
      </c>
      <c r="BM205" s="502" t="n">
        <f aca="false">IF($D205="是",AD205-AE205,0)</f>
        <v>0</v>
      </c>
      <c r="BN205" s="502" t="n">
        <f aca="false">IF($D205="是",AF205-AG205,0)</f>
        <v>0</v>
      </c>
      <c r="BO205" s="502" t="n">
        <f aca="false">IF($D205="是",AH205-AI205,0)</f>
        <v>0</v>
      </c>
      <c r="BP205" s="502" t="n">
        <f aca="false">IF($D205="是",AJ205-AK205,0)</f>
        <v>0</v>
      </c>
      <c r="BQ205" s="502" t="n">
        <f aca="false">IF($D205="是",AL205-AM205,0)</f>
        <v>0</v>
      </c>
      <c r="BR205" s="502" t="n">
        <f aca="false">IF($D205="是",AN205-AO205,0)</f>
        <v>0</v>
      </c>
      <c r="BS205" s="502" t="n">
        <f aca="false">IF($D205="是",AP205-AQ205,0)</f>
        <v>0</v>
      </c>
      <c r="BT205" s="512" t="n">
        <f aca="false">IF($D205="是",AR205-AS205,0)</f>
        <v>0</v>
      </c>
    </row>
    <row r="206" customFormat="false" ht="14.25" hidden="false" customHeight="false" outlineLevel="0" collapsed="false">
      <c r="A206" s="499"/>
      <c r="B206" s="499"/>
      <c r="C206" s="499"/>
      <c r="D206" s="501"/>
      <c r="E206" s="502" t="n">
        <f aca="false">IF($C$3="是",ROUND($A$3*G206/$B$3,2),ROUND($A$3*(G206-AT206)/$B$3,2))</f>
        <v>0</v>
      </c>
      <c r="F206" s="513"/>
      <c r="G206" s="504" t="n">
        <f aca="false">H206+AC206+AT206</f>
        <v>0</v>
      </c>
      <c r="H206" s="505" t="n">
        <f aca="false">SUMIF(I$12:AB$12,"总值",I206:AB206)</f>
        <v>0</v>
      </c>
      <c r="I206" s="506"/>
      <c r="J206" s="506"/>
      <c r="K206" s="506"/>
      <c r="L206" s="506"/>
      <c r="M206" s="506"/>
      <c r="N206" s="506"/>
      <c r="O206" s="506"/>
      <c r="P206" s="506"/>
      <c r="Q206" s="506"/>
      <c r="R206" s="506"/>
      <c r="S206" s="506"/>
      <c r="T206" s="506"/>
      <c r="U206" s="506"/>
      <c r="V206" s="506"/>
      <c r="W206" s="506"/>
      <c r="X206" s="506"/>
      <c r="Y206" s="506"/>
      <c r="Z206" s="506"/>
      <c r="AA206" s="506"/>
      <c r="AB206" s="506"/>
      <c r="AC206" s="502" t="n">
        <f aca="false">SUMIF(AD$12:AS$12,"总值",AD206:AS206)</f>
        <v>0</v>
      </c>
      <c r="AD206" s="507"/>
      <c r="AE206" s="507"/>
      <c r="AF206" s="507"/>
      <c r="AG206" s="507"/>
      <c r="AH206" s="507"/>
      <c r="AI206" s="507"/>
      <c r="AJ206" s="507"/>
      <c r="AK206" s="507"/>
      <c r="AL206" s="507"/>
      <c r="AM206" s="507"/>
      <c r="AN206" s="507"/>
      <c r="AO206" s="507"/>
      <c r="AP206" s="507"/>
      <c r="AQ206" s="507"/>
      <c r="AR206" s="507"/>
      <c r="AS206" s="507"/>
      <c r="AT206" s="507"/>
      <c r="AU206" s="515"/>
      <c r="AV206" s="510" t="n">
        <f aca="false">A206</f>
        <v>0</v>
      </c>
      <c r="AW206" s="510" t="n">
        <f aca="false">B206</f>
        <v>0</v>
      </c>
      <c r="AX206" s="510" t="n">
        <f aca="false">C206</f>
        <v>0</v>
      </c>
      <c r="AY206" s="511" t="n">
        <f aca="false">ROUND($AY$6*AZ206/$AZ$5,2)</f>
        <v>0</v>
      </c>
      <c r="AZ206" s="502" t="n">
        <f aca="false">BA206+BL206</f>
        <v>0</v>
      </c>
      <c r="BA206" s="502" t="n">
        <f aca="false">SUM(BB206:BK206)</f>
        <v>0</v>
      </c>
      <c r="BB206" s="502" t="n">
        <f aca="false">IF($D206="是",I206-J206,0)</f>
        <v>0</v>
      </c>
      <c r="BC206" s="502" t="n">
        <f aca="false">IF($D206="是",K206-L206,0)</f>
        <v>0</v>
      </c>
      <c r="BD206" s="502" t="n">
        <f aca="false">IF($D206="是",M206-N206,0)</f>
        <v>0</v>
      </c>
      <c r="BE206" s="502" t="n">
        <f aca="false">IF($D206="是",O206-P206,0)</f>
        <v>0</v>
      </c>
      <c r="BF206" s="502" t="n">
        <f aca="false">IF($D206="是",Q206-R206,0)</f>
        <v>0</v>
      </c>
      <c r="BG206" s="502" t="n">
        <f aca="false">IF($D206="是",S206-T206,0)</f>
        <v>0</v>
      </c>
      <c r="BH206" s="502" t="n">
        <f aca="false">IF($D206="是",U206-V206,0)</f>
        <v>0</v>
      </c>
      <c r="BI206" s="502" t="n">
        <f aca="false">IF($D206="是",W206-X206,0)</f>
        <v>0</v>
      </c>
      <c r="BJ206" s="502" t="n">
        <f aca="false">IF($D206="是",Y206-Z206,0)</f>
        <v>0</v>
      </c>
      <c r="BK206" s="502" t="n">
        <f aca="false">IF($D206="是",AA206-AB206,0)</f>
        <v>0</v>
      </c>
      <c r="BL206" s="502" t="n">
        <f aca="false">SUM(BM206:BT206)</f>
        <v>0</v>
      </c>
      <c r="BM206" s="502" t="n">
        <f aca="false">IF($D206="是",AD206-AE206,0)</f>
        <v>0</v>
      </c>
      <c r="BN206" s="502" t="n">
        <f aca="false">IF($D206="是",AF206-AG206,0)</f>
        <v>0</v>
      </c>
      <c r="BO206" s="502" t="n">
        <f aca="false">IF($D206="是",AH206-AI206,0)</f>
        <v>0</v>
      </c>
      <c r="BP206" s="502" t="n">
        <f aca="false">IF($D206="是",AJ206-AK206,0)</f>
        <v>0</v>
      </c>
      <c r="BQ206" s="502" t="n">
        <f aca="false">IF($D206="是",AL206-AM206,0)</f>
        <v>0</v>
      </c>
      <c r="BR206" s="502" t="n">
        <f aca="false">IF($D206="是",AN206-AO206,0)</f>
        <v>0</v>
      </c>
      <c r="BS206" s="502" t="n">
        <f aca="false">IF($D206="是",AP206-AQ206,0)</f>
        <v>0</v>
      </c>
      <c r="BT206" s="512" t="n">
        <f aca="false">IF($D206="是",AR206-AS206,0)</f>
        <v>0</v>
      </c>
    </row>
    <row r="207" customFormat="false" ht="14.25" hidden="false" customHeight="false" outlineLevel="0" collapsed="false">
      <c r="A207" s="499"/>
      <c r="B207" s="499"/>
      <c r="C207" s="499"/>
      <c r="D207" s="501"/>
      <c r="E207" s="502" t="n">
        <f aca="false">IF($C$3="是",ROUND($A$3*G207/$B$3,2),ROUND($A$3*(G207-AT207)/$B$3,2))</f>
        <v>0</v>
      </c>
      <c r="F207" s="513"/>
      <c r="G207" s="504" t="n">
        <f aca="false">H207+AC207+AT207</f>
        <v>0</v>
      </c>
      <c r="H207" s="505" t="n">
        <f aca="false">SUMIF(I$12:AB$12,"总值",I207:AB207)</f>
        <v>0</v>
      </c>
      <c r="I207" s="506"/>
      <c r="J207" s="506"/>
      <c r="K207" s="506"/>
      <c r="L207" s="506"/>
      <c r="M207" s="506"/>
      <c r="N207" s="506"/>
      <c r="O207" s="506"/>
      <c r="P207" s="506"/>
      <c r="Q207" s="506"/>
      <c r="R207" s="506"/>
      <c r="S207" s="506"/>
      <c r="T207" s="506"/>
      <c r="U207" s="506"/>
      <c r="V207" s="506"/>
      <c r="W207" s="506"/>
      <c r="X207" s="506"/>
      <c r="Y207" s="506"/>
      <c r="Z207" s="506"/>
      <c r="AA207" s="506"/>
      <c r="AB207" s="506"/>
      <c r="AC207" s="502" t="n">
        <f aca="false">SUMIF(AD$12:AS$12,"总值",AD207:AS207)</f>
        <v>0</v>
      </c>
      <c r="AD207" s="507"/>
      <c r="AE207" s="507"/>
      <c r="AF207" s="507"/>
      <c r="AG207" s="507"/>
      <c r="AH207" s="507"/>
      <c r="AI207" s="507"/>
      <c r="AJ207" s="507"/>
      <c r="AK207" s="507"/>
      <c r="AL207" s="507"/>
      <c r="AM207" s="507"/>
      <c r="AN207" s="507"/>
      <c r="AO207" s="507"/>
      <c r="AP207" s="507"/>
      <c r="AQ207" s="507"/>
      <c r="AR207" s="507"/>
      <c r="AS207" s="507"/>
      <c r="AT207" s="507"/>
      <c r="AU207" s="515"/>
      <c r="AV207" s="510" t="n">
        <f aca="false">A207</f>
        <v>0</v>
      </c>
      <c r="AW207" s="510" t="n">
        <f aca="false">B207</f>
        <v>0</v>
      </c>
      <c r="AX207" s="510" t="n">
        <f aca="false">C207</f>
        <v>0</v>
      </c>
      <c r="AY207" s="511" t="n">
        <f aca="false">ROUND($AY$6*AZ207/$AZ$5,2)</f>
        <v>0</v>
      </c>
      <c r="AZ207" s="502" t="n">
        <f aca="false">BA207+BL207</f>
        <v>0</v>
      </c>
      <c r="BA207" s="502" t="n">
        <f aca="false">SUM(BB207:BK207)</f>
        <v>0</v>
      </c>
      <c r="BB207" s="502" t="n">
        <f aca="false">IF($D207="是",I207-J207,0)</f>
        <v>0</v>
      </c>
      <c r="BC207" s="502" t="n">
        <f aca="false">IF($D207="是",K207-L207,0)</f>
        <v>0</v>
      </c>
      <c r="BD207" s="502" t="n">
        <f aca="false">IF($D207="是",M207-N207,0)</f>
        <v>0</v>
      </c>
      <c r="BE207" s="502" t="n">
        <f aca="false">IF($D207="是",O207-P207,0)</f>
        <v>0</v>
      </c>
      <c r="BF207" s="502" t="n">
        <f aca="false">IF($D207="是",Q207-R207,0)</f>
        <v>0</v>
      </c>
      <c r="BG207" s="502" t="n">
        <f aca="false">IF($D207="是",S207-T207,0)</f>
        <v>0</v>
      </c>
      <c r="BH207" s="502" t="n">
        <f aca="false">IF($D207="是",U207-V207,0)</f>
        <v>0</v>
      </c>
      <c r="BI207" s="502" t="n">
        <f aca="false">IF($D207="是",W207-X207,0)</f>
        <v>0</v>
      </c>
      <c r="BJ207" s="502" t="n">
        <f aca="false">IF($D207="是",Y207-Z207,0)</f>
        <v>0</v>
      </c>
      <c r="BK207" s="502" t="n">
        <f aca="false">IF($D207="是",AA207-AB207,0)</f>
        <v>0</v>
      </c>
      <c r="BL207" s="502" t="n">
        <f aca="false">SUM(BM207:BT207)</f>
        <v>0</v>
      </c>
      <c r="BM207" s="502" t="n">
        <f aca="false">IF($D207="是",AD207-AE207,0)</f>
        <v>0</v>
      </c>
      <c r="BN207" s="502" t="n">
        <f aca="false">IF($D207="是",AF207-AG207,0)</f>
        <v>0</v>
      </c>
      <c r="BO207" s="502" t="n">
        <f aca="false">IF($D207="是",AH207-AI207,0)</f>
        <v>0</v>
      </c>
      <c r="BP207" s="502" t="n">
        <f aca="false">IF($D207="是",AJ207-AK207,0)</f>
        <v>0</v>
      </c>
      <c r="BQ207" s="502" t="n">
        <f aca="false">IF($D207="是",AL207-AM207,0)</f>
        <v>0</v>
      </c>
      <c r="BR207" s="502" t="n">
        <f aca="false">IF($D207="是",AN207-AO207,0)</f>
        <v>0</v>
      </c>
      <c r="BS207" s="502" t="n">
        <f aca="false">IF($D207="是",AP207-AQ207,0)</f>
        <v>0</v>
      </c>
      <c r="BT207" s="512" t="n">
        <f aca="false">IF($D207="是",AR207-AS207,0)</f>
        <v>0</v>
      </c>
    </row>
    <row r="208" customFormat="false" ht="14.25" hidden="false" customHeight="false" outlineLevel="0" collapsed="false">
      <c r="A208" s="499"/>
      <c r="B208" s="500"/>
      <c r="C208" s="500"/>
      <c r="D208" s="501"/>
      <c r="E208" s="502" t="n">
        <f aca="false">IF($C$3="是",ROUND($A$3*G208/$B$3,2),ROUND($A$3*(G208-AT208)/$B$3,2))</f>
        <v>0</v>
      </c>
      <c r="F208" s="503"/>
      <c r="G208" s="504" t="n">
        <f aca="false">H208+AC208+AT208</f>
        <v>0</v>
      </c>
      <c r="H208" s="505" t="n">
        <f aca="false">SUMIF(I$12:AB$12,"总值",I208:AB208)</f>
        <v>0</v>
      </c>
      <c r="I208" s="506"/>
      <c r="J208" s="506"/>
      <c r="K208" s="506"/>
      <c r="L208" s="506"/>
      <c r="M208" s="506"/>
      <c r="N208" s="506"/>
      <c r="O208" s="506"/>
      <c r="P208" s="506"/>
      <c r="Q208" s="506"/>
      <c r="R208" s="506"/>
      <c r="S208" s="506"/>
      <c r="T208" s="506"/>
      <c r="U208" s="506"/>
      <c r="V208" s="506"/>
      <c r="W208" s="506"/>
      <c r="X208" s="506"/>
      <c r="Y208" s="506"/>
      <c r="Z208" s="506"/>
      <c r="AA208" s="506"/>
      <c r="AB208" s="506"/>
      <c r="AC208" s="502" t="n">
        <f aca="false">SUMIF(AD$12:AS$12,"总值",AD208:AS208)</f>
        <v>0</v>
      </c>
      <c r="AD208" s="507"/>
      <c r="AE208" s="507"/>
      <c r="AF208" s="507"/>
      <c r="AG208" s="507"/>
      <c r="AH208" s="507"/>
      <c r="AI208" s="507"/>
      <c r="AJ208" s="507"/>
      <c r="AK208" s="507"/>
      <c r="AL208" s="507"/>
      <c r="AM208" s="507"/>
      <c r="AN208" s="507"/>
      <c r="AO208" s="507"/>
      <c r="AP208" s="507"/>
      <c r="AQ208" s="507"/>
      <c r="AR208" s="507"/>
      <c r="AS208" s="507"/>
      <c r="AT208" s="508"/>
      <c r="AU208" s="509"/>
      <c r="AV208" s="510" t="n">
        <f aca="false">A208</f>
        <v>0</v>
      </c>
      <c r="AW208" s="510" t="n">
        <f aca="false">B208</f>
        <v>0</v>
      </c>
      <c r="AX208" s="510" t="n">
        <f aca="false">C208</f>
        <v>0</v>
      </c>
      <c r="AY208" s="511" t="n">
        <f aca="false">ROUND($AY$6*AZ208/$AZ$5,2)</f>
        <v>0</v>
      </c>
      <c r="AZ208" s="502" t="n">
        <f aca="false">BA208+BL208</f>
        <v>0</v>
      </c>
      <c r="BA208" s="502" t="n">
        <f aca="false">SUM(BB208:BK208)</f>
        <v>0</v>
      </c>
      <c r="BB208" s="502" t="n">
        <f aca="false">IF($D208="是",I208-J208,0)</f>
        <v>0</v>
      </c>
      <c r="BC208" s="502" t="n">
        <f aca="false">IF($D208="是",K208-L208,0)</f>
        <v>0</v>
      </c>
      <c r="BD208" s="502" t="n">
        <f aca="false">IF($D208="是",M208-N208,0)</f>
        <v>0</v>
      </c>
      <c r="BE208" s="502" t="n">
        <f aca="false">IF($D208="是",O208-P208,0)</f>
        <v>0</v>
      </c>
      <c r="BF208" s="502" t="n">
        <f aca="false">IF($D208="是",Q208-R208,0)</f>
        <v>0</v>
      </c>
      <c r="BG208" s="502" t="n">
        <f aca="false">IF($D208="是",S208-T208,0)</f>
        <v>0</v>
      </c>
      <c r="BH208" s="502" t="n">
        <f aca="false">IF($D208="是",U208-V208,0)</f>
        <v>0</v>
      </c>
      <c r="BI208" s="502" t="n">
        <f aca="false">IF($D208="是",W208-X208,0)</f>
        <v>0</v>
      </c>
      <c r="BJ208" s="502" t="n">
        <f aca="false">IF($D208="是",Y208-Z208,0)</f>
        <v>0</v>
      </c>
      <c r="BK208" s="502" t="n">
        <f aca="false">IF($D208="是",AA208-AB208,0)</f>
        <v>0</v>
      </c>
      <c r="BL208" s="502" t="n">
        <f aca="false">SUM(BM208:BT208)</f>
        <v>0</v>
      </c>
      <c r="BM208" s="502" t="n">
        <f aca="false">IF($D208="是",AD208-AE208,0)</f>
        <v>0</v>
      </c>
      <c r="BN208" s="502" t="n">
        <f aca="false">IF($D208="是",AF208-AG208,0)</f>
        <v>0</v>
      </c>
      <c r="BO208" s="502" t="n">
        <f aca="false">IF($D208="是",AH208-AI208,0)</f>
        <v>0</v>
      </c>
      <c r="BP208" s="502" t="n">
        <f aca="false">IF($D208="是",AJ208-AK208,0)</f>
        <v>0</v>
      </c>
      <c r="BQ208" s="502" t="n">
        <f aca="false">IF($D208="是",AL208-AM208,0)</f>
        <v>0</v>
      </c>
      <c r="BR208" s="502" t="n">
        <f aca="false">IF($D208="是",AN208-AO208,0)</f>
        <v>0</v>
      </c>
      <c r="BS208" s="502" t="n">
        <f aca="false">IF($D208="是",AP208-AQ208,0)</f>
        <v>0</v>
      </c>
      <c r="BT208" s="512" t="n">
        <f aca="false">IF($D208="是",AR208-AS208,0)</f>
        <v>0</v>
      </c>
    </row>
    <row r="209" customFormat="false" ht="14.25" hidden="false" customHeight="false" outlineLevel="0" collapsed="false">
      <c r="A209" s="499"/>
      <c r="B209" s="500"/>
      <c r="C209" s="500"/>
      <c r="D209" s="501"/>
      <c r="E209" s="502" t="n">
        <f aca="false">IF($C$3="是",ROUND($A$3*G209/$B$3,2),ROUND($A$3*(G209-AT209)/$B$3,2))</f>
        <v>0</v>
      </c>
      <c r="F209" s="503"/>
      <c r="G209" s="504" t="n">
        <f aca="false">H209+AC209+AT209</f>
        <v>0</v>
      </c>
      <c r="H209" s="505" t="n">
        <f aca="false">SUMIF(I$12:AB$12,"总值",I209:AB209)</f>
        <v>0</v>
      </c>
      <c r="I209" s="506"/>
      <c r="J209" s="506"/>
      <c r="K209" s="506"/>
      <c r="L209" s="506"/>
      <c r="M209" s="506"/>
      <c r="N209" s="506"/>
      <c r="O209" s="506"/>
      <c r="P209" s="506"/>
      <c r="Q209" s="506"/>
      <c r="R209" s="506"/>
      <c r="S209" s="506"/>
      <c r="T209" s="506"/>
      <c r="U209" s="506"/>
      <c r="V209" s="506"/>
      <c r="W209" s="506"/>
      <c r="X209" s="506"/>
      <c r="Y209" s="506"/>
      <c r="Z209" s="506"/>
      <c r="AA209" s="506"/>
      <c r="AB209" s="506"/>
      <c r="AC209" s="502" t="n">
        <f aca="false">SUMIF(AD$12:AS$12,"总值",AD209:AS209)</f>
        <v>0</v>
      </c>
      <c r="AD209" s="507"/>
      <c r="AE209" s="507"/>
      <c r="AF209" s="507"/>
      <c r="AG209" s="507"/>
      <c r="AH209" s="507"/>
      <c r="AI209" s="507"/>
      <c r="AJ209" s="507"/>
      <c r="AK209" s="507"/>
      <c r="AL209" s="507"/>
      <c r="AM209" s="507"/>
      <c r="AN209" s="507"/>
      <c r="AO209" s="507"/>
      <c r="AP209" s="507"/>
      <c r="AQ209" s="507"/>
      <c r="AR209" s="507"/>
      <c r="AS209" s="507"/>
      <c r="AT209" s="508"/>
      <c r="AU209" s="509"/>
      <c r="AV209" s="510" t="n">
        <f aca="false">A209</f>
        <v>0</v>
      </c>
      <c r="AW209" s="510" t="n">
        <f aca="false">B209</f>
        <v>0</v>
      </c>
      <c r="AX209" s="510" t="n">
        <f aca="false">C209</f>
        <v>0</v>
      </c>
      <c r="AY209" s="511" t="n">
        <f aca="false">ROUND($AY$6*AZ209/$AZ$5,2)</f>
        <v>0</v>
      </c>
      <c r="AZ209" s="502" t="n">
        <f aca="false">BA209+BL209</f>
        <v>0</v>
      </c>
      <c r="BA209" s="502" t="n">
        <f aca="false">SUM(BB209:BK209)</f>
        <v>0</v>
      </c>
      <c r="BB209" s="502" t="n">
        <f aca="false">IF($D209="是",I209-J209,0)</f>
        <v>0</v>
      </c>
      <c r="BC209" s="502" t="n">
        <f aca="false">IF($D209="是",K209-L209,0)</f>
        <v>0</v>
      </c>
      <c r="BD209" s="502" t="n">
        <f aca="false">IF($D209="是",M209-N209,0)</f>
        <v>0</v>
      </c>
      <c r="BE209" s="502" t="n">
        <f aca="false">IF($D209="是",O209-P209,0)</f>
        <v>0</v>
      </c>
      <c r="BF209" s="502" t="n">
        <f aca="false">IF($D209="是",Q209-R209,0)</f>
        <v>0</v>
      </c>
      <c r="BG209" s="502" t="n">
        <f aca="false">IF($D209="是",S209-T209,0)</f>
        <v>0</v>
      </c>
      <c r="BH209" s="502" t="n">
        <f aca="false">IF($D209="是",U209-V209,0)</f>
        <v>0</v>
      </c>
      <c r="BI209" s="502" t="n">
        <f aca="false">IF($D209="是",W209-X209,0)</f>
        <v>0</v>
      </c>
      <c r="BJ209" s="502" t="n">
        <f aca="false">IF($D209="是",Y209-Z209,0)</f>
        <v>0</v>
      </c>
      <c r="BK209" s="502" t="n">
        <f aca="false">IF($D209="是",AA209-AB209,0)</f>
        <v>0</v>
      </c>
      <c r="BL209" s="502" t="n">
        <f aca="false">SUM(BM209:BT209)</f>
        <v>0</v>
      </c>
      <c r="BM209" s="502" t="n">
        <f aca="false">IF($D209="是",AD209-AE209,0)</f>
        <v>0</v>
      </c>
      <c r="BN209" s="502" t="n">
        <f aca="false">IF($D209="是",AF209-AG209,0)</f>
        <v>0</v>
      </c>
      <c r="BO209" s="502" t="n">
        <f aca="false">IF($D209="是",AH209-AI209,0)</f>
        <v>0</v>
      </c>
      <c r="BP209" s="502" t="n">
        <f aca="false">IF($D209="是",AJ209-AK209,0)</f>
        <v>0</v>
      </c>
      <c r="BQ209" s="502" t="n">
        <f aca="false">IF($D209="是",AL209-AM209,0)</f>
        <v>0</v>
      </c>
      <c r="BR209" s="502" t="n">
        <f aca="false">IF($D209="是",AN209-AO209,0)</f>
        <v>0</v>
      </c>
      <c r="BS209" s="502" t="n">
        <f aca="false">IF($D209="是",AP209-AQ209,0)</f>
        <v>0</v>
      </c>
      <c r="BT209" s="512" t="n">
        <f aca="false">IF($D209="是",AR209-AS209,0)</f>
        <v>0</v>
      </c>
    </row>
    <row r="210" customFormat="false" ht="14.25" hidden="false" customHeight="false" outlineLevel="0" collapsed="false">
      <c r="A210" s="499"/>
      <c r="B210" s="500"/>
      <c r="C210" s="500"/>
      <c r="D210" s="501"/>
      <c r="E210" s="502" t="n">
        <f aca="false">IF($C$3="是",ROUND($A$3*G210/$B$3,2),ROUND($A$3*(G210-AT210)/$B$3,2))</f>
        <v>0</v>
      </c>
      <c r="F210" s="503"/>
      <c r="G210" s="504" t="n">
        <f aca="false">H210+AC210+AT210</f>
        <v>0</v>
      </c>
      <c r="H210" s="505" t="n">
        <f aca="false">SUMIF(I$12:AB$12,"总值",I210:AB210)</f>
        <v>0</v>
      </c>
      <c r="I210" s="506"/>
      <c r="J210" s="506"/>
      <c r="K210" s="506"/>
      <c r="L210" s="506"/>
      <c r="M210" s="506"/>
      <c r="N210" s="506"/>
      <c r="O210" s="506"/>
      <c r="P210" s="506"/>
      <c r="Q210" s="506"/>
      <c r="R210" s="506"/>
      <c r="S210" s="506"/>
      <c r="T210" s="506"/>
      <c r="U210" s="506"/>
      <c r="V210" s="506"/>
      <c r="W210" s="506"/>
      <c r="X210" s="506"/>
      <c r="Y210" s="506"/>
      <c r="Z210" s="506"/>
      <c r="AA210" s="506"/>
      <c r="AB210" s="506"/>
      <c r="AC210" s="502" t="n">
        <f aca="false">SUMIF(AD$12:AS$12,"总值",AD210:AS210)</f>
        <v>0</v>
      </c>
      <c r="AD210" s="507"/>
      <c r="AE210" s="507"/>
      <c r="AF210" s="507"/>
      <c r="AG210" s="507"/>
      <c r="AH210" s="507"/>
      <c r="AI210" s="507"/>
      <c r="AJ210" s="507"/>
      <c r="AK210" s="507"/>
      <c r="AL210" s="507"/>
      <c r="AM210" s="507"/>
      <c r="AN210" s="507"/>
      <c r="AO210" s="507"/>
      <c r="AP210" s="507"/>
      <c r="AQ210" s="507"/>
      <c r="AR210" s="507"/>
      <c r="AS210" s="507"/>
      <c r="AT210" s="508"/>
      <c r="AU210" s="509"/>
      <c r="AV210" s="510" t="n">
        <f aca="false">A210</f>
        <v>0</v>
      </c>
      <c r="AW210" s="510" t="n">
        <f aca="false">B210</f>
        <v>0</v>
      </c>
      <c r="AX210" s="510" t="n">
        <f aca="false">C210</f>
        <v>0</v>
      </c>
      <c r="AY210" s="511" t="n">
        <f aca="false">ROUND($AY$6*AZ210/$AZ$5,2)</f>
        <v>0</v>
      </c>
      <c r="AZ210" s="502" t="n">
        <f aca="false">BA210+BL210</f>
        <v>0</v>
      </c>
      <c r="BA210" s="502" t="n">
        <f aca="false">SUM(BB210:BK210)</f>
        <v>0</v>
      </c>
      <c r="BB210" s="502" t="n">
        <f aca="false">IF($D210="是",I210-J210,0)</f>
        <v>0</v>
      </c>
      <c r="BC210" s="502" t="n">
        <f aca="false">IF($D210="是",K210-L210,0)</f>
        <v>0</v>
      </c>
      <c r="BD210" s="502" t="n">
        <f aca="false">IF($D210="是",M210-N210,0)</f>
        <v>0</v>
      </c>
      <c r="BE210" s="502" t="n">
        <f aca="false">IF($D210="是",O210-P210,0)</f>
        <v>0</v>
      </c>
      <c r="BF210" s="502" t="n">
        <f aca="false">IF($D210="是",Q210-R210,0)</f>
        <v>0</v>
      </c>
      <c r="BG210" s="502" t="n">
        <f aca="false">IF($D210="是",S210-T210,0)</f>
        <v>0</v>
      </c>
      <c r="BH210" s="502" t="n">
        <f aca="false">IF($D210="是",U210-V210,0)</f>
        <v>0</v>
      </c>
      <c r="BI210" s="502" t="n">
        <f aca="false">IF($D210="是",W210-X210,0)</f>
        <v>0</v>
      </c>
      <c r="BJ210" s="502" t="n">
        <f aca="false">IF($D210="是",Y210-Z210,0)</f>
        <v>0</v>
      </c>
      <c r="BK210" s="502" t="n">
        <f aca="false">IF($D210="是",AA210-AB210,0)</f>
        <v>0</v>
      </c>
      <c r="BL210" s="502" t="n">
        <f aca="false">SUM(BM210:BT210)</f>
        <v>0</v>
      </c>
      <c r="BM210" s="502" t="n">
        <f aca="false">IF($D210="是",AD210-AE210,0)</f>
        <v>0</v>
      </c>
      <c r="BN210" s="502" t="n">
        <f aca="false">IF($D210="是",AF210-AG210,0)</f>
        <v>0</v>
      </c>
      <c r="BO210" s="502" t="n">
        <f aca="false">IF($D210="是",AH210-AI210,0)</f>
        <v>0</v>
      </c>
      <c r="BP210" s="502" t="n">
        <f aca="false">IF($D210="是",AJ210-AK210,0)</f>
        <v>0</v>
      </c>
      <c r="BQ210" s="502" t="n">
        <f aca="false">IF($D210="是",AL210-AM210,0)</f>
        <v>0</v>
      </c>
      <c r="BR210" s="502" t="n">
        <f aca="false">IF($D210="是",AN210-AO210,0)</f>
        <v>0</v>
      </c>
      <c r="BS210" s="502" t="n">
        <f aca="false">IF($D210="是",AP210-AQ210,0)</f>
        <v>0</v>
      </c>
      <c r="BT210" s="512" t="n">
        <f aca="false">IF($D210="是",AR210-AS210,0)</f>
        <v>0</v>
      </c>
    </row>
    <row r="211" customFormat="false" ht="14.25" hidden="false" customHeight="false" outlineLevel="0" collapsed="false">
      <c r="A211" s="499"/>
      <c r="B211" s="500"/>
      <c r="C211" s="500"/>
      <c r="D211" s="501"/>
      <c r="E211" s="502" t="n">
        <f aca="false">IF($C$3="是",ROUND($A$3*G211/$B$3,2),ROUND($A$3*(G211-AT211)/$B$3,2))</f>
        <v>0</v>
      </c>
      <c r="F211" s="503"/>
      <c r="G211" s="504" t="n">
        <f aca="false">H211+AC211+AT211</f>
        <v>0</v>
      </c>
      <c r="H211" s="505" t="n">
        <f aca="false">SUMIF(I$12:AB$12,"总值",I211:AB211)</f>
        <v>0</v>
      </c>
      <c r="I211" s="506"/>
      <c r="J211" s="506"/>
      <c r="K211" s="506"/>
      <c r="L211" s="506"/>
      <c r="M211" s="506"/>
      <c r="N211" s="506"/>
      <c r="O211" s="506"/>
      <c r="P211" s="506"/>
      <c r="Q211" s="506"/>
      <c r="R211" s="506"/>
      <c r="S211" s="506"/>
      <c r="T211" s="506"/>
      <c r="U211" s="506"/>
      <c r="V211" s="506"/>
      <c r="W211" s="506"/>
      <c r="X211" s="506"/>
      <c r="Y211" s="506"/>
      <c r="Z211" s="506"/>
      <c r="AA211" s="506"/>
      <c r="AB211" s="506"/>
      <c r="AC211" s="502" t="n">
        <f aca="false">SUMIF(AD$12:AS$12,"总值",AD211:AS211)</f>
        <v>0</v>
      </c>
      <c r="AD211" s="507"/>
      <c r="AE211" s="507"/>
      <c r="AF211" s="507"/>
      <c r="AG211" s="507"/>
      <c r="AH211" s="507"/>
      <c r="AI211" s="507"/>
      <c r="AJ211" s="507"/>
      <c r="AK211" s="507"/>
      <c r="AL211" s="507"/>
      <c r="AM211" s="507"/>
      <c r="AN211" s="507"/>
      <c r="AO211" s="507"/>
      <c r="AP211" s="507"/>
      <c r="AQ211" s="507"/>
      <c r="AR211" s="507"/>
      <c r="AS211" s="507"/>
      <c r="AT211" s="508"/>
      <c r="AU211" s="509"/>
      <c r="AV211" s="510" t="n">
        <f aca="false">A211</f>
        <v>0</v>
      </c>
      <c r="AW211" s="510" t="n">
        <f aca="false">B211</f>
        <v>0</v>
      </c>
      <c r="AX211" s="510" t="n">
        <f aca="false">C211</f>
        <v>0</v>
      </c>
      <c r="AY211" s="511" t="n">
        <f aca="false">ROUND($AY$6*AZ211/$AZ$5,2)</f>
        <v>0</v>
      </c>
      <c r="AZ211" s="502" t="n">
        <f aca="false">BA211+BL211</f>
        <v>0</v>
      </c>
      <c r="BA211" s="502" t="n">
        <f aca="false">SUM(BB211:BK211)</f>
        <v>0</v>
      </c>
      <c r="BB211" s="502" t="n">
        <f aca="false">IF($D211="是",I211-J211,0)</f>
        <v>0</v>
      </c>
      <c r="BC211" s="502" t="n">
        <f aca="false">IF($D211="是",K211-L211,0)</f>
        <v>0</v>
      </c>
      <c r="BD211" s="502" t="n">
        <f aca="false">IF($D211="是",M211-N211,0)</f>
        <v>0</v>
      </c>
      <c r="BE211" s="502" t="n">
        <f aca="false">IF($D211="是",O211-P211,0)</f>
        <v>0</v>
      </c>
      <c r="BF211" s="502" t="n">
        <f aca="false">IF($D211="是",Q211-R211,0)</f>
        <v>0</v>
      </c>
      <c r="BG211" s="502" t="n">
        <f aca="false">IF($D211="是",S211-T211,0)</f>
        <v>0</v>
      </c>
      <c r="BH211" s="502" t="n">
        <f aca="false">IF($D211="是",U211-V211,0)</f>
        <v>0</v>
      </c>
      <c r="BI211" s="502" t="n">
        <f aca="false">IF($D211="是",W211-X211,0)</f>
        <v>0</v>
      </c>
      <c r="BJ211" s="502" t="n">
        <f aca="false">IF($D211="是",Y211-Z211,0)</f>
        <v>0</v>
      </c>
      <c r="BK211" s="502" t="n">
        <f aca="false">IF($D211="是",AA211-AB211,0)</f>
        <v>0</v>
      </c>
      <c r="BL211" s="502" t="n">
        <f aca="false">SUM(BM211:BT211)</f>
        <v>0</v>
      </c>
      <c r="BM211" s="502" t="n">
        <f aca="false">IF($D211="是",AD211-AE211,0)</f>
        <v>0</v>
      </c>
      <c r="BN211" s="502" t="n">
        <f aca="false">IF($D211="是",AF211-AG211,0)</f>
        <v>0</v>
      </c>
      <c r="BO211" s="502" t="n">
        <f aca="false">IF($D211="是",AH211-AI211,0)</f>
        <v>0</v>
      </c>
      <c r="BP211" s="502" t="n">
        <f aca="false">IF($D211="是",AJ211-AK211,0)</f>
        <v>0</v>
      </c>
      <c r="BQ211" s="502" t="n">
        <f aca="false">IF($D211="是",AL211-AM211,0)</f>
        <v>0</v>
      </c>
      <c r="BR211" s="502" t="n">
        <f aca="false">IF($D211="是",AN211-AO211,0)</f>
        <v>0</v>
      </c>
      <c r="BS211" s="502" t="n">
        <f aca="false">IF($D211="是",AP211-AQ211,0)</f>
        <v>0</v>
      </c>
      <c r="BT211" s="512" t="n">
        <f aca="false">IF($D211="是",AR211-AS211,0)</f>
        <v>0</v>
      </c>
    </row>
    <row r="212" customFormat="false" ht="14.25" hidden="false" customHeight="false" outlineLevel="0" collapsed="false">
      <c r="A212" s="499"/>
      <c r="B212" s="500"/>
      <c r="C212" s="500"/>
      <c r="D212" s="501"/>
      <c r="E212" s="502" t="n">
        <f aca="false">IF($C$3="是",ROUND($A$3*G212/$B$3,2),ROUND($A$3*(G212-AT212)/$B$3,2))</f>
        <v>0</v>
      </c>
      <c r="F212" s="503"/>
      <c r="G212" s="504" t="n">
        <f aca="false">H212+AC212+AT212</f>
        <v>0</v>
      </c>
      <c r="H212" s="505" t="n">
        <f aca="false">SUMIF(I$12:AB$12,"总值",I212:AB212)</f>
        <v>0</v>
      </c>
      <c r="I212" s="506"/>
      <c r="J212" s="506"/>
      <c r="K212" s="506"/>
      <c r="L212" s="506"/>
      <c r="M212" s="506"/>
      <c r="N212" s="506"/>
      <c r="O212" s="506"/>
      <c r="P212" s="506"/>
      <c r="Q212" s="506"/>
      <c r="R212" s="506"/>
      <c r="S212" s="506"/>
      <c r="T212" s="506"/>
      <c r="U212" s="506"/>
      <c r="V212" s="506"/>
      <c r="W212" s="506"/>
      <c r="X212" s="506"/>
      <c r="Y212" s="506"/>
      <c r="Z212" s="506"/>
      <c r="AA212" s="506"/>
      <c r="AB212" s="506"/>
      <c r="AC212" s="502" t="n">
        <f aca="false">SUMIF(AD$12:AS$12,"总值",AD212:AS212)</f>
        <v>0</v>
      </c>
      <c r="AD212" s="507"/>
      <c r="AE212" s="507"/>
      <c r="AF212" s="507"/>
      <c r="AG212" s="507"/>
      <c r="AH212" s="507"/>
      <c r="AI212" s="507"/>
      <c r="AJ212" s="507"/>
      <c r="AK212" s="507"/>
      <c r="AL212" s="507"/>
      <c r="AM212" s="507"/>
      <c r="AN212" s="507"/>
      <c r="AO212" s="507"/>
      <c r="AP212" s="507"/>
      <c r="AQ212" s="507"/>
      <c r="AR212" s="507"/>
      <c r="AS212" s="507"/>
      <c r="AT212" s="508"/>
      <c r="AU212" s="509"/>
      <c r="AV212" s="510" t="n">
        <f aca="false">A212</f>
        <v>0</v>
      </c>
      <c r="AW212" s="510" t="n">
        <f aca="false">B212</f>
        <v>0</v>
      </c>
      <c r="AX212" s="510" t="n">
        <f aca="false">C212</f>
        <v>0</v>
      </c>
      <c r="AY212" s="511" t="n">
        <f aca="false">ROUND($AY$6*AZ212/$AZ$5,2)</f>
        <v>0</v>
      </c>
      <c r="AZ212" s="502" t="n">
        <f aca="false">BA212+BL212</f>
        <v>0</v>
      </c>
      <c r="BA212" s="502" t="n">
        <f aca="false">SUM(BB212:BK212)</f>
        <v>0</v>
      </c>
      <c r="BB212" s="502" t="n">
        <f aca="false">IF($D212="是",I212-J212,0)</f>
        <v>0</v>
      </c>
      <c r="BC212" s="502" t="n">
        <f aca="false">IF($D212="是",K212-L212,0)</f>
        <v>0</v>
      </c>
      <c r="BD212" s="502" t="n">
        <f aca="false">IF($D212="是",M212-N212,0)</f>
        <v>0</v>
      </c>
      <c r="BE212" s="502" t="n">
        <f aca="false">IF($D212="是",O212-P212,0)</f>
        <v>0</v>
      </c>
      <c r="BF212" s="502" t="n">
        <f aca="false">IF($D212="是",Q212-R212,0)</f>
        <v>0</v>
      </c>
      <c r="BG212" s="502" t="n">
        <f aca="false">IF($D212="是",S212-T212,0)</f>
        <v>0</v>
      </c>
      <c r="BH212" s="502" t="n">
        <f aca="false">IF($D212="是",U212-V212,0)</f>
        <v>0</v>
      </c>
      <c r="BI212" s="502" t="n">
        <f aca="false">IF($D212="是",W212-X212,0)</f>
        <v>0</v>
      </c>
      <c r="BJ212" s="502" t="n">
        <f aca="false">IF($D212="是",Y212-Z212,0)</f>
        <v>0</v>
      </c>
      <c r="BK212" s="502" t="n">
        <f aca="false">IF($D212="是",AA212-AB212,0)</f>
        <v>0</v>
      </c>
      <c r="BL212" s="502" t="n">
        <f aca="false">SUM(BM212:BT212)</f>
        <v>0</v>
      </c>
      <c r="BM212" s="502" t="n">
        <f aca="false">IF($D212="是",AD212-AE212,0)</f>
        <v>0</v>
      </c>
      <c r="BN212" s="502" t="n">
        <f aca="false">IF($D212="是",AF212-AG212,0)</f>
        <v>0</v>
      </c>
      <c r="BO212" s="502" t="n">
        <f aca="false">IF($D212="是",AH212-AI212,0)</f>
        <v>0</v>
      </c>
      <c r="BP212" s="502" t="n">
        <f aca="false">IF($D212="是",AJ212-AK212,0)</f>
        <v>0</v>
      </c>
      <c r="BQ212" s="502" t="n">
        <f aca="false">IF($D212="是",AL212-AM212,0)</f>
        <v>0</v>
      </c>
      <c r="BR212" s="502" t="n">
        <f aca="false">IF($D212="是",AN212-AO212,0)</f>
        <v>0</v>
      </c>
      <c r="BS212" s="502" t="n">
        <f aca="false">IF($D212="是",AP212-AQ212,0)</f>
        <v>0</v>
      </c>
      <c r="BT212" s="512" t="n">
        <f aca="false">IF($D212="是",AR212-AS212,0)</f>
        <v>0</v>
      </c>
    </row>
    <row r="213" customFormat="false" ht="14.25" hidden="false" customHeight="false" outlineLevel="0" collapsed="false">
      <c r="A213" s="499"/>
      <c r="B213" s="500"/>
      <c r="C213" s="500"/>
      <c r="D213" s="501"/>
      <c r="E213" s="502" t="n">
        <f aca="false">IF($C$3="是",ROUND($A$3*G213/$B$3,2),ROUND($A$3*(G213-AT213)/$B$3,2))</f>
        <v>0</v>
      </c>
      <c r="F213" s="503"/>
      <c r="G213" s="504" t="n">
        <f aca="false">H213+AC213+AT213</f>
        <v>0</v>
      </c>
      <c r="H213" s="505" t="n">
        <f aca="false">SUMIF(I$12:AB$12,"总值",I213:AB213)</f>
        <v>0</v>
      </c>
      <c r="I213" s="506"/>
      <c r="J213" s="506"/>
      <c r="K213" s="506"/>
      <c r="L213" s="506"/>
      <c r="M213" s="506"/>
      <c r="N213" s="506"/>
      <c r="O213" s="506"/>
      <c r="P213" s="506"/>
      <c r="Q213" s="506"/>
      <c r="R213" s="506"/>
      <c r="S213" s="506"/>
      <c r="T213" s="506"/>
      <c r="U213" s="506"/>
      <c r="V213" s="506"/>
      <c r="W213" s="506"/>
      <c r="X213" s="506"/>
      <c r="Y213" s="506"/>
      <c r="Z213" s="506"/>
      <c r="AA213" s="506"/>
      <c r="AB213" s="506"/>
      <c r="AC213" s="502" t="n">
        <f aca="false">SUMIF(AD$12:AS$12,"总值",AD213:AS213)</f>
        <v>0</v>
      </c>
      <c r="AD213" s="507"/>
      <c r="AE213" s="507"/>
      <c r="AF213" s="507"/>
      <c r="AG213" s="507"/>
      <c r="AH213" s="507"/>
      <c r="AI213" s="507"/>
      <c r="AJ213" s="507"/>
      <c r="AK213" s="507"/>
      <c r="AL213" s="507"/>
      <c r="AM213" s="507"/>
      <c r="AN213" s="507"/>
      <c r="AO213" s="507"/>
      <c r="AP213" s="507"/>
      <c r="AQ213" s="507"/>
      <c r="AR213" s="507"/>
      <c r="AS213" s="507"/>
      <c r="AT213" s="508"/>
      <c r="AU213" s="509"/>
      <c r="AV213" s="510" t="n">
        <f aca="false">A213</f>
        <v>0</v>
      </c>
      <c r="AW213" s="510" t="n">
        <f aca="false">B213</f>
        <v>0</v>
      </c>
      <c r="AX213" s="510" t="n">
        <f aca="false">C213</f>
        <v>0</v>
      </c>
      <c r="AY213" s="511" t="n">
        <f aca="false">ROUND($AY$6*AZ213/$AZ$5,2)</f>
        <v>0</v>
      </c>
      <c r="AZ213" s="502" t="n">
        <f aca="false">BA213+BL213</f>
        <v>0</v>
      </c>
      <c r="BA213" s="502" t="n">
        <f aca="false">SUM(BB213:BK213)</f>
        <v>0</v>
      </c>
      <c r="BB213" s="502" t="n">
        <f aca="false">IF($D213="是",I213-J213,0)</f>
        <v>0</v>
      </c>
      <c r="BC213" s="502" t="n">
        <f aca="false">IF($D213="是",K213-L213,0)</f>
        <v>0</v>
      </c>
      <c r="BD213" s="502" t="n">
        <f aca="false">IF($D213="是",M213-N213,0)</f>
        <v>0</v>
      </c>
      <c r="BE213" s="502" t="n">
        <f aca="false">IF($D213="是",O213-P213,0)</f>
        <v>0</v>
      </c>
      <c r="BF213" s="502" t="n">
        <f aca="false">IF($D213="是",Q213-R213,0)</f>
        <v>0</v>
      </c>
      <c r="BG213" s="502" t="n">
        <f aca="false">IF($D213="是",S213-T213,0)</f>
        <v>0</v>
      </c>
      <c r="BH213" s="502" t="n">
        <f aca="false">IF($D213="是",U213-V213,0)</f>
        <v>0</v>
      </c>
      <c r="BI213" s="502" t="n">
        <f aca="false">IF($D213="是",W213-X213,0)</f>
        <v>0</v>
      </c>
      <c r="BJ213" s="502" t="n">
        <f aca="false">IF($D213="是",Y213-Z213,0)</f>
        <v>0</v>
      </c>
      <c r="BK213" s="502" t="n">
        <f aca="false">IF($D213="是",AA213-AB213,0)</f>
        <v>0</v>
      </c>
      <c r="BL213" s="502" t="n">
        <f aca="false">SUM(BM213:BT213)</f>
        <v>0</v>
      </c>
      <c r="BM213" s="502" t="n">
        <f aca="false">IF($D213="是",AD213-AE213,0)</f>
        <v>0</v>
      </c>
      <c r="BN213" s="502" t="n">
        <f aca="false">IF($D213="是",AF213-AG213,0)</f>
        <v>0</v>
      </c>
      <c r="BO213" s="502" t="n">
        <f aca="false">IF($D213="是",AH213-AI213,0)</f>
        <v>0</v>
      </c>
      <c r="BP213" s="502" t="n">
        <f aca="false">IF($D213="是",AJ213-AK213,0)</f>
        <v>0</v>
      </c>
      <c r="BQ213" s="502" t="n">
        <f aca="false">IF($D213="是",AL213-AM213,0)</f>
        <v>0</v>
      </c>
      <c r="BR213" s="502" t="n">
        <f aca="false">IF($D213="是",AN213-AO213,0)</f>
        <v>0</v>
      </c>
      <c r="BS213" s="502" t="n">
        <f aca="false">IF($D213="是",AP213-AQ213,0)</f>
        <v>0</v>
      </c>
      <c r="BT213" s="512" t="n">
        <f aca="false">IF($D213="是",AR213-AS213,0)</f>
        <v>0</v>
      </c>
    </row>
    <row r="214" customFormat="false" ht="14.25" hidden="false" customHeight="false" outlineLevel="0" collapsed="false">
      <c r="A214" s="499"/>
      <c r="B214" s="500"/>
      <c r="C214" s="500"/>
      <c r="D214" s="501"/>
      <c r="E214" s="502" t="n">
        <f aca="false">IF($C$3="是",ROUND($A$3*G214/$B$3,2),ROUND($A$3*(G214-AT214)/$B$3,2))</f>
        <v>0</v>
      </c>
      <c r="F214" s="503"/>
      <c r="G214" s="504" t="n">
        <f aca="false">H214+AC214+AT214</f>
        <v>0</v>
      </c>
      <c r="H214" s="505" t="n">
        <f aca="false">SUMIF(I$12:AB$12,"总值",I214:AB214)</f>
        <v>0</v>
      </c>
      <c r="I214" s="506"/>
      <c r="J214" s="506"/>
      <c r="K214" s="506"/>
      <c r="L214" s="506"/>
      <c r="M214" s="506"/>
      <c r="N214" s="506"/>
      <c r="O214" s="506"/>
      <c r="P214" s="506"/>
      <c r="Q214" s="506"/>
      <c r="R214" s="506"/>
      <c r="S214" s="506"/>
      <c r="T214" s="506"/>
      <c r="U214" s="506"/>
      <c r="V214" s="506"/>
      <c r="W214" s="506"/>
      <c r="X214" s="506"/>
      <c r="Y214" s="506"/>
      <c r="Z214" s="506"/>
      <c r="AA214" s="506"/>
      <c r="AB214" s="506"/>
      <c r="AC214" s="502" t="n">
        <f aca="false">SUMIF(AD$12:AS$12,"总值",AD214:AS214)</f>
        <v>0</v>
      </c>
      <c r="AD214" s="507"/>
      <c r="AE214" s="507"/>
      <c r="AF214" s="507"/>
      <c r="AG214" s="507"/>
      <c r="AH214" s="507"/>
      <c r="AI214" s="507"/>
      <c r="AJ214" s="507"/>
      <c r="AK214" s="507"/>
      <c r="AL214" s="507"/>
      <c r="AM214" s="507"/>
      <c r="AN214" s="507"/>
      <c r="AO214" s="507"/>
      <c r="AP214" s="507"/>
      <c r="AQ214" s="507"/>
      <c r="AR214" s="507"/>
      <c r="AS214" s="507"/>
      <c r="AT214" s="508"/>
      <c r="AU214" s="509"/>
      <c r="AV214" s="510" t="n">
        <f aca="false">A214</f>
        <v>0</v>
      </c>
      <c r="AW214" s="510" t="n">
        <f aca="false">B214</f>
        <v>0</v>
      </c>
      <c r="AX214" s="510" t="n">
        <f aca="false">C214</f>
        <v>0</v>
      </c>
      <c r="AY214" s="511" t="n">
        <f aca="false">ROUND($AY$6*AZ214/$AZ$5,2)</f>
        <v>0</v>
      </c>
      <c r="AZ214" s="502" t="n">
        <f aca="false">BA214+BL214</f>
        <v>0</v>
      </c>
      <c r="BA214" s="502" t="n">
        <f aca="false">SUM(BB214:BK214)</f>
        <v>0</v>
      </c>
      <c r="BB214" s="502" t="n">
        <f aca="false">IF($D214="是",I214-J214,0)</f>
        <v>0</v>
      </c>
      <c r="BC214" s="502" t="n">
        <f aca="false">IF($D214="是",K214-L214,0)</f>
        <v>0</v>
      </c>
      <c r="BD214" s="502" t="n">
        <f aca="false">IF($D214="是",M214-N214,0)</f>
        <v>0</v>
      </c>
      <c r="BE214" s="502" t="n">
        <f aca="false">IF($D214="是",O214-P214,0)</f>
        <v>0</v>
      </c>
      <c r="BF214" s="502" t="n">
        <f aca="false">IF($D214="是",Q214-R214,0)</f>
        <v>0</v>
      </c>
      <c r="BG214" s="502" t="n">
        <f aca="false">IF($D214="是",S214-T214,0)</f>
        <v>0</v>
      </c>
      <c r="BH214" s="502" t="n">
        <f aca="false">IF($D214="是",U214-V214,0)</f>
        <v>0</v>
      </c>
      <c r="BI214" s="502" t="n">
        <f aca="false">IF($D214="是",W214-X214,0)</f>
        <v>0</v>
      </c>
      <c r="BJ214" s="502" t="n">
        <f aca="false">IF($D214="是",Y214-Z214,0)</f>
        <v>0</v>
      </c>
      <c r="BK214" s="502" t="n">
        <f aca="false">IF($D214="是",AA214-AB214,0)</f>
        <v>0</v>
      </c>
      <c r="BL214" s="502" t="n">
        <f aca="false">SUM(BM214:BT214)</f>
        <v>0</v>
      </c>
      <c r="BM214" s="502" t="n">
        <f aca="false">IF($D214="是",AD214-AE214,0)</f>
        <v>0</v>
      </c>
      <c r="BN214" s="502" t="n">
        <f aca="false">IF($D214="是",AF214-AG214,0)</f>
        <v>0</v>
      </c>
      <c r="BO214" s="502" t="n">
        <f aca="false">IF($D214="是",AH214-AI214,0)</f>
        <v>0</v>
      </c>
      <c r="BP214" s="502" t="n">
        <f aca="false">IF($D214="是",AJ214-AK214,0)</f>
        <v>0</v>
      </c>
      <c r="BQ214" s="502" t="n">
        <f aca="false">IF($D214="是",AL214-AM214,0)</f>
        <v>0</v>
      </c>
      <c r="BR214" s="502" t="n">
        <f aca="false">IF($D214="是",AN214-AO214,0)</f>
        <v>0</v>
      </c>
      <c r="BS214" s="502" t="n">
        <f aca="false">IF($D214="是",AP214-AQ214,0)</f>
        <v>0</v>
      </c>
      <c r="BT214" s="512" t="n">
        <f aca="false">IF($D214="是",AR214-AS214,0)</f>
        <v>0</v>
      </c>
    </row>
    <row r="215" customFormat="false" ht="14.25" hidden="false" customHeight="false" outlineLevel="0" collapsed="false">
      <c r="A215" s="499"/>
      <c r="B215" s="500"/>
      <c r="C215" s="500"/>
      <c r="D215" s="501"/>
      <c r="E215" s="502" t="n">
        <f aca="false">IF($C$3="是",ROUND($A$3*G215/$B$3,2),ROUND($A$3*(G215-AT215)/$B$3,2))</f>
        <v>0</v>
      </c>
      <c r="F215" s="503"/>
      <c r="G215" s="504" t="n">
        <f aca="false">H215+AC215+AT215</f>
        <v>0</v>
      </c>
      <c r="H215" s="505" t="n">
        <f aca="false">SUMIF(I$12:AB$12,"总值",I215:AB215)</f>
        <v>0</v>
      </c>
      <c r="I215" s="506"/>
      <c r="J215" s="506"/>
      <c r="K215" s="506"/>
      <c r="L215" s="506"/>
      <c r="M215" s="506"/>
      <c r="N215" s="506"/>
      <c r="O215" s="506"/>
      <c r="P215" s="506"/>
      <c r="Q215" s="506"/>
      <c r="R215" s="506"/>
      <c r="S215" s="506"/>
      <c r="T215" s="506"/>
      <c r="U215" s="506"/>
      <c r="V215" s="506"/>
      <c r="W215" s="506"/>
      <c r="X215" s="506"/>
      <c r="Y215" s="506"/>
      <c r="Z215" s="506"/>
      <c r="AA215" s="506"/>
      <c r="AB215" s="506"/>
      <c r="AC215" s="502" t="n">
        <f aca="false">SUMIF(AD$12:AS$12,"总值",AD215:AS215)</f>
        <v>0</v>
      </c>
      <c r="AD215" s="507"/>
      <c r="AE215" s="507"/>
      <c r="AF215" s="507"/>
      <c r="AG215" s="507"/>
      <c r="AH215" s="507"/>
      <c r="AI215" s="507"/>
      <c r="AJ215" s="507"/>
      <c r="AK215" s="507"/>
      <c r="AL215" s="507"/>
      <c r="AM215" s="507"/>
      <c r="AN215" s="507"/>
      <c r="AO215" s="507"/>
      <c r="AP215" s="507"/>
      <c r="AQ215" s="507"/>
      <c r="AR215" s="507"/>
      <c r="AS215" s="507"/>
      <c r="AT215" s="508"/>
      <c r="AU215" s="509"/>
      <c r="AV215" s="510" t="n">
        <f aca="false">A215</f>
        <v>0</v>
      </c>
      <c r="AW215" s="510" t="n">
        <f aca="false">B215</f>
        <v>0</v>
      </c>
      <c r="AX215" s="510" t="n">
        <f aca="false">C215</f>
        <v>0</v>
      </c>
      <c r="AY215" s="511" t="n">
        <f aca="false">ROUND($AY$6*AZ215/$AZ$5,2)</f>
        <v>0</v>
      </c>
      <c r="AZ215" s="502" t="n">
        <f aca="false">BA215+BL215</f>
        <v>0</v>
      </c>
      <c r="BA215" s="502" t="n">
        <f aca="false">SUM(BB215:BK215)</f>
        <v>0</v>
      </c>
      <c r="BB215" s="502" t="n">
        <f aca="false">IF($D215="是",I215-J215,0)</f>
        <v>0</v>
      </c>
      <c r="BC215" s="502" t="n">
        <f aca="false">IF($D215="是",K215-L215,0)</f>
        <v>0</v>
      </c>
      <c r="BD215" s="502" t="n">
        <f aca="false">IF($D215="是",M215-N215,0)</f>
        <v>0</v>
      </c>
      <c r="BE215" s="502" t="n">
        <f aca="false">IF($D215="是",O215-P215,0)</f>
        <v>0</v>
      </c>
      <c r="BF215" s="502" t="n">
        <f aca="false">IF($D215="是",Q215-R215,0)</f>
        <v>0</v>
      </c>
      <c r="BG215" s="502" t="n">
        <f aca="false">IF($D215="是",S215-T215,0)</f>
        <v>0</v>
      </c>
      <c r="BH215" s="502" t="n">
        <f aca="false">IF($D215="是",U215-V215,0)</f>
        <v>0</v>
      </c>
      <c r="BI215" s="502" t="n">
        <f aca="false">IF($D215="是",W215-X215,0)</f>
        <v>0</v>
      </c>
      <c r="BJ215" s="502" t="n">
        <f aca="false">IF($D215="是",Y215-Z215,0)</f>
        <v>0</v>
      </c>
      <c r="BK215" s="502" t="n">
        <f aca="false">IF($D215="是",AA215-AB215,0)</f>
        <v>0</v>
      </c>
      <c r="BL215" s="502" t="n">
        <f aca="false">SUM(BM215:BT215)</f>
        <v>0</v>
      </c>
      <c r="BM215" s="502" t="n">
        <f aca="false">IF($D215="是",AD215-AE215,0)</f>
        <v>0</v>
      </c>
      <c r="BN215" s="502" t="n">
        <f aca="false">IF($D215="是",AF215-AG215,0)</f>
        <v>0</v>
      </c>
      <c r="BO215" s="502" t="n">
        <f aca="false">IF($D215="是",AH215-AI215,0)</f>
        <v>0</v>
      </c>
      <c r="BP215" s="502" t="n">
        <f aca="false">IF($D215="是",AJ215-AK215,0)</f>
        <v>0</v>
      </c>
      <c r="BQ215" s="502" t="n">
        <f aca="false">IF($D215="是",AL215-AM215,0)</f>
        <v>0</v>
      </c>
      <c r="BR215" s="502" t="n">
        <f aca="false">IF($D215="是",AN215-AO215,0)</f>
        <v>0</v>
      </c>
      <c r="BS215" s="502" t="n">
        <f aca="false">IF($D215="是",AP215-AQ215,0)</f>
        <v>0</v>
      </c>
      <c r="BT215" s="512" t="n">
        <f aca="false">IF($D215="是",AR215-AS215,0)</f>
        <v>0</v>
      </c>
    </row>
    <row r="216" customFormat="false" ht="14.25" hidden="false" customHeight="false" outlineLevel="0" collapsed="false">
      <c r="A216" s="499"/>
      <c r="B216" s="500"/>
      <c r="C216" s="500"/>
      <c r="D216" s="501"/>
      <c r="E216" s="502" t="n">
        <f aca="false">IF($C$3="是",ROUND($A$3*G216/$B$3,2),ROUND($A$3*(G216-AT216)/$B$3,2))</f>
        <v>0</v>
      </c>
      <c r="F216" s="503"/>
      <c r="G216" s="504" t="n">
        <f aca="false">H216+AC216+AT216</f>
        <v>0</v>
      </c>
      <c r="H216" s="505" t="n">
        <f aca="false">SUMIF(I$12:AB$12,"总值",I216:AB216)</f>
        <v>0</v>
      </c>
      <c r="I216" s="506"/>
      <c r="J216" s="506"/>
      <c r="K216" s="506"/>
      <c r="L216" s="506"/>
      <c r="M216" s="506"/>
      <c r="N216" s="506"/>
      <c r="O216" s="506"/>
      <c r="P216" s="506"/>
      <c r="Q216" s="506"/>
      <c r="R216" s="506"/>
      <c r="S216" s="506"/>
      <c r="T216" s="506"/>
      <c r="U216" s="506"/>
      <c r="V216" s="506"/>
      <c r="W216" s="506"/>
      <c r="X216" s="506"/>
      <c r="Y216" s="506"/>
      <c r="Z216" s="506"/>
      <c r="AA216" s="506"/>
      <c r="AB216" s="506"/>
      <c r="AC216" s="502" t="n">
        <f aca="false">SUMIF(AD$12:AS$12,"总值",AD216:AS216)</f>
        <v>0</v>
      </c>
      <c r="AD216" s="507"/>
      <c r="AE216" s="507"/>
      <c r="AF216" s="507"/>
      <c r="AG216" s="507"/>
      <c r="AH216" s="507"/>
      <c r="AI216" s="507"/>
      <c r="AJ216" s="507"/>
      <c r="AK216" s="507"/>
      <c r="AL216" s="507"/>
      <c r="AM216" s="507"/>
      <c r="AN216" s="507"/>
      <c r="AO216" s="507"/>
      <c r="AP216" s="507"/>
      <c r="AQ216" s="507"/>
      <c r="AR216" s="507"/>
      <c r="AS216" s="507"/>
      <c r="AT216" s="508"/>
      <c r="AU216" s="509"/>
      <c r="AV216" s="510" t="n">
        <f aca="false">A216</f>
        <v>0</v>
      </c>
      <c r="AW216" s="510" t="n">
        <f aca="false">B216</f>
        <v>0</v>
      </c>
      <c r="AX216" s="510" t="n">
        <f aca="false">C216</f>
        <v>0</v>
      </c>
      <c r="AY216" s="511" t="n">
        <f aca="false">ROUND($AY$6*AZ216/$AZ$5,2)</f>
        <v>0</v>
      </c>
      <c r="AZ216" s="502" t="n">
        <f aca="false">BA216+BL216</f>
        <v>0</v>
      </c>
      <c r="BA216" s="502" t="n">
        <f aca="false">SUM(BB216:BK216)</f>
        <v>0</v>
      </c>
      <c r="BB216" s="502" t="n">
        <f aca="false">IF($D216="是",I216-J216,0)</f>
        <v>0</v>
      </c>
      <c r="BC216" s="502" t="n">
        <f aca="false">IF($D216="是",K216-L216,0)</f>
        <v>0</v>
      </c>
      <c r="BD216" s="502" t="n">
        <f aca="false">IF($D216="是",M216-N216,0)</f>
        <v>0</v>
      </c>
      <c r="BE216" s="502" t="n">
        <f aca="false">IF($D216="是",O216-P216,0)</f>
        <v>0</v>
      </c>
      <c r="BF216" s="502" t="n">
        <f aca="false">IF($D216="是",Q216-R216,0)</f>
        <v>0</v>
      </c>
      <c r="BG216" s="502" t="n">
        <f aca="false">IF($D216="是",S216-T216,0)</f>
        <v>0</v>
      </c>
      <c r="BH216" s="502" t="n">
        <f aca="false">IF($D216="是",U216-V216,0)</f>
        <v>0</v>
      </c>
      <c r="BI216" s="502" t="n">
        <f aca="false">IF($D216="是",W216-X216,0)</f>
        <v>0</v>
      </c>
      <c r="BJ216" s="502" t="n">
        <f aca="false">IF($D216="是",Y216-Z216,0)</f>
        <v>0</v>
      </c>
      <c r="BK216" s="502" t="n">
        <f aca="false">IF($D216="是",AA216-AB216,0)</f>
        <v>0</v>
      </c>
      <c r="BL216" s="502" t="n">
        <f aca="false">SUM(BM216:BT216)</f>
        <v>0</v>
      </c>
      <c r="BM216" s="502" t="n">
        <f aca="false">IF($D216="是",AD216-AE216,0)</f>
        <v>0</v>
      </c>
      <c r="BN216" s="502" t="n">
        <f aca="false">IF($D216="是",AF216-AG216,0)</f>
        <v>0</v>
      </c>
      <c r="BO216" s="502" t="n">
        <f aca="false">IF($D216="是",AH216-AI216,0)</f>
        <v>0</v>
      </c>
      <c r="BP216" s="502" t="n">
        <f aca="false">IF($D216="是",AJ216-AK216,0)</f>
        <v>0</v>
      </c>
      <c r="BQ216" s="502" t="n">
        <f aca="false">IF($D216="是",AL216-AM216,0)</f>
        <v>0</v>
      </c>
      <c r="BR216" s="502" t="n">
        <f aca="false">IF($D216="是",AN216-AO216,0)</f>
        <v>0</v>
      </c>
      <c r="BS216" s="502" t="n">
        <f aca="false">IF($D216="是",AP216-AQ216,0)</f>
        <v>0</v>
      </c>
      <c r="BT216" s="512" t="n">
        <f aca="false">IF($D216="是",AR216-AS216,0)</f>
        <v>0</v>
      </c>
    </row>
    <row r="217" customFormat="false" ht="14.25" hidden="false" customHeight="false" outlineLevel="0" collapsed="false">
      <c r="A217" s="499"/>
      <c r="B217" s="500"/>
      <c r="C217" s="500"/>
      <c r="D217" s="501"/>
      <c r="E217" s="502" t="n">
        <f aca="false">IF($C$3="是",ROUND($A$3*G217/$B$3,2),ROUND($A$3*(G217-AT217)/$B$3,2))</f>
        <v>0</v>
      </c>
      <c r="F217" s="503"/>
      <c r="G217" s="504" t="n">
        <f aca="false">H217+AC217+AT217</f>
        <v>0</v>
      </c>
      <c r="H217" s="505" t="n">
        <f aca="false">SUMIF(I$12:AB$12,"总值",I217:AB217)</f>
        <v>0</v>
      </c>
      <c r="I217" s="506"/>
      <c r="J217" s="506"/>
      <c r="K217" s="506"/>
      <c r="L217" s="506"/>
      <c r="M217" s="506"/>
      <c r="N217" s="506"/>
      <c r="O217" s="506"/>
      <c r="P217" s="506"/>
      <c r="Q217" s="506"/>
      <c r="R217" s="506"/>
      <c r="S217" s="506"/>
      <c r="T217" s="506"/>
      <c r="U217" s="506"/>
      <c r="V217" s="506"/>
      <c r="W217" s="506"/>
      <c r="X217" s="506"/>
      <c r="Y217" s="506"/>
      <c r="Z217" s="506"/>
      <c r="AA217" s="506"/>
      <c r="AB217" s="506"/>
      <c r="AC217" s="502" t="n">
        <f aca="false">SUMIF(AD$12:AS$12,"总值",AD217:AS217)</f>
        <v>0</v>
      </c>
      <c r="AD217" s="507"/>
      <c r="AE217" s="507"/>
      <c r="AF217" s="507"/>
      <c r="AG217" s="507"/>
      <c r="AH217" s="507"/>
      <c r="AI217" s="507"/>
      <c r="AJ217" s="507"/>
      <c r="AK217" s="507"/>
      <c r="AL217" s="507"/>
      <c r="AM217" s="507"/>
      <c r="AN217" s="507"/>
      <c r="AO217" s="507"/>
      <c r="AP217" s="507"/>
      <c r="AQ217" s="507"/>
      <c r="AR217" s="507"/>
      <c r="AS217" s="507"/>
      <c r="AT217" s="508"/>
      <c r="AU217" s="509"/>
      <c r="AV217" s="510" t="n">
        <f aca="false">A217</f>
        <v>0</v>
      </c>
      <c r="AW217" s="510" t="n">
        <f aca="false">B217</f>
        <v>0</v>
      </c>
      <c r="AX217" s="510" t="n">
        <f aca="false">C217</f>
        <v>0</v>
      </c>
      <c r="AY217" s="511" t="n">
        <f aca="false">ROUND($AY$6*AZ217/$AZ$5,2)</f>
        <v>0</v>
      </c>
      <c r="AZ217" s="502" t="n">
        <f aca="false">BA217+BL217</f>
        <v>0</v>
      </c>
      <c r="BA217" s="502" t="n">
        <f aca="false">SUM(BB217:BK217)</f>
        <v>0</v>
      </c>
      <c r="BB217" s="502" t="n">
        <f aca="false">IF($D217="是",I217-J217,0)</f>
        <v>0</v>
      </c>
      <c r="BC217" s="502" t="n">
        <f aca="false">IF($D217="是",K217-L217,0)</f>
        <v>0</v>
      </c>
      <c r="BD217" s="502" t="n">
        <f aca="false">IF($D217="是",M217-N217,0)</f>
        <v>0</v>
      </c>
      <c r="BE217" s="502" t="n">
        <f aca="false">IF($D217="是",O217-P217,0)</f>
        <v>0</v>
      </c>
      <c r="BF217" s="502" t="n">
        <f aca="false">IF($D217="是",Q217-R217,0)</f>
        <v>0</v>
      </c>
      <c r="BG217" s="502" t="n">
        <f aca="false">IF($D217="是",S217-T217,0)</f>
        <v>0</v>
      </c>
      <c r="BH217" s="502" t="n">
        <f aca="false">IF($D217="是",U217-V217,0)</f>
        <v>0</v>
      </c>
      <c r="BI217" s="502" t="n">
        <f aca="false">IF($D217="是",W217-X217,0)</f>
        <v>0</v>
      </c>
      <c r="BJ217" s="502" t="n">
        <f aca="false">IF($D217="是",Y217-Z217,0)</f>
        <v>0</v>
      </c>
      <c r="BK217" s="502" t="n">
        <f aca="false">IF($D217="是",AA217-AB217,0)</f>
        <v>0</v>
      </c>
      <c r="BL217" s="502" t="n">
        <f aca="false">SUM(BM217:BT217)</f>
        <v>0</v>
      </c>
      <c r="BM217" s="502" t="n">
        <f aca="false">IF($D217="是",AD217-AE217,0)</f>
        <v>0</v>
      </c>
      <c r="BN217" s="502" t="n">
        <f aca="false">IF($D217="是",AF217-AG217,0)</f>
        <v>0</v>
      </c>
      <c r="BO217" s="502" t="n">
        <f aca="false">IF($D217="是",AH217-AI217,0)</f>
        <v>0</v>
      </c>
      <c r="BP217" s="502" t="n">
        <f aca="false">IF($D217="是",AJ217-AK217,0)</f>
        <v>0</v>
      </c>
      <c r="BQ217" s="502" t="n">
        <f aca="false">IF($D217="是",AL217-AM217,0)</f>
        <v>0</v>
      </c>
      <c r="BR217" s="502" t="n">
        <f aca="false">IF($D217="是",AN217-AO217,0)</f>
        <v>0</v>
      </c>
      <c r="BS217" s="502" t="n">
        <f aca="false">IF($D217="是",AP217-AQ217,0)</f>
        <v>0</v>
      </c>
      <c r="BT217" s="512" t="n">
        <f aca="false">IF($D217="是",AR217-AS217,0)</f>
        <v>0</v>
      </c>
    </row>
    <row r="218" customFormat="false" ht="14.25" hidden="false" customHeight="false" outlineLevel="0" collapsed="false">
      <c r="A218" s="499"/>
      <c r="B218" s="500"/>
      <c r="C218" s="500"/>
      <c r="D218" s="501"/>
      <c r="E218" s="502" t="n">
        <f aca="false">IF($C$3="是",ROUND($A$3*G218/$B$3,2),ROUND($A$3*(G218-AT218)/$B$3,2))</f>
        <v>0</v>
      </c>
      <c r="F218" s="503"/>
      <c r="G218" s="504" t="n">
        <f aca="false">H218+AC218+AT218</f>
        <v>0</v>
      </c>
      <c r="H218" s="505" t="n">
        <f aca="false">SUMIF(I$12:AB$12,"总值",I218:AB218)</f>
        <v>0</v>
      </c>
      <c r="I218" s="506"/>
      <c r="J218" s="506"/>
      <c r="K218" s="506"/>
      <c r="L218" s="506"/>
      <c r="M218" s="506"/>
      <c r="N218" s="506"/>
      <c r="O218" s="506"/>
      <c r="P218" s="506"/>
      <c r="Q218" s="506"/>
      <c r="R218" s="506"/>
      <c r="S218" s="506"/>
      <c r="T218" s="506"/>
      <c r="U218" s="506"/>
      <c r="V218" s="506"/>
      <c r="W218" s="506"/>
      <c r="X218" s="506"/>
      <c r="Y218" s="506"/>
      <c r="Z218" s="506"/>
      <c r="AA218" s="506"/>
      <c r="AB218" s="506"/>
      <c r="AC218" s="502" t="n">
        <f aca="false">SUMIF(AD$12:AS$12,"总值",AD218:AS218)</f>
        <v>0</v>
      </c>
      <c r="AD218" s="507"/>
      <c r="AE218" s="507"/>
      <c r="AF218" s="507"/>
      <c r="AG218" s="507"/>
      <c r="AH218" s="507"/>
      <c r="AI218" s="507"/>
      <c r="AJ218" s="507"/>
      <c r="AK218" s="507"/>
      <c r="AL218" s="507"/>
      <c r="AM218" s="507"/>
      <c r="AN218" s="507"/>
      <c r="AO218" s="507"/>
      <c r="AP218" s="507"/>
      <c r="AQ218" s="507"/>
      <c r="AR218" s="507"/>
      <c r="AS218" s="507"/>
      <c r="AT218" s="508"/>
      <c r="AU218" s="509"/>
      <c r="AV218" s="510" t="n">
        <f aca="false">A218</f>
        <v>0</v>
      </c>
      <c r="AW218" s="510" t="n">
        <f aca="false">B218</f>
        <v>0</v>
      </c>
      <c r="AX218" s="510" t="n">
        <f aca="false">C218</f>
        <v>0</v>
      </c>
      <c r="AY218" s="511" t="n">
        <f aca="false">ROUND($AY$6*AZ218/$AZ$5,2)</f>
        <v>0</v>
      </c>
      <c r="AZ218" s="502" t="n">
        <f aca="false">BA218+BL218</f>
        <v>0</v>
      </c>
      <c r="BA218" s="502" t="n">
        <f aca="false">SUM(BB218:BK218)</f>
        <v>0</v>
      </c>
      <c r="BB218" s="502" t="n">
        <f aca="false">IF($D218="是",I218-J218,0)</f>
        <v>0</v>
      </c>
      <c r="BC218" s="502" t="n">
        <f aca="false">IF($D218="是",K218-L218,0)</f>
        <v>0</v>
      </c>
      <c r="BD218" s="502" t="n">
        <f aca="false">IF($D218="是",M218-N218,0)</f>
        <v>0</v>
      </c>
      <c r="BE218" s="502" t="n">
        <f aca="false">IF($D218="是",O218-P218,0)</f>
        <v>0</v>
      </c>
      <c r="BF218" s="502" t="n">
        <f aca="false">IF($D218="是",Q218-R218,0)</f>
        <v>0</v>
      </c>
      <c r="BG218" s="502" t="n">
        <f aca="false">IF($D218="是",S218-T218,0)</f>
        <v>0</v>
      </c>
      <c r="BH218" s="502" t="n">
        <f aca="false">IF($D218="是",U218-V218,0)</f>
        <v>0</v>
      </c>
      <c r="BI218" s="502" t="n">
        <f aca="false">IF($D218="是",W218-X218,0)</f>
        <v>0</v>
      </c>
      <c r="BJ218" s="502" t="n">
        <f aca="false">IF($D218="是",Y218-Z218,0)</f>
        <v>0</v>
      </c>
      <c r="BK218" s="502" t="n">
        <f aca="false">IF($D218="是",AA218-AB218,0)</f>
        <v>0</v>
      </c>
      <c r="BL218" s="502" t="n">
        <f aca="false">SUM(BM218:BT218)</f>
        <v>0</v>
      </c>
      <c r="BM218" s="502" t="n">
        <f aca="false">IF($D218="是",AD218-AE218,0)</f>
        <v>0</v>
      </c>
      <c r="BN218" s="502" t="n">
        <f aca="false">IF($D218="是",AF218-AG218,0)</f>
        <v>0</v>
      </c>
      <c r="BO218" s="502" t="n">
        <f aca="false">IF($D218="是",AH218-AI218,0)</f>
        <v>0</v>
      </c>
      <c r="BP218" s="502" t="n">
        <f aca="false">IF($D218="是",AJ218-AK218,0)</f>
        <v>0</v>
      </c>
      <c r="BQ218" s="502" t="n">
        <f aca="false">IF($D218="是",AL218-AM218,0)</f>
        <v>0</v>
      </c>
      <c r="BR218" s="502" t="n">
        <f aca="false">IF($D218="是",AN218-AO218,0)</f>
        <v>0</v>
      </c>
      <c r="BS218" s="502" t="n">
        <f aca="false">IF($D218="是",AP218-AQ218,0)</f>
        <v>0</v>
      </c>
      <c r="BT218" s="512" t="n">
        <f aca="false">IF($D218="是",AR218-AS218,0)</f>
        <v>0</v>
      </c>
    </row>
    <row r="219" customFormat="false" ht="14.25" hidden="false" customHeight="false" outlineLevel="0" collapsed="false">
      <c r="A219" s="499"/>
      <c r="B219" s="500"/>
      <c r="C219" s="500"/>
      <c r="D219" s="501"/>
      <c r="E219" s="502" t="n">
        <f aca="false">IF($C$3="是",ROUND($A$3*G219/$B$3,2),ROUND($A$3*(G219-AT219)/$B$3,2))</f>
        <v>0</v>
      </c>
      <c r="F219" s="503"/>
      <c r="G219" s="504" t="n">
        <f aca="false">H219+AC219+AT219</f>
        <v>0</v>
      </c>
      <c r="H219" s="505" t="n">
        <f aca="false">SUMIF(I$12:AB$12,"总值",I219:AB219)</f>
        <v>0</v>
      </c>
      <c r="I219" s="506"/>
      <c r="J219" s="506"/>
      <c r="K219" s="506"/>
      <c r="L219" s="506"/>
      <c r="M219" s="506"/>
      <c r="N219" s="506"/>
      <c r="O219" s="506"/>
      <c r="P219" s="506"/>
      <c r="Q219" s="506"/>
      <c r="R219" s="506"/>
      <c r="S219" s="506"/>
      <c r="T219" s="506"/>
      <c r="U219" s="506"/>
      <c r="V219" s="506"/>
      <c r="W219" s="506"/>
      <c r="X219" s="506"/>
      <c r="Y219" s="506"/>
      <c r="Z219" s="506"/>
      <c r="AA219" s="506"/>
      <c r="AB219" s="506"/>
      <c r="AC219" s="502" t="n">
        <f aca="false">SUMIF(AD$12:AS$12,"总值",AD219:AS219)</f>
        <v>0</v>
      </c>
      <c r="AD219" s="507"/>
      <c r="AE219" s="507"/>
      <c r="AF219" s="507"/>
      <c r="AG219" s="507"/>
      <c r="AH219" s="507"/>
      <c r="AI219" s="507"/>
      <c r="AJ219" s="507"/>
      <c r="AK219" s="507"/>
      <c r="AL219" s="507"/>
      <c r="AM219" s="507"/>
      <c r="AN219" s="507"/>
      <c r="AO219" s="507"/>
      <c r="AP219" s="507"/>
      <c r="AQ219" s="507"/>
      <c r="AR219" s="507"/>
      <c r="AS219" s="507"/>
      <c r="AT219" s="508"/>
      <c r="AU219" s="509"/>
      <c r="AV219" s="510" t="n">
        <f aca="false">A219</f>
        <v>0</v>
      </c>
      <c r="AW219" s="510" t="n">
        <f aca="false">B219</f>
        <v>0</v>
      </c>
      <c r="AX219" s="510" t="n">
        <f aca="false">C219</f>
        <v>0</v>
      </c>
      <c r="AY219" s="511" t="n">
        <f aca="false">ROUND($AY$6*AZ219/$AZ$5,2)</f>
        <v>0</v>
      </c>
      <c r="AZ219" s="502" t="n">
        <f aca="false">BA219+BL219</f>
        <v>0</v>
      </c>
      <c r="BA219" s="502" t="n">
        <f aca="false">SUM(BB219:BK219)</f>
        <v>0</v>
      </c>
      <c r="BB219" s="502" t="n">
        <f aca="false">IF($D219="是",I219-J219,0)</f>
        <v>0</v>
      </c>
      <c r="BC219" s="502" t="n">
        <f aca="false">IF($D219="是",K219-L219,0)</f>
        <v>0</v>
      </c>
      <c r="BD219" s="502" t="n">
        <f aca="false">IF($D219="是",M219-N219,0)</f>
        <v>0</v>
      </c>
      <c r="BE219" s="502" t="n">
        <f aca="false">IF($D219="是",O219-P219,0)</f>
        <v>0</v>
      </c>
      <c r="BF219" s="502" t="n">
        <f aca="false">IF($D219="是",Q219-R219,0)</f>
        <v>0</v>
      </c>
      <c r="BG219" s="502" t="n">
        <f aca="false">IF($D219="是",S219-T219,0)</f>
        <v>0</v>
      </c>
      <c r="BH219" s="502" t="n">
        <f aca="false">IF($D219="是",U219-V219,0)</f>
        <v>0</v>
      </c>
      <c r="BI219" s="502" t="n">
        <f aca="false">IF($D219="是",W219-X219,0)</f>
        <v>0</v>
      </c>
      <c r="BJ219" s="502" t="n">
        <f aca="false">IF($D219="是",Y219-Z219,0)</f>
        <v>0</v>
      </c>
      <c r="BK219" s="502" t="n">
        <f aca="false">IF($D219="是",AA219-AB219,0)</f>
        <v>0</v>
      </c>
      <c r="BL219" s="502" t="n">
        <f aca="false">SUM(BM219:BT219)</f>
        <v>0</v>
      </c>
      <c r="BM219" s="502" t="n">
        <f aca="false">IF($D219="是",AD219-AE219,0)</f>
        <v>0</v>
      </c>
      <c r="BN219" s="502" t="n">
        <f aca="false">IF($D219="是",AF219-AG219,0)</f>
        <v>0</v>
      </c>
      <c r="BO219" s="502" t="n">
        <f aca="false">IF($D219="是",AH219-AI219,0)</f>
        <v>0</v>
      </c>
      <c r="BP219" s="502" t="n">
        <f aca="false">IF($D219="是",AJ219-AK219,0)</f>
        <v>0</v>
      </c>
      <c r="BQ219" s="502" t="n">
        <f aca="false">IF($D219="是",AL219-AM219,0)</f>
        <v>0</v>
      </c>
      <c r="BR219" s="502" t="n">
        <f aca="false">IF($D219="是",AN219-AO219,0)</f>
        <v>0</v>
      </c>
      <c r="BS219" s="502" t="n">
        <f aca="false">IF($D219="是",AP219-AQ219,0)</f>
        <v>0</v>
      </c>
      <c r="BT219" s="512" t="n">
        <f aca="false">IF($D219="是",AR219-AS219,0)</f>
        <v>0</v>
      </c>
    </row>
    <row r="220" customFormat="false" ht="14.25" hidden="false" customHeight="false" outlineLevel="0" collapsed="false">
      <c r="A220" s="499"/>
      <c r="B220" s="500"/>
      <c r="C220" s="500"/>
      <c r="D220" s="501"/>
      <c r="E220" s="502" t="n">
        <f aca="false">IF($C$3="是",ROUND($A$3*G220/$B$3,2),ROUND($A$3*(G220-AT220)/$B$3,2))</f>
        <v>0</v>
      </c>
      <c r="F220" s="503"/>
      <c r="G220" s="504" t="n">
        <f aca="false">H220+AC220+AT220</f>
        <v>0</v>
      </c>
      <c r="H220" s="505" t="n">
        <f aca="false">SUMIF(I$12:AB$12,"总值",I220:AB220)</f>
        <v>0</v>
      </c>
      <c r="I220" s="506"/>
      <c r="J220" s="506"/>
      <c r="K220" s="506"/>
      <c r="L220" s="506"/>
      <c r="M220" s="506"/>
      <c r="N220" s="506"/>
      <c r="O220" s="506"/>
      <c r="P220" s="506"/>
      <c r="Q220" s="506"/>
      <c r="R220" s="506"/>
      <c r="S220" s="506"/>
      <c r="T220" s="506"/>
      <c r="U220" s="506"/>
      <c r="V220" s="506"/>
      <c r="W220" s="506"/>
      <c r="X220" s="506"/>
      <c r="Y220" s="506"/>
      <c r="Z220" s="506"/>
      <c r="AA220" s="506"/>
      <c r="AB220" s="506"/>
      <c r="AC220" s="502" t="n">
        <f aca="false">SUMIF(AD$12:AS$12,"总值",AD220:AS220)</f>
        <v>0</v>
      </c>
      <c r="AD220" s="507"/>
      <c r="AE220" s="507"/>
      <c r="AF220" s="507"/>
      <c r="AG220" s="507"/>
      <c r="AH220" s="507"/>
      <c r="AI220" s="507"/>
      <c r="AJ220" s="507"/>
      <c r="AK220" s="507"/>
      <c r="AL220" s="507"/>
      <c r="AM220" s="507"/>
      <c r="AN220" s="507"/>
      <c r="AO220" s="507"/>
      <c r="AP220" s="507"/>
      <c r="AQ220" s="507"/>
      <c r="AR220" s="507"/>
      <c r="AS220" s="507"/>
      <c r="AT220" s="508"/>
      <c r="AU220" s="509"/>
      <c r="AV220" s="510" t="n">
        <f aca="false">A220</f>
        <v>0</v>
      </c>
      <c r="AW220" s="510" t="n">
        <f aca="false">B220</f>
        <v>0</v>
      </c>
      <c r="AX220" s="510" t="n">
        <f aca="false">C220</f>
        <v>0</v>
      </c>
      <c r="AY220" s="511" t="n">
        <f aca="false">ROUND($AY$6*AZ220/$AZ$5,2)</f>
        <v>0</v>
      </c>
      <c r="AZ220" s="502" t="n">
        <f aca="false">BA220+BL220</f>
        <v>0</v>
      </c>
      <c r="BA220" s="502" t="n">
        <f aca="false">SUM(BB220:BK220)</f>
        <v>0</v>
      </c>
      <c r="BB220" s="502" t="n">
        <f aca="false">IF($D220="是",I220-J220,0)</f>
        <v>0</v>
      </c>
      <c r="BC220" s="502" t="n">
        <f aca="false">IF($D220="是",K220-L220,0)</f>
        <v>0</v>
      </c>
      <c r="BD220" s="502" t="n">
        <f aca="false">IF($D220="是",M220-N220,0)</f>
        <v>0</v>
      </c>
      <c r="BE220" s="502" t="n">
        <f aca="false">IF($D220="是",O220-P220,0)</f>
        <v>0</v>
      </c>
      <c r="BF220" s="502" t="n">
        <f aca="false">IF($D220="是",Q220-R220,0)</f>
        <v>0</v>
      </c>
      <c r="BG220" s="502" t="n">
        <f aca="false">IF($D220="是",S220-T220,0)</f>
        <v>0</v>
      </c>
      <c r="BH220" s="502" t="n">
        <f aca="false">IF($D220="是",U220-V220,0)</f>
        <v>0</v>
      </c>
      <c r="BI220" s="502" t="n">
        <f aca="false">IF($D220="是",W220-X220,0)</f>
        <v>0</v>
      </c>
      <c r="BJ220" s="502" t="n">
        <f aca="false">IF($D220="是",Y220-Z220,0)</f>
        <v>0</v>
      </c>
      <c r="BK220" s="502" t="n">
        <f aca="false">IF($D220="是",AA220-AB220,0)</f>
        <v>0</v>
      </c>
      <c r="BL220" s="502" t="n">
        <f aca="false">SUM(BM220:BT220)</f>
        <v>0</v>
      </c>
      <c r="BM220" s="502" t="n">
        <f aca="false">IF($D220="是",AD220-AE220,0)</f>
        <v>0</v>
      </c>
      <c r="BN220" s="502" t="n">
        <f aca="false">IF($D220="是",AF220-AG220,0)</f>
        <v>0</v>
      </c>
      <c r="BO220" s="502" t="n">
        <f aca="false">IF($D220="是",AH220-AI220,0)</f>
        <v>0</v>
      </c>
      <c r="BP220" s="502" t="n">
        <f aca="false">IF($D220="是",AJ220-AK220,0)</f>
        <v>0</v>
      </c>
      <c r="BQ220" s="502" t="n">
        <f aca="false">IF($D220="是",AL220-AM220,0)</f>
        <v>0</v>
      </c>
      <c r="BR220" s="502" t="n">
        <f aca="false">IF($D220="是",AN220-AO220,0)</f>
        <v>0</v>
      </c>
      <c r="BS220" s="502" t="n">
        <f aca="false">IF($D220="是",AP220-AQ220,0)</f>
        <v>0</v>
      </c>
      <c r="BT220" s="512" t="n">
        <f aca="false">IF($D220="是",AR220-AS220,0)</f>
        <v>0</v>
      </c>
    </row>
    <row r="221" customFormat="false" ht="14.25" hidden="false" customHeight="false" outlineLevel="0" collapsed="false">
      <c r="A221" s="499"/>
      <c r="B221" s="500"/>
      <c r="C221" s="500"/>
      <c r="D221" s="501"/>
      <c r="E221" s="502" t="n">
        <f aca="false">IF($C$3="是",ROUND($A$3*G221/$B$3,2),ROUND($A$3*(G221-AT221)/$B$3,2))</f>
        <v>0</v>
      </c>
      <c r="F221" s="503"/>
      <c r="G221" s="504" t="n">
        <f aca="false">H221+AC221+AT221</f>
        <v>0</v>
      </c>
      <c r="H221" s="505" t="n">
        <f aca="false">SUMIF(I$12:AB$12,"总值",I221:AB221)</f>
        <v>0</v>
      </c>
      <c r="I221" s="506"/>
      <c r="J221" s="506"/>
      <c r="K221" s="506"/>
      <c r="L221" s="506"/>
      <c r="M221" s="506"/>
      <c r="N221" s="506"/>
      <c r="O221" s="506"/>
      <c r="P221" s="506"/>
      <c r="Q221" s="506"/>
      <c r="R221" s="506"/>
      <c r="S221" s="506"/>
      <c r="T221" s="506"/>
      <c r="U221" s="506"/>
      <c r="V221" s="506"/>
      <c r="W221" s="506"/>
      <c r="X221" s="506"/>
      <c r="Y221" s="506"/>
      <c r="Z221" s="506"/>
      <c r="AA221" s="506"/>
      <c r="AB221" s="506"/>
      <c r="AC221" s="502" t="n">
        <f aca="false">SUMIF(AD$12:AS$12,"总值",AD221:AS221)</f>
        <v>0</v>
      </c>
      <c r="AD221" s="507"/>
      <c r="AE221" s="507"/>
      <c r="AF221" s="507"/>
      <c r="AG221" s="507"/>
      <c r="AH221" s="507"/>
      <c r="AI221" s="507"/>
      <c r="AJ221" s="507"/>
      <c r="AK221" s="507"/>
      <c r="AL221" s="507"/>
      <c r="AM221" s="507"/>
      <c r="AN221" s="507"/>
      <c r="AO221" s="507"/>
      <c r="AP221" s="507"/>
      <c r="AQ221" s="507"/>
      <c r="AR221" s="507"/>
      <c r="AS221" s="507"/>
      <c r="AT221" s="508"/>
      <c r="AU221" s="509"/>
      <c r="AV221" s="510" t="n">
        <f aca="false">A221</f>
        <v>0</v>
      </c>
      <c r="AW221" s="510" t="n">
        <f aca="false">B221</f>
        <v>0</v>
      </c>
      <c r="AX221" s="510" t="n">
        <f aca="false">C221</f>
        <v>0</v>
      </c>
      <c r="AY221" s="511" t="n">
        <f aca="false">ROUND($AY$6*AZ221/$AZ$5,2)</f>
        <v>0</v>
      </c>
      <c r="AZ221" s="502" t="n">
        <f aca="false">BA221+BL221</f>
        <v>0</v>
      </c>
      <c r="BA221" s="502" t="n">
        <f aca="false">SUM(BB221:BK221)</f>
        <v>0</v>
      </c>
      <c r="BB221" s="502" t="n">
        <f aca="false">IF($D221="是",I221-J221,0)</f>
        <v>0</v>
      </c>
      <c r="BC221" s="502" t="n">
        <f aca="false">IF($D221="是",K221-L221,0)</f>
        <v>0</v>
      </c>
      <c r="BD221" s="502" t="n">
        <f aca="false">IF($D221="是",M221-N221,0)</f>
        <v>0</v>
      </c>
      <c r="BE221" s="502" t="n">
        <f aca="false">IF($D221="是",O221-P221,0)</f>
        <v>0</v>
      </c>
      <c r="BF221" s="502" t="n">
        <f aca="false">IF($D221="是",Q221-R221,0)</f>
        <v>0</v>
      </c>
      <c r="BG221" s="502" t="n">
        <f aca="false">IF($D221="是",S221-T221,0)</f>
        <v>0</v>
      </c>
      <c r="BH221" s="502" t="n">
        <f aca="false">IF($D221="是",U221-V221,0)</f>
        <v>0</v>
      </c>
      <c r="BI221" s="502" t="n">
        <f aca="false">IF($D221="是",W221-X221,0)</f>
        <v>0</v>
      </c>
      <c r="BJ221" s="502" t="n">
        <f aca="false">IF($D221="是",Y221-Z221,0)</f>
        <v>0</v>
      </c>
      <c r="BK221" s="502" t="n">
        <f aca="false">IF($D221="是",AA221-AB221,0)</f>
        <v>0</v>
      </c>
      <c r="BL221" s="502" t="n">
        <f aca="false">SUM(BM221:BT221)</f>
        <v>0</v>
      </c>
      <c r="BM221" s="502" t="n">
        <f aca="false">IF($D221="是",AD221-AE221,0)</f>
        <v>0</v>
      </c>
      <c r="BN221" s="502" t="n">
        <f aca="false">IF($D221="是",AF221-AG221,0)</f>
        <v>0</v>
      </c>
      <c r="BO221" s="502" t="n">
        <f aca="false">IF($D221="是",AH221-AI221,0)</f>
        <v>0</v>
      </c>
      <c r="BP221" s="502" t="n">
        <f aca="false">IF($D221="是",AJ221-AK221,0)</f>
        <v>0</v>
      </c>
      <c r="BQ221" s="502" t="n">
        <f aca="false">IF($D221="是",AL221-AM221,0)</f>
        <v>0</v>
      </c>
      <c r="BR221" s="502" t="n">
        <f aca="false">IF($D221="是",AN221-AO221,0)</f>
        <v>0</v>
      </c>
      <c r="BS221" s="502" t="n">
        <f aca="false">IF($D221="是",AP221-AQ221,0)</f>
        <v>0</v>
      </c>
      <c r="BT221" s="512" t="n">
        <f aca="false">IF($D221="是",AR221-AS221,0)</f>
        <v>0</v>
      </c>
    </row>
    <row r="222" customFormat="false" ht="14.25" hidden="false" customHeight="false" outlineLevel="0" collapsed="false">
      <c r="A222" s="499"/>
      <c r="B222" s="500"/>
      <c r="C222" s="500"/>
      <c r="D222" s="501"/>
      <c r="E222" s="502" t="n">
        <f aca="false">IF($C$3="是",ROUND($A$3*G222/$B$3,2),ROUND($A$3*(G222-AT222)/$B$3,2))</f>
        <v>0</v>
      </c>
      <c r="F222" s="503"/>
      <c r="G222" s="504" t="n">
        <f aca="false">H222+AC222+AT222</f>
        <v>0</v>
      </c>
      <c r="H222" s="505" t="n">
        <f aca="false">SUMIF(I$12:AB$12,"总值",I222:AB222)</f>
        <v>0</v>
      </c>
      <c r="I222" s="506"/>
      <c r="J222" s="506"/>
      <c r="K222" s="506"/>
      <c r="L222" s="506"/>
      <c r="M222" s="506"/>
      <c r="N222" s="506"/>
      <c r="O222" s="506"/>
      <c r="P222" s="506"/>
      <c r="Q222" s="506"/>
      <c r="R222" s="506"/>
      <c r="S222" s="506"/>
      <c r="T222" s="506"/>
      <c r="U222" s="506"/>
      <c r="V222" s="506"/>
      <c r="W222" s="506"/>
      <c r="X222" s="506"/>
      <c r="Y222" s="506"/>
      <c r="Z222" s="506"/>
      <c r="AA222" s="506"/>
      <c r="AB222" s="506"/>
      <c r="AC222" s="502" t="n">
        <f aca="false">SUMIF(AD$12:AS$12,"总值",AD222:AS222)</f>
        <v>0</v>
      </c>
      <c r="AD222" s="507"/>
      <c r="AE222" s="507"/>
      <c r="AF222" s="507"/>
      <c r="AG222" s="507"/>
      <c r="AH222" s="507"/>
      <c r="AI222" s="507"/>
      <c r="AJ222" s="507"/>
      <c r="AK222" s="507"/>
      <c r="AL222" s="507"/>
      <c r="AM222" s="507"/>
      <c r="AN222" s="507"/>
      <c r="AO222" s="507"/>
      <c r="AP222" s="507"/>
      <c r="AQ222" s="507"/>
      <c r="AR222" s="507"/>
      <c r="AS222" s="507"/>
      <c r="AT222" s="508"/>
      <c r="AU222" s="509"/>
      <c r="AV222" s="510" t="n">
        <f aca="false">A222</f>
        <v>0</v>
      </c>
      <c r="AW222" s="510" t="n">
        <f aca="false">B222</f>
        <v>0</v>
      </c>
      <c r="AX222" s="510" t="n">
        <f aca="false">C222</f>
        <v>0</v>
      </c>
      <c r="AY222" s="511" t="n">
        <f aca="false">ROUND($AY$6*AZ222/$AZ$5,2)</f>
        <v>0</v>
      </c>
      <c r="AZ222" s="502" t="n">
        <f aca="false">BA222+BL222</f>
        <v>0</v>
      </c>
      <c r="BA222" s="502" t="n">
        <f aca="false">SUM(BB222:BK222)</f>
        <v>0</v>
      </c>
      <c r="BB222" s="502" t="n">
        <f aca="false">IF($D222="是",I222-J222,0)</f>
        <v>0</v>
      </c>
      <c r="BC222" s="502" t="n">
        <f aca="false">IF($D222="是",K222-L222,0)</f>
        <v>0</v>
      </c>
      <c r="BD222" s="502" t="n">
        <f aca="false">IF($D222="是",M222-N222,0)</f>
        <v>0</v>
      </c>
      <c r="BE222" s="502" t="n">
        <f aca="false">IF($D222="是",O222-P222,0)</f>
        <v>0</v>
      </c>
      <c r="BF222" s="502" t="n">
        <f aca="false">IF($D222="是",Q222-R222,0)</f>
        <v>0</v>
      </c>
      <c r="BG222" s="502" t="n">
        <f aca="false">IF($D222="是",S222-T222,0)</f>
        <v>0</v>
      </c>
      <c r="BH222" s="502" t="n">
        <f aca="false">IF($D222="是",U222-V222,0)</f>
        <v>0</v>
      </c>
      <c r="BI222" s="502" t="n">
        <f aca="false">IF($D222="是",W222-X222,0)</f>
        <v>0</v>
      </c>
      <c r="BJ222" s="502" t="n">
        <f aca="false">IF($D222="是",Y222-Z222,0)</f>
        <v>0</v>
      </c>
      <c r="BK222" s="502" t="n">
        <f aca="false">IF($D222="是",AA222-AB222,0)</f>
        <v>0</v>
      </c>
      <c r="BL222" s="502" t="n">
        <f aca="false">SUM(BM222:BT222)</f>
        <v>0</v>
      </c>
      <c r="BM222" s="502" t="n">
        <f aca="false">IF($D222="是",AD222-AE222,0)</f>
        <v>0</v>
      </c>
      <c r="BN222" s="502" t="n">
        <f aca="false">IF($D222="是",AF222-AG222,0)</f>
        <v>0</v>
      </c>
      <c r="BO222" s="502" t="n">
        <f aca="false">IF($D222="是",AH222-AI222,0)</f>
        <v>0</v>
      </c>
      <c r="BP222" s="502" t="n">
        <f aca="false">IF($D222="是",AJ222-AK222,0)</f>
        <v>0</v>
      </c>
      <c r="BQ222" s="502" t="n">
        <f aca="false">IF($D222="是",AL222-AM222,0)</f>
        <v>0</v>
      </c>
      <c r="BR222" s="502" t="n">
        <f aca="false">IF($D222="是",AN222-AO222,0)</f>
        <v>0</v>
      </c>
      <c r="BS222" s="502" t="n">
        <f aca="false">IF($D222="是",AP222-AQ222,0)</f>
        <v>0</v>
      </c>
      <c r="BT222" s="512" t="n">
        <f aca="false">IF($D222="是",AR222-AS222,0)</f>
        <v>0</v>
      </c>
    </row>
    <row r="223" customFormat="false" ht="14.25" hidden="false" customHeight="false" outlineLevel="0" collapsed="false">
      <c r="A223" s="499"/>
      <c r="B223" s="500"/>
      <c r="C223" s="500"/>
      <c r="D223" s="501"/>
      <c r="E223" s="502" t="n">
        <f aca="false">IF($C$3="是",ROUND($A$3*G223/$B$3,2),ROUND($A$3*(G223-AT223)/$B$3,2))</f>
        <v>0</v>
      </c>
      <c r="F223" s="503"/>
      <c r="G223" s="504" t="n">
        <f aca="false">H223+AC223+AT223</f>
        <v>0</v>
      </c>
      <c r="H223" s="505" t="n">
        <f aca="false">SUMIF(I$12:AB$12,"总值",I223:AB223)</f>
        <v>0</v>
      </c>
      <c r="I223" s="506"/>
      <c r="J223" s="506"/>
      <c r="K223" s="506"/>
      <c r="L223" s="506"/>
      <c r="M223" s="506"/>
      <c r="N223" s="506"/>
      <c r="O223" s="506"/>
      <c r="P223" s="506"/>
      <c r="Q223" s="506"/>
      <c r="R223" s="506"/>
      <c r="S223" s="506"/>
      <c r="T223" s="506"/>
      <c r="U223" s="506"/>
      <c r="V223" s="506"/>
      <c r="W223" s="506"/>
      <c r="X223" s="506"/>
      <c r="Y223" s="506"/>
      <c r="Z223" s="506"/>
      <c r="AA223" s="506"/>
      <c r="AB223" s="506"/>
      <c r="AC223" s="502" t="n">
        <f aca="false">SUMIF(AD$12:AS$12,"总值",AD223:AS223)</f>
        <v>0</v>
      </c>
      <c r="AD223" s="507"/>
      <c r="AE223" s="507"/>
      <c r="AF223" s="507"/>
      <c r="AG223" s="507"/>
      <c r="AH223" s="507"/>
      <c r="AI223" s="507"/>
      <c r="AJ223" s="507"/>
      <c r="AK223" s="507"/>
      <c r="AL223" s="507"/>
      <c r="AM223" s="507"/>
      <c r="AN223" s="507"/>
      <c r="AO223" s="507"/>
      <c r="AP223" s="507"/>
      <c r="AQ223" s="507"/>
      <c r="AR223" s="507"/>
      <c r="AS223" s="507"/>
      <c r="AT223" s="508"/>
      <c r="AU223" s="509"/>
      <c r="AV223" s="510" t="n">
        <f aca="false">A223</f>
        <v>0</v>
      </c>
      <c r="AW223" s="510" t="n">
        <f aca="false">B223</f>
        <v>0</v>
      </c>
      <c r="AX223" s="510" t="n">
        <f aca="false">C223</f>
        <v>0</v>
      </c>
      <c r="AY223" s="511" t="n">
        <f aca="false">ROUND($AY$6*AZ223/$AZ$5,2)</f>
        <v>0</v>
      </c>
      <c r="AZ223" s="502" t="n">
        <f aca="false">BA223+BL223</f>
        <v>0</v>
      </c>
      <c r="BA223" s="502" t="n">
        <f aca="false">SUM(BB223:BK223)</f>
        <v>0</v>
      </c>
      <c r="BB223" s="502" t="n">
        <f aca="false">IF($D223="是",I223-J223,0)</f>
        <v>0</v>
      </c>
      <c r="BC223" s="502" t="n">
        <f aca="false">IF($D223="是",K223-L223,0)</f>
        <v>0</v>
      </c>
      <c r="BD223" s="502" t="n">
        <f aca="false">IF($D223="是",M223-N223,0)</f>
        <v>0</v>
      </c>
      <c r="BE223" s="502" t="n">
        <f aca="false">IF($D223="是",O223-P223,0)</f>
        <v>0</v>
      </c>
      <c r="BF223" s="502" t="n">
        <f aca="false">IF($D223="是",Q223-R223,0)</f>
        <v>0</v>
      </c>
      <c r="BG223" s="502" t="n">
        <f aca="false">IF($D223="是",S223-T223,0)</f>
        <v>0</v>
      </c>
      <c r="BH223" s="502" t="n">
        <f aca="false">IF($D223="是",U223-V223,0)</f>
        <v>0</v>
      </c>
      <c r="BI223" s="502" t="n">
        <f aca="false">IF($D223="是",W223-X223,0)</f>
        <v>0</v>
      </c>
      <c r="BJ223" s="502" t="n">
        <f aca="false">IF($D223="是",Y223-Z223,0)</f>
        <v>0</v>
      </c>
      <c r="BK223" s="502" t="n">
        <f aca="false">IF($D223="是",AA223-AB223,0)</f>
        <v>0</v>
      </c>
      <c r="BL223" s="502" t="n">
        <f aca="false">SUM(BM223:BT223)</f>
        <v>0</v>
      </c>
      <c r="BM223" s="502" t="n">
        <f aca="false">IF($D223="是",AD223-AE223,0)</f>
        <v>0</v>
      </c>
      <c r="BN223" s="502" t="n">
        <f aca="false">IF($D223="是",AF223-AG223,0)</f>
        <v>0</v>
      </c>
      <c r="BO223" s="502" t="n">
        <f aca="false">IF($D223="是",AH223-AI223,0)</f>
        <v>0</v>
      </c>
      <c r="BP223" s="502" t="n">
        <f aca="false">IF($D223="是",AJ223-AK223,0)</f>
        <v>0</v>
      </c>
      <c r="BQ223" s="502" t="n">
        <f aca="false">IF($D223="是",AL223-AM223,0)</f>
        <v>0</v>
      </c>
      <c r="BR223" s="502" t="n">
        <f aca="false">IF($D223="是",AN223-AO223,0)</f>
        <v>0</v>
      </c>
      <c r="BS223" s="502" t="n">
        <f aca="false">IF($D223="是",AP223-AQ223,0)</f>
        <v>0</v>
      </c>
      <c r="BT223" s="512" t="n">
        <f aca="false">IF($D223="是",AR223-AS223,0)</f>
        <v>0</v>
      </c>
    </row>
    <row r="224" customFormat="false" ht="14.25" hidden="false" customHeight="false" outlineLevel="0" collapsed="false">
      <c r="A224" s="499"/>
      <c r="B224" s="500"/>
      <c r="C224" s="500"/>
      <c r="D224" s="501"/>
      <c r="E224" s="502" t="n">
        <f aca="false">IF($C$3="是",ROUND($A$3*G224/$B$3,2),ROUND($A$3*(G224-AT224)/$B$3,2))</f>
        <v>0</v>
      </c>
      <c r="F224" s="503"/>
      <c r="G224" s="504" t="n">
        <f aca="false">H224+AC224+AT224</f>
        <v>0</v>
      </c>
      <c r="H224" s="505" t="n">
        <f aca="false">SUMIF(I$12:AB$12,"总值",I224:AB224)</f>
        <v>0</v>
      </c>
      <c r="I224" s="506"/>
      <c r="J224" s="506"/>
      <c r="K224" s="506"/>
      <c r="L224" s="506"/>
      <c r="M224" s="506"/>
      <c r="N224" s="506"/>
      <c r="O224" s="506"/>
      <c r="P224" s="506"/>
      <c r="Q224" s="506"/>
      <c r="R224" s="506"/>
      <c r="S224" s="506"/>
      <c r="T224" s="506"/>
      <c r="U224" s="506"/>
      <c r="V224" s="506"/>
      <c r="W224" s="506"/>
      <c r="X224" s="506"/>
      <c r="Y224" s="506"/>
      <c r="Z224" s="506"/>
      <c r="AA224" s="506"/>
      <c r="AB224" s="506"/>
      <c r="AC224" s="502" t="n">
        <f aca="false">SUMIF(AD$12:AS$12,"总值",AD224:AS224)</f>
        <v>0</v>
      </c>
      <c r="AD224" s="507"/>
      <c r="AE224" s="507"/>
      <c r="AF224" s="507"/>
      <c r="AG224" s="507"/>
      <c r="AH224" s="507"/>
      <c r="AI224" s="507"/>
      <c r="AJ224" s="507"/>
      <c r="AK224" s="507"/>
      <c r="AL224" s="507"/>
      <c r="AM224" s="507"/>
      <c r="AN224" s="507"/>
      <c r="AO224" s="507"/>
      <c r="AP224" s="507"/>
      <c r="AQ224" s="507"/>
      <c r="AR224" s="507"/>
      <c r="AS224" s="507"/>
      <c r="AT224" s="508"/>
      <c r="AU224" s="509"/>
      <c r="AV224" s="510" t="n">
        <f aca="false">A224</f>
        <v>0</v>
      </c>
      <c r="AW224" s="510" t="n">
        <f aca="false">B224</f>
        <v>0</v>
      </c>
      <c r="AX224" s="510" t="n">
        <f aca="false">C224</f>
        <v>0</v>
      </c>
      <c r="AY224" s="511" t="n">
        <f aca="false">ROUND($AY$6*AZ224/$AZ$5,2)</f>
        <v>0</v>
      </c>
      <c r="AZ224" s="502" t="n">
        <f aca="false">BA224+BL224</f>
        <v>0</v>
      </c>
      <c r="BA224" s="502" t="n">
        <f aca="false">SUM(BB224:BK224)</f>
        <v>0</v>
      </c>
      <c r="BB224" s="502" t="n">
        <f aca="false">IF($D224="是",I224-J224,0)</f>
        <v>0</v>
      </c>
      <c r="BC224" s="502" t="n">
        <f aca="false">IF($D224="是",K224-L224,0)</f>
        <v>0</v>
      </c>
      <c r="BD224" s="502" t="n">
        <f aca="false">IF($D224="是",M224-N224,0)</f>
        <v>0</v>
      </c>
      <c r="BE224" s="502" t="n">
        <f aca="false">IF($D224="是",O224-P224,0)</f>
        <v>0</v>
      </c>
      <c r="BF224" s="502" t="n">
        <f aca="false">IF($D224="是",Q224-R224,0)</f>
        <v>0</v>
      </c>
      <c r="BG224" s="502" t="n">
        <f aca="false">IF($D224="是",S224-T224,0)</f>
        <v>0</v>
      </c>
      <c r="BH224" s="502" t="n">
        <f aca="false">IF($D224="是",U224-V224,0)</f>
        <v>0</v>
      </c>
      <c r="BI224" s="502" t="n">
        <f aca="false">IF($D224="是",W224-X224,0)</f>
        <v>0</v>
      </c>
      <c r="BJ224" s="502" t="n">
        <f aca="false">IF($D224="是",Y224-Z224,0)</f>
        <v>0</v>
      </c>
      <c r="BK224" s="502" t="n">
        <f aca="false">IF($D224="是",AA224-AB224,0)</f>
        <v>0</v>
      </c>
      <c r="BL224" s="502" t="n">
        <f aca="false">SUM(BM224:BT224)</f>
        <v>0</v>
      </c>
      <c r="BM224" s="502" t="n">
        <f aca="false">IF($D224="是",AD224-AE224,0)</f>
        <v>0</v>
      </c>
      <c r="BN224" s="502" t="n">
        <f aca="false">IF($D224="是",AF224-AG224,0)</f>
        <v>0</v>
      </c>
      <c r="BO224" s="502" t="n">
        <f aca="false">IF($D224="是",AH224-AI224,0)</f>
        <v>0</v>
      </c>
      <c r="BP224" s="502" t="n">
        <f aca="false">IF($D224="是",AJ224-AK224,0)</f>
        <v>0</v>
      </c>
      <c r="BQ224" s="502" t="n">
        <f aca="false">IF($D224="是",AL224-AM224,0)</f>
        <v>0</v>
      </c>
      <c r="BR224" s="502" t="n">
        <f aca="false">IF($D224="是",AN224-AO224,0)</f>
        <v>0</v>
      </c>
      <c r="BS224" s="502" t="n">
        <f aca="false">IF($D224="是",AP224-AQ224,0)</f>
        <v>0</v>
      </c>
      <c r="BT224" s="512" t="n">
        <f aca="false">IF($D224="是",AR224-AS224,0)</f>
        <v>0</v>
      </c>
    </row>
    <row r="225" customFormat="false" ht="14.25" hidden="false" customHeight="false" outlineLevel="0" collapsed="false">
      <c r="A225" s="499"/>
      <c r="B225" s="500"/>
      <c r="C225" s="500"/>
      <c r="D225" s="501"/>
      <c r="E225" s="502" t="n">
        <f aca="false">IF($C$3="是",ROUND($A$3*G225/$B$3,2),ROUND($A$3*(G225-AT225)/$B$3,2))</f>
        <v>0</v>
      </c>
      <c r="F225" s="503"/>
      <c r="G225" s="504" t="n">
        <f aca="false">H225+AC225+AT225</f>
        <v>0</v>
      </c>
      <c r="H225" s="505" t="n">
        <f aca="false">SUMIF(I$12:AB$12,"总值",I225:AB225)</f>
        <v>0</v>
      </c>
      <c r="I225" s="506"/>
      <c r="J225" s="506"/>
      <c r="K225" s="506"/>
      <c r="L225" s="506"/>
      <c r="M225" s="506"/>
      <c r="N225" s="506"/>
      <c r="O225" s="506"/>
      <c r="P225" s="506"/>
      <c r="Q225" s="506"/>
      <c r="R225" s="506"/>
      <c r="S225" s="506"/>
      <c r="T225" s="506"/>
      <c r="U225" s="506"/>
      <c r="V225" s="506"/>
      <c r="W225" s="506"/>
      <c r="X225" s="506"/>
      <c r="Y225" s="506"/>
      <c r="Z225" s="506"/>
      <c r="AA225" s="506"/>
      <c r="AB225" s="506"/>
      <c r="AC225" s="502" t="n">
        <f aca="false">SUMIF(AD$12:AS$12,"总值",AD225:AS225)</f>
        <v>0</v>
      </c>
      <c r="AD225" s="507"/>
      <c r="AE225" s="507"/>
      <c r="AF225" s="507"/>
      <c r="AG225" s="507"/>
      <c r="AH225" s="507"/>
      <c r="AI225" s="507"/>
      <c r="AJ225" s="507"/>
      <c r="AK225" s="507"/>
      <c r="AL225" s="507"/>
      <c r="AM225" s="507"/>
      <c r="AN225" s="507"/>
      <c r="AO225" s="507"/>
      <c r="AP225" s="507"/>
      <c r="AQ225" s="507"/>
      <c r="AR225" s="507"/>
      <c r="AS225" s="507"/>
      <c r="AT225" s="508"/>
      <c r="AU225" s="509"/>
      <c r="AV225" s="510" t="n">
        <f aca="false">A225</f>
        <v>0</v>
      </c>
      <c r="AW225" s="510" t="n">
        <f aca="false">B225</f>
        <v>0</v>
      </c>
      <c r="AX225" s="510" t="n">
        <f aca="false">C225</f>
        <v>0</v>
      </c>
      <c r="AY225" s="511" t="n">
        <f aca="false">ROUND($AY$6*AZ225/$AZ$5,2)</f>
        <v>0</v>
      </c>
      <c r="AZ225" s="502" t="n">
        <f aca="false">BA225+BL225</f>
        <v>0</v>
      </c>
      <c r="BA225" s="502" t="n">
        <f aca="false">SUM(BB225:BK225)</f>
        <v>0</v>
      </c>
      <c r="BB225" s="502" t="n">
        <f aca="false">IF($D225="是",I225-J225,0)</f>
        <v>0</v>
      </c>
      <c r="BC225" s="502" t="n">
        <f aca="false">IF($D225="是",K225-L225,0)</f>
        <v>0</v>
      </c>
      <c r="BD225" s="502" t="n">
        <f aca="false">IF($D225="是",M225-N225,0)</f>
        <v>0</v>
      </c>
      <c r="BE225" s="502" t="n">
        <f aca="false">IF($D225="是",O225-P225,0)</f>
        <v>0</v>
      </c>
      <c r="BF225" s="502" t="n">
        <f aca="false">IF($D225="是",Q225-R225,0)</f>
        <v>0</v>
      </c>
      <c r="BG225" s="502" t="n">
        <f aca="false">IF($D225="是",S225-T225,0)</f>
        <v>0</v>
      </c>
      <c r="BH225" s="502" t="n">
        <f aca="false">IF($D225="是",U225-V225,0)</f>
        <v>0</v>
      </c>
      <c r="BI225" s="502" t="n">
        <f aca="false">IF($D225="是",W225-X225,0)</f>
        <v>0</v>
      </c>
      <c r="BJ225" s="502" t="n">
        <f aca="false">IF($D225="是",Y225-Z225,0)</f>
        <v>0</v>
      </c>
      <c r="BK225" s="502" t="n">
        <f aca="false">IF($D225="是",AA225-AB225,0)</f>
        <v>0</v>
      </c>
      <c r="BL225" s="502" t="n">
        <f aca="false">SUM(BM225:BT225)</f>
        <v>0</v>
      </c>
      <c r="BM225" s="502" t="n">
        <f aca="false">IF($D225="是",AD225-AE225,0)</f>
        <v>0</v>
      </c>
      <c r="BN225" s="502" t="n">
        <f aca="false">IF($D225="是",AF225-AG225,0)</f>
        <v>0</v>
      </c>
      <c r="BO225" s="502" t="n">
        <f aca="false">IF($D225="是",AH225-AI225,0)</f>
        <v>0</v>
      </c>
      <c r="BP225" s="502" t="n">
        <f aca="false">IF($D225="是",AJ225-AK225,0)</f>
        <v>0</v>
      </c>
      <c r="BQ225" s="502" t="n">
        <f aca="false">IF($D225="是",AL225-AM225,0)</f>
        <v>0</v>
      </c>
      <c r="BR225" s="502" t="n">
        <f aca="false">IF($D225="是",AN225-AO225,0)</f>
        <v>0</v>
      </c>
      <c r="BS225" s="502" t="n">
        <f aca="false">IF($D225="是",AP225-AQ225,0)</f>
        <v>0</v>
      </c>
      <c r="BT225" s="512" t="n">
        <f aca="false">IF($D225="是",AR225-AS225,0)</f>
        <v>0</v>
      </c>
    </row>
    <row r="226" customFormat="false" ht="14.25" hidden="false" customHeight="false" outlineLevel="0" collapsed="false">
      <c r="A226" s="499"/>
      <c r="B226" s="500"/>
      <c r="C226" s="500"/>
      <c r="D226" s="501"/>
      <c r="E226" s="502" t="n">
        <f aca="false">IF($C$3="是",ROUND($A$3*G226/$B$3,2),ROUND($A$3*(G226-AT226)/$B$3,2))</f>
        <v>0</v>
      </c>
      <c r="F226" s="503"/>
      <c r="G226" s="504" t="n">
        <f aca="false">H226+AC226+AT226</f>
        <v>0</v>
      </c>
      <c r="H226" s="505" t="n">
        <f aca="false">SUMIF(I$12:AB$12,"总值",I226:AB226)</f>
        <v>0</v>
      </c>
      <c r="I226" s="506"/>
      <c r="J226" s="506"/>
      <c r="K226" s="506"/>
      <c r="L226" s="506"/>
      <c r="M226" s="506"/>
      <c r="N226" s="506"/>
      <c r="O226" s="506"/>
      <c r="P226" s="506"/>
      <c r="Q226" s="506"/>
      <c r="R226" s="506"/>
      <c r="S226" s="506"/>
      <c r="T226" s="506"/>
      <c r="U226" s="506"/>
      <c r="V226" s="506"/>
      <c r="W226" s="506"/>
      <c r="X226" s="506"/>
      <c r="Y226" s="506"/>
      <c r="Z226" s="506"/>
      <c r="AA226" s="506"/>
      <c r="AB226" s="506"/>
      <c r="AC226" s="502" t="n">
        <f aca="false">SUMIF(AD$12:AS$12,"总值",AD226:AS226)</f>
        <v>0</v>
      </c>
      <c r="AD226" s="507"/>
      <c r="AE226" s="507"/>
      <c r="AF226" s="507"/>
      <c r="AG226" s="507"/>
      <c r="AH226" s="507"/>
      <c r="AI226" s="507"/>
      <c r="AJ226" s="507"/>
      <c r="AK226" s="507"/>
      <c r="AL226" s="507"/>
      <c r="AM226" s="507"/>
      <c r="AN226" s="507"/>
      <c r="AO226" s="507"/>
      <c r="AP226" s="507"/>
      <c r="AQ226" s="507"/>
      <c r="AR226" s="507"/>
      <c r="AS226" s="507"/>
      <c r="AT226" s="508"/>
      <c r="AU226" s="509"/>
      <c r="AV226" s="510" t="n">
        <f aca="false">A226</f>
        <v>0</v>
      </c>
      <c r="AW226" s="510" t="n">
        <f aca="false">B226</f>
        <v>0</v>
      </c>
      <c r="AX226" s="510" t="n">
        <f aca="false">C226</f>
        <v>0</v>
      </c>
      <c r="AY226" s="511" t="n">
        <f aca="false">ROUND($AY$6*AZ226/$AZ$5,2)</f>
        <v>0</v>
      </c>
      <c r="AZ226" s="502" t="n">
        <f aca="false">BA226+BL226</f>
        <v>0</v>
      </c>
      <c r="BA226" s="502" t="n">
        <f aca="false">SUM(BB226:BK226)</f>
        <v>0</v>
      </c>
      <c r="BB226" s="502" t="n">
        <f aca="false">IF($D226="是",I226-J226,0)</f>
        <v>0</v>
      </c>
      <c r="BC226" s="502" t="n">
        <f aca="false">IF($D226="是",K226-L226,0)</f>
        <v>0</v>
      </c>
      <c r="BD226" s="502" t="n">
        <f aca="false">IF($D226="是",M226-N226,0)</f>
        <v>0</v>
      </c>
      <c r="BE226" s="502" t="n">
        <f aca="false">IF($D226="是",O226-P226,0)</f>
        <v>0</v>
      </c>
      <c r="BF226" s="502" t="n">
        <f aca="false">IF($D226="是",Q226-R226,0)</f>
        <v>0</v>
      </c>
      <c r="BG226" s="502" t="n">
        <f aca="false">IF($D226="是",S226-T226,0)</f>
        <v>0</v>
      </c>
      <c r="BH226" s="502" t="n">
        <f aca="false">IF($D226="是",U226-V226,0)</f>
        <v>0</v>
      </c>
      <c r="BI226" s="502" t="n">
        <f aca="false">IF($D226="是",W226-X226,0)</f>
        <v>0</v>
      </c>
      <c r="BJ226" s="502" t="n">
        <f aca="false">IF($D226="是",Y226-Z226,0)</f>
        <v>0</v>
      </c>
      <c r="BK226" s="502" t="n">
        <f aca="false">IF($D226="是",AA226-AB226,0)</f>
        <v>0</v>
      </c>
      <c r="BL226" s="502" t="n">
        <f aca="false">SUM(BM226:BT226)</f>
        <v>0</v>
      </c>
      <c r="BM226" s="502" t="n">
        <f aca="false">IF($D226="是",AD226-AE226,0)</f>
        <v>0</v>
      </c>
      <c r="BN226" s="502" t="n">
        <f aca="false">IF($D226="是",AF226-AG226,0)</f>
        <v>0</v>
      </c>
      <c r="BO226" s="502" t="n">
        <f aca="false">IF($D226="是",AH226-AI226,0)</f>
        <v>0</v>
      </c>
      <c r="BP226" s="502" t="n">
        <f aca="false">IF($D226="是",AJ226-AK226,0)</f>
        <v>0</v>
      </c>
      <c r="BQ226" s="502" t="n">
        <f aca="false">IF($D226="是",AL226-AM226,0)</f>
        <v>0</v>
      </c>
      <c r="BR226" s="502" t="n">
        <f aca="false">IF($D226="是",AN226-AO226,0)</f>
        <v>0</v>
      </c>
      <c r="BS226" s="502" t="n">
        <f aca="false">IF($D226="是",AP226-AQ226,0)</f>
        <v>0</v>
      </c>
      <c r="BT226" s="512" t="n">
        <f aca="false">IF($D226="是",AR226-AS226,0)</f>
        <v>0</v>
      </c>
    </row>
    <row r="227" customFormat="false" ht="14.25" hidden="false" customHeight="false" outlineLevel="0" collapsed="false">
      <c r="A227" s="499"/>
      <c r="B227" s="500"/>
      <c r="C227" s="500"/>
      <c r="D227" s="501"/>
      <c r="E227" s="502" t="n">
        <f aca="false">IF($C$3="是",ROUND($A$3*G227/$B$3,2),ROUND($A$3*(G227-AT227)/$B$3,2))</f>
        <v>0</v>
      </c>
      <c r="F227" s="503"/>
      <c r="G227" s="504" t="n">
        <f aca="false">H227+AC227+AT227</f>
        <v>0</v>
      </c>
      <c r="H227" s="505" t="n">
        <f aca="false">SUMIF(I$12:AB$12,"总值",I227:AB227)</f>
        <v>0</v>
      </c>
      <c r="I227" s="506"/>
      <c r="J227" s="506"/>
      <c r="K227" s="506"/>
      <c r="L227" s="506"/>
      <c r="M227" s="506"/>
      <c r="N227" s="506"/>
      <c r="O227" s="506"/>
      <c r="P227" s="506"/>
      <c r="Q227" s="506"/>
      <c r="R227" s="506"/>
      <c r="S227" s="506"/>
      <c r="T227" s="506"/>
      <c r="U227" s="506"/>
      <c r="V227" s="506"/>
      <c r="W227" s="506"/>
      <c r="X227" s="506"/>
      <c r="Y227" s="506"/>
      <c r="Z227" s="506"/>
      <c r="AA227" s="506"/>
      <c r="AB227" s="506"/>
      <c r="AC227" s="502" t="n">
        <f aca="false">SUMIF(AD$12:AS$12,"总值",AD227:AS227)</f>
        <v>0</v>
      </c>
      <c r="AD227" s="507"/>
      <c r="AE227" s="507"/>
      <c r="AF227" s="507"/>
      <c r="AG227" s="507"/>
      <c r="AH227" s="507"/>
      <c r="AI227" s="507"/>
      <c r="AJ227" s="507"/>
      <c r="AK227" s="507"/>
      <c r="AL227" s="507"/>
      <c r="AM227" s="507"/>
      <c r="AN227" s="507"/>
      <c r="AO227" s="507"/>
      <c r="AP227" s="507"/>
      <c r="AQ227" s="507"/>
      <c r="AR227" s="507"/>
      <c r="AS227" s="507"/>
      <c r="AT227" s="508"/>
      <c r="AU227" s="509"/>
      <c r="AV227" s="510" t="n">
        <f aca="false">A227</f>
        <v>0</v>
      </c>
      <c r="AW227" s="510" t="n">
        <f aca="false">B227</f>
        <v>0</v>
      </c>
      <c r="AX227" s="510" t="n">
        <f aca="false">C227</f>
        <v>0</v>
      </c>
      <c r="AY227" s="511" t="n">
        <f aca="false">ROUND($AY$6*AZ227/$AZ$5,2)</f>
        <v>0</v>
      </c>
      <c r="AZ227" s="502" t="n">
        <f aca="false">BA227+BL227</f>
        <v>0</v>
      </c>
      <c r="BA227" s="502" t="n">
        <f aca="false">SUM(BB227:BK227)</f>
        <v>0</v>
      </c>
      <c r="BB227" s="502" t="n">
        <f aca="false">IF($D227="是",I227-J227,0)</f>
        <v>0</v>
      </c>
      <c r="BC227" s="502" t="n">
        <f aca="false">IF($D227="是",K227-L227,0)</f>
        <v>0</v>
      </c>
      <c r="BD227" s="502" t="n">
        <f aca="false">IF($D227="是",M227-N227,0)</f>
        <v>0</v>
      </c>
      <c r="BE227" s="502" t="n">
        <f aca="false">IF($D227="是",O227-P227,0)</f>
        <v>0</v>
      </c>
      <c r="BF227" s="502" t="n">
        <f aca="false">IF($D227="是",Q227-R227,0)</f>
        <v>0</v>
      </c>
      <c r="BG227" s="502" t="n">
        <f aca="false">IF($D227="是",S227-T227,0)</f>
        <v>0</v>
      </c>
      <c r="BH227" s="502" t="n">
        <f aca="false">IF($D227="是",U227-V227,0)</f>
        <v>0</v>
      </c>
      <c r="BI227" s="502" t="n">
        <f aca="false">IF($D227="是",W227-X227,0)</f>
        <v>0</v>
      </c>
      <c r="BJ227" s="502" t="n">
        <f aca="false">IF($D227="是",Y227-Z227,0)</f>
        <v>0</v>
      </c>
      <c r="BK227" s="502" t="n">
        <f aca="false">IF($D227="是",AA227-AB227,0)</f>
        <v>0</v>
      </c>
      <c r="BL227" s="502" t="n">
        <f aca="false">SUM(BM227:BT227)</f>
        <v>0</v>
      </c>
      <c r="BM227" s="502" t="n">
        <f aca="false">IF($D227="是",AD227-AE227,0)</f>
        <v>0</v>
      </c>
      <c r="BN227" s="502" t="n">
        <f aca="false">IF($D227="是",AF227-AG227,0)</f>
        <v>0</v>
      </c>
      <c r="BO227" s="502" t="n">
        <f aca="false">IF($D227="是",AH227-AI227,0)</f>
        <v>0</v>
      </c>
      <c r="BP227" s="502" t="n">
        <f aca="false">IF($D227="是",AJ227-AK227,0)</f>
        <v>0</v>
      </c>
      <c r="BQ227" s="502" t="n">
        <f aca="false">IF($D227="是",AL227-AM227,0)</f>
        <v>0</v>
      </c>
      <c r="BR227" s="502" t="n">
        <f aca="false">IF($D227="是",AN227-AO227,0)</f>
        <v>0</v>
      </c>
      <c r="BS227" s="502" t="n">
        <f aca="false">IF($D227="是",AP227-AQ227,0)</f>
        <v>0</v>
      </c>
      <c r="BT227" s="512" t="n">
        <f aca="false">IF($D227="是",AR227-AS227,0)</f>
        <v>0</v>
      </c>
    </row>
    <row r="228" customFormat="false" ht="14.25" hidden="false" customHeight="false" outlineLevel="0" collapsed="false">
      <c r="A228" s="499"/>
      <c r="B228" s="500"/>
      <c r="C228" s="500"/>
      <c r="D228" s="501"/>
      <c r="E228" s="502" t="n">
        <f aca="false">IF($C$3="是",ROUND($A$3*G228/$B$3,2),ROUND($A$3*(G228-AT228)/$B$3,2))</f>
        <v>0</v>
      </c>
      <c r="F228" s="503"/>
      <c r="G228" s="504" t="n">
        <f aca="false">H228+AC228+AT228</f>
        <v>0</v>
      </c>
      <c r="H228" s="505" t="n">
        <f aca="false">SUMIF(I$12:AB$12,"总值",I228:AB228)</f>
        <v>0</v>
      </c>
      <c r="I228" s="506"/>
      <c r="J228" s="506"/>
      <c r="K228" s="506"/>
      <c r="L228" s="506"/>
      <c r="M228" s="506"/>
      <c r="N228" s="506"/>
      <c r="O228" s="506"/>
      <c r="P228" s="506"/>
      <c r="Q228" s="506"/>
      <c r="R228" s="506"/>
      <c r="S228" s="506"/>
      <c r="T228" s="506"/>
      <c r="U228" s="506"/>
      <c r="V228" s="506"/>
      <c r="W228" s="506"/>
      <c r="X228" s="506"/>
      <c r="Y228" s="506"/>
      <c r="Z228" s="506"/>
      <c r="AA228" s="506"/>
      <c r="AB228" s="506"/>
      <c r="AC228" s="502" t="n">
        <f aca="false">SUMIF(AD$12:AS$12,"总值",AD228:AS228)</f>
        <v>0</v>
      </c>
      <c r="AD228" s="507"/>
      <c r="AE228" s="507"/>
      <c r="AF228" s="507"/>
      <c r="AG228" s="507"/>
      <c r="AH228" s="507"/>
      <c r="AI228" s="507"/>
      <c r="AJ228" s="507"/>
      <c r="AK228" s="507"/>
      <c r="AL228" s="507"/>
      <c r="AM228" s="507"/>
      <c r="AN228" s="507"/>
      <c r="AO228" s="507"/>
      <c r="AP228" s="507"/>
      <c r="AQ228" s="507"/>
      <c r="AR228" s="507"/>
      <c r="AS228" s="507"/>
      <c r="AT228" s="508"/>
      <c r="AU228" s="509"/>
      <c r="AV228" s="510" t="n">
        <f aca="false">A228</f>
        <v>0</v>
      </c>
      <c r="AW228" s="510" t="n">
        <f aca="false">B228</f>
        <v>0</v>
      </c>
      <c r="AX228" s="510" t="n">
        <f aca="false">C228</f>
        <v>0</v>
      </c>
      <c r="AY228" s="511" t="n">
        <f aca="false">ROUND($AY$6*AZ228/$AZ$5,2)</f>
        <v>0</v>
      </c>
      <c r="AZ228" s="502" t="n">
        <f aca="false">BA228+BL228</f>
        <v>0</v>
      </c>
      <c r="BA228" s="502" t="n">
        <f aca="false">SUM(BB228:BK228)</f>
        <v>0</v>
      </c>
      <c r="BB228" s="502" t="n">
        <f aca="false">IF($D228="是",I228-J228,0)</f>
        <v>0</v>
      </c>
      <c r="BC228" s="502" t="n">
        <f aca="false">IF($D228="是",K228-L228,0)</f>
        <v>0</v>
      </c>
      <c r="BD228" s="502" t="n">
        <f aca="false">IF($D228="是",M228-N228,0)</f>
        <v>0</v>
      </c>
      <c r="BE228" s="502" t="n">
        <f aca="false">IF($D228="是",O228-P228,0)</f>
        <v>0</v>
      </c>
      <c r="BF228" s="502" t="n">
        <f aca="false">IF($D228="是",Q228-R228,0)</f>
        <v>0</v>
      </c>
      <c r="BG228" s="502" t="n">
        <f aca="false">IF($D228="是",S228-T228,0)</f>
        <v>0</v>
      </c>
      <c r="BH228" s="502" t="n">
        <f aca="false">IF($D228="是",U228-V228,0)</f>
        <v>0</v>
      </c>
      <c r="BI228" s="502" t="n">
        <f aca="false">IF($D228="是",W228-X228,0)</f>
        <v>0</v>
      </c>
      <c r="BJ228" s="502" t="n">
        <f aca="false">IF($D228="是",Y228-Z228,0)</f>
        <v>0</v>
      </c>
      <c r="BK228" s="502" t="n">
        <f aca="false">IF($D228="是",AA228-AB228,0)</f>
        <v>0</v>
      </c>
      <c r="BL228" s="502" t="n">
        <f aca="false">SUM(BM228:BT228)</f>
        <v>0</v>
      </c>
      <c r="BM228" s="502" t="n">
        <f aca="false">IF($D228="是",AD228-AE228,0)</f>
        <v>0</v>
      </c>
      <c r="BN228" s="502" t="n">
        <f aca="false">IF($D228="是",AF228-AG228,0)</f>
        <v>0</v>
      </c>
      <c r="BO228" s="502" t="n">
        <f aca="false">IF($D228="是",AH228-AI228,0)</f>
        <v>0</v>
      </c>
      <c r="BP228" s="502" t="n">
        <f aca="false">IF($D228="是",AJ228-AK228,0)</f>
        <v>0</v>
      </c>
      <c r="BQ228" s="502" t="n">
        <f aca="false">IF($D228="是",AL228-AM228,0)</f>
        <v>0</v>
      </c>
      <c r="BR228" s="502" t="n">
        <f aca="false">IF($D228="是",AN228-AO228,0)</f>
        <v>0</v>
      </c>
      <c r="BS228" s="502" t="n">
        <f aca="false">IF($D228="是",AP228-AQ228,0)</f>
        <v>0</v>
      </c>
      <c r="BT228" s="512" t="n">
        <f aca="false">IF($D228="是",AR228-AS228,0)</f>
        <v>0</v>
      </c>
    </row>
    <row r="229" customFormat="false" ht="14.25" hidden="false" customHeight="false" outlineLevel="0" collapsed="false">
      <c r="A229" s="499"/>
      <c r="B229" s="500"/>
      <c r="C229" s="500"/>
      <c r="D229" s="501"/>
      <c r="E229" s="502" t="n">
        <f aca="false">IF($C$3="是",ROUND($A$3*G229/$B$3,2),ROUND($A$3*(G229-AT229)/$B$3,2))</f>
        <v>0</v>
      </c>
      <c r="F229" s="503"/>
      <c r="G229" s="504" t="n">
        <f aca="false">H229+AC229+AT229</f>
        <v>0</v>
      </c>
      <c r="H229" s="505" t="n">
        <f aca="false">SUMIF(I$12:AB$12,"总值",I229:AB229)</f>
        <v>0</v>
      </c>
      <c r="I229" s="506"/>
      <c r="J229" s="506"/>
      <c r="K229" s="506"/>
      <c r="L229" s="506"/>
      <c r="M229" s="506"/>
      <c r="N229" s="506"/>
      <c r="O229" s="506"/>
      <c r="P229" s="506"/>
      <c r="Q229" s="506"/>
      <c r="R229" s="506"/>
      <c r="S229" s="506"/>
      <c r="T229" s="506"/>
      <c r="U229" s="506"/>
      <c r="V229" s="506"/>
      <c r="W229" s="506"/>
      <c r="X229" s="506"/>
      <c r="Y229" s="506"/>
      <c r="Z229" s="506"/>
      <c r="AA229" s="506"/>
      <c r="AB229" s="506"/>
      <c r="AC229" s="502" t="n">
        <f aca="false">SUMIF(AD$12:AS$12,"总值",AD229:AS229)</f>
        <v>0</v>
      </c>
      <c r="AD229" s="507"/>
      <c r="AE229" s="507"/>
      <c r="AF229" s="507"/>
      <c r="AG229" s="507"/>
      <c r="AH229" s="507"/>
      <c r="AI229" s="507"/>
      <c r="AJ229" s="507"/>
      <c r="AK229" s="507"/>
      <c r="AL229" s="507"/>
      <c r="AM229" s="507"/>
      <c r="AN229" s="507"/>
      <c r="AO229" s="507"/>
      <c r="AP229" s="507"/>
      <c r="AQ229" s="507"/>
      <c r="AR229" s="507"/>
      <c r="AS229" s="507"/>
      <c r="AT229" s="508"/>
      <c r="AU229" s="509"/>
      <c r="AV229" s="510" t="n">
        <f aca="false">A229</f>
        <v>0</v>
      </c>
      <c r="AW229" s="510" t="n">
        <f aca="false">B229</f>
        <v>0</v>
      </c>
      <c r="AX229" s="510" t="n">
        <f aca="false">C229</f>
        <v>0</v>
      </c>
      <c r="AY229" s="511" t="n">
        <f aca="false">ROUND($AY$6*AZ229/$AZ$5,2)</f>
        <v>0</v>
      </c>
      <c r="AZ229" s="502" t="n">
        <f aca="false">BA229+BL229</f>
        <v>0</v>
      </c>
      <c r="BA229" s="502" t="n">
        <f aca="false">SUM(BB229:BK229)</f>
        <v>0</v>
      </c>
      <c r="BB229" s="502" t="n">
        <f aca="false">IF($D229="是",I229-J229,0)</f>
        <v>0</v>
      </c>
      <c r="BC229" s="502" t="n">
        <f aca="false">IF($D229="是",K229-L229,0)</f>
        <v>0</v>
      </c>
      <c r="BD229" s="502" t="n">
        <f aca="false">IF($D229="是",M229-N229,0)</f>
        <v>0</v>
      </c>
      <c r="BE229" s="502" t="n">
        <f aca="false">IF($D229="是",O229-P229,0)</f>
        <v>0</v>
      </c>
      <c r="BF229" s="502" t="n">
        <f aca="false">IF($D229="是",Q229-R229,0)</f>
        <v>0</v>
      </c>
      <c r="BG229" s="502" t="n">
        <f aca="false">IF($D229="是",S229-T229,0)</f>
        <v>0</v>
      </c>
      <c r="BH229" s="502" t="n">
        <f aca="false">IF($D229="是",U229-V229,0)</f>
        <v>0</v>
      </c>
      <c r="BI229" s="502" t="n">
        <f aca="false">IF($D229="是",W229-X229,0)</f>
        <v>0</v>
      </c>
      <c r="BJ229" s="502" t="n">
        <f aca="false">IF($D229="是",Y229-Z229,0)</f>
        <v>0</v>
      </c>
      <c r="BK229" s="502" t="n">
        <f aca="false">IF($D229="是",AA229-AB229,0)</f>
        <v>0</v>
      </c>
      <c r="BL229" s="502" t="n">
        <f aca="false">SUM(BM229:BT229)</f>
        <v>0</v>
      </c>
      <c r="BM229" s="502" t="n">
        <f aca="false">IF($D229="是",AD229-AE229,0)</f>
        <v>0</v>
      </c>
      <c r="BN229" s="502" t="n">
        <f aca="false">IF($D229="是",AF229-AG229,0)</f>
        <v>0</v>
      </c>
      <c r="BO229" s="502" t="n">
        <f aca="false">IF($D229="是",AH229-AI229,0)</f>
        <v>0</v>
      </c>
      <c r="BP229" s="502" t="n">
        <f aca="false">IF($D229="是",AJ229-AK229,0)</f>
        <v>0</v>
      </c>
      <c r="BQ229" s="502" t="n">
        <f aca="false">IF($D229="是",AL229-AM229,0)</f>
        <v>0</v>
      </c>
      <c r="BR229" s="502" t="n">
        <f aca="false">IF($D229="是",AN229-AO229,0)</f>
        <v>0</v>
      </c>
      <c r="BS229" s="502" t="n">
        <f aca="false">IF($D229="是",AP229-AQ229,0)</f>
        <v>0</v>
      </c>
      <c r="BT229" s="512" t="n">
        <f aca="false">IF($D229="是",AR229-AS229,0)</f>
        <v>0</v>
      </c>
    </row>
    <row r="230" customFormat="false" ht="14.25" hidden="false" customHeight="false" outlineLevel="0" collapsed="false">
      <c r="A230" s="499"/>
      <c r="B230" s="500"/>
      <c r="C230" s="500"/>
      <c r="D230" s="501"/>
      <c r="E230" s="502" t="n">
        <f aca="false">IF($C$3="是",ROUND($A$3*G230/$B$3,2),ROUND($A$3*(G230-AT230)/$B$3,2))</f>
        <v>0</v>
      </c>
      <c r="F230" s="503"/>
      <c r="G230" s="504" t="n">
        <f aca="false">H230+AC230+AT230</f>
        <v>0</v>
      </c>
      <c r="H230" s="505" t="n">
        <f aca="false">SUMIF(I$12:AB$12,"总值",I230:AB230)</f>
        <v>0</v>
      </c>
      <c r="I230" s="506"/>
      <c r="J230" s="506"/>
      <c r="K230" s="506"/>
      <c r="L230" s="506"/>
      <c r="M230" s="506"/>
      <c r="N230" s="506"/>
      <c r="O230" s="506"/>
      <c r="P230" s="506"/>
      <c r="Q230" s="506"/>
      <c r="R230" s="506"/>
      <c r="S230" s="506"/>
      <c r="T230" s="506"/>
      <c r="U230" s="506"/>
      <c r="V230" s="506"/>
      <c r="W230" s="506"/>
      <c r="X230" s="506"/>
      <c r="Y230" s="506"/>
      <c r="Z230" s="506"/>
      <c r="AA230" s="506"/>
      <c r="AB230" s="506"/>
      <c r="AC230" s="502" t="n">
        <f aca="false">SUMIF(AD$12:AS$12,"总值",AD230:AS230)</f>
        <v>0</v>
      </c>
      <c r="AD230" s="507"/>
      <c r="AE230" s="507"/>
      <c r="AF230" s="507"/>
      <c r="AG230" s="507"/>
      <c r="AH230" s="507"/>
      <c r="AI230" s="507"/>
      <c r="AJ230" s="507"/>
      <c r="AK230" s="507"/>
      <c r="AL230" s="507"/>
      <c r="AM230" s="507"/>
      <c r="AN230" s="507"/>
      <c r="AO230" s="507"/>
      <c r="AP230" s="507"/>
      <c r="AQ230" s="507"/>
      <c r="AR230" s="507"/>
      <c r="AS230" s="507"/>
      <c r="AT230" s="508"/>
      <c r="AU230" s="509"/>
      <c r="AV230" s="510" t="n">
        <f aca="false">A230</f>
        <v>0</v>
      </c>
      <c r="AW230" s="510" t="n">
        <f aca="false">B230</f>
        <v>0</v>
      </c>
      <c r="AX230" s="510" t="n">
        <f aca="false">C230</f>
        <v>0</v>
      </c>
      <c r="AY230" s="511" t="n">
        <f aca="false">ROUND($AY$6*AZ230/$AZ$5,2)</f>
        <v>0</v>
      </c>
      <c r="AZ230" s="502" t="n">
        <f aca="false">BA230+BL230</f>
        <v>0</v>
      </c>
      <c r="BA230" s="502" t="n">
        <f aca="false">SUM(BB230:BK230)</f>
        <v>0</v>
      </c>
      <c r="BB230" s="502" t="n">
        <f aca="false">IF($D230="是",I230-J230,0)</f>
        <v>0</v>
      </c>
      <c r="BC230" s="502" t="n">
        <f aca="false">IF($D230="是",K230-L230,0)</f>
        <v>0</v>
      </c>
      <c r="BD230" s="502" t="n">
        <f aca="false">IF($D230="是",M230-N230,0)</f>
        <v>0</v>
      </c>
      <c r="BE230" s="502" t="n">
        <f aca="false">IF($D230="是",O230-P230,0)</f>
        <v>0</v>
      </c>
      <c r="BF230" s="502" t="n">
        <f aca="false">IF($D230="是",Q230-R230,0)</f>
        <v>0</v>
      </c>
      <c r="BG230" s="502" t="n">
        <f aca="false">IF($D230="是",S230-T230,0)</f>
        <v>0</v>
      </c>
      <c r="BH230" s="502" t="n">
        <f aca="false">IF($D230="是",U230-V230,0)</f>
        <v>0</v>
      </c>
      <c r="BI230" s="502" t="n">
        <f aca="false">IF($D230="是",W230-X230,0)</f>
        <v>0</v>
      </c>
      <c r="BJ230" s="502" t="n">
        <f aca="false">IF($D230="是",Y230-Z230,0)</f>
        <v>0</v>
      </c>
      <c r="BK230" s="502" t="n">
        <f aca="false">IF($D230="是",AA230-AB230,0)</f>
        <v>0</v>
      </c>
      <c r="BL230" s="502" t="n">
        <f aca="false">SUM(BM230:BT230)</f>
        <v>0</v>
      </c>
      <c r="BM230" s="502" t="n">
        <f aca="false">IF($D230="是",AD230-AE230,0)</f>
        <v>0</v>
      </c>
      <c r="BN230" s="502" t="n">
        <f aca="false">IF($D230="是",AF230-AG230,0)</f>
        <v>0</v>
      </c>
      <c r="BO230" s="502" t="n">
        <f aca="false">IF($D230="是",AH230-AI230,0)</f>
        <v>0</v>
      </c>
      <c r="BP230" s="502" t="n">
        <f aca="false">IF($D230="是",AJ230-AK230,0)</f>
        <v>0</v>
      </c>
      <c r="BQ230" s="502" t="n">
        <f aca="false">IF($D230="是",AL230-AM230,0)</f>
        <v>0</v>
      </c>
      <c r="BR230" s="502" t="n">
        <f aca="false">IF($D230="是",AN230-AO230,0)</f>
        <v>0</v>
      </c>
      <c r="BS230" s="502" t="n">
        <f aca="false">IF($D230="是",AP230-AQ230,0)</f>
        <v>0</v>
      </c>
      <c r="BT230" s="512" t="n">
        <f aca="false">IF($D230="是",AR230-AS230,0)</f>
        <v>0</v>
      </c>
    </row>
    <row r="231" customFormat="false" ht="14.25" hidden="false" customHeight="false" outlineLevel="0" collapsed="false">
      <c r="A231" s="499"/>
      <c r="B231" s="500"/>
      <c r="C231" s="500"/>
      <c r="D231" s="501"/>
      <c r="E231" s="502" t="n">
        <f aca="false">IF($C$3="是",ROUND($A$3*G231/$B$3,2),ROUND($A$3*(G231-AT231)/$B$3,2))</f>
        <v>0</v>
      </c>
      <c r="F231" s="503"/>
      <c r="G231" s="504" t="n">
        <f aca="false">H231+AC231+AT231</f>
        <v>0</v>
      </c>
      <c r="H231" s="505" t="n">
        <f aca="false">SUMIF(I$12:AB$12,"总值",I231:AB231)</f>
        <v>0</v>
      </c>
      <c r="I231" s="506"/>
      <c r="J231" s="506"/>
      <c r="K231" s="506"/>
      <c r="L231" s="506"/>
      <c r="M231" s="506"/>
      <c r="N231" s="506"/>
      <c r="O231" s="506"/>
      <c r="P231" s="506"/>
      <c r="Q231" s="506"/>
      <c r="R231" s="506"/>
      <c r="S231" s="506"/>
      <c r="T231" s="506"/>
      <c r="U231" s="506"/>
      <c r="V231" s="506"/>
      <c r="W231" s="506"/>
      <c r="X231" s="506"/>
      <c r="Y231" s="506"/>
      <c r="Z231" s="506"/>
      <c r="AA231" s="506"/>
      <c r="AB231" s="506"/>
      <c r="AC231" s="502" t="n">
        <f aca="false">SUMIF(AD$12:AS$12,"总值",AD231:AS231)</f>
        <v>0</v>
      </c>
      <c r="AD231" s="507"/>
      <c r="AE231" s="507"/>
      <c r="AF231" s="507"/>
      <c r="AG231" s="507"/>
      <c r="AH231" s="507"/>
      <c r="AI231" s="507"/>
      <c r="AJ231" s="507"/>
      <c r="AK231" s="507"/>
      <c r="AL231" s="507"/>
      <c r="AM231" s="507"/>
      <c r="AN231" s="507"/>
      <c r="AO231" s="507"/>
      <c r="AP231" s="507"/>
      <c r="AQ231" s="507"/>
      <c r="AR231" s="507"/>
      <c r="AS231" s="507"/>
      <c r="AT231" s="508"/>
      <c r="AU231" s="509"/>
      <c r="AV231" s="510" t="n">
        <f aca="false">A231</f>
        <v>0</v>
      </c>
      <c r="AW231" s="510" t="n">
        <f aca="false">B231</f>
        <v>0</v>
      </c>
      <c r="AX231" s="510" t="n">
        <f aca="false">C231</f>
        <v>0</v>
      </c>
      <c r="AY231" s="511" t="n">
        <f aca="false">ROUND($AY$6*AZ231/$AZ$5,2)</f>
        <v>0</v>
      </c>
      <c r="AZ231" s="502" t="n">
        <f aca="false">BA231+BL231</f>
        <v>0</v>
      </c>
      <c r="BA231" s="502" t="n">
        <f aca="false">SUM(BB231:BK231)</f>
        <v>0</v>
      </c>
      <c r="BB231" s="502" t="n">
        <f aca="false">IF($D231="是",I231-J231,0)</f>
        <v>0</v>
      </c>
      <c r="BC231" s="502" t="n">
        <f aca="false">IF($D231="是",K231-L231,0)</f>
        <v>0</v>
      </c>
      <c r="BD231" s="502" t="n">
        <f aca="false">IF($D231="是",M231-N231,0)</f>
        <v>0</v>
      </c>
      <c r="BE231" s="502" t="n">
        <f aca="false">IF($D231="是",O231-P231,0)</f>
        <v>0</v>
      </c>
      <c r="BF231" s="502" t="n">
        <f aca="false">IF($D231="是",Q231-R231,0)</f>
        <v>0</v>
      </c>
      <c r="BG231" s="502" t="n">
        <f aca="false">IF($D231="是",S231-T231,0)</f>
        <v>0</v>
      </c>
      <c r="BH231" s="502" t="n">
        <f aca="false">IF($D231="是",U231-V231,0)</f>
        <v>0</v>
      </c>
      <c r="BI231" s="502" t="n">
        <f aca="false">IF($D231="是",W231-X231,0)</f>
        <v>0</v>
      </c>
      <c r="BJ231" s="502" t="n">
        <f aca="false">IF($D231="是",Y231-Z231,0)</f>
        <v>0</v>
      </c>
      <c r="BK231" s="502" t="n">
        <f aca="false">IF($D231="是",AA231-AB231,0)</f>
        <v>0</v>
      </c>
      <c r="BL231" s="502" t="n">
        <f aca="false">SUM(BM231:BT231)</f>
        <v>0</v>
      </c>
      <c r="BM231" s="502" t="n">
        <f aca="false">IF($D231="是",AD231-AE231,0)</f>
        <v>0</v>
      </c>
      <c r="BN231" s="502" t="n">
        <f aca="false">IF($D231="是",AF231-AG231,0)</f>
        <v>0</v>
      </c>
      <c r="BO231" s="502" t="n">
        <f aca="false">IF($D231="是",AH231-AI231,0)</f>
        <v>0</v>
      </c>
      <c r="BP231" s="502" t="n">
        <f aca="false">IF($D231="是",AJ231-AK231,0)</f>
        <v>0</v>
      </c>
      <c r="BQ231" s="502" t="n">
        <f aca="false">IF($D231="是",AL231-AM231,0)</f>
        <v>0</v>
      </c>
      <c r="BR231" s="502" t="n">
        <f aca="false">IF($D231="是",AN231-AO231,0)</f>
        <v>0</v>
      </c>
      <c r="BS231" s="502" t="n">
        <f aca="false">IF($D231="是",AP231-AQ231,0)</f>
        <v>0</v>
      </c>
      <c r="BT231" s="512" t="n">
        <f aca="false">IF($D231="是",AR231-AS231,0)</f>
        <v>0</v>
      </c>
    </row>
    <row r="232" customFormat="false" ht="14.25" hidden="false" customHeight="false" outlineLevel="0" collapsed="false">
      <c r="A232" s="499"/>
      <c r="B232" s="500"/>
      <c r="C232" s="500"/>
      <c r="D232" s="501"/>
      <c r="E232" s="502" t="n">
        <f aca="false">IF($C$3="是",ROUND($A$3*G232/$B$3,2),ROUND($A$3*(G232-AT232)/$B$3,2))</f>
        <v>0</v>
      </c>
      <c r="F232" s="503"/>
      <c r="G232" s="504" t="n">
        <f aca="false">H232+AC232+AT232</f>
        <v>0</v>
      </c>
      <c r="H232" s="505" t="n">
        <f aca="false">SUMIF(I$12:AB$12,"总值",I232:AB232)</f>
        <v>0</v>
      </c>
      <c r="I232" s="506"/>
      <c r="J232" s="506"/>
      <c r="K232" s="506"/>
      <c r="L232" s="506"/>
      <c r="M232" s="506"/>
      <c r="N232" s="506"/>
      <c r="O232" s="506"/>
      <c r="P232" s="506"/>
      <c r="Q232" s="506"/>
      <c r="R232" s="506"/>
      <c r="S232" s="506"/>
      <c r="T232" s="506"/>
      <c r="U232" s="506"/>
      <c r="V232" s="506"/>
      <c r="W232" s="506"/>
      <c r="X232" s="506"/>
      <c r="Y232" s="506"/>
      <c r="Z232" s="506"/>
      <c r="AA232" s="506"/>
      <c r="AB232" s="506"/>
      <c r="AC232" s="502" t="n">
        <f aca="false">SUMIF(AD$12:AS$12,"总值",AD232:AS232)</f>
        <v>0</v>
      </c>
      <c r="AD232" s="507"/>
      <c r="AE232" s="507"/>
      <c r="AF232" s="507"/>
      <c r="AG232" s="507"/>
      <c r="AH232" s="507"/>
      <c r="AI232" s="507"/>
      <c r="AJ232" s="507"/>
      <c r="AK232" s="507"/>
      <c r="AL232" s="507"/>
      <c r="AM232" s="507"/>
      <c r="AN232" s="507"/>
      <c r="AO232" s="507"/>
      <c r="AP232" s="507"/>
      <c r="AQ232" s="507"/>
      <c r="AR232" s="507"/>
      <c r="AS232" s="507"/>
      <c r="AT232" s="508"/>
      <c r="AU232" s="509"/>
      <c r="AV232" s="510" t="n">
        <f aca="false">A232</f>
        <v>0</v>
      </c>
      <c r="AW232" s="510" t="n">
        <f aca="false">B232</f>
        <v>0</v>
      </c>
      <c r="AX232" s="510" t="n">
        <f aca="false">C232</f>
        <v>0</v>
      </c>
      <c r="AY232" s="511" t="n">
        <f aca="false">ROUND($AY$6*AZ232/$AZ$5,2)</f>
        <v>0</v>
      </c>
      <c r="AZ232" s="502" t="n">
        <f aca="false">BA232+BL232</f>
        <v>0</v>
      </c>
      <c r="BA232" s="502" t="n">
        <f aca="false">SUM(BB232:BK232)</f>
        <v>0</v>
      </c>
      <c r="BB232" s="502" t="n">
        <f aca="false">IF($D232="是",I232-J232,0)</f>
        <v>0</v>
      </c>
      <c r="BC232" s="502" t="n">
        <f aca="false">IF($D232="是",K232-L232,0)</f>
        <v>0</v>
      </c>
      <c r="BD232" s="502" t="n">
        <f aca="false">IF($D232="是",M232-N232,0)</f>
        <v>0</v>
      </c>
      <c r="BE232" s="502" t="n">
        <f aca="false">IF($D232="是",O232-P232,0)</f>
        <v>0</v>
      </c>
      <c r="BF232" s="502" t="n">
        <f aca="false">IF($D232="是",Q232-R232,0)</f>
        <v>0</v>
      </c>
      <c r="BG232" s="502" t="n">
        <f aca="false">IF($D232="是",S232-T232,0)</f>
        <v>0</v>
      </c>
      <c r="BH232" s="502" t="n">
        <f aca="false">IF($D232="是",U232-V232,0)</f>
        <v>0</v>
      </c>
      <c r="BI232" s="502" t="n">
        <f aca="false">IF($D232="是",W232-X232,0)</f>
        <v>0</v>
      </c>
      <c r="BJ232" s="502" t="n">
        <f aca="false">IF($D232="是",Y232-Z232,0)</f>
        <v>0</v>
      </c>
      <c r="BK232" s="502" t="n">
        <f aca="false">IF($D232="是",AA232-AB232,0)</f>
        <v>0</v>
      </c>
      <c r="BL232" s="502" t="n">
        <f aca="false">SUM(BM232:BT232)</f>
        <v>0</v>
      </c>
      <c r="BM232" s="502" t="n">
        <f aca="false">IF($D232="是",AD232-AE232,0)</f>
        <v>0</v>
      </c>
      <c r="BN232" s="502" t="n">
        <f aca="false">IF($D232="是",AF232-AG232,0)</f>
        <v>0</v>
      </c>
      <c r="BO232" s="502" t="n">
        <f aca="false">IF($D232="是",AH232-AI232,0)</f>
        <v>0</v>
      </c>
      <c r="BP232" s="502" t="n">
        <f aca="false">IF($D232="是",AJ232-AK232,0)</f>
        <v>0</v>
      </c>
      <c r="BQ232" s="502" t="n">
        <f aca="false">IF($D232="是",AL232-AM232,0)</f>
        <v>0</v>
      </c>
      <c r="BR232" s="502" t="n">
        <f aca="false">IF($D232="是",AN232-AO232,0)</f>
        <v>0</v>
      </c>
      <c r="BS232" s="502" t="n">
        <f aca="false">IF($D232="是",AP232-AQ232,0)</f>
        <v>0</v>
      </c>
      <c r="BT232" s="512" t="n">
        <f aca="false">IF($D232="是",AR232-AS232,0)</f>
        <v>0</v>
      </c>
    </row>
    <row r="233" customFormat="false" ht="14.25" hidden="false" customHeight="false" outlineLevel="0" collapsed="false">
      <c r="A233" s="499"/>
      <c r="B233" s="500"/>
      <c r="C233" s="500"/>
      <c r="D233" s="501"/>
      <c r="E233" s="502" t="n">
        <f aca="false">IF($C$3="是",ROUND($A$3*G233/$B$3,2),ROUND($A$3*(G233-AT233)/$B$3,2))</f>
        <v>0</v>
      </c>
      <c r="F233" s="503"/>
      <c r="G233" s="504" t="n">
        <f aca="false">H233+AC233+AT233</f>
        <v>0</v>
      </c>
      <c r="H233" s="505" t="n">
        <f aca="false">SUMIF(I$12:AB$12,"总值",I233:AB233)</f>
        <v>0</v>
      </c>
      <c r="I233" s="506"/>
      <c r="J233" s="506"/>
      <c r="K233" s="506"/>
      <c r="L233" s="506"/>
      <c r="M233" s="506"/>
      <c r="N233" s="506"/>
      <c r="O233" s="506"/>
      <c r="P233" s="506"/>
      <c r="Q233" s="506"/>
      <c r="R233" s="506"/>
      <c r="S233" s="506"/>
      <c r="T233" s="506"/>
      <c r="U233" s="506"/>
      <c r="V233" s="506"/>
      <c r="W233" s="506"/>
      <c r="X233" s="506"/>
      <c r="Y233" s="506"/>
      <c r="Z233" s="506"/>
      <c r="AA233" s="506"/>
      <c r="AB233" s="506"/>
      <c r="AC233" s="502" t="n">
        <f aca="false">SUMIF(AD$12:AS$12,"总值",AD233:AS233)</f>
        <v>0</v>
      </c>
      <c r="AD233" s="507"/>
      <c r="AE233" s="507"/>
      <c r="AF233" s="507"/>
      <c r="AG233" s="507"/>
      <c r="AH233" s="507"/>
      <c r="AI233" s="507"/>
      <c r="AJ233" s="507"/>
      <c r="AK233" s="507"/>
      <c r="AL233" s="507"/>
      <c r="AM233" s="507"/>
      <c r="AN233" s="507"/>
      <c r="AO233" s="507"/>
      <c r="AP233" s="507"/>
      <c r="AQ233" s="507"/>
      <c r="AR233" s="507"/>
      <c r="AS233" s="507"/>
      <c r="AT233" s="508"/>
      <c r="AU233" s="509"/>
      <c r="AV233" s="510" t="n">
        <f aca="false">A233</f>
        <v>0</v>
      </c>
      <c r="AW233" s="510" t="n">
        <f aca="false">B233</f>
        <v>0</v>
      </c>
      <c r="AX233" s="510" t="n">
        <f aca="false">C233</f>
        <v>0</v>
      </c>
      <c r="AY233" s="511" t="n">
        <f aca="false">ROUND($AY$6*AZ233/$AZ$5,2)</f>
        <v>0</v>
      </c>
      <c r="AZ233" s="502" t="n">
        <f aca="false">BA233+BL233</f>
        <v>0</v>
      </c>
      <c r="BA233" s="502" t="n">
        <f aca="false">SUM(BB233:BK233)</f>
        <v>0</v>
      </c>
      <c r="BB233" s="502" t="n">
        <f aca="false">IF($D233="是",I233-J233,0)</f>
        <v>0</v>
      </c>
      <c r="BC233" s="502" t="n">
        <f aca="false">IF($D233="是",K233-L233,0)</f>
        <v>0</v>
      </c>
      <c r="BD233" s="502" t="n">
        <f aca="false">IF($D233="是",M233-N233,0)</f>
        <v>0</v>
      </c>
      <c r="BE233" s="502" t="n">
        <f aca="false">IF($D233="是",O233-P233,0)</f>
        <v>0</v>
      </c>
      <c r="BF233" s="502" t="n">
        <f aca="false">IF($D233="是",Q233-R233,0)</f>
        <v>0</v>
      </c>
      <c r="BG233" s="502" t="n">
        <f aca="false">IF($D233="是",S233-T233,0)</f>
        <v>0</v>
      </c>
      <c r="BH233" s="502" t="n">
        <f aca="false">IF($D233="是",U233-V233,0)</f>
        <v>0</v>
      </c>
      <c r="BI233" s="502" t="n">
        <f aca="false">IF($D233="是",W233-X233,0)</f>
        <v>0</v>
      </c>
      <c r="BJ233" s="502" t="n">
        <f aca="false">IF($D233="是",Y233-Z233,0)</f>
        <v>0</v>
      </c>
      <c r="BK233" s="502" t="n">
        <f aca="false">IF($D233="是",AA233-AB233,0)</f>
        <v>0</v>
      </c>
      <c r="BL233" s="502" t="n">
        <f aca="false">SUM(BM233:BT233)</f>
        <v>0</v>
      </c>
      <c r="BM233" s="502" t="n">
        <f aca="false">IF($D233="是",AD233-AE233,0)</f>
        <v>0</v>
      </c>
      <c r="BN233" s="502" t="n">
        <f aca="false">IF($D233="是",AF233-AG233,0)</f>
        <v>0</v>
      </c>
      <c r="BO233" s="502" t="n">
        <f aca="false">IF($D233="是",AH233-AI233,0)</f>
        <v>0</v>
      </c>
      <c r="BP233" s="502" t="n">
        <f aca="false">IF($D233="是",AJ233-AK233,0)</f>
        <v>0</v>
      </c>
      <c r="BQ233" s="502" t="n">
        <f aca="false">IF($D233="是",AL233-AM233,0)</f>
        <v>0</v>
      </c>
      <c r="BR233" s="502" t="n">
        <f aca="false">IF($D233="是",AN233-AO233,0)</f>
        <v>0</v>
      </c>
      <c r="BS233" s="502" t="n">
        <f aca="false">IF($D233="是",AP233-AQ233,0)</f>
        <v>0</v>
      </c>
      <c r="BT233" s="512" t="n">
        <f aca="false">IF($D233="是",AR233-AS233,0)</f>
        <v>0</v>
      </c>
    </row>
    <row r="234" customFormat="false" ht="14.25" hidden="false" customHeight="false" outlineLevel="0" collapsed="false">
      <c r="A234" s="499"/>
      <c r="B234" s="500"/>
      <c r="C234" s="500"/>
      <c r="D234" s="501"/>
      <c r="E234" s="502" t="n">
        <f aca="false">IF($C$3="是",ROUND($A$3*G234/$B$3,2),ROUND($A$3*(G234-AT234)/$B$3,2))</f>
        <v>0</v>
      </c>
      <c r="F234" s="503"/>
      <c r="G234" s="504" t="n">
        <f aca="false">H234+AC234+AT234</f>
        <v>0</v>
      </c>
      <c r="H234" s="505" t="n">
        <f aca="false">SUMIF(I$12:AB$12,"总值",I234:AB234)</f>
        <v>0</v>
      </c>
      <c r="I234" s="506"/>
      <c r="J234" s="506"/>
      <c r="K234" s="506"/>
      <c r="L234" s="506"/>
      <c r="M234" s="506"/>
      <c r="N234" s="506"/>
      <c r="O234" s="506"/>
      <c r="P234" s="506"/>
      <c r="Q234" s="506"/>
      <c r="R234" s="506"/>
      <c r="S234" s="506"/>
      <c r="T234" s="506"/>
      <c r="U234" s="506"/>
      <c r="V234" s="506"/>
      <c r="W234" s="506"/>
      <c r="X234" s="506"/>
      <c r="Y234" s="506"/>
      <c r="Z234" s="506"/>
      <c r="AA234" s="506"/>
      <c r="AB234" s="506"/>
      <c r="AC234" s="502" t="n">
        <f aca="false">SUMIF(AD$12:AS$12,"总值",AD234:AS234)</f>
        <v>0</v>
      </c>
      <c r="AD234" s="507"/>
      <c r="AE234" s="507"/>
      <c r="AF234" s="507"/>
      <c r="AG234" s="507"/>
      <c r="AH234" s="507"/>
      <c r="AI234" s="507"/>
      <c r="AJ234" s="507"/>
      <c r="AK234" s="507"/>
      <c r="AL234" s="507"/>
      <c r="AM234" s="507"/>
      <c r="AN234" s="507"/>
      <c r="AO234" s="507"/>
      <c r="AP234" s="507"/>
      <c r="AQ234" s="507"/>
      <c r="AR234" s="507"/>
      <c r="AS234" s="507"/>
      <c r="AT234" s="508"/>
      <c r="AU234" s="509"/>
      <c r="AV234" s="510" t="n">
        <f aca="false">A234</f>
        <v>0</v>
      </c>
      <c r="AW234" s="510" t="n">
        <f aca="false">B234</f>
        <v>0</v>
      </c>
      <c r="AX234" s="510" t="n">
        <f aca="false">C234</f>
        <v>0</v>
      </c>
      <c r="AY234" s="511" t="n">
        <f aca="false">ROUND($AY$6*AZ234/$AZ$5,2)</f>
        <v>0</v>
      </c>
      <c r="AZ234" s="502" t="n">
        <f aca="false">BA234+BL234</f>
        <v>0</v>
      </c>
      <c r="BA234" s="502" t="n">
        <f aca="false">SUM(BB234:BK234)</f>
        <v>0</v>
      </c>
      <c r="BB234" s="502" t="n">
        <f aca="false">IF($D234="是",I234-J234,0)</f>
        <v>0</v>
      </c>
      <c r="BC234" s="502" t="n">
        <f aca="false">IF($D234="是",K234-L234,0)</f>
        <v>0</v>
      </c>
      <c r="BD234" s="502" t="n">
        <f aca="false">IF($D234="是",M234-N234,0)</f>
        <v>0</v>
      </c>
      <c r="BE234" s="502" t="n">
        <f aca="false">IF($D234="是",O234-P234,0)</f>
        <v>0</v>
      </c>
      <c r="BF234" s="502" t="n">
        <f aca="false">IF($D234="是",Q234-R234,0)</f>
        <v>0</v>
      </c>
      <c r="BG234" s="502" t="n">
        <f aca="false">IF($D234="是",S234-T234,0)</f>
        <v>0</v>
      </c>
      <c r="BH234" s="502" t="n">
        <f aca="false">IF($D234="是",U234-V234,0)</f>
        <v>0</v>
      </c>
      <c r="BI234" s="502" t="n">
        <f aca="false">IF($D234="是",W234-X234,0)</f>
        <v>0</v>
      </c>
      <c r="BJ234" s="502" t="n">
        <f aca="false">IF($D234="是",Y234-Z234,0)</f>
        <v>0</v>
      </c>
      <c r="BK234" s="502" t="n">
        <f aca="false">IF($D234="是",AA234-AB234,0)</f>
        <v>0</v>
      </c>
      <c r="BL234" s="502" t="n">
        <f aca="false">SUM(BM234:BT234)</f>
        <v>0</v>
      </c>
      <c r="BM234" s="502" t="n">
        <f aca="false">IF($D234="是",AD234-AE234,0)</f>
        <v>0</v>
      </c>
      <c r="BN234" s="502" t="n">
        <f aca="false">IF($D234="是",AF234-AG234,0)</f>
        <v>0</v>
      </c>
      <c r="BO234" s="502" t="n">
        <f aca="false">IF($D234="是",AH234-AI234,0)</f>
        <v>0</v>
      </c>
      <c r="BP234" s="502" t="n">
        <f aca="false">IF($D234="是",AJ234-AK234,0)</f>
        <v>0</v>
      </c>
      <c r="BQ234" s="502" t="n">
        <f aca="false">IF($D234="是",AL234-AM234,0)</f>
        <v>0</v>
      </c>
      <c r="BR234" s="502" t="n">
        <f aca="false">IF($D234="是",AN234-AO234,0)</f>
        <v>0</v>
      </c>
      <c r="BS234" s="502" t="n">
        <f aca="false">IF($D234="是",AP234-AQ234,0)</f>
        <v>0</v>
      </c>
      <c r="BT234" s="512" t="n">
        <f aca="false">IF($D234="是",AR234-AS234,0)</f>
        <v>0</v>
      </c>
    </row>
    <row r="235" customFormat="false" ht="14.25" hidden="false" customHeight="false" outlineLevel="0" collapsed="false">
      <c r="A235" s="499"/>
      <c r="B235" s="500"/>
      <c r="C235" s="500"/>
      <c r="D235" s="501"/>
      <c r="E235" s="502" t="n">
        <f aca="false">IF($C$3="是",ROUND($A$3*G235/$B$3,2),ROUND($A$3*(G235-AT235)/$B$3,2))</f>
        <v>0</v>
      </c>
      <c r="F235" s="503"/>
      <c r="G235" s="504" t="n">
        <f aca="false">H235+AC235+AT235</f>
        <v>0</v>
      </c>
      <c r="H235" s="505" t="n">
        <f aca="false">SUMIF(I$12:AB$12,"总值",I235:AB235)</f>
        <v>0</v>
      </c>
      <c r="I235" s="506"/>
      <c r="J235" s="506"/>
      <c r="K235" s="506"/>
      <c r="L235" s="506"/>
      <c r="M235" s="506"/>
      <c r="N235" s="506"/>
      <c r="O235" s="506"/>
      <c r="P235" s="506"/>
      <c r="Q235" s="506"/>
      <c r="R235" s="506"/>
      <c r="S235" s="506"/>
      <c r="T235" s="506"/>
      <c r="U235" s="506"/>
      <c r="V235" s="506"/>
      <c r="W235" s="506"/>
      <c r="X235" s="506"/>
      <c r="Y235" s="506"/>
      <c r="Z235" s="506"/>
      <c r="AA235" s="506"/>
      <c r="AB235" s="506"/>
      <c r="AC235" s="502" t="n">
        <f aca="false">SUMIF(AD$12:AS$12,"总值",AD235:AS235)</f>
        <v>0</v>
      </c>
      <c r="AD235" s="507"/>
      <c r="AE235" s="507"/>
      <c r="AF235" s="507"/>
      <c r="AG235" s="507"/>
      <c r="AH235" s="507"/>
      <c r="AI235" s="507"/>
      <c r="AJ235" s="507"/>
      <c r="AK235" s="507"/>
      <c r="AL235" s="507"/>
      <c r="AM235" s="507"/>
      <c r="AN235" s="507"/>
      <c r="AO235" s="507"/>
      <c r="AP235" s="507"/>
      <c r="AQ235" s="507"/>
      <c r="AR235" s="507"/>
      <c r="AS235" s="507"/>
      <c r="AT235" s="508"/>
      <c r="AU235" s="509"/>
      <c r="AV235" s="510" t="n">
        <f aca="false">A235</f>
        <v>0</v>
      </c>
      <c r="AW235" s="510" t="n">
        <f aca="false">B235</f>
        <v>0</v>
      </c>
      <c r="AX235" s="510" t="n">
        <f aca="false">C235</f>
        <v>0</v>
      </c>
      <c r="AY235" s="511" t="n">
        <f aca="false">ROUND($AY$6*AZ235/$AZ$5,2)</f>
        <v>0</v>
      </c>
      <c r="AZ235" s="502" t="n">
        <f aca="false">BA235+BL235</f>
        <v>0</v>
      </c>
      <c r="BA235" s="502" t="n">
        <f aca="false">SUM(BB235:BK235)</f>
        <v>0</v>
      </c>
      <c r="BB235" s="502" t="n">
        <f aca="false">IF($D235="是",I235-J235,0)</f>
        <v>0</v>
      </c>
      <c r="BC235" s="502" t="n">
        <f aca="false">IF($D235="是",K235-L235,0)</f>
        <v>0</v>
      </c>
      <c r="BD235" s="502" t="n">
        <f aca="false">IF($D235="是",M235-N235,0)</f>
        <v>0</v>
      </c>
      <c r="BE235" s="502" t="n">
        <f aca="false">IF($D235="是",O235-P235,0)</f>
        <v>0</v>
      </c>
      <c r="BF235" s="502" t="n">
        <f aca="false">IF($D235="是",Q235-R235,0)</f>
        <v>0</v>
      </c>
      <c r="BG235" s="502" t="n">
        <f aca="false">IF($D235="是",S235-T235,0)</f>
        <v>0</v>
      </c>
      <c r="BH235" s="502" t="n">
        <f aca="false">IF($D235="是",U235-V235,0)</f>
        <v>0</v>
      </c>
      <c r="BI235" s="502" t="n">
        <f aca="false">IF($D235="是",W235-X235,0)</f>
        <v>0</v>
      </c>
      <c r="BJ235" s="502" t="n">
        <f aca="false">IF($D235="是",Y235-Z235,0)</f>
        <v>0</v>
      </c>
      <c r="BK235" s="502" t="n">
        <f aca="false">IF($D235="是",AA235-AB235,0)</f>
        <v>0</v>
      </c>
      <c r="BL235" s="502" t="n">
        <f aca="false">SUM(BM235:BT235)</f>
        <v>0</v>
      </c>
      <c r="BM235" s="502" t="n">
        <f aca="false">IF($D235="是",AD235-AE235,0)</f>
        <v>0</v>
      </c>
      <c r="BN235" s="502" t="n">
        <f aca="false">IF($D235="是",AF235-AG235,0)</f>
        <v>0</v>
      </c>
      <c r="BO235" s="502" t="n">
        <f aca="false">IF($D235="是",AH235-AI235,0)</f>
        <v>0</v>
      </c>
      <c r="BP235" s="502" t="n">
        <f aca="false">IF($D235="是",AJ235-AK235,0)</f>
        <v>0</v>
      </c>
      <c r="BQ235" s="502" t="n">
        <f aca="false">IF($D235="是",AL235-AM235,0)</f>
        <v>0</v>
      </c>
      <c r="BR235" s="502" t="n">
        <f aca="false">IF($D235="是",AN235-AO235,0)</f>
        <v>0</v>
      </c>
      <c r="BS235" s="502" t="n">
        <f aca="false">IF($D235="是",AP235-AQ235,0)</f>
        <v>0</v>
      </c>
      <c r="BT235" s="512" t="n">
        <f aca="false">IF($D235="是",AR235-AS235,0)</f>
        <v>0</v>
      </c>
    </row>
    <row r="236" customFormat="false" ht="14.25" hidden="false" customHeight="false" outlineLevel="0" collapsed="false">
      <c r="A236" s="499"/>
      <c r="B236" s="500"/>
      <c r="C236" s="500"/>
      <c r="D236" s="501"/>
      <c r="E236" s="502" t="n">
        <f aca="false">IF($C$3="是",ROUND($A$3*G236/$B$3,2),ROUND($A$3*(G236-AT236)/$B$3,2))</f>
        <v>0</v>
      </c>
      <c r="F236" s="503"/>
      <c r="G236" s="504" t="n">
        <f aca="false">H236+AC236+AT236</f>
        <v>0</v>
      </c>
      <c r="H236" s="505" t="n">
        <f aca="false">SUMIF(I$12:AB$12,"总值",I236:AB236)</f>
        <v>0</v>
      </c>
      <c r="I236" s="506"/>
      <c r="J236" s="506"/>
      <c r="K236" s="506"/>
      <c r="L236" s="506"/>
      <c r="M236" s="506"/>
      <c r="N236" s="506"/>
      <c r="O236" s="506"/>
      <c r="P236" s="506"/>
      <c r="Q236" s="506"/>
      <c r="R236" s="506"/>
      <c r="S236" s="506"/>
      <c r="T236" s="506"/>
      <c r="U236" s="506"/>
      <c r="V236" s="506"/>
      <c r="W236" s="506"/>
      <c r="X236" s="506"/>
      <c r="Y236" s="506"/>
      <c r="Z236" s="506"/>
      <c r="AA236" s="506"/>
      <c r="AB236" s="506"/>
      <c r="AC236" s="502" t="n">
        <f aca="false">SUMIF(AD$12:AS$12,"总值",AD236:AS236)</f>
        <v>0</v>
      </c>
      <c r="AD236" s="507"/>
      <c r="AE236" s="507"/>
      <c r="AF236" s="507"/>
      <c r="AG236" s="507"/>
      <c r="AH236" s="507"/>
      <c r="AI236" s="507"/>
      <c r="AJ236" s="507"/>
      <c r="AK236" s="507"/>
      <c r="AL236" s="507"/>
      <c r="AM236" s="507"/>
      <c r="AN236" s="507"/>
      <c r="AO236" s="507"/>
      <c r="AP236" s="507"/>
      <c r="AQ236" s="507"/>
      <c r="AR236" s="507"/>
      <c r="AS236" s="507"/>
      <c r="AT236" s="508"/>
      <c r="AU236" s="509"/>
      <c r="AV236" s="510" t="n">
        <f aca="false">A236</f>
        <v>0</v>
      </c>
      <c r="AW236" s="510" t="n">
        <f aca="false">B236</f>
        <v>0</v>
      </c>
      <c r="AX236" s="510" t="n">
        <f aca="false">C236</f>
        <v>0</v>
      </c>
      <c r="AY236" s="511" t="n">
        <f aca="false">ROUND($AY$6*AZ236/$AZ$5,2)</f>
        <v>0</v>
      </c>
      <c r="AZ236" s="502" t="n">
        <f aca="false">BA236+BL236</f>
        <v>0</v>
      </c>
      <c r="BA236" s="502" t="n">
        <f aca="false">SUM(BB236:BK236)</f>
        <v>0</v>
      </c>
      <c r="BB236" s="502" t="n">
        <f aca="false">IF($D236="是",I236-J236,0)</f>
        <v>0</v>
      </c>
      <c r="BC236" s="502" t="n">
        <f aca="false">IF($D236="是",K236-L236,0)</f>
        <v>0</v>
      </c>
      <c r="BD236" s="502" t="n">
        <f aca="false">IF($D236="是",M236-N236,0)</f>
        <v>0</v>
      </c>
      <c r="BE236" s="502" t="n">
        <f aca="false">IF($D236="是",O236-P236,0)</f>
        <v>0</v>
      </c>
      <c r="BF236" s="502" t="n">
        <f aca="false">IF($D236="是",Q236-R236,0)</f>
        <v>0</v>
      </c>
      <c r="BG236" s="502" t="n">
        <f aca="false">IF($D236="是",S236-T236,0)</f>
        <v>0</v>
      </c>
      <c r="BH236" s="502" t="n">
        <f aca="false">IF($D236="是",U236-V236,0)</f>
        <v>0</v>
      </c>
      <c r="BI236" s="502" t="n">
        <f aca="false">IF($D236="是",W236-X236,0)</f>
        <v>0</v>
      </c>
      <c r="BJ236" s="502" t="n">
        <f aca="false">IF($D236="是",Y236-Z236,0)</f>
        <v>0</v>
      </c>
      <c r="BK236" s="502" t="n">
        <f aca="false">IF($D236="是",AA236-AB236,0)</f>
        <v>0</v>
      </c>
      <c r="BL236" s="502" t="n">
        <f aca="false">SUM(BM236:BT236)</f>
        <v>0</v>
      </c>
      <c r="BM236" s="502" t="n">
        <f aca="false">IF($D236="是",AD236-AE236,0)</f>
        <v>0</v>
      </c>
      <c r="BN236" s="502" t="n">
        <f aca="false">IF($D236="是",AF236-AG236,0)</f>
        <v>0</v>
      </c>
      <c r="BO236" s="502" t="n">
        <f aca="false">IF($D236="是",AH236-AI236,0)</f>
        <v>0</v>
      </c>
      <c r="BP236" s="502" t="n">
        <f aca="false">IF($D236="是",AJ236-AK236,0)</f>
        <v>0</v>
      </c>
      <c r="BQ236" s="502" t="n">
        <f aca="false">IF($D236="是",AL236-AM236,0)</f>
        <v>0</v>
      </c>
      <c r="BR236" s="502" t="n">
        <f aca="false">IF($D236="是",AN236-AO236,0)</f>
        <v>0</v>
      </c>
      <c r="BS236" s="502" t="n">
        <f aca="false">IF($D236="是",AP236-AQ236,0)</f>
        <v>0</v>
      </c>
      <c r="BT236" s="512" t="n">
        <f aca="false">IF($D236="是",AR236-AS236,0)</f>
        <v>0</v>
      </c>
    </row>
    <row r="237" customFormat="false" ht="14.25" hidden="false" customHeight="false" outlineLevel="0" collapsed="false">
      <c r="A237" s="499"/>
      <c r="B237" s="500"/>
      <c r="C237" s="500"/>
      <c r="D237" s="501"/>
      <c r="E237" s="502" t="n">
        <f aca="false">IF($C$3="是",ROUND($A$3*G237/$B$3,2),ROUND($A$3*(G237-AT237)/$B$3,2))</f>
        <v>0</v>
      </c>
      <c r="F237" s="503"/>
      <c r="G237" s="504" t="n">
        <f aca="false">H237+AC237+AT237</f>
        <v>0</v>
      </c>
      <c r="H237" s="505" t="n">
        <f aca="false">SUMIF(I$12:AB$12,"总值",I237:AB237)</f>
        <v>0</v>
      </c>
      <c r="I237" s="506"/>
      <c r="J237" s="506"/>
      <c r="K237" s="506"/>
      <c r="L237" s="506"/>
      <c r="M237" s="506"/>
      <c r="N237" s="506"/>
      <c r="O237" s="506"/>
      <c r="P237" s="506"/>
      <c r="Q237" s="506"/>
      <c r="R237" s="506"/>
      <c r="S237" s="506"/>
      <c r="T237" s="506"/>
      <c r="U237" s="506"/>
      <c r="V237" s="506"/>
      <c r="W237" s="506"/>
      <c r="X237" s="506"/>
      <c r="Y237" s="506"/>
      <c r="Z237" s="506"/>
      <c r="AA237" s="506"/>
      <c r="AB237" s="506"/>
      <c r="AC237" s="502" t="n">
        <f aca="false">SUMIF(AD$12:AS$12,"总值",AD237:AS237)</f>
        <v>0</v>
      </c>
      <c r="AD237" s="507"/>
      <c r="AE237" s="507"/>
      <c r="AF237" s="507"/>
      <c r="AG237" s="507"/>
      <c r="AH237" s="507"/>
      <c r="AI237" s="507"/>
      <c r="AJ237" s="507"/>
      <c r="AK237" s="507"/>
      <c r="AL237" s="507"/>
      <c r="AM237" s="507"/>
      <c r="AN237" s="507"/>
      <c r="AO237" s="507"/>
      <c r="AP237" s="507"/>
      <c r="AQ237" s="507"/>
      <c r="AR237" s="507"/>
      <c r="AS237" s="507"/>
      <c r="AT237" s="508"/>
      <c r="AU237" s="509"/>
      <c r="AV237" s="510" t="n">
        <f aca="false">A237</f>
        <v>0</v>
      </c>
      <c r="AW237" s="510" t="n">
        <f aca="false">B237</f>
        <v>0</v>
      </c>
      <c r="AX237" s="510" t="n">
        <f aca="false">C237</f>
        <v>0</v>
      </c>
      <c r="AY237" s="511" t="n">
        <f aca="false">ROUND($AY$6*AZ237/$AZ$5,2)</f>
        <v>0</v>
      </c>
      <c r="AZ237" s="502" t="n">
        <f aca="false">BA237+BL237</f>
        <v>0</v>
      </c>
      <c r="BA237" s="502" t="n">
        <f aca="false">SUM(BB237:BK237)</f>
        <v>0</v>
      </c>
      <c r="BB237" s="502" t="n">
        <f aca="false">IF($D237="是",I237-J237,0)</f>
        <v>0</v>
      </c>
      <c r="BC237" s="502" t="n">
        <f aca="false">IF($D237="是",K237-L237,0)</f>
        <v>0</v>
      </c>
      <c r="BD237" s="502" t="n">
        <f aca="false">IF($D237="是",M237-N237,0)</f>
        <v>0</v>
      </c>
      <c r="BE237" s="502" t="n">
        <f aca="false">IF($D237="是",O237-P237,0)</f>
        <v>0</v>
      </c>
      <c r="BF237" s="502" t="n">
        <f aca="false">IF($D237="是",Q237-R237,0)</f>
        <v>0</v>
      </c>
      <c r="BG237" s="502" t="n">
        <f aca="false">IF($D237="是",S237-T237,0)</f>
        <v>0</v>
      </c>
      <c r="BH237" s="502" t="n">
        <f aca="false">IF($D237="是",U237-V237,0)</f>
        <v>0</v>
      </c>
      <c r="BI237" s="502" t="n">
        <f aca="false">IF($D237="是",W237-X237,0)</f>
        <v>0</v>
      </c>
      <c r="BJ237" s="502" t="n">
        <f aca="false">IF($D237="是",Y237-Z237,0)</f>
        <v>0</v>
      </c>
      <c r="BK237" s="502" t="n">
        <f aca="false">IF($D237="是",AA237-AB237,0)</f>
        <v>0</v>
      </c>
      <c r="BL237" s="502" t="n">
        <f aca="false">SUM(BM237:BT237)</f>
        <v>0</v>
      </c>
      <c r="BM237" s="502" t="n">
        <f aca="false">IF($D237="是",AD237-AE237,0)</f>
        <v>0</v>
      </c>
      <c r="BN237" s="502" t="n">
        <f aca="false">IF($D237="是",AF237-AG237,0)</f>
        <v>0</v>
      </c>
      <c r="BO237" s="502" t="n">
        <f aca="false">IF($D237="是",AH237-AI237,0)</f>
        <v>0</v>
      </c>
      <c r="BP237" s="502" t="n">
        <f aca="false">IF($D237="是",AJ237-AK237,0)</f>
        <v>0</v>
      </c>
      <c r="BQ237" s="502" t="n">
        <f aca="false">IF($D237="是",AL237-AM237,0)</f>
        <v>0</v>
      </c>
      <c r="BR237" s="502" t="n">
        <f aca="false">IF($D237="是",AN237-AO237,0)</f>
        <v>0</v>
      </c>
      <c r="BS237" s="502" t="n">
        <f aca="false">IF($D237="是",AP237-AQ237,0)</f>
        <v>0</v>
      </c>
      <c r="BT237" s="512" t="n">
        <f aca="false">IF($D237="是",AR237-AS237,0)</f>
        <v>0</v>
      </c>
    </row>
    <row r="238" customFormat="false" ht="14.25" hidden="false" customHeight="false" outlineLevel="0" collapsed="false">
      <c r="A238" s="499"/>
      <c r="B238" s="500"/>
      <c r="C238" s="500"/>
      <c r="D238" s="501"/>
      <c r="E238" s="502" t="n">
        <f aca="false">IF($C$3="是",ROUND($A$3*G238/$B$3,2),ROUND($A$3*(G238-AT238)/$B$3,2))</f>
        <v>0</v>
      </c>
      <c r="F238" s="503"/>
      <c r="G238" s="504" t="n">
        <f aca="false">H238+AC238+AT238</f>
        <v>0</v>
      </c>
      <c r="H238" s="505" t="n">
        <f aca="false">SUMIF(I$12:AB$12,"总值",I238:AB238)</f>
        <v>0</v>
      </c>
      <c r="I238" s="506"/>
      <c r="J238" s="506"/>
      <c r="K238" s="506"/>
      <c r="L238" s="506"/>
      <c r="M238" s="506"/>
      <c r="N238" s="506"/>
      <c r="O238" s="506"/>
      <c r="P238" s="506"/>
      <c r="Q238" s="506"/>
      <c r="R238" s="506"/>
      <c r="S238" s="506"/>
      <c r="T238" s="506"/>
      <c r="U238" s="506"/>
      <c r="V238" s="506"/>
      <c r="W238" s="506"/>
      <c r="X238" s="506"/>
      <c r="Y238" s="506"/>
      <c r="Z238" s="506"/>
      <c r="AA238" s="506"/>
      <c r="AB238" s="506"/>
      <c r="AC238" s="502" t="n">
        <f aca="false">SUMIF(AD$12:AS$12,"总值",AD238:AS238)</f>
        <v>0</v>
      </c>
      <c r="AD238" s="507"/>
      <c r="AE238" s="507"/>
      <c r="AF238" s="507"/>
      <c r="AG238" s="507"/>
      <c r="AH238" s="507"/>
      <c r="AI238" s="507"/>
      <c r="AJ238" s="507"/>
      <c r="AK238" s="507"/>
      <c r="AL238" s="507"/>
      <c r="AM238" s="507"/>
      <c r="AN238" s="507"/>
      <c r="AO238" s="507"/>
      <c r="AP238" s="507"/>
      <c r="AQ238" s="507"/>
      <c r="AR238" s="507"/>
      <c r="AS238" s="507"/>
      <c r="AT238" s="508"/>
      <c r="AU238" s="509"/>
      <c r="AV238" s="510" t="n">
        <f aca="false">A238</f>
        <v>0</v>
      </c>
      <c r="AW238" s="510" t="n">
        <f aca="false">B238</f>
        <v>0</v>
      </c>
      <c r="AX238" s="510" t="n">
        <f aca="false">C238</f>
        <v>0</v>
      </c>
      <c r="AY238" s="511" t="n">
        <f aca="false">ROUND($AY$6*AZ238/$AZ$5,2)</f>
        <v>0</v>
      </c>
      <c r="AZ238" s="502" t="n">
        <f aca="false">BA238+BL238</f>
        <v>0</v>
      </c>
      <c r="BA238" s="502" t="n">
        <f aca="false">SUM(BB238:BK238)</f>
        <v>0</v>
      </c>
      <c r="BB238" s="502" t="n">
        <f aca="false">IF($D238="是",I238-J238,0)</f>
        <v>0</v>
      </c>
      <c r="BC238" s="502" t="n">
        <f aca="false">IF($D238="是",K238-L238,0)</f>
        <v>0</v>
      </c>
      <c r="BD238" s="502" t="n">
        <f aca="false">IF($D238="是",M238-N238,0)</f>
        <v>0</v>
      </c>
      <c r="BE238" s="502" t="n">
        <f aca="false">IF($D238="是",O238-P238,0)</f>
        <v>0</v>
      </c>
      <c r="BF238" s="502" t="n">
        <f aca="false">IF($D238="是",Q238-R238,0)</f>
        <v>0</v>
      </c>
      <c r="BG238" s="502" t="n">
        <f aca="false">IF($D238="是",S238-T238,0)</f>
        <v>0</v>
      </c>
      <c r="BH238" s="502" t="n">
        <f aca="false">IF($D238="是",U238-V238,0)</f>
        <v>0</v>
      </c>
      <c r="BI238" s="502" t="n">
        <f aca="false">IF($D238="是",W238-X238,0)</f>
        <v>0</v>
      </c>
      <c r="BJ238" s="502" t="n">
        <f aca="false">IF($D238="是",Y238-Z238,0)</f>
        <v>0</v>
      </c>
      <c r="BK238" s="502" t="n">
        <f aca="false">IF($D238="是",AA238-AB238,0)</f>
        <v>0</v>
      </c>
      <c r="BL238" s="502" t="n">
        <f aca="false">SUM(BM238:BT238)</f>
        <v>0</v>
      </c>
      <c r="BM238" s="502" t="n">
        <f aca="false">IF($D238="是",AD238-AE238,0)</f>
        <v>0</v>
      </c>
      <c r="BN238" s="502" t="n">
        <f aca="false">IF($D238="是",AF238-AG238,0)</f>
        <v>0</v>
      </c>
      <c r="BO238" s="502" t="n">
        <f aca="false">IF($D238="是",AH238-AI238,0)</f>
        <v>0</v>
      </c>
      <c r="BP238" s="502" t="n">
        <f aca="false">IF($D238="是",AJ238-AK238,0)</f>
        <v>0</v>
      </c>
      <c r="BQ238" s="502" t="n">
        <f aca="false">IF($D238="是",AL238-AM238,0)</f>
        <v>0</v>
      </c>
      <c r="BR238" s="502" t="n">
        <f aca="false">IF($D238="是",AN238-AO238,0)</f>
        <v>0</v>
      </c>
      <c r="BS238" s="502" t="n">
        <f aca="false">IF($D238="是",AP238-AQ238,0)</f>
        <v>0</v>
      </c>
      <c r="BT238" s="512" t="n">
        <f aca="false">IF($D238="是",AR238-AS238,0)</f>
        <v>0</v>
      </c>
    </row>
    <row r="239" customFormat="false" ht="14.25" hidden="false" customHeight="false" outlineLevel="0" collapsed="false">
      <c r="A239" s="499"/>
      <c r="B239" s="500"/>
      <c r="C239" s="500"/>
      <c r="D239" s="501"/>
      <c r="E239" s="502" t="n">
        <f aca="false">IF($C$3="是",ROUND($A$3*G239/$B$3,2),ROUND($A$3*(G239-AT239)/$B$3,2))</f>
        <v>0</v>
      </c>
      <c r="F239" s="503"/>
      <c r="G239" s="504" t="n">
        <f aca="false">H239+AC239+AT239</f>
        <v>0</v>
      </c>
      <c r="H239" s="505" t="n">
        <f aca="false">SUMIF(I$12:AB$12,"总值",I239:AB239)</f>
        <v>0</v>
      </c>
      <c r="I239" s="506"/>
      <c r="J239" s="506"/>
      <c r="K239" s="506"/>
      <c r="L239" s="506"/>
      <c r="M239" s="506"/>
      <c r="N239" s="506"/>
      <c r="O239" s="506"/>
      <c r="P239" s="506"/>
      <c r="Q239" s="506"/>
      <c r="R239" s="506"/>
      <c r="S239" s="506"/>
      <c r="T239" s="506"/>
      <c r="U239" s="506"/>
      <c r="V239" s="506"/>
      <c r="W239" s="506"/>
      <c r="X239" s="506"/>
      <c r="Y239" s="506"/>
      <c r="Z239" s="506"/>
      <c r="AA239" s="506"/>
      <c r="AB239" s="506"/>
      <c r="AC239" s="502" t="n">
        <f aca="false">SUMIF(AD$12:AS$12,"总值",AD239:AS239)</f>
        <v>0</v>
      </c>
      <c r="AD239" s="507"/>
      <c r="AE239" s="507"/>
      <c r="AF239" s="507"/>
      <c r="AG239" s="507"/>
      <c r="AH239" s="507"/>
      <c r="AI239" s="507"/>
      <c r="AJ239" s="507"/>
      <c r="AK239" s="507"/>
      <c r="AL239" s="507"/>
      <c r="AM239" s="507"/>
      <c r="AN239" s="507"/>
      <c r="AO239" s="507"/>
      <c r="AP239" s="507"/>
      <c r="AQ239" s="507"/>
      <c r="AR239" s="507"/>
      <c r="AS239" s="507"/>
      <c r="AT239" s="508"/>
      <c r="AU239" s="509"/>
      <c r="AV239" s="510" t="n">
        <f aca="false">A239</f>
        <v>0</v>
      </c>
      <c r="AW239" s="510" t="n">
        <f aca="false">B239</f>
        <v>0</v>
      </c>
      <c r="AX239" s="510" t="n">
        <f aca="false">C239</f>
        <v>0</v>
      </c>
      <c r="AY239" s="511" t="n">
        <f aca="false">ROUND($AY$6*AZ239/$AZ$5,2)</f>
        <v>0</v>
      </c>
      <c r="AZ239" s="502" t="n">
        <f aca="false">BA239+BL239</f>
        <v>0</v>
      </c>
      <c r="BA239" s="502" t="n">
        <f aca="false">SUM(BB239:BK239)</f>
        <v>0</v>
      </c>
      <c r="BB239" s="502" t="n">
        <f aca="false">IF($D239="是",I239-J239,0)</f>
        <v>0</v>
      </c>
      <c r="BC239" s="502" t="n">
        <f aca="false">IF($D239="是",K239-L239,0)</f>
        <v>0</v>
      </c>
      <c r="BD239" s="502" t="n">
        <f aca="false">IF($D239="是",M239-N239,0)</f>
        <v>0</v>
      </c>
      <c r="BE239" s="502" t="n">
        <f aca="false">IF($D239="是",O239-P239,0)</f>
        <v>0</v>
      </c>
      <c r="BF239" s="502" t="n">
        <f aca="false">IF($D239="是",Q239-R239,0)</f>
        <v>0</v>
      </c>
      <c r="BG239" s="502" t="n">
        <f aca="false">IF($D239="是",S239-T239,0)</f>
        <v>0</v>
      </c>
      <c r="BH239" s="502" t="n">
        <f aca="false">IF($D239="是",U239-V239,0)</f>
        <v>0</v>
      </c>
      <c r="BI239" s="502" t="n">
        <f aca="false">IF($D239="是",W239-X239,0)</f>
        <v>0</v>
      </c>
      <c r="BJ239" s="502" t="n">
        <f aca="false">IF($D239="是",Y239-Z239,0)</f>
        <v>0</v>
      </c>
      <c r="BK239" s="502" t="n">
        <f aca="false">IF($D239="是",AA239-AB239,0)</f>
        <v>0</v>
      </c>
      <c r="BL239" s="502" t="n">
        <f aca="false">SUM(BM239:BT239)</f>
        <v>0</v>
      </c>
      <c r="BM239" s="502" t="n">
        <f aca="false">IF($D239="是",AD239-AE239,0)</f>
        <v>0</v>
      </c>
      <c r="BN239" s="502" t="n">
        <f aca="false">IF($D239="是",AF239-AG239,0)</f>
        <v>0</v>
      </c>
      <c r="BO239" s="502" t="n">
        <f aca="false">IF($D239="是",AH239-AI239,0)</f>
        <v>0</v>
      </c>
      <c r="BP239" s="502" t="n">
        <f aca="false">IF($D239="是",AJ239-AK239,0)</f>
        <v>0</v>
      </c>
      <c r="BQ239" s="502" t="n">
        <f aca="false">IF($D239="是",AL239-AM239,0)</f>
        <v>0</v>
      </c>
      <c r="BR239" s="502" t="n">
        <f aca="false">IF($D239="是",AN239-AO239,0)</f>
        <v>0</v>
      </c>
      <c r="BS239" s="502" t="n">
        <f aca="false">IF($D239="是",AP239-AQ239,0)</f>
        <v>0</v>
      </c>
      <c r="BT239" s="512" t="n">
        <f aca="false">IF($D239="是",AR239-AS239,0)</f>
        <v>0</v>
      </c>
    </row>
    <row r="240" customFormat="false" ht="14.25" hidden="false" customHeight="false" outlineLevel="0" collapsed="false">
      <c r="A240" s="499"/>
      <c r="B240" s="500"/>
      <c r="C240" s="500"/>
      <c r="D240" s="501"/>
      <c r="E240" s="502" t="n">
        <f aca="false">IF($C$3="是",ROUND($A$3*G240/$B$3,2),ROUND($A$3*(G240-AT240)/$B$3,2))</f>
        <v>0</v>
      </c>
      <c r="F240" s="503"/>
      <c r="G240" s="504" t="n">
        <f aca="false">H240+AC240+AT240</f>
        <v>0</v>
      </c>
      <c r="H240" s="505" t="n">
        <f aca="false">SUMIF(I$12:AB$12,"总值",I240:AB240)</f>
        <v>0</v>
      </c>
      <c r="I240" s="506"/>
      <c r="J240" s="506"/>
      <c r="K240" s="506"/>
      <c r="L240" s="506"/>
      <c r="M240" s="506"/>
      <c r="N240" s="506"/>
      <c r="O240" s="506"/>
      <c r="P240" s="506"/>
      <c r="Q240" s="506"/>
      <c r="R240" s="506"/>
      <c r="S240" s="506"/>
      <c r="T240" s="506"/>
      <c r="U240" s="506"/>
      <c r="V240" s="506"/>
      <c r="W240" s="506"/>
      <c r="X240" s="506"/>
      <c r="Y240" s="506"/>
      <c r="Z240" s="506"/>
      <c r="AA240" s="506"/>
      <c r="AB240" s="506"/>
      <c r="AC240" s="502" t="n">
        <f aca="false">SUMIF(AD$12:AS$12,"总值",AD240:AS240)</f>
        <v>0</v>
      </c>
      <c r="AD240" s="507"/>
      <c r="AE240" s="507"/>
      <c r="AF240" s="507"/>
      <c r="AG240" s="507"/>
      <c r="AH240" s="507"/>
      <c r="AI240" s="507"/>
      <c r="AJ240" s="507"/>
      <c r="AK240" s="507"/>
      <c r="AL240" s="507"/>
      <c r="AM240" s="507"/>
      <c r="AN240" s="507"/>
      <c r="AO240" s="507"/>
      <c r="AP240" s="507"/>
      <c r="AQ240" s="507"/>
      <c r="AR240" s="507"/>
      <c r="AS240" s="507"/>
      <c r="AT240" s="508"/>
      <c r="AU240" s="509"/>
      <c r="AV240" s="510" t="n">
        <f aca="false">A240</f>
        <v>0</v>
      </c>
      <c r="AW240" s="510" t="n">
        <f aca="false">B240</f>
        <v>0</v>
      </c>
      <c r="AX240" s="510" t="n">
        <f aca="false">C240</f>
        <v>0</v>
      </c>
      <c r="AY240" s="511" t="n">
        <f aca="false">ROUND($AY$6*AZ240/$AZ$5,2)</f>
        <v>0</v>
      </c>
      <c r="AZ240" s="502" t="n">
        <f aca="false">BA240+BL240</f>
        <v>0</v>
      </c>
      <c r="BA240" s="502" t="n">
        <f aca="false">SUM(BB240:BK240)</f>
        <v>0</v>
      </c>
      <c r="BB240" s="502" t="n">
        <f aca="false">IF($D240="是",I240-J240,0)</f>
        <v>0</v>
      </c>
      <c r="BC240" s="502" t="n">
        <f aca="false">IF($D240="是",K240-L240,0)</f>
        <v>0</v>
      </c>
      <c r="BD240" s="502" t="n">
        <f aca="false">IF($D240="是",M240-N240,0)</f>
        <v>0</v>
      </c>
      <c r="BE240" s="502" t="n">
        <f aca="false">IF($D240="是",O240-P240,0)</f>
        <v>0</v>
      </c>
      <c r="BF240" s="502" t="n">
        <f aca="false">IF($D240="是",Q240-R240,0)</f>
        <v>0</v>
      </c>
      <c r="BG240" s="502" t="n">
        <f aca="false">IF($D240="是",S240-T240,0)</f>
        <v>0</v>
      </c>
      <c r="BH240" s="502" t="n">
        <f aca="false">IF($D240="是",U240-V240,0)</f>
        <v>0</v>
      </c>
      <c r="BI240" s="502" t="n">
        <f aca="false">IF($D240="是",W240-X240,0)</f>
        <v>0</v>
      </c>
      <c r="BJ240" s="502" t="n">
        <f aca="false">IF($D240="是",Y240-Z240,0)</f>
        <v>0</v>
      </c>
      <c r="BK240" s="502" t="n">
        <f aca="false">IF($D240="是",AA240-AB240,0)</f>
        <v>0</v>
      </c>
      <c r="BL240" s="502" t="n">
        <f aca="false">SUM(BM240:BT240)</f>
        <v>0</v>
      </c>
      <c r="BM240" s="502" t="n">
        <f aca="false">IF($D240="是",AD240-AE240,0)</f>
        <v>0</v>
      </c>
      <c r="BN240" s="502" t="n">
        <f aca="false">IF($D240="是",AF240-AG240,0)</f>
        <v>0</v>
      </c>
      <c r="BO240" s="502" t="n">
        <f aca="false">IF($D240="是",AH240-AI240,0)</f>
        <v>0</v>
      </c>
      <c r="BP240" s="502" t="n">
        <f aca="false">IF($D240="是",AJ240-AK240,0)</f>
        <v>0</v>
      </c>
      <c r="BQ240" s="502" t="n">
        <f aca="false">IF($D240="是",AL240-AM240,0)</f>
        <v>0</v>
      </c>
      <c r="BR240" s="502" t="n">
        <f aca="false">IF($D240="是",AN240-AO240,0)</f>
        <v>0</v>
      </c>
      <c r="BS240" s="502" t="n">
        <f aca="false">IF($D240="是",AP240-AQ240,0)</f>
        <v>0</v>
      </c>
      <c r="BT240" s="512" t="n">
        <f aca="false">IF($D240="是",AR240-AS240,0)</f>
        <v>0</v>
      </c>
    </row>
    <row r="241" customFormat="false" ht="14.25" hidden="false" customHeight="false" outlineLevel="0" collapsed="false">
      <c r="A241" s="499"/>
      <c r="B241" s="500"/>
      <c r="C241" s="500"/>
      <c r="D241" s="501"/>
      <c r="E241" s="502" t="n">
        <f aca="false">IF($C$3="是",ROUND($A$3*G241/$B$3,2),ROUND($A$3*(G241-AT241)/$B$3,2))</f>
        <v>0</v>
      </c>
      <c r="F241" s="503"/>
      <c r="G241" s="504" t="n">
        <f aca="false">H241+AC241+AT241</f>
        <v>0</v>
      </c>
      <c r="H241" s="505" t="n">
        <f aca="false">SUMIF(I$12:AB$12,"总值",I241:AB241)</f>
        <v>0</v>
      </c>
      <c r="I241" s="506"/>
      <c r="J241" s="506"/>
      <c r="K241" s="506"/>
      <c r="L241" s="506"/>
      <c r="M241" s="506"/>
      <c r="N241" s="506"/>
      <c r="O241" s="506"/>
      <c r="P241" s="506"/>
      <c r="Q241" s="506"/>
      <c r="R241" s="506"/>
      <c r="S241" s="506"/>
      <c r="T241" s="506"/>
      <c r="U241" s="506"/>
      <c r="V241" s="506"/>
      <c r="W241" s="506"/>
      <c r="X241" s="506"/>
      <c r="Y241" s="506"/>
      <c r="Z241" s="506"/>
      <c r="AA241" s="506"/>
      <c r="AB241" s="506"/>
      <c r="AC241" s="502" t="n">
        <f aca="false">SUMIF(AD$12:AS$12,"总值",AD241:AS241)</f>
        <v>0</v>
      </c>
      <c r="AD241" s="507"/>
      <c r="AE241" s="507"/>
      <c r="AF241" s="507"/>
      <c r="AG241" s="507"/>
      <c r="AH241" s="507"/>
      <c r="AI241" s="507"/>
      <c r="AJ241" s="507"/>
      <c r="AK241" s="507"/>
      <c r="AL241" s="507"/>
      <c r="AM241" s="507"/>
      <c r="AN241" s="507"/>
      <c r="AO241" s="507"/>
      <c r="AP241" s="507"/>
      <c r="AQ241" s="507"/>
      <c r="AR241" s="507"/>
      <c r="AS241" s="507"/>
      <c r="AT241" s="508"/>
      <c r="AU241" s="509"/>
      <c r="AV241" s="510" t="n">
        <f aca="false">A241</f>
        <v>0</v>
      </c>
      <c r="AW241" s="510" t="n">
        <f aca="false">B241</f>
        <v>0</v>
      </c>
      <c r="AX241" s="510" t="n">
        <f aca="false">C241</f>
        <v>0</v>
      </c>
      <c r="AY241" s="511" t="n">
        <f aca="false">ROUND($AY$6*AZ241/$AZ$5,2)</f>
        <v>0</v>
      </c>
      <c r="AZ241" s="502" t="n">
        <f aca="false">BA241+BL241</f>
        <v>0</v>
      </c>
      <c r="BA241" s="502" t="n">
        <f aca="false">SUM(BB241:BK241)</f>
        <v>0</v>
      </c>
      <c r="BB241" s="502" t="n">
        <f aca="false">IF($D241="是",I241-J241,0)</f>
        <v>0</v>
      </c>
      <c r="BC241" s="502" t="n">
        <f aca="false">IF($D241="是",K241-L241,0)</f>
        <v>0</v>
      </c>
      <c r="BD241" s="502" t="n">
        <f aca="false">IF($D241="是",M241-N241,0)</f>
        <v>0</v>
      </c>
      <c r="BE241" s="502" t="n">
        <f aca="false">IF($D241="是",O241-P241,0)</f>
        <v>0</v>
      </c>
      <c r="BF241" s="502" t="n">
        <f aca="false">IF($D241="是",Q241-R241,0)</f>
        <v>0</v>
      </c>
      <c r="BG241" s="502" t="n">
        <f aca="false">IF($D241="是",S241-T241,0)</f>
        <v>0</v>
      </c>
      <c r="BH241" s="502" t="n">
        <f aca="false">IF($D241="是",U241-V241,0)</f>
        <v>0</v>
      </c>
      <c r="BI241" s="502" t="n">
        <f aca="false">IF($D241="是",W241-X241,0)</f>
        <v>0</v>
      </c>
      <c r="BJ241" s="502" t="n">
        <f aca="false">IF($D241="是",Y241-Z241,0)</f>
        <v>0</v>
      </c>
      <c r="BK241" s="502" t="n">
        <f aca="false">IF($D241="是",AA241-AB241,0)</f>
        <v>0</v>
      </c>
      <c r="BL241" s="502" t="n">
        <f aca="false">SUM(BM241:BT241)</f>
        <v>0</v>
      </c>
      <c r="BM241" s="502" t="n">
        <f aca="false">IF($D241="是",AD241-AE241,0)</f>
        <v>0</v>
      </c>
      <c r="BN241" s="502" t="n">
        <f aca="false">IF($D241="是",AF241-AG241,0)</f>
        <v>0</v>
      </c>
      <c r="BO241" s="502" t="n">
        <f aca="false">IF($D241="是",AH241-AI241,0)</f>
        <v>0</v>
      </c>
      <c r="BP241" s="502" t="n">
        <f aca="false">IF($D241="是",AJ241-AK241,0)</f>
        <v>0</v>
      </c>
      <c r="BQ241" s="502" t="n">
        <f aca="false">IF($D241="是",AL241-AM241,0)</f>
        <v>0</v>
      </c>
      <c r="BR241" s="502" t="n">
        <f aca="false">IF($D241="是",AN241-AO241,0)</f>
        <v>0</v>
      </c>
      <c r="BS241" s="502" t="n">
        <f aca="false">IF($D241="是",AP241-AQ241,0)</f>
        <v>0</v>
      </c>
      <c r="BT241" s="512" t="n">
        <f aca="false">IF($D241="是",AR241-AS241,0)</f>
        <v>0</v>
      </c>
    </row>
    <row r="242" customFormat="false" ht="14.25" hidden="false" customHeight="false" outlineLevel="0" collapsed="false">
      <c r="A242" s="499"/>
      <c r="B242" s="500"/>
      <c r="C242" s="500"/>
      <c r="D242" s="501"/>
      <c r="E242" s="502" t="n">
        <f aca="false">IF($C$3="是",ROUND($A$3*G242/$B$3,2),ROUND($A$3*(G242-AT242)/$B$3,2))</f>
        <v>0</v>
      </c>
      <c r="F242" s="503"/>
      <c r="G242" s="504" t="n">
        <f aca="false">H242+AC242+AT242</f>
        <v>0</v>
      </c>
      <c r="H242" s="505" t="n">
        <f aca="false">SUMIF(I$12:AB$12,"总值",I242:AB242)</f>
        <v>0</v>
      </c>
      <c r="I242" s="506"/>
      <c r="J242" s="506"/>
      <c r="K242" s="506"/>
      <c r="L242" s="506"/>
      <c r="M242" s="506"/>
      <c r="N242" s="506"/>
      <c r="O242" s="506"/>
      <c r="P242" s="506"/>
      <c r="Q242" s="506"/>
      <c r="R242" s="506"/>
      <c r="S242" s="506"/>
      <c r="T242" s="506"/>
      <c r="U242" s="506"/>
      <c r="V242" s="506"/>
      <c r="W242" s="506"/>
      <c r="X242" s="506"/>
      <c r="Y242" s="506"/>
      <c r="Z242" s="506"/>
      <c r="AA242" s="506"/>
      <c r="AB242" s="506"/>
      <c r="AC242" s="502" t="n">
        <f aca="false">SUMIF(AD$12:AS$12,"总值",AD242:AS242)</f>
        <v>0</v>
      </c>
      <c r="AD242" s="507"/>
      <c r="AE242" s="507"/>
      <c r="AF242" s="507"/>
      <c r="AG242" s="507"/>
      <c r="AH242" s="507"/>
      <c r="AI242" s="507"/>
      <c r="AJ242" s="507"/>
      <c r="AK242" s="507"/>
      <c r="AL242" s="507"/>
      <c r="AM242" s="507"/>
      <c r="AN242" s="507"/>
      <c r="AO242" s="507"/>
      <c r="AP242" s="507"/>
      <c r="AQ242" s="507"/>
      <c r="AR242" s="507"/>
      <c r="AS242" s="507"/>
      <c r="AT242" s="508"/>
      <c r="AU242" s="509"/>
      <c r="AV242" s="510" t="n">
        <f aca="false">A242</f>
        <v>0</v>
      </c>
      <c r="AW242" s="510" t="n">
        <f aca="false">B242</f>
        <v>0</v>
      </c>
      <c r="AX242" s="510" t="n">
        <f aca="false">C242</f>
        <v>0</v>
      </c>
      <c r="AY242" s="511" t="n">
        <f aca="false">ROUND($AY$6*AZ242/$AZ$5,2)</f>
        <v>0</v>
      </c>
      <c r="AZ242" s="502" t="n">
        <f aca="false">BA242+BL242</f>
        <v>0</v>
      </c>
      <c r="BA242" s="502" t="n">
        <f aca="false">SUM(BB242:BK242)</f>
        <v>0</v>
      </c>
      <c r="BB242" s="502" t="n">
        <f aca="false">IF($D242="是",I242-J242,0)</f>
        <v>0</v>
      </c>
      <c r="BC242" s="502" t="n">
        <f aca="false">IF($D242="是",K242-L242,0)</f>
        <v>0</v>
      </c>
      <c r="BD242" s="502" t="n">
        <f aca="false">IF($D242="是",M242-N242,0)</f>
        <v>0</v>
      </c>
      <c r="BE242" s="502" t="n">
        <f aca="false">IF($D242="是",O242-P242,0)</f>
        <v>0</v>
      </c>
      <c r="BF242" s="502" t="n">
        <f aca="false">IF($D242="是",Q242-R242,0)</f>
        <v>0</v>
      </c>
      <c r="BG242" s="502" t="n">
        <f aca="false">IF($D242="是",S242-T242,0)</f>
        <v>0</v>
      </c>
      <c r="BH242" s="502" t="n">
        <f aca="false">IF($D242="是",U242-V242,0)</f>
        <v>0</v>
      </c>
      <c r="BI242" s="502" t="n">
        <f aca="false">IF($D242="是",W242-X242,0)</f>
        <v>0</v>
      </c>
      <c r="BJ242" s="502" t="n">
        <f aca="false">IF($D242="是",Y242-Z242,0)</f>
        <v>0</v>
      </c>
      <c r="BK242" s="502" t="n">
        <f aca="false">IF($D242="是",AA242-AB242,0)</f>
        <v>0</v>
      </c>
      <c r="BL242" s="502" t="n">
        <f aca="false">SUM(BM242:BT242)</f>
        <v>0</v>
      </c>
      <c r="BM242" s="502" t="n">
        <f aca="false">IF($D242="是",AD242-AE242,0)</f>
        <v>0</v>
      </c>
      <c r="BN242" s="502" t="n">
        <f aca="false">IF($D242="是",AF242-AG242,0)</f>
        <v>0</v>
      </c>
      <c r="BO242" s="502" t="n">
        <f aca="false">IF($D242="是",AH242-AI242,0)</f>
        <v>0</v>
      </c>
      <c r="BP242" s="502" t="n">
        <f aca="false">IF($D242="是",AJ242-AK242,0)</f>
        <v>0</v>
      </c>
      <c r="BQ242" s="502" t="n">
        <f aca="false">IF($D242="是",AL242-AM242,0)</f>
        <v>0</v>
      </c>
      <c r="BR242" s="502" t="n">
        <f aca="false">IF($D242="是",AN242-AO242,0)</f>
        <v>0</v>
      </c>
      <c r="BS242" s="502" t="n">
        <f aca="false">IF($D242="是",AP242-AQ242,0)</f>
        <v>0</v>
      </c>
      <c r="BT242" s="512" t="n">
        <f aca="false">IF($D242="是",AR242-AS242,0)</f>
        <v>0</v>
      </c>
    </row>
    <row r="243" customFormat="false" ht="14.25" hidden="false" customHeight="false" outlineLevel="0" collapsed="false">
      <c r="A243" s="499"/>
      <c r="B243" s="500"/>
      <c r="C243" s="500"/>
      <c r="D243" s="501"/>
      <c r="E243" s="502" t="n">
        <f aca="false">IF($C$3="是",ROUND($A$3*G243/$B$3,2),ROUND($A$3*(G243-AT243)/$B$3,2))</f>
        <v>0</v>
      </c>
      <c r="F243" s="503"/>
      <c r="G243" s="504" t="n">
        <f aca="false">H243+AC243+AT243</f>
        <v>0</v>
      </c>
      <c r="H243" s="505" t="n">
        <f aca="false">SUMIF(I$12:AB$12,"总值",I243:AB243)</f>
        <v>0</v>
      </c>
      <c r="I243" s="506"/>
      <c r="J243" s="506"/>
      <c r="K243" s="506"/>
      <c r="L243" s="506"/>
      <c r="M243" s="506"/>
      <c r="N243" s="506"/>
      <c r="O243" s="506"/>
      <c r="P243" s="506"/>
      <c r="Q243" s="506"/>
      <c r="R243" s="506"/>
      <c r="S243" s="506"/>
      <c r="T243" s="506"/>
      <c r="U243" s="506"/>
      <c r="V243" s="506"/>
      <c r="W243" s="506"/>
      <c r="X243" s="506"/>
      <c r="Y243" s="506"/>
      <c r="Z243" s="506"/>
      <c r="AA243" s="506"/>
      <c r="AB243" s="506"/>
      <c r="AC243" s="502" t="n">
        <f aca="false">SUMIF(AD$12:AS$12,"总值",AD243:AS243)</f>
        <v>0</v>
      </c>
      <c r="AD243" s="507"/>
      <c r="AE243" s="507"/>
      <c r="AF243" s="507"/>
      <c r="AG243" s="507"/>
      <c r="AH243" s="507"/>
      <c r="AI243" s="507"/>
      <c r="AJ243" s="507"/>
      <c r="AK243" s="507"/>
      <c r="AL243" s="507"/>
      <c r="AM243" s="507"/>
      <c r="AN243" s="507"/>
      <c r="AO243" s="507"/>
      <c r="AP243" s="507"/>
      <c r="AQ243" s="507"/>
      <c r="AR243" s="507"/>
      <c r="AS243" s="507"/>
      <c r="AT243" s="508"/>
      <c r="AU243" s="509"/>
      <c r="AV243" s="510" t="n">
        <f aca="false">A243</f>
        <v>0</v>
      </c>
      <c r="AW243" s="510" t="n">
        <f aca="false">B243</f>
        <v>0</v>
      </c>
      <c r="AX243" s="510" t="n">
        <f aca="false">C243</f>
        <v>0</v>
      </c>
      <c r="AY243" s="511" t="n">
        <f aca="false">ROUND($AY$6*AZ243/$AZ$5,2)</f>
        <v>0</v>
      </c>
      <c r="AZ243" s="502" t="n">
        <f aca="false">BA243+BL243</f>
        <v>0</v>
      </c>
      <c r="BA243" s="502" t="n">
        <f aca="false">SUM(BB243:BK243)</f>
        <v>0</v>
      </c>
      <c r="BB243" s="502" t="n">
        <f aca="false">IF($D243="是",I243-J243,0)</f>
        <v>0</v>
      </c>
      <c r="BC243" s="502" t="n">
        <f aca="false">IF($D243="是",K243-L243,0)</f>
        <v>0</v>
      </c>
      <c r="BD243" s="502" t="n">
        <f aca="false">IF($D243="是",M243-N243,0)</f>
        <v>0</v>
      </c>
      <c r="BE243" s="502" t="n">
        <f aca="false">IF($D243="是",O243-P243,0)</f>
        <v>0</v>
      </c>
      <c r="BF243" s="502" t="n">
        <f aca="false">IF($D243="是",Q243-R243,0)</f>
        <v>0</v>
      </c>
      <c r="BG243" s="502" t="n">
        <f aca="false">IF($D243="是",S243-T243,0)</f>
        <v>0</v>
      </c>
      <c r="BH243" s="502" t="n">
        <f aca="false">IF($D243="是",U243-V243,0)</f>
        <v>0</v>
      </c>
      <c r="BI243" s="502" t="n">
        <f aca="false">IF($D243="是",W243-X243,0)</f>
        <v>0</v>
      </c>
      <c r="BJ243" s="502" t="n">
        <f aca="false">IF($D243="是",Y243-Z243,0)</f>
        <v>0</v>
      </c>
      <c r="BK243" s="502" t="n">
        <f aca="false">IF($D243="是",AA243-AB243,0)</f>
        <v>0</v>
      </c>
      <c r="BL243" s="502" t="n">
        <f aca="false">SUM(BM243:BT243)</f>
        <v>0</v>
      </c>
      <c r="BM243" s="502" t="n">
        <f aca="false">IF($D243="是",AD243-AE243,0)</f>
        <v>0</v>
      </c>
      <c r="BN243" s="502" t="n">
        <f aca="false">IF($D243="是",AF243-AG243,0)</f>
        <v>0</v>
      </c>
      <c r="BO243" s="502" t="n">
        <f aca="false">IF($D243="是",AH243-AI243,0)</f>
        <v>0</v>
      </c>
      <c r="BP243" s="502" t="n">
        <f aca="false">IF($D243="是",AJ243-AK243,0)</f>
        <v>0</v>
      </c>
      <c r="BQ243" s="502" t="n">
        <f aca="false">IF($D243="是",AL243-AM243,0)</f>
        <v>0</v>
      </c>
      <c r="BR243" s="502" t="n">
        <f aca="false">IF($D243="是",AN243-AO243,0)</f>
        <v>0</v>
      </c>
      <c r="BS243" s="502" t="n">
        <f aca="false">IF($D243="是",AP243-AQ243,0)</f>
        <v>0</v>
      </c>
      <c r="BT243" s="512" t="n">
        <f aca="false">IF($D243="是",AR243-AS243,0)</f>
        <v>0</v>
      </c>
    </row>
    <row r="244" customFormat="false" ht="14.25" hidden="false" customHeight="false" outlineLevel="0" collapsed="false">
      <c r="A244" s="499"/>
      <c r="B244" s="500"/>
      <c r="C244" s="500"/>
      <c r="D244" s="501"/>
      <c r="E244" s="502" t="n">
        <f aca="false">IF($C$3="是",ROUND($A$3*G244/$B$3,2),ROUND($A$3*(G244-AT244)/$B$3,2))</f>
        <v>0</v>
      </c>
      <c r="F244" s="503"/>
      <c r="G244" s="504" t="n">
        <f aca="false">H244+AC244+AT244</f>
        <v>0</v>
      </c>
      <c r="H244" s="505" t="n">
        <f aca="false">SUMIF(I$12:AB$12,"总值",I244:AB244)</f>
        <v>0</v>
      </c>
      <c r="I244" s="506"/>
      <c r="J244" s="506"/>
      <c r="K244" s="506"/>
      <c r="L244" s="506"/>
      <c r="M244" s="506"/>
      <c r="N244" s="506"/>
      <c r="O244" s="506"/>
      <c r="P244" s="506"/>
      <c r="Q244" s="506"/>
      <c r="R244" s="506"/>
      <c r="S244" s="506"/>
      <c r="T244" s="506"/>
      <c r="U244" s="506"/>
      <c r="V244" s="506"/>
      <c r="W244" s="506"/>
      <c r="X244" s="506"/>
      <c r="Y244" s="506"/>
      <c r="Z244" s="506"/>
      <c r="AA244" s="506"/>
      <c r="AB244" s="506"/>
      <c r="AC244" s="502" t="n">
        <f aca="false">SUMIF(AD$12:AS$12,"总值",AD244:AS244)</f>
        <v>0</v>
      </c>
      <c r="AD244" s="507"/>
      <c r="AE244" s="507"/>
      <c r="AF244" s="507"/>
      <c r="AG244" s="507"/>
      <c r="AH244" s="507"/>
      <c r="AI244" s="507"/>
      <c r="AJ244" s="507"/>
      <c r="AK244" s="507"/>
      <c r="AL244" s="507"/>
      <c r="AM244" s="507"/>
      <c r="AN244" s="507"/>
      <c r="AO244" s="507"/>
      <c r="AP244" s="507"/>
      <c r="AQ244" s="507"/>
      <c r="AR244" s="507"/>
      <c r="AS244" s="507"/>
      <c r="AT244" s="508"/>
      <c r="AU244" s="509"/>
      <c r="AV244" s="510" t="n">
        <f aca="false">A244</f>
        <v>0</v>
      </c>
      <c r="AW244" s="510" t="n">
        <f aca="false">B244</f>
        <v>0</v>
      </c>
      <c r="AX244" s="510" t="n">
        <f aca="false">C244</f>
        <v>0</v>
      </c>
      <c r="AY244" s="511" t="n">
        <f aca="false">ROUND($AY$6*AZ244/$AZ$5,2)</f>
        <v>0</v>
      </c>
      <c r="AZ244" s="502" t="n">
        <f aca="false">BA244+BL244</f>
        <v>0</v>
      </c>
      <c r="BA244" s="502" t="n">
        <f aca="false">SUM(BB244:BK244)</f>
        <v>0</v>
      </c>
      <c r="BB244" s="502" t="n">
        <f aca="false">IF($D244="是",I244-J244,0)</f>
        <v>0</v>
      </c>
      <c r="BC244" s="502" t="n">
        <f aca="false">IF($D244="是",K244-L244,0)</f>
        <v>0</v>
      </c>
      <c r="BD244" s="502" t="n">
        <f aca="false">IF($D244="是",M244-N244,0)</f>
        <v>0</v>
      </c>
      <c r="BE244" s="502" t="n">
        <f aca="false">IF($D244="是",O244-P244,0)</f>
        <v>0</v>
      </c>
      <c r="BF244" s="502" t="n">
        <f aca="false">IF($D244="是",Q244-R244,0)</f>
        <v>0</v>
      </c>
      <c r="BG244" s="502" t="n">
        <f aca="false">IF($D244="是",S244-T244,0)</f>
        <v>0</v>
      </c>
      <c r="BH244" s="502" t="n">
        <f aca="false">IF($D244="是",U244-V244,0)</f>
        <v>0</v>
      </c>
      <c r="BI244" s="502" t="n">
        <f aca="false">IF($D244="是",W244-X244,0)</f>
        <v>0</v>
      </c>
      <c r="BJ244" s="502" t="n">
        <f aca="false">IF($D244="是",Y244-Z244,0)</f>
        <v>0</v>
      </c>
      <c r="BK244" s="502" t="n">
        <f aca="false">IF($D244="是",AA244-AB244,0)</f>
        <v>0</v>
      </c>
      <c r="BL244" s="502" t="n">
        <f aca="false">SUM(BM244:BT244)</f>
        <v>0</v>
      </c>
      <c r="BM244" s="502" t="n">
        <f aca="false">IF($D244="是",AD244-AE244,0)</f>
        <v>0</v>
      </c>
      <c r="BN244" s="502" t="n">
        <f aca="false">IF($D244="是",AF244-AG244,0)</f>
        <v>0</v>
      </c>
      <c r="BO244" s="502" t="n">
        <f aca="false">IF($D244="是",AH244-AI244,0)</f>
        <v>0</v>
      </c>
      <c r="BP244" s="502" t="n">
        <f aca="false">IF($D244="是",AJ244-AK244,0)</f>
        <v>0</v>
      </c>
      <c r="BQ244" s="502" t="n">
        <f aca="false">IF($D244="是",AL244-AM244,0)</f>
        <v>0</v>
      </c>
      <c r="BR244" s="502" t="n">
        <f aca="false">IF($D244="是",AN244-AO244,0)</f>
        <v>0</v>
      </c>
      <c r="BS244" s="502" t="n">
        <f aca="false">IF($D244="是",AP244-AQ244,0)</f>
        <v>0</v>
      </c>
      <c r="BT244" s="512" t="n">
        <f aca="false">IF($D244="是",AR244-AS244,0)</f>
        <v>0</v>
      </c>
    </row>
    <row r="245" customFormat="false" ht="14.25" hidden="false" customHeight="false" outlineLevel="0" collapsed="false">
      <c r="A245" s="499"/>
      <c r="B245" s="500"/>
      <c r="C245" s="500"/>
      <c r="D245" s="501"/>
      <c r="E245" s="502" t="n">
        <f aca="false">IF($C$3="是",ROUND($A$3*G245/$B$3,2),ROUND($A$3*(G245-AT245)/$B$3,2))</f>
        <v>0</v>
      </c>
      <c r="F245" s="503"/>
      <c r="G245" s="504" t="n">
        <f aca="false">H245+AC245+AT245</f>
        <v>0</v>
      </c>
      <c r="H245" s="505" t="n">
        <f aca="false">SUMIF(I$12:AB$12,"总值",I245:AB245)</f>
        <v>0</v>
      </c>
      <c r="I245" s="506"/>
      <c r="J245" s="506"/>
      <c r="K245" s="506"/>
      <c r="L245" s="506"/>
      <c r="M245" s="506"/>
      <c r="N245" s="506"/>
      <c r="O245" s="506"/>
      <c r="P245" s="506"/>
      <c r="Q245" s="506"/>
      <c r="R245" s="506"/>
      <c r="S245" s="506"/>
      <c r="T245" s="506"/>
      <c r="U245" s="506"/>
      <c r="V245" s="506"/>
      <c r="W245" s="506"/>
      <c r="X245" s="506"/>
      <c r="Y245" s="506"/>
      <c r="Z245" s="506"/>
      <c r="AA245" s="506"/>
      <c r="AB245" s="506"/>
      <c r="AC245" s="502" t="n">
        <f aca="false">SUMIF(AD$12:AS$12,"总值",AD245:AS245)</f>
        <v>0</v>
      </c>
      <c r="AD245" s="507"/>
      <c r="AE245" s="507"/>
      <c r="AF245" s="507"/>
      <c r="AG245" s="507"/>
      <c r="AH245" s="507"/>
      <c r="AI245" s="507"/>
      <c r="AJ245" s="507"/>
      <c r="AK245" s="507"/>
      <c r="AL245" s="507"/>
      <c r="AM245" s="507"/>
      <c r="AN245" s="507"/>
      <c r="AO245" s="507"/>
      <c r="AP245" s="507"/>
      <c r="AQ245" s="507"/>
      <c r="AR245" s="507"/>
      <c r="AS245" s="507"/>
      <c r="AT245" s="508"/>
      <c r="AU245" s="509"/>
      <c r="AV245" s="510" t="n">
        <f aca="false">A245</f>
        <v>0</v>
      </c>
      <c r="AW245" s="510" t="n">
        <f aca="false">B245</f>
        <v>0</v>
      </c>
      <c r="AX245" s="510" t="n">
        <f aca="false">C245</f>
        <v>0</v>
      </c>
      <c r="AY245" s="511" t="n">
        <f aca="false">ROUND($AY$6*AZ245/$AZ$5,2)</f>
        <v>0</v>
      </c>
      <c r="AZ245" s="502" t="n">
        <f aca="false">BA245+BL245</f>
        <v>0</v>
      </c>
      <c r="BA245" s="502" t="n">
        <f aca="false">SUM(BB245:BK245)</f>
        <v>0</v>
      </c>
      <c r="BB245" s="502" t="n">
        <f aca="false">IF($D245="是",I245-J245,0)</f>
        <v>0</v>
      </c>
      <c r="BC245" s="502" t="n">
        <f aca="false">IF($D245="是",K245-L245,0)</f>
        <v>0</v>
      </c>
      <c r="BD245" s="502" t="n">
        <f aca="false">IF($D245="是",M245-N245,0)</f>
        <v>0</v>
      </c>
      <c r="BE245" s="502" t="n">
        <f aca="false">IF($D245="是",O245-P245,0)</f>
        <v>0</v>
      </c>
      <c r="BF245" s="502" t="n">
        <f aca="false">IF($D245="是",Q245-R245,0)</f>
        <v>0</v>
      </c>
      <c r="BG245" s="502" t="n">
        <f aca="false">IF($D245="是",S245-T245,0)</f>
        <v>0</v>
      </c>
      <c r="BH245" s="502" t="n">
        <f aca="false">IF($D245="是",U245-V245,0)</f>
        <v>0</v>
      </c>
      <c r="BI245" s="502" t="n">
        <f aca="false">IF($D245="是",W245-X245,0)</f>
        <v>0</v>
      </c>
      <c r="BJ245" s="502" t="n">
        <f aca="false">IF($D245="是",Y245-Z245,0)</f>
        <v>0</v>
      </c>
      <c r="BK245" s="502" t="n">
        <f aca="false">IF($D245="是",AA245-AB245,0)</f>
        <v>0</v>
      </c>
      <c r="BL245" s="502" t="n">
        <f aca="false">SUM(BM245:BT245)</f>
        <v>0</v>
      </c>
      <c r="BM245" s="502" t="n">
        <f aca="false">IF($D245="是",AD245-AE245,0)</f>
        <v>0</v>
      </c>
      <c r="BN245" s="502" t="n">
        <f aca="false">IF($D245="是",AF245-AG245,0)</f>
        <v>0</v>
      </c>
      <c r="BO245" s="502" t="n">
        <f aca="false">IF($D245="是",AH245-AI245,0)</f>
        <v>0</v>
      </c>
      <c r="BP245" s="502" t="n">
        <f aca="false">IF($D245="是",AJ245-AK245,0)</f>
        <v>0</v>
      </c>
      <c r="BQ245" s="502" t="n">
        <f aca="false">IF($D245="是",AL245-AM245,0)</f>
        <v>0</v>
      </c>
      <c r="BR245" s="502" t="n">
        <f aca="false">IF($D245="是",AN245-AO245,0)</f>
        <v>0</v>
      </c>
      <c r="BS245" s="502" t="n">
        <f aca="false">IF($D245="是",AP245-AQ245,0)</f>
        <v>0</v>
      </c>
      <c r="BT245" s="512" t="n">
        <f aca="false">IF($D245="是",AR245-AS245,0)</f>
        <v>0</v>
      </c>
    </row>
    <row r="246" customFormat="false" ht="14.25" hidden="false" customHeight="false" outlineLevel="0" collapsed="false">
      <c r="A246" s="499"/>
      <c r="B246" s="500"/>
      <c r="C246" s="500"/>
      <c r="D246" s="501"/>
      <c r="E246" s="502" t="n">
        <f aca="false">IF($C$3="是",ROUND($A$3*G246/$B$3,2),ROUND($A$3*(G246-AT246)/$B$3,2))</f>
        <v>0</v>
      </c>
      <c r="F246" s="503"/>
      <c r="G246" s="504" t="n">
        <f aca="false">H246+AC246+AT246</f>
        <v>0</v>
      </c>
      <c r="H246" s="505" t="n">
        <f aca="false">SUMIF(I$12:AB$12,"总值",I246:AB246)</f>
        <v>0</v>
      </c>
      <c r="I246" s="506"/>
      <c r="J246" s="506"/>
      <c r="K246" s="506"/>
      <c r="L246" s="506"/>
      <c r="M246" s="506"/>
      <c r="N246" s="506"/>
      <c r="O246" s="506"/>
      <c r="P246" s="506"/>
      <c r="Q246" s="506"/>
      <c r="R246" s="506"/>
      <c r="S246" s="506"/>
      <c r="T246" s="506"/>
      <c r="U246" s="506"/>
      <c r="V246" s="506"/>
      <c r="W246" s="506"/>
      <c r="X246" s="506"/>
      <c r="Y246" s="506"/>
      <c r="Z246" s="506"/>
      <c r="AA246" s="506"/>
      <c r="AB246" s="506"/>
      <c r="AC246" s="502" t="n">
        <f aca="false">SUMIF(AD$12:AS$12,"总值",AD246:AS246)</f>
        <v>0</v>
      </c>
      <c r="AD246" s="507"/>
      <c r="AE246" s="507"/>
      <c r="AF246" s="507"/>
      <c r="AG246" s="507"/>
      <c r="AH246" s="507"/>
      <c r="AI246" s="507"/>
      <c r="AJ246" s="507"/>
      <c r="AK246" s="507"/>
      <c r="AL246" s="507"/>
      <c r="AM246" s="507"/>
      <c r="AN246" s="507"/>
      <c r="AO246" s="507"/>
      <c r="AP246" s="507"/>
      <c r="AQ246" s="507"/>
      <c r="AR246" s="507"/>
      <c r="AS246" s="507"/>
      <c r="AT246" s="508"/>
      <c r="AU246" s="509"/>
      <c r="AV246" s="510" t="n">
        <f aca="false">A246</f>
        <v>0</v>
      </c>
      <c r="AW246" s="510" t="n">
        <f aca="false">B246</f>
        <v>0</v>
      </c>
      <c r="AX246" s="510" t="n">
        <f aca="false">C246</f>
        <v>0</v>
      </c>
      <c r="AY246" s="511" t="n">
        <f aca="false">ROUND($AY$6*AZ246/$AZ$5,2)</f>
        <v>0</v>
      </c>
      <c r="AZ246" s="502" t="n">
        <f aca="false">BA246+BL246</f>
        <v>0</v>
      </c>
      <c r="BA246" s="502" t="n">
        <f aca="false">SUM(BB246:BK246)</f>
        <v>0</v>
      </c>
      <c r="BB246" s="502" t="n">
        <f aca="false">IF($D246="是",I246-J246,0)</f>
        <v>0</v>
      </c>
      <c r="BC246" s="502" t="n">
        <f aca="false">IF($D246="是",K246-L246,0)</f>
        <v>0</v>
      </c>
      <c r="BD246" s="502" t="n">
        <f aca="false">IF($D246="是",M246-N246,0)</f>
        <v>0</v>
      </c>
      <c r="BE246" s="502" t="n">
        <f aca="false">IF($D246="是",O246-P246,0)</f>
        <v>0</v>
      </c>
      <c r="BF246" s="502" t="n">
        <f aca="false">IF($D246="是",Q246-R246,0)</f>
        <v>0</v>
      </c>
      <c r="BG246" s="502" t="n">
        <f aca="false">IF($D246="是",S246-T246,0)</f>
        <v>0</v>
      </c>
      <c r="BH246" s="502" t="n">
        <f aca="false">IF($D246="是",U246-V246,0)</f>
        <v>0</v>
      </c>
      <c r="BI246" s="502" t="n">
        <f aca="false">IF($D246="是",W246-X246,0)</f>
        <v>0</v>
      </c>
      <c r="BJ246" s="502" t="n">
        <f aca="false">IF($D246="是",Y246-Z246,0)</f>
        <v>0</v>
      </c>
      <c r="BK246" s="502" t="n">
        <f aca="false">IF($D246="是",AA246-AB246,0)</f>
        <v>0</v>
      </c>
      <c r="BL246" s="502" t="n">
        <f aca="false">SUM(BM246:BT246)</f>
        <v>0</v>
      </c>
      <c r="BM246" s="502" t="n">
        <f aca="false">IF($D246="是",AD246-AE246,0)</f>
        <v>0</v>
      </c>
      <c r="BN246" s="502" t="n">
        <f aca="false">IF($D246="是",AF246-AG246,0)</f>
        <v>0</v>
      </c>
      <c r="BO246" s="502" t="n">
        <f aca="false">IF($D246="是",AH246-AI246,0)</f>
        <v>0</v>
      </c>
      <c r="BP246" s="502" t="n">
        <f aca="false">IF($D246="是",AJ246-AK246,0)</f>
        <v>0</v>
      </c>
      <c r="BQ246" s="502" t="n">
        <f aca="false">IF($D246="是",AL246-AM246,0)</f>
        <v>0</v>
      </c>
      <c r="BR246" s="502" t="n">
        <f aca="false">IF($D246="是",AN246-AO246,0)</f>
        <v>0</v>
      </c>
      <c r="BS246" s="502" t="n">
        <f aca="false">IF($D246="是",AP246-AQ246,0)</f>
        <v>0</v>
      </c>
      <c r="BT246" s="512" t="n">
        <f aca="false">IF($D246="是",AR246-AS246,0)</f>
        <v>0</v>
      </c>
    </row>
    <row r="247" customFormat="false" ht="14.25" hidden="false" customHeight="false" outlineLevel="0" collapsed="false">
      <c r="A247" s="499"/>
      <c r="B247" s="500"/>
      <c r="C247" s="500"/>
      <c r="D247" s="501"/>
      <c r="E247" s="502" t="n">
        <f aca="false">IF($C$3="是",ROUND($A$3*G247/$B$3,2),ROUND($A$3*(G247-AT247)/$B$3,2))</f>
        <v>0</v>
      </c>
      <c r="F247" s="503"/>
      <c r="G247" s="504" t="n">
        <f aca="false">H247+AC247+AT247</f>
        <v>0</v>
      </c>
      <c r="H247" s="505" t="n">
        <f aca="false">SUMIF(I$12:AB$12,"总值",I247:AB247)</f>
        <v>0</v>
      </c>
      <c r="I247" s="506"/>
      <c r="J247" s="506"/>
      <c r="K247" s="506"/>
      <c r="L247" s="506"/>
      <c r="M247" s="506"/>
      <c r="N247" s="506"/>
      <c r="O247" s="506"/>
      <c r="P247" s="506"/>
      <c r="Q247" s="506"/>
      <c r="R247" s="506"/>
      <c r="S247" s="506"/>
      <c r="T247" s="506"/>
      <c r="U247" s="506"/>
      <c r="V247" s="506"/>
      <c r="W247" s="506"/>
      <c r="X247" s="506"/>
      <c r="Y247" s="506"/>
      <c r="Z247" s="506"/>
      <c r="AA247" s="506"/>
      <c r="AB247" s="506"/>
      <c r="AC247" s="502" t="n">
        <f aca="false">SUMIF(AD$12:AS$12,"总值",AD247:AS247)</f>
        <v>0</v>
      </c>
      <c r="AD247" s="507"/>
      <c r="AE247" s="507"/>
      <c r="AF247" s="507"/>
      <c r="AG247" s="507"/>
      <c r="AH247" s="507"/>
      <c r="AI247" s="507"/>
      <c r="AJ247" s="507"/>
      <c r="AK247" s="507"/>
      <c r="AL247" s="507"/>
      <c r="AM247" s="507"/>
      <c r="AN247" s="507"/>
      <c r="AO247" s="507"/>
      <c r="AP247" s="507"/>
      <c r="AQ247" s="507"/>
      <c r="AR247" s="507"/>
      <c r="AS247" s="507"/>
      <c r="AT247" s="508"/>
      <c r="AU247" s="509"/>
      <c r="AV247" s="510" t="n">
        <f aca="false">A247</f>
        <v>0</v>
      </c>
      <c r="AW247" s="510" t="n">
        <f aca="false">B247</f>
        <v>0</v>
      </c>
      <c r="AX247" s="510" t="n">
        <f aca="false">C247</f>
        <v>0</v>
      </c>
      <c r="AY247" s="511" t="n">
        <f aca="false">ROUND($AY$6*AZ247/$AZ$5,2)</f>
        <v>0</v>
      </c>
      <c r="AZ247" s="502" t="n">
        <f aca="false">BA247+BL247</f>
        <v>0</v>
      </c>
      <c r="BA247" s="502" t="n">
        <f aca="false">SUM(BB247:BK247)</f>
        <v>0</v>
      </c>
      <c r="BB247" s="502" t="n">
        <f aca="false">IF($D247="是",I247-J247,0)</f>
        <v>0</v>
      </c>
      <c r="BC247" s="502" t="n">
        <f aca="false">IF($D247="是",K247-L247,0)</f>
        <v>0</v>
      </c>
      <c r="BD247" s="502" t="n">
        <f aca="false">IF($D247="是",M247-N247,0)</f>
        <v>0</v>
      </c>
      <c r="BE247" s="502" t="n">
        <f aca="false">IF($D247="是",O247-P247,0)</f>
        <v>0</v>
      </c>
      <c r="BF247" s="502" t="n">
        <f aca="false">IF($D247="是",Q247-R247,0)</f>
        <v>0</v>
      </c>
      <c r="BG247" s="502" t="n">
        <f aca="false">IF($D247="是",S247-T247,0)</f>
        <v>0</v>
      </c>
      <c r="BH247" s="502" t="n">
        <f aca="false">IF($D247="是",U247-V247,0)</f>
        <v>0</v>
      </c>
      <c r="BI247" s="502" t="n">
        <f aca="false">IF($D247="是",W247-X247,0)</f>
        <v>0</v>
      </c>
      <c r="BJ247" s="502" t="n">
        <f aca="false">IF($D247="是",Y247-Z247,0)</f>
        <v>0</v>
      </c>
      <c r="BK247" s="502" t="n">
        <f aca="false">IF($D247="是",AA247-AB247,0)</f>
        <v>0</v>
      </c>
      <c r="BL247" s="502" t="n">
        <f aca="false">SUM(BM247:BT247)</f>
        <v>0</v>
      </c>
      <c r="BM247" s="502" t="n">
        <f aca="false">IF($D247="是",AD247-AE247,0)</f>
        <v>0</v>
      </c>
      <c r="BN247" s="502" t="n">
        <f aca="false">IF($D247="是",AF247-AG247,0)</f>
        <v>0</v>
      </c>
      <c r="BO247" s="502" t="n">
        <f aca="false">IF($D247="是",AH247-AI247,0)</f>
        <v>0</v>
      </c>
      <c r="BP247" s="502" t="n">
        <f aca="false">IF($D247="是",AJ247-AK247,0)</f>
        <v>0</v>
      </c>
      <c r="BQ247" s="502" t="n">
        <f aca="false">IF($D247="是",AL247-AM247,0)</f>
        <v>0</v>
      </c>
      <c r="BR247" s="502" t="n">
        <f aca="false">IF($D247="是",AN247-AO247,0)</f>
        <v>0</v>
      </c>
      <c r="BS247" s="502" t="n">
        <f aca="false">IF($D247="是",AP247-AQ247,0)</f>
        <v>0</v>
      </c>
      <c r="BT247" s="512" t="n">
        <f aca="false">IF($D247="是",AR247-AS247,0)</f>
        <v>0</v>
      </c>
    </row>
    <row r="248" customFormat="false" ht="14.25" hidden="false" customHeight="false" outlineLevel="0" collapsed="false">
      <c r="A248" s="499"/>
      <c r="B248" s="500"/>
      <c r="C248" s="500"/>
      <c r="D248" s="501"/>
      <c r="E248" s="502" t="n">
        <f aca="false">IF($C$3="是",ROUND($A$3*G248/$B$3,2),ROUND($A$3*(G248-AT248)/$B$3,2))</f>
        <v>0</v>
      </c>
      <c r="F248" s="503"/>
      <c r="G248" s="504" t="n">
        <f aca="false">H248+AC248+AT248</f>
        <v>0</v>
      </c>
      <c r="H248" s="505" t="n">
        <f aca="false">SUMIF(I$12:AB$12,"总值",I248:AB248)</f>
        <v>0</v>
      </c>
      <c r="I248" s="506"/>
      <c r="J248" s="506"/>
      <c r="K248" s="506"/>
      <c r="L248" s="506"/>
      <c r="M248" s="506"/>
      <c r="N248" s="506"/>
      <c r="O248" s="506"/>
      <c r="P248" s="506"/>
      <c r="Q248" s="506"/>
      <c r="R248" s="506"/>
      <c r="S248" s="506"/>
      <c r="T248" s="506"/>
      <c r="U248" s="506"/>
      <c r="V248" s="506"/>
      <c r="W248" s="506"/>
      <c r="X248" s="506"/>
      <c r="Y248" s="506"/>
      <c r="Z248" s="506"/>
      <c r="AA248" s="506"/>
      <c r="AB248" s="506"/>
      <c r="AC248" s="502" t="n">
        <f aca="false">SUMIF(AD$12:AS$12,"总值",AD248:AS248)</f>
        <v>0</v>
      </c>
      <c r="AD248" s="507"/>
      <c r="AE248" s="507"/>
      <c r="AF248" s="507"/>
      <c r="AG248" s="507"/>
      <c r="AH248" s="507"/>
      <c r="AI248" s="507"/>
      <c r="AJ248" s="507"/>
      <c r="AK248" s="507"/>
      <c r="AL248" s="507"/>
      <c r="AM248" s="507"/>
      <c r="AN248" s="507"/>
      <c r="AO248" s="507"/>
      <c r="AP248" s="507"/>
      <c r="AQ248" s="507"/>
      <c r="AR248" s="507"/>
      <c r="AS248" s="507"/>
      <c r="AT248" s="508"/>
      <c r="AU248" s="509"/>
      <c r="AV248" s="510" t="n">
        <f aca="false">A248</f>
        <v>0</v>
      </c>
      <c r="AW248" s="510" t="n">
        <f aca="false">B248</f>
        <v>0</v>
      </c>
      <c r="AX248" s="510" t="n">
        <f aca="false">C248</f>
        <v>0</v>
      </c>
      <c r="AY248" s="511" t="n">
        <f aca="false">ROUND($AY$6*AZ248/$AZ$5,2)</f>
        <v>0</v>
      </c>
      <c r="AZ248" s="502" t="n">
        <f aca="false">BA248+BL248</f>
        <v>0</v>
      </c>
      <c r="BA248" s="502" t="n">
        <f aca="false">SUM(BB248:BK248)</f>
        <v>0</v>
      </c>
      <c r="BB248" s="502" t="n">
        <f aca="false">IF($D248="是",I248-J248,0)</f>
        <v>0</v>
      </c>
      <c r="BC248" s="502" t="n">
        <f aca="false">IF($D248="是",K248-L248,0)</f>
        <v>0</v>
      </c>
      <c r="BD248" s="502" t="n">
        <f aca="false">IF($D248="是",M248-N248,0)</f>
        <v>0</v>
      </c>
      <c r="BE248" s="502" t="n">
        <f aca="false">IF($D248="是",O248-P248,0)</f>
        <v>0</v>
      </c>
      <c r="BF248" s="502" t="n">
        <f aca="false">IF($D248="是",Q248-R248,0)</f>
        <v>0</v>
      </c>
      <c r="BG248" s="502" t="n">
        <f aca="false">IF($D248="是",S248-T248,0)</f>
        <v>0</v>
      </c>
      <c r="BH248" s="502" t="n">
        <f aca="false">IF($D248="是",U248-V248,0)</f>
        <v>0</v>
      </c>
      <c r="BI248" s="502" t="n">
        <f aca="false">IF($D248="是",W248-X248,0)</f>
        <v>0</v>
      </c>
      <c r="BJ248" s="502" t="n">
        <f aca="false">IF($D248="是",Y248-Z248,0)</f>
        <v>0</v>
      </c>
      <c r="BK248" s="502" t="n">
        <f aca="false">IF($D248="是",AA248-AB248,0)</f>
        <v>0</v>
      </c>
      <c r="BL248" s="502" t="n">
        <f aca="false">SUM(BM248:BT248)</f>
        <v>0</v>
      </c>
      <c r="BM248" s="502" t="n">
        <f aca="false">IF($D248="是",AD248-AE248,0)</f>
        <v>0</v>
      </c>
      <c r="BN248" s="502" t="n">
        <f aca="false">IF($D248="是",AF248-AG248,0)</f>
        <v>0</v>
      </c>
      <c r="BO248" s="502" t="n">
        <f aca="false">IF($D248="是",AH248-AI248,0)</f>
        <v>0</v>
      </c>
      <c r="BP248" s="502" t="n">
        <f aca="false">IF($D248="是",AJ248-AK248,0)</f>
        <v>0</v>
      </c>
      <c r="BQ248" s="502" t="n">
        <f aca="false">IF($D248="是",AL248-AM248,0)</f>
        <v>0</v>
      </c>
      <c r="BR248" s="502" t="n">
        <f aca="false">IF($D248="是",AN248-AO248,0)</f>
        <v>0</v>
      </c>
      <c r="BS248" s="502" t="n">
        <f aca="false">IF($D248="是",AP248-AQ248,0)</f>
        <v>0</v>
      </c>
      <c r="BT248" s="512" t="n">
        <f aca="false">IF($D248="是",AR248-AS248,0)</f>
        <v>0</v>
      </c>
    </row>
    <row r="249" customFormat="false" ht="14.25" hidden="false" customHeight="false" outlineLevel="0" collapsed="false">
      <c r="A249" s="499"/>
      <c r="B249" s="500"/>
      <c r="C249" s="500"/>
      <c r="D249" s="501"/>
      <c r="E249" s="502" t="n">
        <f aca="false">IF($C$3="是",ROUND($A$3*G249/$B$3,2),ROUND($A$3*(G249-AT249)/$B$3,2))</f>
        <v>0</v>
      </c>
      <c r="F249" s="503"/>
      <c r="G249" s="504" t="n">
        <f aca="false">H249+AC249+AT249</f>
        <v>0</v>
      </c>
      <c r="H249" s="505" t="n">
        <f aca="false">SUMIF(I$12:AB$12,"总值",I249:AB249)</f>
        <v>0</v>
      </c>
      <c r="I249" s="506"/>
      <c r="J249" s="506"/>
      <c r="K249" s="506"/>
      <c r="L249" s="506"/>
      <c r="M249" s="506"/>
      <c r="N249" s="506"/>
      <c r="O249" s="506"/>
      <c r="P249" s="506"/>
      <c r="Q249" s="506"/>
      <c r="R249" s="506"/>
      <c r="S249" s="506"/>
      <c r="T249" s="506"/>
      <c r="U249" s="506"/>
      <c r="V249" s="506"/>
      <c r="W249" s="506"/>
      <c r="X249" s="506"/>
      <c r="Y249" s="506"/>
      <c r="Z249" s="506"/>
      <c r="AA249" s="506"/>
      <c r="AB249" s="506"/>
      <c r="AC249" s="502" t="n">
        <f aca="false">SUMIF(AD$12:AS$12,"总值",AD249:AS249)</f>
        <v>0</v>
      </c>
      <c r="AD249" s="507"/>
      <c r="AE249" s="507"/>
      <c r="AF249" s="507"/>
      <c r="AG249" s="507"/>
      <c r="AH249" s="507"/>
      <c r="AI249" s="507"/>
      <c r="AJ249" s="507"/>
      <c r="AK249" s="507"/>
      <c r="AL249" s="507"/>
      <c r="AM249" s="507"/>
      <c r="AN249" s="507"/>
      <c r="AO249" s="507"/>
      <c r="AP249" s="507"/>
      <c r="AQ249" s="507"/>
      <c r="AR249" s="507"/>
      <c r="AS249" s="507"/>
      <c r="AT249" s="508"/>
      <c r="AU249" s="509"/>
      <c r="AV249" s="510" t="n">
        <f aca="false">A249</f>
        <v>0</v>
      </c>
      <c r="AW249" s="510" t="n">
        <f aca="false">B249</f>
        <v>0</v>
      </c>
      <c r="AX249" s="510" t="n">
        <f aca="false">C249</f>
        <v>0</v>
      </c>
      <c r="AY249" s="511" t="n">
        <f aca="false">ROUND($AY$6*AZ249/$AZ$5,2)</f>
        <v>0</v>
      </c>
      <c r="AZ249" s="502" t="n">
        <f aca="false">BA249+BL249</f>
        <v>0</v>
      </c>
      <c r="BA249" s="502" t="n">
        <f aca="false">SUM(BB249:BK249)</f>
        <v>0</v>
      </c>
      <c r="BB249" s="502" t="n">
        <f aca="false">IF($D249="是",I249-J249,0)</f>
        <v>0</v>
      </c>
      <c r="BC249" s="502" t="n">
        <f aca="false">IF($D249="是",K249-L249,0)</f>
        <v>0</v>
      </c>
      <c r="BD249" s="502" t="n">
        <f aca="false">IF($D249="是",M249-N249,0)</f>
        <v>0</v>
      </c>
      <c r="BE249" s="502" t="n">
        <f aca="false">IF($D249="是",O249-P249,0)</f>
        <v>0</v>
      </c>
      <c r="BF249" s="502" t="n">
        <f aca="false">IF($D249="是",Q249-R249,0)</f>
        <v>0</v>
      </c>
      <c r="BG249" s="502" t="n">
        <f aca="false">IF($D249="是",S249-T249,0)</f>
        <v>0</v>
      </c>
      <c r="BH249" s="502" t="n">
        <f aca="false">IF($D249="是",U249-V249,0)</f>
        <v>0</v>
      </c>
      <c r="BI249" s="502" t="n">
        <f aca="false">IF($D249="是",W249-X249,0)</f>
        <v>0</v>
      </c>
      <c r="BJ249" s="502" t="n">
        <f aca="false">IF($D249="是",Y249-Z249,0)</f>
        <v>0</v>
      </c>
      <c r="BK249" s="502" t="n">
        <f aca="false">IF($D249="是",AA249-AB249,0)</f>
        <v>0</v>
      </c>
      <c r="BL249" s="502" t="n">
        <f aca="false">SUM(BM249:BT249)</f>
        <v>0</v>
      </c>
      <c r="BM249" s="502" t="n">
        <f aca="false">IF($D249="是",AD249-AE249,0)</f>
        <v>0</v>
      </c>
      <c r="BN249" s="502" t="n">
        <f aca="false">IF($D249="是",AF249-AG249,0)</f>
        <v>0</v>
      </c>
      <c r="BO249" s="502" t="n">
        <f aca="false">IF($D249="是",AH249-AI249,0)</f>
        <v>0</v>
      </c>
      <c r="BP249" s="502" t="n">
        <f aca="false">IF($D249="是",AJ249-AK249,0)</f>
        <v>0</v>
      </c>
      <c r="BQ249" s="502" t="n">
        <f aca="false">IF($D249="是",AL249-AM249,0)</f>
        <v>0</v>
      </c>
      <c r="BR249" s="502" t="n">
        <f aca="false">IF($D249="是",AN249-AO249,0)</f>
        <v>0</v>
      </c>
      <c r="BS249" s="502" t="n">
        <f aca="false">IF($D249="是",AP249-AQ249,0)</f>
        <v>0</v>
      </c>
      <c r="BT249" s="512" t="n">
        <f aca="false">IF($D249="是",AR249-AS249,0)</f>
        <v>0</v>
      </c>
    </row>
    <row r="250" customFormat="false" ht="14.25" hidden="false" customHeight="false" outlineLevel="0" collapsed="false">
      <c r="A250" s="499"/>
      <c r="B250" s="500"/>
      <c r="C250" s="500"/>
      <c r="D250" s="501"/>
      <c r="E250" s="502" t="n">
        <f aca="false">IF($C$3="是",ROUND($A$3*G250/$B$3,2),ROUND($A$3*(G250-AT250)/$B$3,2))</f>
        <v>0</v>
      </c>
      <c r="F250" s="503"/>
      <c r="G250" s="504" t="n">
        <f aca="false">H250+AC250+AT250</f>
        <v>0</v>
      </c>
      <c r="H250" s="505" t="n">
        <f aca="false">SUMIF(I$12:AB$12,"总值",I250:AB250)</f>
        <v>0</v>
      </c>
      <c r="I250" s="506"/>
      <c r="J250" s="506"/>
      <c r="K250" s="506"/>
      <c r="L250" s="506"/>
      <c r="M250" s="506"/>
      <c r="N250" s="506"/>
      <c r="O250" s="506"/>
      <c r="P250" s="506"/>
      <c r="Q250" s="506"/>
      <c r="R250" s="506"/>
      <c r="S250" s="506"/>
      <c r="T250" s="506"/>
      <c r="U250" s="506"/>
      <c r="V250" s="506"/>
      <c r="W250" s="506"/>
      <c r="X250" s="506"/>
      <c r="Y250" s="506"/>
      <c r="Z250" s="506"/>
      <c r="AA250" s="506"/>
      <c r="AB250" s="506"/>
      <c r="AC250" s="502" t="n">
        <f aca="false">SUMIF(AD$12:AS$12,"总值",AD250:AS250)</f>
        <v>0</v>
      </c>
      <c r="AD250" s="507"/>
      <c r="AE250" s="507"/>
      <c r="AF250" s="507"/>
      <c r="AG250" s="507"/>
      <c r="AH250" s="507"/>
      <c r="AI250" s="507"/>
      <c r="AJ250" s="507"/>
      <c r="AK250" s="507"/>
      <c r="AL250" s="507"/>
      <c r="AM250" s="507"/>
      <c r="AN250" s="507"/>
      <c r="AO250" s="507"/>
      <c r="AP250" s="507"/>
      <c r="AQ250" s="507"/>
      <c r="AR250" s="507"/>
      <c r="AS250" s="507"/>
      <c r="AT250" s="508"/>
      <c r="AU250" s="509"/>
      <c r="AV250" s="510" t="n">
        <f aca="false">A250</f>
        <v>0</v>
      </c>
      <c r="AW250" s="510" t="n">
        <f aca="false">B250</f>
        <v>0</v>
      </c>
      <c r="AX250" s="510" t="n">
        <f aca="false">C250</f>
        <v>0</v>
      </c>
      <c r="AY250" s="511" t="n">
        <f aca="false">ROUND($AY$6*AZ250/$AZ$5,2)</f>
        <v>0</v>
      </c>
      <c r="AZ250" s="502" t="n">
        <f aca="false">BA250+BL250</f>
        <v>0</v>
      </c>
      <c r="BA250" s="502" t="n">
        <f aca="false">SUM(BB250:BK250)</f>
        <v>0</v>
      </c>
      <c r="BB250" s="502" t="n">
        <f aca="false">IF($D250="是",I250-J250,0)</f>
        <v>0</v>
      </c>
      <c r="BC250" s="502" t="n">
        <f aca="false">IF($D250="是",K250-L250,0)</f>
        <v>0</v>
      </c>
      <c r="BD250" s="502" t="n">
        <f aca="false">IF($D250="是",M250-N250,0)</f>
        <v>0</v>
      </c>
      <c r="BE250" s="502" t="n">
        <f aca="false">IF($D250="是",O250-P250,0)</f>
        <v>0</v>
      </c>
      <c r="BF250" s="502" t="n">
        <f aca="false">IF($D250="是",Q250-R250,0)</f>
        <v>0</v>
      </c>
      <c r="BG250" s="502" t="n">
        <f aca="false">IF($D250="是",S250-T250,0)</f>
        <v>0</v>
      </c>
      <c r="BH250" s="502" t="n">
        <f aca="false">IF($D250="是",U250-V250,0)</f>
        <v>0</v>
      </c>
      <c r="BI250" s="502" t="n">
        <f aca="false">IF($D250="是",W250-X250,0)</f>
        <v>0</v>
      </c>
      <c r="BJ250" s="502" t="n">
        <f aca="false">IF($D250="是",Y250-Z250,0)</f>
        <v>0</v>
      </c>
      <c r="BK250" s="502" t="n">
        <f aca="false">IF($D250="是",AA250-AB250,0)</f>
        <v>0</v>
      </c>
      <c r="BL250" s="502" t="n">
        <f aca="false">SUM(BM250:BT250)</f>
        <v>0</v>
      </c>
      <c r="BM250" s="502" t="n">
        <f aca="false">IF($D250="是",AD250-AE250,0)</f>
        <v>0</v>
      </c>
      <c r="BN250" s="502" t="n">
        <f aca="false">IF($D250="是",AF250-AG250,0)</f>
        <v>0</v>
      </c>
      <c r="BO250" s="502" t="n">
        <f aca="false">IF($D250="是",AH250-AI250,0)</f>
        <v>0</v>
      </c>
      <c r="BP250" s="502" t="n">
        <f aca="false">IF($D250="是",AJ250-AK250,0)</f>
        <v>0</v>
      </c>
      <c r="BQ250" s="502" t="n">
        <f aca="false">IF($D250="是",AL250-AM250,0)</f>
        <v>0</v>
      </c>
      <c r="BR250" s="502" t="n">
        <f aca="false">IF($D250="是",AN250-AO250,0)</f>
        <v>0</v>
      </c>
      <c r="BS250" s="502" t="n">
        <f aca="false">IF($D250="是",AP250-AQ250,0)</f>
        <v>0</v>
      </c>
      <c r="BT250" s="512" t="n">
        <f aca="false">IF($D250="是",AR250-AS250,0)</f>
        <v>0</v>
      </c>
    </row>
    <row r="251" customFormat="false" ht="14.25" hidden="false" customHeight="false" outlineLevel="0" collapsed="false">
      <c r="A251" s="499"/>
      <c r="B251" s="500"/>
      <c r="C251" s="500"/>
      <c r="D251" s="501"/>
      <c r="E251" s="502" t="n">
        <f aca="false">IF($C$3="是",ROUND($A$3*G251/$B$3,2),ROUND($A$3*(G251-AT251)/$B$3,2))</f>
        <v>0</v>
      </c>
      <c r="F251" s="503"/>
      <c r="G251" s="504" t="n">
        <f aca="false">H251+AC251+AT251</f>
        <v>0</v>
      </c>
      <c r="H251" s="505" t="n">
        <f aca="false">SUMIF(I$12:AB$12,"总值",I251:AB251)</f>
        <v>0</v>
      </c>
      <c r="I251" s="506"/>
      <c r="J251" s="506"/>
      <c r="K251" s="506"/>
      <c r="L251" s="506"/>
      <c r="M251" s="506"/>
      <c r="N251" s="506"/>
      <c r="O251" s="506"/>
      <c r="P251" s="506"/>
      <c r="Q251" s="506"/>
      <c r="R251" s="506"/>
      <c r="S251" s="506"/>
      <c r="T251" s="506"/>
      <c r="U251" s="506"/>
      <c r="V251" s="506"/>
      <c r="W251" s="506"/>
      <c r="X251" s="506"/>
      <c r="Y251" s="506"/>
      <c r="Z251" s="506"/>
      <c r="AA251" s="506"/>
      <c r="AB251" s="506"/>
      <c r="AC251" s="502" t="n">
        <f aca="false">SUMIF(AD$12:AS$12,"总值",AD251:AS251)</f>
        <v>0</v>
      </c>
      <c r="AD251" s="507"/>
      <c r="AE251" s="507"/>
      <c r="AF251" s="507"/>
      <c r="AG251" s="507"/>
      <c r="AH251" s="507"/>
      <c r="AI251" s="507"/>
      <c r="AJ251" s="507"/>
      <c r="AK251" s="507"/>
      <c r="AL251" s="507"/>
      <c r="AM251" s="507"/>
      <c r="AN251" s="507"/>
      <c r="AO251" s="507"/>
      <c r="AP251" s="507"/>
      <c r="AQ251" s="507"/>
      <c r="AR251" s="507"/>
      <c r="AS251" s="507"/>
      <c r="AT251" s="508"/>
      <c r="AU251" s="509"/>
      <c r="AV251" s="510" t="n">
        <f aca="false">A251</f>
        <v>0</v>
      </c>
      <c r="AW251" s="510" t="n">
        <f aca="false">B251</f>
        <v>0</v>
      </c>
      <c r="AX251" s="510" t="n">
        <f aca="false">C251</f>
        <v>0</v>
      </c>
      <c r="AY251" s="511" t="n">
        <f aca="false">ROUND($AY$6*AZ251/$AZ$5,2)</f>
        <v>0</v>
      </c>
      <c r="AZ251" s="502" t="n">
        <f aca="false">BA251+BL251</f>
        <v>0</v>
      </c>
      <c r="BA251" s="502" t="n">
        <f aca="false">SUM(BB251:BK251)</f>
        <v>0</v>
      </c>
      <c r="BB251" s="502" t="n">
        <f aca="false">IF($D251="是",I251-J251,0)</f>
        <v>0</v>
      </c>
      <c r="BC251" s="502" t="n">
        <f aca="false">IF($D251="是",K251-L251,0)</f>
        <v>0</v>
      </c>
      <c r="BD251" s="502" t="n">
        <f aca="false">IF($D251="是",M251-N251,0)</f>
        <v>0</v>
      </c>
      <c r="BE251" s="502" t="n">
        <f aca="false">IF($D251="是",O251-P251,0)</f>
        <v>0</v>
      </c>
      <c r="BF251" s="502" t="n">
        <f aca="false">IF($D251="是",Q251-R251,0)</f>
        <v>0</v>
      </c>
      <c r="BG251" s="502" t="n">
        <f aca="false">IF($D251="是",S251-T251,0)</f>
        <v>0</v>
      </c>
      <c r="BH251" s="502" t="n">
        <f aca="false">IF($D251="是",U251-V251,0)</f>
        <v>0</v>
      </c>
      <c r="BI251" s="502" t="n">
        <f aca="false">IF($D251="是",W251-X251,0)</f>
        <v>0</v>
      </c>
      <c r="BJ251" s="502" t="n">
        <f aca="false">IF($D251="是",Y251-Z251,0)</f>
        <v>0</v>
      </c>
      <c r="BK251" s="502" t="n">
        <f aca="false">IF($D251="是",AA251-AB251,0)</f>
        <v>0</v>
      </c>
      <c r="BL251" s="502" t="n">
        <f aca="false">SUM(BM251:BT251)</f>
        <v>0</v>
      </c>
      <c r="BM251" s="502" t="n">
        <f aca="false">IF($D251="是",AD251-AE251,0)</f>
        <v>0</v>
      </c>
      <c r="BN251" s="502" t="n">
        <f aca="false">IF($D251="是",AF251-AG251,0)</f>
        <v>0</v>
      </c>
      <c r="BO251" s="502" t="n">
        <f aca="false">IF($D251="是",AH251-AI251,0)</f>
        <v>0</v>
      </c>
      <c r="BP251" s="502" t="n">
        <f aca="false">IF($D251="是",AJ251-AK251,0)</f>
        <v>0</v>
      </c>
      <c r="BQ251" s="502" t="n">
        <f aca="false">IF($D251="是",AL251-AM251,0)</f>
        <v>0</v>
      </c>
      <c r="BR251" s="502" t="n">
        <f aca="false">IF($D251="是",AN251-AO251,0)</f>
        <v>0</v>
      </c>
      <c r="BS251" s="502" t="n">
        <f aca="false">IF($D251="是",AP251-AQ251,0)</f>
        <v>0</v>
      </c>
      <c r="BT251" s="512" t="n">
        <f aca="false">IF($D251="是",AR251-AS251,0)</f>
        <v>0</v>
      </c>
    </row>
    <row r="252" customFormat="false" ht="14.25" hidden="false" customHeight="false" outlineLevel="0" collapsed="false">
      <c r="A252" s="499"/>
      <c r="B252" s="500"/>
      <c r="C252" s="500"/>
      <c r="D252" s="501"/>
      <c r="E252" s="502" t="n">
        <f aca="false">IF($C$3="是",ROUND($A$3*G252/$B$3,2),ROUND($A$3*(G252-AT252)/$B$3,2))</f>
        <v>0</v>
      </c>
      <c r="F252" s="503"/>
      <c r="G252" s="504" t="n">
        <f aca="false">H252+AC252+AT252</f>
        <v>0</v>
      </c>
      <c r="H252" s="505" t="n">
        <f aca="false">SUMIF(I$12:AB$12,"总值",I252:AB252)</f>
        <v>0</v>
      </c>
      <c r="I252" s="506"/>
      <c r="J252" s="506"/>
      <c r="K252" s="506"/>
      <c r="L252" s="506"/>
      <c r="M252" s="506"/>
      <c r="N252" s="506"/>
      <c r="O252" s="506"/>
      <c r="P252" s="506"/>
      <c r="Q252" s="506"/>
      <c r="R252" s="506"/>
      <c r="S252" s="506"/>
      <c r="T252" s="506"/>
      <c r="U252" s="506"/>
      <c r="V252" s="506"/>
      <c r="W252" s="506"/>
      <c r="X252" s="506"/>
      <c r="Y252" s="506"/>
      <c r="Z252" s="506"/>
      <c r="AA252" s="506"/>
      <c r="AB252" s="506"/>
      <c r="AC252" s="502" t="n">
        <f aca="false">SUMIF(AD$12:AS$12,"总值",AD252:AS252)</f>
        <v>0</v>
      </c>
      <c r="AD252" s="507"/>
      <c r="AE252" s="507"/>
      <c r="AF252" s="507"/>
      <c r="AG252" s="507"/>
      <c r="AH252" s="507"/>
      <c r="AI252" s="507"/>
      <c r="AJ252" s="507"/>
      <c r="AK252" s="507"/>
      <c r="AL252" s="507"/>
      <c r="AM252" s="507"/>
      <c r="AN252" s="507"/>
      <c r="AO252" s="507"/>
      <c r="AP252" s="507"/>
      <c r="AQ252" s="507"/>
      <c r="AR252" s="507"/>
      <c r="AS252" s="507"/>
      <c r="AT252" s="508"/>
      <c r="AU252" s="509"/>
      <c r="AV252" s="510" t="n">
        <f aca="false">A252</f>
        <v>0</v>
      </c>
      <c r="AW252" s="510" t="n">
        <f aca="false">B252</f>
        <v>0</v>
      </c>
      <c r="AX252" s="510" t="n">
        <f aca="false">C252</f>
        <v>0</v>
      </c>
      <c r="AY252" s="511" t="n">
        <f aca="false">ROUND($AY$6*AZ252/$AZ$5,2)</f>
        <v>0</v>
      </c>
      <c r="AZ252" s="502" t="n">
        <f aca="false">BA252+BL252</f>
        <v>0</v>
      </c>
      <c r="BA252" s="502" t="n">
        <f aca="false">SUM(BB252:BK252)</f>
        <v>0</v>
      </c>
      <c r="BB252" s="502" t="n">
        <f aca="false">IF($D252="是",I252-J252,0)</f>
        <v>0</v>
      </c>
      <c r="BC252" s="502" t="n">
        <f aca="false">IF($D252="是",K252-L252,0)</f>
        <v>0</v>
      </c>
      <c r="BD252" s="502" t="n">
        <f aca="false">IF($D252="是",M252-N252,0)</f>
        <v>0</v>
      </c>
      <c r="BE252" s="502" t="n">
        <f aca="false">IF($D252="是",O252-P252,0)</f>
        <v>0</v>
      </c>
      <c r="BF252" s="502" t="n">
        <f aca="false">IF($D252="是",Q252-R252,0)</f>
        <v>0</v>
      </c>
      <c r="BG252" s="502" t="n">
        <f aca="false">IF($D252="是",S252-T252,0)</f>
        <v>0</v>
      </c>
      <c r="BH252" s="502" t="n">
        <f aca="false">IF($D252="是",U252-V252,0)</f>
        <v>0</v>
      </c>
      <c r="BI252" s="502" t="n">
        <f aca="false">IF($D252="是",W252-X252,0)</f>
        <v>0</v>
      </c>
      <c r="BJ252" s="502" t="n">
        <f aca="false">IF($D252="是",Y252-Z252,0)</f>
        <v>0</v>
      </c>
      <c r="BK252" s="502" t="n">
        <f aca="false">IF($D252="是",AA252-AB252,0)</f>
        <v>0</v>
      </c>
      <c r="BL252" s="502" t="n">
        <f aca="false">SUM(BM252:BT252)</f>
        <v>0</v>
      </c>
      <c r="BM252" s="502" t="n">
        <f aca="false">IF($D252="是",AD252-AE252,0)</f>
        <v>0</v>
      </c>
      <c r="BN252" s="502" t="n">
        <f aca="false">IF($D252="是",AF252-AG252,0)</f>
        <v>0</v>
      </c>
      <c r="BO252" s="502" t="n">
        <f aca="false">IF($D252="是",AH252-AI252,0)</f>
        <v>0</v>
      </c>
      <c r="BP252" s="502" t="n">
        <f aca="false">IF($D252="是",AJ252-AK252,0)</f>
        <v>0</v>
      </c>
      <c r="BQ252" s="502" t="n">
        <f aca="false">IF($D252="是",AL252-AM252,0)</f>
        <v>0</v>
      </c>
      <c r="BR252" s="502" t="n">
        <f aca="false">IF($D252="是",AN252-AO252,0)</f>
        <v>0</v>
      </c>
      <c r="BS252" s="502" t="n">
        <f aca="false">IF($D252="是",AP252-AQ252,0)</f>
        <v>0</v>
      </c>
      <c r="BT252" s="512" t="n">
        <f aca="false">IF($D252="是",AR252-AS252,0)</f>
        <v>0</v>
      </c>
    </row>
    <row r="253" customFormat="false" ht="14.25" hidden="false" customHeight="false" outlineLevel="0" collapsed="false">
      <c r="A253" s="499"/>
      <c r="B253" s="500"/>
      <c r="C253" s="500"/>
      <c r="D253" s="501"/>
      <c r="E253" s="502" t="n">
        <f aca="false">IF($C$3="是",ROUND($A$3*G253/$B$3,2),ROUND($A$3*(G253-AT253)/$B$3,2))</f>
        <v>0</v>
      </c>
      <c r="F253" s="503"/>
      <c r="G253" s="504" t="n">
        <f aca="false">H253+AC253+AT253</f>
        <v>0</v>
      </c>
      <c r="H253" s="505" t="n">
        <f aca="false">SUMIF(I$12:AB$12,"总值",I253:AB253)</f>
        <v>0</v>
      </c>
      <c r="I253" s="506"/>
      <c r="J253" s="506"/>
      <c r="K253" s="506"/>
      <c r="L253" s="506"/>
      <c r="M253" s="506"/>
      <c r="N253" s="506"/>
      <c r="O253" s="506"/>
      <c r="P253" s="506"/>
      <c r="Q253" s="506"/>
      <c r="R253" s="506"/>
      <c r="S253" s="506"/>
      <c r="T253" s="506"/>
      <c r="U253" s="506"/>
      <c r="V253" s="506"/>
      <c r="W253" s="506"/>
      <c r="X253" s="506"/>
      <c r="Y253" s="506"/>
      <c r="Z253" s="506"/>
      <c r="AA253" s="506"/>
      <c r="AB253" s="506"/>
      <c r="AC253" s="502" t="n">
        <f aca="false">SUMIF(AD$12:AS$12,"总值",AD253:AS253)</f>
        <v>0</v>
      </c>
      <c r="AD253" s="507"/>
      <c r="AE253" s="507"/>
      <c r="AF253" s="507"/>
      <c r="AG253" s="507"/>
      <c r="AH253" s="507"/>
      <c r="AI253" s="507"/>
      <c r="AJ253" s="507"/>
      <c r="AK253" s="507"/>
      <c r="AL253" s="507"/>
      <c r="AM253" s="507"/>
      <c r="AN253" s="507"/>
      <c r="AO253" s="507"/>
      <c r="AP253" s="507"/>
      <c r="AQ253" s="507"/>
      <c r="AR253" s="507"/>
      <c r="AS253" s="507"/>
      <c r="AT253" s="508"/>
      <c r="AU253" s="509"/>
      <c r="AV253" s="510" t="n">
        <f aca="false">A253</f>
        <v>0</v>
      </c>
      <c r="AW253" s="510" t="n">
        <f aca="false">B253</f>
        <v>0</v>
      </c>
      <c r="AX253" s="510" t="n">
        <f aca="false">C253</f>
        <v>0</v>
      </c>
      <c r="AY253" s="511" t="n">
        <f aca="false">ROUND($AY$6*AZ253/$AZ$5,2)</f>
        <v>0</v>
      </c>
      <c r="AZ253" s="502" t="n">
        <f aca="false">BA253+BL253</f>
        <v>0</v>
      </c>
      <c r="BA253" s="502" t="n">
        <f aca="false">SUM(BB253:BK253)</f>
        <v>0</v>
      </c>
      <c r="BB253" s="502" t="n">
        <f aca="false">IF($D253="是",I253-J253,0)</f>
        <v>0</v>
      </c>
      <c r="BC253" s="502" t="n">
        <f aca="false">IF($D253="是",K253-L253,0)</f>
        <v>0</v>
      </c>
      <c r="BD253" s="502" t="n">
        <f aca="false">IF($D253="是",M253-N253,0)</f>
        <v>0</v>
      </c>
      <c r="BE253" s="502" t="n">
        <f aca="false">IF($D253="是",O253-P253,0)</f>
        <v>0</v>
      </c>
      <c r="BF253" s="502" t="n">
        <f aca="false">IF($D253="是",Q253-R253,0)</f>
        <v>0</v>
      </c>
      <c r="BG253" s="502" t="n">
        <f aca="false">IF($D253="是",S253-T253,0)</f>
        <v>0</v>
      </c>
      <c r="BH253" s="502" t="n">
        <f aca="false">IF($D253="是",U253-V253,0)</f>
        <v>0</v>
      </c>
      <c r="BI253" s="502" t="n">
        <f aca="false">IF($D253="是",W253-X253,0)</f>
        <v>0</v>
      </c>
      <c r="BJ253" s="502" t="n">
        <f aca="false">IF($D253="是",Y253-Z253,0)</f>
        <v>0</v>
      </c>
      <c r="BK253" s="502" t="n">
        <f aca="false">IF($D253="是",AA253-AB253,0)</f>
        <v>0</v>
      </c>
      <c r="BL253" s="502" t="n">
        <f aca="false">SUM(BM253:BT253)</f>
        <v>0</v>
      </c>
      <c r="BM253" s="502" t="n">
        <f aca="false">IF($D253="是",AD253-AE253,0)</f>
        <v>0</v>
      </c>
      <c r="BN253" s="502" t="n">
        <f aca="false">IF($D253="是",AF253-AG253,0)</f>
        <v>0</v>
      </c>
      <c r="BO253" s="502" t="n">
        <f aca="false">IF($D253="是",AH253-AI253,0)</f>
        <v>0</v>
      </c>
      <c r="BP253" s="502" t="n">
        <f aca="false">IF($D253="是",AJ253-AK253,0)</f>
        <v>0</v>
      </c>
      <c r="BQ253" s="502" t="n">
        <f aca="false">IF($D253="是",AL253-AM253,0)</f>
        <v>0</v>
      </c>
      <c r="BR253" s="502" t="n">
        <f aca="false">IF($D253="是",AN253-AO253,0)</f>
        <v>0</v>
      </c>
      <c r="BS253" s="502" t="n">
        <f aca="false">IF($D253="是",AP253-AQ253,0)</f>
        <v>0</v>
      </c>
      <c r="BT253" s="512" t="n">
        <f aca="false">IF($D253="是",AR253-AS253,0)</f>
        <v>0</v>
      </c>
    </row>
    <row r="254" customFormat="false" ht="14.25" hidden="false" customHeight="false" outlineLevel="0" collapsed="false">
      <c r="A254" s="499"/>
      <c r="B254" s="500"/>
      <c r="C254" s="500"/>
      <c r="D254" s="501"/>
      <c r="E254" s="502" t="n">
        <f aca="false">IF($C$3="是",ROUND($A$3*G254/$B$3,2),ROUND($A$3*(G254-AT254)/$B$3,2))</f>
        <v>0</v>
      </c>
      <c r="F254" s="503"/>
      <c r="G254" s="504" t="n">
        <f aca="false">H254+AC254+AT254</f>
        <v>0</v>
      </c>
      <c r="H254" s="505" t="n">
        <f aca="false">SUMIF(I$12:AB$12,"总值",I254:AB254)</f>
        <v>0</v>
      </c>
      <c r="I254" s="506"/>
      <c r="J254" s="506"/>
      <c r="K254" s="506"/>
      <c r="L254" s="506"/>
      <c r="M254" s="506"/>
      <c r="N254" s="506"/>
      <c r="O254" s="506"/>
      <c r="P254" s="506"/>
      <c r="Q254" s="506"/>
      <c r="R254" s="506"/>
      <c r="S254" s="506"/>
      <c r="T254" s="506"/>
      <c r="U254" s="506"/>
      <c r="V254" s="506"/>
      <c r="W254" s="506"/>
      <c r="X254" s="506"/>
      <c r="Y254" s="506"/>
      <c r="Z254" s="506"/>
      <c r="AA254" s="506"/>
      <c r="AB254" s="506"/>
      <c r="AC254" s="502" t="n">
        <f aca="false">SUMIF(AD$12:AS$12,"总值",AD254:AS254)</f>
        <v>0</v>
      </c>
      <c r="AD254" s="507"/>
      <c r="AE254" s="507"/>
      <c r="AF254" s="507"/>
      <c r="AG254" s="507"/>
      <c r="AH254" s="507"/>
      <c r="AI254" s="507"/>
      <c r="AJ254" s="507"/>
      <c r="AK254" s="507"/>
      <c r="AL254" s="507"/>
      <c r="AM254" s="507"/>
      <c r="AN254" s="507"/>
      <c r="AO254" s="507"/>
      <c r="AP254" s="507"/>
      <c r="AQ254" s="507"/>
      <c r="AR254" s="507"/>
      <c r="AS254" s="507"/>
      <c r="AT254" s="508"/>
      <c r="AU254" s="509"/>
      <c r="AV254" s="510" t="n">
        <f aca="false">A254</f>
        <v>0</v>
      </c>
      <c r="AW254" s="510" t="n">
        <f aca="false">B254</f>
        <v>0</v>
      </c>
      <c r="AX254" s="510" t="n">
        <f aca="false">C254</f>
        <v>0</v>
      </c>
      <c r="AY254" s="511" t="n">
        <f aca="false">ROUND($AY$6*AZ254/$AZ$5,2)</f>
        <v>0</v>
      </c>
      <c r="AZ254" s="502" t="n">
        <f aca="false">BA254+BL254</f>
        <v>0</v>
      </c>
      <c r="BA254" s="502" t="n">
        <f aca="false">SUM(BB254:BK254)</f>
        <v>0</v>
      </c>
      <c r="BB254" s="502" t="n">
        <f aca="false">IF($D254="是",I254-J254,0)</f>
        <v>0</v>
      </c>
      <c r="BC254" s="502" t="n">
        <f aca="false">IF($D254="是",K254-L254,0)</f>
        <v>0</v>
      </c>
      <c r="BD254" s="502" t="n">
        <f aca="false">IF($D254="是",M254-N254,0)</f>
        <v>0</v>
      </c>
      <c r="BE254" s="502" t="n">
        <f aca="false">IF($D254="是",O254-P254,0)</f>
        <v>0</v>
      </c>
      <c r="BF254" s="502" t="n">
        <f aca="false">IF($D254="是",Q254-R254,0)</f>
        <v>0</v>
      </c>
      <c r="BG254" s="502" t="n">
        <f aca="false">IF($D254="是",S254-T254,0)</f>
        <v>0</v>
      </c>
      <c r="BH254" s="502" t="n">
        <f aca="false">IF($D254="是",U254-V254,0)</f>
        <v>0</v>
      </c>
      <c r="BI254" s="502" t="n">
        <f aca="false">IF($D254="是",W254-X254,0)</f>
        <v>0</v>
      </c>
      <c r="BJ254" s="502" t="n">
        <f aca="false">IF($D254="是",Y254-Z254,0)</f>
        <v>0</v>
      </c>
      <c r="BK254" s="502" t="n">
        <f aca="false">IF($D254="是",AA254-AB254,0)</f>
        <v>0</v>
      </c>
      <c r="BL254" s="502" t="n">
        <f aca="false">SUM(BM254:BT254)</f>
        <v>0</v>
      </c>
      <c r="BM254" s="502" t="n">
        <f aca="false">IF($D254="是",AD254-AE254,0)</f>
        <v>0</v>
      </c>
      <c r="BN254" s="502" t="n">
        <f aca="false">IF($D254="是",AF254-AG254,0)</f>
        <v>0</v>
      </c>
      <c r="BO254" s="502" t="n">
        <f aca="false">IF($D254="是",AH254-AI254,0)</f>
        <v>0</v>
      </c>
      <c r="BP254" s="502" t="n">
        <f aca="false">IF($D254="是",AJ254-AK254,0)</f>
        <v>0</v>
      </c>
      <c r="BQ254" s="502" t="n">
        <f aca="false">IF($D254="是",AL254-AM254,0)</f>
        <v>0</v>
      </c>
      <c r="BR254" s="502" t="n">
        <f aca="false">IF($D254="是",AN254-AO254,0)</f>
        <v>0</v>
      </c>
      <c r="BS254" s="502" t="n">
        <f aca="false">IF($D254="是",AP254-AQ254,0)</f>
        <v>0</v>
      </c>
      <c r="BT254" s="512" t="n">
        <f aca="false">IF($D254="是",AR254-AS254,0)</f>
        <v>0</v>
      </c>
    </row>
    <row r="255" customFormat="false" ht="14.25" hidden="false" customHeight="false" outlineLevel="0" collapsed="false">
      <c r="A255" s="499"/>
      <c r="B255" s="500"/>
      <c r="C255" s="500"/>
      <c r="D255" s="501"/>
      <c r="E255" s="502" t="n">
        <f aca="false">IF($C$3="是",ROUND($A$3*G255/$B$3,2),ROUND($A$3*(G255-AT255)/$B$3,2))</f>
        <v>0</v>
      </c>
      <c r="F255" s="503"/>
      <c r="G255" s="504" t="n">
        <f aca="false">H255+AC255+AT255</f>
        <v>0</v>
      </c>
      <c r="H255" s="505" t="n">
        <f aca="false">SUMIF(I$12:AB$12,"总值",I255:AB255)</f>
        <v>0</v>
      </c>
      <c r="I255" s="506"/>
      <c r="J255" s="506"/>
      <c r="K255" s="506"/>
      <c r="L255" s="506"/>
      <c r="M255" s="506"/>
      <c r="N255" s="506"/>
      <c r="O255" s="506"/>
      <c r="P255" s="506"/>
      <c r="Q255" s="506"/>
      <c r="R255" s="506"/>
      <c r="S255" s="506"/>
      <c r="T255" s="506"/>
      <c r="U255" s="506"/>
      <c r="V255" s="506"/>
      <c r="W255" s="506"/>
      <c r="X255" s="506"/>
      <c r="Y255" s="506"/>
      <c r="Z255" s="506"/>
      <c r="AA255" s="506"/>
      <c r="AB255" s="506"/>
      <c r="AC255" s="502" t="n">
        <f aca="false">SUMIF(AD$12:AS$12,"总值",AD255:AS255)</f>
        <v>0</v>
      </c>
      <c r="AD255" s="507"/>
      <c r="AE255" s="507"/>
      <c r="AF255" s="507"/>
      <c r="AG255" s="507"/>
      <c r="AH255" s="507"/>
      <c r="AI255" s="507"/>
      <c r="AJ255" s="507"/>
      <c r="AK255" s="507"/>
      <c r="AL255" s="507"/>
      <c r="AM255" s="507"/>
      <c r="AN255" s="507"/>
      <c r="AO255" s="507"/>
      <c r="AP255" s="507"/>
      <c r="AQ255" s="507"/>
      <c r="AR255" s="507"/>
      <c r="AS255" s="507"/>
      <c r="AT255" s="508"/>
      <c r="AU255" s="509"/>
      <c r="AV255" s="510" t="n">
        <f aca="false">A255</f>
        <v>0</v>
      </c>
      <c r="AW255" s="510" t="n">
        <f aca="false">B255</f>
        <v>0</v>
      </c>
      <c r="AX255" s="510" t="n">
        <f aca="false">C255</f>
        <v>0</v>
      </c>
      <c r="AY255" s="511" t="n">
        <f aca="false">ROUND($AY$6*AZ255/$AZ$5,2)</f>
        <v>0</v>
      </c>
      <c r="AZ255" s="502" t="n">
        <f aca="false">BA255+BL255</f>
        <v>0</v>
      </c>
      <c r="BA255" s="502" t="n">
        <f aca="false">SUM(BB255:BK255)</f>
        <v>0</v>
      </c>
      <c r="BB255" s="502" t="n">
        <f aca="false">IF($D255="是",I255-J255,0)</f>
        <v>0</v>
      </c>
      <c r="BC255" s="502" t="n">
        <f aca="false">IF($D255="是",K255-L255,0)</f>
        <v>0</v>
      </c>
      <c r="BD255" s="502" t="n">
        <f aca="false">IF($D255="是",M255-N255,0)</f>
        <v>0</v>
      </c>
      <c r="BE255" s="502" t="n">
        <f aca="false">IF($D255="是",O255-P255,0)</f>
        <v>0</v>
      </c>
      <c r="BF255" s="502" t="n">
        <f aca="false">IF($D255="是",Q255-R255,0)</f>
        <v>0</v>
      </c>
      <c r="BG255" s="502" t="n">
        <f aca="false">IF($D255="是",S255-T255,0)</f>
        <v>0</v>
      </c>
      <c r="BH255" s="502" t="n">
        <f aca="false">IF($D255="是",U255-V255,0)</f>
        <v>0</v>
      </c>
      <c r="BI255" s="502" t="n">
        <f aca="false">IF($D255="是",W255-X255,0)</f>
        <v>0</v>
      </c>
      <c r="BJ255" s="502" t="n">
        <f aca="false">IF($D255="是",Y255-Z255,0)</f>
        <v>0</v>
      </c>
      <c r="BK255" s="502" t="n">
        <f aca="false">IF($D255="是",AA255-AB255,0)</f>
        <v>0</v>
      </c>
      <c r="BL255" s="502" t="n">
        <f aca="false">SUM(BM255:BT255)</f>
        <v>0</v>
      </c>
      <c r="BM255" s="502" t="n">
        <f aca="false">IF($D255="是",AD255-AE255,0)</f>
        <v>0</v>
      </c>
      <c r="BN255" s="502" t="n">
        <f aca="false">IF($D255="是",AF255-AG255,0)</f>
        <v>0</v>
      </c>
      <c r="BO255" s="502" t="n">
        <f aca="false">IF($D255="是",AH255-AI255,0)</f>
        <v>0</v>
      </c>
      <c r="BP255" s="502" t="n">
        <f aca="false">IF($D255="是",AJ255-AK255,0)</f>
        <v>0</v>
      </c>
      <c r="BQ255" s="502" t="n">
        <f aca="false">IF($D255="是",AL255-AM255,0)</f>
        <v>0</v>
      </c>
      <c r="BR255" s="502" t="n">
        <f aca="false">IF($D255="是",AN255-AO255,0)</f>
        <v>0</v>
      </c>
      <c r="BS255" s="502" t="n">
        <f aca="false">IF($D255="是",AP255-AQ255,0)</f>
        <v>0</v>
      </c>
      <c r="BT255" s="512" t="n">
        <f aca="false">IF($D255="是",AR255-AS255,0)</f>
        <v>0</v>
      </c>
    </row>
    <row r="256" customFormat="false" ht="14.25" hidden="false" customHeight="false" outlineLevel="0" collapsed="false">
      <c r="A256" s="499"/>
      <c r="B256" s="500"/>
      <c r="C256" s="500"/>
      <c r="D256" s="501"/>
      <c r="E256" s="502" t="n">
        <f aca="false">IF($C$3="是",ROUND($A$3*G256/$B$3,2),ROUND($A$3*(G256-AT256)/$B$3,2))</f>
        <v>0</v>
      </c>
      <c r="F256" s="503"/>
      <c r="G256" s="504" t="n">
        <f aca="false">H256+AC256+AT256</f>
        <v>0</v>
      </c>
      <c r="H256" s="505" t="n">
        <f aca="false">SUMIF(I$12:AB$12,"总值",I256:AB256)</f>
        <v>0</v>
      </c>
      <c r="I256" s="506"/>
      <c r="J256" s="506"/>
      <c r="K256" s="506"/>
      <c r="L256" s="506"/>
      <c r="M256" s="506"/>
      <c r="N256" s="506"/>
      <c r="O256" s="506"/>
      <c r="P256" s="506"/>
      <c r="Q256" s="506"/>
      <c r="R256" s="506"/>
      <c r="S256" s="506"/>
      <c r="T256" s="506"/>
      <c r="U256" s="506"/>
      <c r="V256" s="506"/>
      <c r="W256" s="506"/>
      <c r="X256" s="506"/>
      <c r="Y256" s="506"/>
      <c r="Z256" s="506"/>
      <c r="AA256" s="506"/>
      <c r="AB256" s="506"/>
      <c r="AC256" s="502" t="n">
        <f aca="false">SUMIF(AD$12:AS$12,"总值",AD256:AS256)</f>
        <v>0</v>
      </c>
      <c r="AD256" s="507"/>
      <c r="AE256" s="507"/>
      <c r="AF256" s="507"/>
      <c r="AG256" s="507"/>
      <c r="AH256" s="507"/>
      <c r="AI256" s="507"/>
      <c r="AJ256" s="507"/>
      <c r="AK256" s="507"/>
      <c r="AL256" s="507"/>
      <c r="AM256" s="507"/>
      <c r="AN256" s="507"/>
      <c r="AO256" s="507"/>
      <c r="AP256" s="507"/>
      <c r="AQ256" s="507"/>
      <c r="AR256" s="507"/>
      <c r="AS256" s="507"/>
      <c r="AT256" s="508"/>
      <c r="AU256" s="509"/>
      <c r="AV256" s="510" t="n">
        <f aca="false">A256</f>
        <v>0</v>
      </c>
      <c r="AW256" s="510" t="n">
        <f aca="false">B256</f>
        <v>0</v>
      </c>
      <c r="AX256" s="510" t="n">
        <f aca="false">C256</f>
        <v>0</v>
      </c>
      <c r="AY256" s="511" t="n">
        <f aca="false">ROUND($AY$6*AZ256/$AZ$5,2)</f>
        <v>0</v>
      </c>
      <c r="AZ256" s="502" t="n">
        <f aca="false">BA256+BL256</f>
        <v>0</v>
      </c>
      <c r="BA256" s="502" t="n">
        <f aca="false">SUM(BB256:BK256)</f>
        <v>0</v>
      </c>
      <c r="BB256" s="502" t="n">
        <f aca="false">IF($D256="是",I256-J256,0)</f>
        <v>0</v>
      </c>
      <c r="BC256" s="502" t="n">
        <f aca="false">IF($D256="是",K256-L256,0)</f>
        <v>0</v>
      </c>
      <c r="BD256" s="502" t="n">
        <f aca="false">IF($D256="是",M256-N256,0)</f>
        <v>0</v>
      </c>
      <c r="BE256" s="502" t="n">
        <f aca="false">IF($D256="是",O256-P256,0)</f>
        <v>0</v>
      </c>
      <c r="BF256" s="502" t="n">
        <f aca="false">IF($D256="是",Q256-R256,0)</f>
        <v>0</v>
      </c>
      <c r="BG256" s="502" t="n">
        <f aca="false">IF($D256="是",S256-T256,0)</f>
        <v>0</v>
      </c>
      <c r="BH256" s="502" t="n">
        <f aca="false">IF($D256="是",U256-V256,0)</f>
        <v>0</v>
      </c>
      <c r="BI256" s="502" t="n">
        <f aca="false">IF($D256="是",W256-X256,0)</f>
        <v>0</v>
      </c>
      <c r="BJ256" s="502" t="n">
        <f aca="false">IF($D256="是",Y256-Z256,0)</f>
        <v>0</v>
      </c>
      <c r="BK256" s="502" t="n">
        <f aca="false">IF($D256="是",AA256-AB256,0)</f>
        <v>0</v>
      </c>
      <c r="BL256" s="502" t="n">
        <f aca="false">SUM(BM256:BT256)</f>
        <v>0</v>
      </c>
      <c r="BM256" s="502" t="n">
        <f aca="false">IF($D256="是",AD256-AE256,0)</f>
        <v>0</v>
      </c>
      <c r="BN256" s="502" t="n">
        <f aca="false">IF($D256="是",AF256-AG256,0)</f>
        <v>0</v>
      </c>
      <c r="BO256" s="502" t="n">
        <f aca="false">IF($D256="是",AH256-AI256,0)</f>
        <v>0</v>
      </c>
      <c r="BP256" s="502" t="n">
        <f aca="false">IF($D256="是",AJ256-AK256,0)</f>
        <v>0</v>
      </c>
      <c r="BQ256" s="502" t="n">
        <f aca="false">IF($D256="是",AL256-AM256,0)</f>
        <v>0</v>
      </c>
      <c r="BR256" s="502" t="n">
        <f aca="false">IF($D256="是",AN256-AO256,0)</f>
        <v>0</v>
      </c>
      <c r="BS256" s="502" t="n">
        <f aca="false">IF($D256="是",AP256-AQ256,0)</f>
        <v>0</v>
      </c>
      <c r="BT256" s="512" t="n">
        <f aca="false">IF($D256="是",AR256-AS256,0)</f>
        <v>0</v>
      </c>
    </row>
    <row r="257" customFormat="false" ht="14.25" hidden="false" customHeight="false" outlineLevel="0" collapsed="false">
      <c r="A257" s="499"/>
      <c r="B257" s="500"/>
      <c r="C257" s="500"/>
      <c r="D257" s="501"/>
      <c r="E257" s="502" t="n">
        <f aca="false">IF($C$3="是",ROUND($A$3*G257/$B$3,2),ROUND($A$3*(G257-AT257)/$B$3,2))</f>
        <v>0</v>
      </c>
      <c r="F257" s="503"/>
      <c r="G257" s="504" t="n">
        <f aca="false">H257+AC257+AT257</f>
        <v>0</v>
      </c>
      <c r="H257" s="505" t="n">
        <f aca="false">SUMIF(I$12:AB$12,"总值",I257:AB257)</f>
        <v>0</v>
      </c>
      <c r="I257" s="506"/>
      <c r="J257" s="506"/>
      <c r="K257" s="506"/>
      <c r="L257" s="506"/>
      <c r="M257" s="506"/>
      <c r="N257" s="506"/>
      <c r="O257" s="506"/>
      <c r="P257" s="506"/>
      <c r="Q257" s="506"/>
      <c r="R257" s="506"/>
      <c r="S257" s="506"/>
      <c r="T257" s="506"/>
      <c r="U257" s="506"/>
      <c r="V257" s="506"/>
      <c r="W257" s="506"/>
      <c r="X257" s="506"/>
      <c r="Y257" s="506"/>
      <c r="Z257" s="506"/>
      <c r="AA257" s="506"/>
      <c r="AB257" s="506"/>
      <c r="AC257" s="502" t="n">
        <f aca="false">SUMIF(AD$12:AS$12,"总值",AD257:AS257)</f>
        <v>0</v>
      </c>
      <c r="AD257" s="507"/>
      <c r="AE257" s="507"/>
      <c r="AF257" s="507"/>
      <c r="AG257" s="507"/>
      <c r="AH257" s="507"/>
      <c r="AI257" s="507"/>
      <c r="AJ257" s="507"/>
      <c r="AK257" s="507"/>
      <c r="AL257" s="507"/>
      <c r="AM257" s="507"/>
      <c r="AN257" s="507"/>
      <c r="AO257" s="507"/>
      <c r="AP257" s="507"/>
      <c r="AQ257" s="507"/>
      <c r="AR257" s="507"/>
      <c r="AS257" s="507"/>
      <c r="AT257" s="508"/>
      <c r="AU257" s="509"/>
      <c r="AV257" s="510" t="n">
        <f aca="false">A257</f>
        <v>0</v>
      </c>
      <c r="AW257" s="510" t="n">
        <f aca="false">B257</f>
        <v>0</v>
      </c>
      <c r="AX257" s="510" t="n">
        <f aca="false">C257</f>
        <v>0</v>
      </c>
      <c r="AY257" s="511" t="n">
        <f aca="false">ROUND($AY$6*AZ257/$AZ$5,2)</f>
        <v>0</v>
      </c>
      <c r="AZ257" s="502" t="n">
        <f aca="false">BA257+BL257</f>
        <v>0</v>
      </c>
      <c r="BA257" s="502" t="n">
        <f aca="false">SUM(BB257:BK257)</f>
        <v>0</v>
      </c>
      <c r="BB257" s="502" t="n">
        <f aca="false">IF($D257="是",I257-J257,0)</f>
        <v>0</v>
      </c>
      <c r="BC257" s="502" t="n">
        <f aca="false">IF($D257="是",K257-L257,0)</f>
        <v>0</v>
      </c>
      <c r="BD257" s="502" t="n">
        <f aca="false">IF($D257="是",M257-N257,0)</f>
        <v>0</v>
      </c>
      <c r="BE257" s="502" t="n">
        <f aca="false">IF($D257="是",O257-P257,0)</f>
        <v>0</v>
      </c>
      <c r="BF257" s="502" t="n">
        <f aca="false">IF($D257="是",Q257-R257,0)</f>
        <v>0</v>
      </c>
      <c r="BG257" s="502" t="n">
        <f aca="false">IF($D257="是",S257-T257,0)</f>
        <v>0</v>
      </c>
      <c r="BH257" s="502" t="n">
        <f aca="false">IF($D257="是",U257-V257,0)</f>
        <v>0</v>
      </c>
      <c r="BI257" s="502" t="n">
        <f aca="false">IF($D257="是",W257-X257,0)</f>
        <v>0</v>
      </c>
      <c r="BJ257" s="502" t="n">
        <f aca="false">IF($D257="是",Y257-Z257,0)</f>
        <v>0</v>
      </c>
      <c r="BK257" s="502" t="n">
        <f aca="false">IF($D257="是",AA257-AB257,0)</f>
        <v>0</v>
      </c>
      <c r="BL257" s="502" t="n">
        <f aca="false">SUM(BM257:BT257)</f>
        <v>0</v>
      </c>
      <c r="BM257" s="502" t="n">
        <f aca="false">IF($D257="是",AD257-AE257,0)</f>
        <v>0</v>
      </c>
      <c r="BN257" s="502" t="n">
        <f aca="false">IF($D257="是",AF257-AG257,0)</f>
        <v>0</v>
      </c>
      <c r="BO257" s="502" t="n">
        <f aca="false">IF($D257="是",AH257-AI257,0)</f>
        <v>0</v>
      </c>
      <c r="BP257" s="502" t="n">
        <f aca="false">IF($D257="是",AJ257-AK257,0)</f>
        <v>0</v>
      </c>
      <c r="BQ257" s="502" t="n">
        <f aca="false">IF($D257="是",AL257-AM257,0)</f>
        <v>0</v>
      </c>
      <c r="BR257" s="502" t="n">
        <f aca="false">IF($D257="是",AN257-AO257,0)</f>
        <v>0</v>
      </c>
      <c r="BS257" s="502" t="n">
        <f aca="false">IF($D257="是",AP257-AQ257,0)</f>
        <v>0</v>
      </c>
      <c r="BT257" s="512" t="n">
        <f aca="false">IF($D257="是",AR257-AS257,0)</f>
        <v>0</v>
      </c>
    </row>
    <row r="258" customFormat="false" ht="14.25" hidden="false" customHeight="false" outlineLevel="0" collapsed="false">
      <c r="A258" s="499"/>
      <c r="B258" s="500"/>
      <c r="C258" s="500"/>
      <c r="D258" s="501"/>
      <c r="E258" s="502" t="n">
        <f aca="false">IF($C$3="是",ROUND($A$3*G258/$B$3,2),ROUND($A$3*(G258-AT258)/$B$3,2))</f>
        <v>0</v>
      </c>
      <c r="F258" s="503"/>
      <c r="G258" s="504" t="n">
        <f aca="false">H258+AC258+AT258</f>
        <v>0</v>
      </c>
      <c r="H258" s="505" t="n">
        <f aca="false">SUMIF(I$12:AB$12,"总值",I258:AB258)</f>
        <v>0</v>
      </c>
      <c r="I258" s="506"/>
      <c r="J258" s="506"/>
      <c r="K258" s="506"/>
      <c r="L258" s="506"/>
      <c r="M258" s="506"/>
      <c r="N258" s="506"/>
      <c r="O258" s="506"/>
      <c r="P258" s="506"/>
      <c r="Q258" s="506"/>
      <c r="R258" s="506"/>
      <c r="S258" s="506"/>
      <c r="T258" s="506"/>
      <c r="U258" s="506"/>
      <c r="V258" s="506"/>
      <c r="W258" s="506"/>
      <c r="X258" s="506"/>
      <c r="Y258" s="506"/>
      <c r="Z258" s="506"/>
      <c r="AA258" s="506"/>
      <c r="AB258" s="506"/>
      <c r="AC258" s="502" t="n">
        <f aca="false">SUMIF(AD$12:AS$12,"总值",AD258:AS258)</f>
        <v>0</v>
      </c>
      <c r="AD258" s="507"/>
      <c r="AE258" s="507"/>
      <c r="AF258" s="507"/>
      <c r="AG258" s="507"/>
      <c r="AH258" s="507"/>
      <c r="AI258" s="507"/>
      <c r="AJ258" s="507"/>
      <c r="AK258" s="507"/>
      <c r="AL258" s="507"/>
      <c r="AM258" s="507"/>
      <c r="AN258" s="507"/>
      <c r="AO258" s="507"/>
      <c r="AP258" s="507"/>
      <c r="AQ258" s="507"/>
      <c r="AR258" s="507"/>
      <c r="AS258" s="507"/>
      <c r="AT258" s="508"/>
      <c r="AU258" s="509"/>
      <c r="AV258" s="510" t="n">
        <f aca="false">A258</f>
        <v>0</v>
      </c>
      <c r="AW258" s="510" t="n">
        <f aca="false">B258</f>
        <v>0</v>
      </c>
      <c r="AX258" s="510" t="n">
        <f aca="false">C258</f>
        <v>0</v>
      </c>
      <c r="AY258" s="511" t="n">
        <f aca="false">ROUND($AY$6*AZ258/$AZ$5,2)</f>
        <v>0</v>
      </c>
      <c r="AZ258" s="502" t="n">
        <f aca="false">BA258+BL258</f>
        <v>0</v>
      </c>
      <c r="BA258" s="502" t="n">
        <f aca="false">SUM(BB258:BK258)</f>
        <v>0</v>
      </c>
      <c r="BB258" s="502" t="n">
        <f aca="false">IF($D258="是",I258-J258,0)</f>
        <v>0</v>
      </c>
      <c r="BC258" s="502" t="n">
        <f aca="false">IF($D258="是",K258-L258,0)</f>
        <v>0</v>
      </c>
      <c r="BD258" s="502" t="n">
        <f aca="false">IF($D258="是",M258-N258,0)</f>
        <v>0</v>
      </c>
      <c r="BE258" s="502" t="n">
        <f aca="false">IF($D258="是",O258-P258,0)</f>
        <v>0</v>
      </c>
      <c r="BF258" s="502" t="n">
        <f aca="false">IF($D258="是",Q258-R258,0)</f>
        <v>0</v>
      </c>
      <c r="BG258" s="502" t="n">
        <f aca="false">IF($D258="是",S258-T258,0)</f>
        <v>0</v>
      </c>
      <c r="BH258" s="502" t="n">
        <f aca="false">IF($D258="是",U258-V258,0)</f>
        <v>0</v>
      </c>
      <c r="BI258" s="502" t="n">
        <f aca="false">IF($D258="是",W258-X258,0)</f>
        <v>0</v>
      </c>
      <c r="BJ258" s="502" t="n">
        <f aca="false">IF($D258="是",Y258-Z258,0)</f>
        <v>0</v>
      </c>
      <c r="BK258" s="502" t="n">
        <f aca="false">IF($D258="是",AA258-AB258,0)</f>
        <v>0</v>
      </c>
      <c r="BL258" s="502" t="n">
        <f aca="false">SUM(BM258:BT258)</f>
        <v>0</v>
      </c>
      <c r="BM258" s="502" t="n">
        <f aca="false">IF($D258="是",AD258-AE258,0)</f>
        <v>0</v>
      </c>
      <c r="BN258" s="502" t="n">
        <f aca="false">IF($D258="是",AF258-AG258,0)</f>
        <v>0</v>
      </c>
      <c r="BO258" s="502" t="n">
        <f aca="false">IF($D258="是",AH258-AI258,0)</f>
        <v>0</v>
      </c>
      <c r="BP258" s="502" t="n">
        <f aca="false">IF($D258="是",AJ258-AK258,0)</f>
        <v>0</v>
      </c>
      <c r="BQ258" s="502" t="n">
        <f aca="false">IF($D258="是",AL258-AM258,0)</f>
        <v>0</v>
      </c>
      <c r="BR258" s="502" t="n">
        <f aca="false">IF($D258="是",AN258-AO258,0)</f>
        <v>0</v>
      </c>
      <c r="BS258" s="502" t="n">
        <f aca="false">IF($D258="是",AP258-AQ258,0)</f>
        <v>0</v>
      </c>
      <c r="BT258" s="512" t="n">
        <f aca="false">IF($D258="是",AR258-AS258,0)</f>
        <v>0</v>
      </c>
    </row>
    <row r="259" customFormat="false" ht="14.25" hidden="false" customHeight="false" outlineLevel="0" collapsed="false">
      <c r="A259" s="499"/>
      <c r="B259" s="500"/>
      <c r="C259" s="500"/>
      <c r="D259" s="501"/>
      <c r="E259" s="502" t="n">
        <f aca="false">IF($C$3="是",ROUND($A$3*G259/$B$3,2),ROUND($A$3*(G259-AT259)/$B$3,2))</f>
        <v>0</v>
      </c>
      <c r="F259" s="503"/>
      <c r="G259" s="504" t="n">
        <f aca="false">H259+AC259+AT259</f>
        <v>0</v>
      </c>
      <c r="H259" s="505" t="n">
        <f aca="false">SUMIF(I$12:AB$12,"总值",I259:AB259)</f>
        <v>0</v>
      </c>
      <c r="I259" s="506"/>
      <c r="J259" s="506"/>
      <c r="K259" s="506"/>
      <c r="L259" s="506"/>
      <c r="M259" s="506"/>
      <c r="N259" s="506"/>
      <c r="O259" s="506"/>
      <c r="P259" s="506"/>
      <c r="Q259" s="506"/>
      <c r="R259" s="506"/>
      <c r="S259" s="506"/>
      <c r="T259" s="506"/>
      <c r="U259" s="506"/>
      <c r="V259" s="506"/>
      <c r="W259" s="506"/>
      <c r="X259" s="506"/>
      <c r="Y259" s="506"/>
      <c r="Z259" s="506"/>
      <c r="AA259" s="506"/>
      <c r="AB259" s="506"/>
      <c r="AC259" s="502" t="n">
        <f aca="false">SUMIF(AD$12:AS$12,"总值",AD259:AS259)</f>
        <v>0</v>
      </c>
      <c r="AD259" s="507"/>
      <c r="AE259" s="507"/>
      <c r="AF259" s="507"/>
      <c r="AG259" s="507"/>
      <c r="AH259" s="507"/>
      <c r="AI259" s="507"/>
      <c r="AJ259" s="507"/>
      <c r="AK259" s="507"/>
      <c r="AL259" s="507"/>
      <c r="AM259" s="507"/>
      <c r="AN259" s="507"/>
      <c r="AO259" s="507"/>
      <c r="AP259" s="507"/>
      <c r="AQ259" s="507"/>
      <c r="AR259" s="507"/>
      <c r="AS259" s="507"/>
      <c r="AT259" s="508"/>
      <c r="AU259" s="509"/>
      <c r="AV259" s="510" t="n">
        <f aca="false">A259</f>
        <v>0</v>
      </c>
      <c r="AW259" s="510" t="n">
        <f aca="false">B259</f>
        <v>0</v>
      </c>
      <c r="AX259" s="510" t="n">
        <f aca="false">C259</f>
        <v>0</v>
      </c>
      <c r="AY259" s="511" t="n">
        <f aca="false">ROUND($AY$6*AZ259/$AZ$5,2)</f>
        <v>0</v>
      </c>
      <c r="AZ259" s="502" t="n">
        <f aca="false">BA259+BL259</f>
        <v>0</v>
      </c>
      <c r="BA259" s="502" t="n">
        <f aca="false">SUM(BB259:BK259)</f>
        <v>0</v>
      </c>
      <c r="BB259" s="502" t="n">
        <f aca="false">IF($D259="是",I259-J259,0)</f>
        <v>0</v>
      </c>
      <c r="BC259" s="502" t="n">
        <f aca="false">IF($D259="是",K259-L259,0)</f>
        <v>0</v>
      </c>
      <c r="BD259" s="502" t="n">
        <f aca="false">IF($D259="是",M259-N259,0)</f>
        <v>0</v>
      </c>
      <c r="BE259" s="502" t="n">
        <f aca="false">IF($D259="是",O259-P259,0)</f>
        <v>0</v>
      </c>
      <c r="BF259" s="502" t="n">
        <f aca="false">IF($D259="是",Q259-R259,0)</f>
        <v>0</v>
      </c>
      <c r="BG259" s="502" t="n">
        <f aca="false">IF($D259="是",S259-T259,0)</f>
        <v>0</v>
      </c>
      <c r="BH259" s="502" t="n">
        <f aca="false">IF($D259="是",U259-V259,0)</f>
        <v>0</v>
      </c>
      <c r="BI259" s="502" t="n">
        <f aca="false">IF($D259="是",W259-X259,0)</f>
        <v>0</v>
      </c>
      <c r="BJ259" s="502" t="n">
        <f aca="false">IF($D259="是",Y259-Z259,0)</f>
        <v>0</v>
      </c>
      <c r="BK259" s="502" t="n">
        <f aca="false">IF($D259="是",AA259-AB259,0)</f>
        <v>0</v>
      </c>
      <c r="BL259" s="502" t="n">
        <f aca="false">SUM(BM259:BT259)</f>
        <v>0</v>
      </c>
      <c r="BM259" s="502" t="n">
        <f aca="false">IF($D259="是",AD259-AE259,0)</f>
        <v>0</v>
      </c>
      <c r="BN259" s="502" t="n">
        <f aca="false">IF($D259="是",AF259-AG259,0)</f>
        <v>0</v>
      </c>
      <c r="BO259" s="502" t="n">
        <f aca="false">IF($D259="是",AH259-AI259,0)</f>
        <v>0</v>
      </c>
      <c r="BP259" s="502" t="n">
        <f aca="false">IF($D259="是",AJ259-AK259,0)</f>
        <v>0</v>
      </c>
      <c r="BQ259" s="502" t="n">
        <f aca="false">IF($D259="是",AL259-AM259,0)</f>
        <v>0</v>
      </c>
      <c r="BR259" s="502" t="n">
        <f aca="false">IF($D259="是",AN259-AO259,0)</f>
        <v>0</v>
      </c>
      <c r="BS259" s="502" t="n">
        <f aca="false">IF($D259="是",AP259-AQ259,0)</f>
        <v>0</v>
      </c>
      <c r="BT259" s="512" t="n">
        <f aca="false">IF($D259="是",AR259-AS259,0)</f>
        <v>0</v>
      </c>
    </row>
    <row r="260" customFormat="false" ht="14.25" hidden="false" customHeight="false" outlineLevel="0" collapsed="false">
      <c r="A260" s="499"/>
      <c r="B260" s="500"/>
      <c r="C260" s="500"/>
      <c r="D260" s="501"/>
      <c r="E260" s="502" t="n">
        <f aca="false">IF($C$3="是",ROUND($A$3*G260/$B$3,2),ROUND($A$3*(G260-AT260)/$B$3,2))</f>
        <v>0</v>
      </c>
      <c r="F260" s="503"/>
      <c r="G260" s="504" t="n">
        <f aca="false">H260+AC260+AT260</f>
        <v>0</v>
      </c>
      <c r="H260" s="505" t="n">
        <f aca="false">SUMIF(I$12:AB$12,"总值",I260:AB260)</f>
        <v>0</v>
      </c>
      <c r="I260" s="506"/>
      <c r="J260" s="506"/>
      <c r="K260" s="506"/>
      <c r="L260" s="506"/>
      <c r="M260" s="506"/>
      <c r="N260" s="506"/>
      <c r="O260" s="506"/>
      <c r="P260" s="506"/>
      <c r="Q260" s="506"/>
      <c r="R260" s="506"/>
      <c r="S260" s="506"/>
      <c r="T260" s="506"/>
      <c r="U260" s="506"/>
      <c r="V260" s="506"/>
      <c r="W260" s="506"/>
      <c r="X260" s="506"/>
      <c r="Y260" s="506"/>
      <c r="Z260" s="506"/>
      <c r="AA260" s="506"/>
      <c r="AB260" s="506"/>
      <c r="AC260" s="502" t="n">
        <f aca="false">SUMIF(AD$12:AS$12,"总值",AD260:AS260)</f>
        <v>0</v>
      </c>
      <c r="AD260" s="507"/>
      <c r="AE260" s="507"/>
      <c r="AF260" s="507"/>
      <c r="AG260" s="507"/>
      <c r="AH260" s="507"/>
      <c r="AI260" s="507"/>
      <c r="AJ260" s="507"/>
      <c r="AK260" s="507"/>
      <c r="AL260" s="507"/>
      <c r="AM260" s="507"/>
      <c r="AN260" s="507"/>
      <c r="AO260" s="507"/>
      <c r="AP260" s="507"/>
      <c r="AQ260" s="507"/>
      <c r="AR260" s="507"/>
      <c r="AS260" s="507"/>
      <c r="AT260" s="508"/>
      <c r="AU260" s="509"/>
      <c r="AV260" s="510" t="n">
        <f aca="false">A260</f>
        <v>0</v>
      </c>
      <c r="AW260" s="510" t="n">
        <f aca="false">B260</f>
        <v>0</v>
      </c>
      <c r="AX260" s="510" t="n">
        <f aca="false">C260</f>
        <v>0</v>
      </c>
      <c r="AY260" s="511" t="n">
        <f aca="false">ROUND($AY$6*AZ260/$AZ$5,2)</f>
        <v>0</v>
      </c>
      <c r="AZ260" s="502" t="n">
        <f aca="false">BA260+BL260</f>
        <v>0</v>
      </c>
      <c r="BA260" s="502" t="n">
        <f aca="false">SUM(BB260:BK260)</f>
        <v>0</v>
      </c>
      <c r="BB260" s="502" t="n">
        <f aca="false">IF($D260="是",I260-J260,0)</f>
        <v>0</v>
      </c>
      <c r="BC260" s="502" t="n">
        <f aca="false">IF($D260="是",K260-L260,0)</f>
        <v>0</v>
      </c>
      <c r="BD260" s="502" t="n">
        <f aca="false">IF($D260="是",M260-N260,0)</f>
        <v>0</v>
      </c>
      <c r="BE260" s="502" t="n">
        <f aca="false">IF($D260="是",O260-P260,0)</f>
        <v>0</v>
      </c>
      <c r="BF260" s="502" t="n">
        <f aca="false">IF($D260="是",Q260-R260,0)</f>
        <v>0</v>
      </c>
      <c r="BG260" s="502" t="n">
        <f aca="false">IF($D260="是",S260-T260,0)</f>
        <v>0</v>
      </c>
      <c r="BH260" s="502" t="n">
        <f aca="false">IF($D260="是",U260-V260,0)</f>
        <v>0</v>
      </c>
      <c r="BI260" s="502" t="n">
        <f aca="false">IF($D260="是",W260-X260,0)</f>
        <v>0</v>
      </c>
      <c r="BJ260" s="502" t="n">
        <f aca="false">IF($D260="是",Y260-Z260,0)</f>
        <v>0</v>
      </c>
      <c r="BK260" s="502" t="n">
        <f aca="false">IF($D260="是",AA260-AB260,0)</f>
        <v>0</v>
      </c>
      <c r="BL260" s="502" t="n">
        <f aca="false">SUM(BM260:BT260)</f>
        <v>0</v>
      </c>
      <c r="BM260" s="502" t="n">
        <f aca="false">IF($D260="是",AD260-AE260,0)</f>
        <v>0</v>
      </c>
      <c r="BN260" s="502" t="n">
        <f aca="false">IF($D260="是",AF260-AG260,0)</f>
        <v>0</v>
      </c>
      <c r="BO260" s="502" t="n">
        <f aca="false">IF($D260="是",AH260-AI260,0)</f>
        <v>0</v>
      </c>
      <c r="BP260" s="502" t="n">
        <f aca="false">IF($D260="是",AJ260-AK260,0)</f>
        <v>0</v>
      </c>
      <c r="BQ260" s="502" t="n">
        <f aca="false">IF($D260="是",AL260-AM260,0)</f>
        <v>0</v>
      </c>
      <c r="BR260" s="502" t="n">
        <f aca="false">IF($D260="是",AN260-AO260,0)</f>
        <v>0</v>
      </c>
      <c r="BS260" s="502" t="n">
        <f aca="false">IF($D260="是",AP260-AQ260,0)</f>
        <v>0</v>
      </c>
      <c r="BT260" s="512" t="n">
        <f aca="false">IF($D260="是",AR260-AS260,0)</f>
        <v>0</v>
      </c>
    </row>
    <row r="261" customFormat="false" ht="14.25" hidden="false" customHeight="false" outlineLevel="0" collapsed="false">
      <c r="A261" s="499"/>
      <c r="B261" s="500"/>
      <c r="C261" s="500"/>
      <c r="D261" s="501"/>
      <c r="E261" s="502" t="n">
        <f aca="false">IF($C$3="是",ROUND($A$3*G261/$B$3,2),ROUND($A$3*(G261-AT261)/$B$3,2))</f>
        <v>0</v>
      </c>
      <c r="F261" s="503"/>
      <c r="G261" s="504" t="n">
        <f aca="false">H261+AC261+AT261</f>
        <v>0</v>
      </c>
      <c r="H261" s="505" t="n">
        <f aca="false">SUMIF(I$12:AB$12,"总值",I261:AB261)</f>
        <v>0</v>
      </c>
      <c r="I261" s="506"/>
      <c r="J261" s="506"/>
      <c r="K261" s="506"/>
      <c r="L261" s="506"/>
      <c r="M261" s="506"/>
      <c r="N261" s="506"/>
      <c r="O261" s="506"/>
      <c r="P261" s="506"/>
      <c r="Q261" s="506"/>
      <c r="R261" s="506"/>
      <c r="S261" s="506"/>
      <c r="T261" s="506"/>
      <c r="U261" s="506"/>
      <c r="V261" s="506"/>
      <c r="W261" s="506"/>
      <c r="X261" s="506"/>
      <c r="Y261" s="506"/>
      <c r="Z261" s="506"/>
      <c r="AA261" s="506"/>
      <c r="AB261" s="506"/>
      <c r="AC261" s="502" t="n">
        <f aca="false">SUMIF(AD$12:AS$12,"总值",AD261:AS261)</f>
        <v>0</v>
      </c>
      <c r="AD261" s="507"/>
      <c r="AE261" s="507"/>
      <c r="AF261" s="507"/>
      <c r="AG261" s="507"/>
      <c r="AH261" s="507"/>
      <c r="AI261" s="507"/>
      <c r="AJ261" s="507"/>
      <c r="AK261" s="507"/>
      <c r="AL261" s="507"/>
      <c r="AM261" s="507"/>
      <c r="AN261" s="507"/>
      <c r="AO261" s="507"/>
      <c r="AP261" s="507"/>
      <c r="AQ261" s="507"/>
      <c r="AR261" s="507"/>
      <c r="AS261" s="507"/>
      <c r="AT261" s="508"/>
      <c r="AU261" s="509"/>
      <c r="AV261" s="510" t="n">
        <f aca="false">A261</f>
        <v>0</v>
      </c>
      <c r="AW261" s="510" t="n">
        <f aca="false">B261</f>
        <v>0</v>
      </c>
      <c r="AX261" s="510" t="n">
        <f aca="false">C261</f>
        <v>0</v>
      </c>
      <c r="AY261" s="511" t="n">
        <f aca="false">ROUND($AY$6*AZ261/$AZ$5,2)</f>
        <v>0</v>
      </c>
      <c r="AZ261" s="502" t="n">
        <f aca="false">BA261+BL261</f>
        <v>0</v>
      </c>
      <c r="BA261" s="502" t="n">
        <f aca="false">SUM(BB261:BK261)</f>
        <v>0</v>
      </c>
      <c r="BB261" s="502" t="n">
        <f aca="false">IF($D261="是",I261-J261,0)</f>
        <v>0</v>
      </c>
      <c r="BC261" s="502" t="n">
        <f aca="false">IF($D261="是",K261-L261,0)</f>
        <v>0</v>
      </c>
      <c r="BD261" s="502" t="n">
        <f aca="false">IF($D261="是",M261-N261,0)</f>
        <v>0</v>
      </c>
      <c r="BE261" s="502" t="n">
        <f aca="false">IF($D261="是",O261-P261,0)</f>
        <v>0</v>
      </c>
      <c r="BF261" s="502" t="n">
        <f aca="false">IF($D261="是",Q261-R261,0)</f>
        <v>0</v>
      </c>
      <c r="BG261" s="502" t="n">
        <f aca="false">IF($D261="是",S261-T261,0)</f>
        <v>0</v>
      </c>
      <c r="BH261" s="502" t="n">
        <f aca="false">IF($D261="是",U261-V261,0)</f>
        <v>0</v>
      </c>
      <c r="BI261" s="502" t="n">
        <f aca="false">IF($D261="是",W261-X261,0)</f>
        <v>0</v>
      </c>
      <c r="BJ261" s="502" t="n">
        <f aca="false">IF($D261="是",Y261-Z261,0)</f>
        <v>0</v>
      </c>
      <c r="BK261" s="502" t="n">
        <f aca="false">IF($D261="是",AA261-AB261,0)</f>
        <v>0</v>
      </c>
      <c r="BL261" s="502" t="n">
        <f aca="false">SUM(BM261:BT261)</f>
        <v>0</v>
      </c>
      <c r="BM261" s="502" t="n">
        <f aca="false">IF($D261="是",AD261-AE261,0)</f>
        <v>0</v>
      </c>
      <c r="BN261" s="502" t="n">
        <f aca="false">IF($D261="是",AF261-AG261,0)</f>
        <v>0</v>
      </c>
      <c r="BO261" s="502" t="n">
        <f aca="false">IF($D261="是",AH261-AI261,0)</f>
        <v>0</v>
      </c>
      <c r="BP261" s="502" t="n">
        <f aca="false">IF($D261="是",AJ261-AK261,0)</f>
        <v>0</v>
      </c>
      <c r="BQ261" s="502" t="n">
        <f aca="false">IF($D261="是",AL261-AM261,0)</f>
        <v>0</v>
      </c>
      <c r="BR261" s="502" t="n">
        <f aca="false">IF($D261="是",AN261-AO261,0)</f>
        <v>0</v>
      </c>
      <c r="BS261" s="502" t="n">
        <f aca="false">IF($D261="是",AP261-AQ261,0)</f>
        <v>0</v>
      </c>
      <c r="BT261" s="512" t="n">
        <f aca="false">IF($D261="是",AR261-AS261,0)</f>
        <v>0</v>
      </c>
    </row>
    <row r="262" customFormat="false" ht="14.25" hidden="false" customHeight="false" outlineLevel="0" collapsed="false">
      <c r="A262" s="499"/>
      <c r="B262" s="500"/>
      <c r="C262" s="500"/>
      <c r="D262" s="501"/>
      <c r="E262" s="502" t="n">
        <f aca="false">IF($C$3="是",ROUND($A$3*G262/$B$3,2),ROUND($A$3*(G262-AT262)/$B$3,2))</f>
        <v>0</v>
      </c>
      <c r="F262" s="503"/>
      <c r="G262" s="504" t="n">
        <f aca="false">H262+AC262+AT262</f>
        <v>0</v>
      </c>
      <c r="H262" s="505" t="n">
        <f aca="false">SUMIF(I$12:AB$12,"总值",I262:AB262)</f>
        <v>0</v>
      </c>
      <c r="I262" s="506"/>
      <c r="J262" s="506"/>
      <c r="K262" s="506"/>
      <c r="L262" s="506"/>
      <c r="M262" s="506"/>
      <c r="N262" s="506"/>
      <c r="O262" s="506"/>
      <c r="P262" s="506"/>
      <c r="Q262" s="506"/>
      <c r="R262" s="506"/>
      <c r="S262" s="506"/>
      <c r="T262" s="506"/>
      <c r="U262" s="506"/>
      <c r="V262" s="506"/>
      <c r="W262" s="506"/>
      <c r="X262" s="506"/>
      <c r="Y262" s="506"/>
      <c r="Z262" s="506"/>
      <c r="AA262" s="506"/>
      <c r="AB262" s="506"/>
      <c r="AC262" s="502" t="n">
        <f aca="false">SUMIF(AD$12:AS$12,"总值",AD262:AS262)</f>
        <v>0</v>
      </c>
      <c r="AD262" s="507"/>
      <c r="AE262" s="507"/>
      <c r="AF262" s="507"/>
      <c r="AG262" s="507"/>
      <c r="AH262" s="507"/>
      <c r="AI262" s="507"/>
      <c r="AJ262" s="507"/>
      <c r="AK262" s="507"/>
      <c r="AL262" s="507"/>
      <c r="AM262" s="507"/>
      <c r="AN262" s="507"/>
      <c r="AO262" s="507"/>
      <c r="AP262" s="507"/>
      <c r="AQ262" s="507"/>
      <c r="AR262" s="507"/>
      <c r="AS262" s="507"/>
      <c r="AT262" s="508"/>
      <c r="AU262" s="509"/>
      <c r="AV262" s="510" t="n">
        <f aca="false">A262</f>
        <v>0</v>
      </c>
      <c r="AW262" s="510" t="n">
        <f aca="false">B262</f>
        <v>0</v>
      </c>
      <c r="AX262" s="510" t="n">
        <f aca="false">C262</f>
        <v>0</v>
      </c>
      <c r="AY262" s="511" t="n">
        <f aca="false">ROUND($AY$6*AZ262/$AZ$5,2)</f>
        <v>0</v>
      </c>
      <c r="AZ262" s="502" t="n">
        <f aca="false">BA262+BL262</f>
        <v>0</v>
      </c>
      <c r="BA262" s="502" t="n">
        <f aca="false">SUM(BB262:BK262)</f>
        <v>0</v>
      </c>
      <c r="BB262" s="502" t="n">
        <f aca="false">IF($D262="是",I262-J262,0)</f>
        <v>0</v>
      </c>
      <c r="BC262" s="502" t="n">
        <f aca="false">IF($D262="是",K262-L262,0)</f>
        <v>0</v>
      </c>
      <c r="BD262" s="502" t="n">
        <f aca="false">IF($D262="是",M262-N262,0)</f>
        <v>0</v>
      </c>
      <c r="BE262" s="502" t="n">
        <f aca="false">IF($D262="是",O262-P262,0)</f>
        <v>0</v>
      </c>
      <c r="BF262" s="502" t="n">
        <f aca="false">IF($D262="是",Q262-R262,0)</f>
        <v>0</v>
      </c>
      <c r="BG262" s="502" t="n">
        <f aca="false">IF($D262="是",S262-T262,0)</f>
        <v>0</v>
      </c>
      <c r="BH262" s="502" t="n">
        <f aca="false">IF($D262="是",U262-V262,0)</f>
        <v>0</v>
      </c>
      <c r="BI262" s="502" t="n">
        <f aca="false">IF($D262="是",W262-X262,0)</f>
        <v>0</v>
      </c>
      <c r="BJ262" s="502" t="n">
        <f aca="false">IF($D262="是",Y262-Z262,0)</f>
        <v>0</v>
      </c>
      <c r="BK262" s="502" t="n">
        <f aca="false">IF($D262="是",AA262-AB262,0)</f>
        <v>0</v>
      </c>
      <c r="BL262" s="502" t="n">
        <f aca="false">SUM(BM262:BT262)</f>
        <v>0</v>
      </c>
      <c r="BM262" s="502" t="n">
        <f aca="false">IF($D262="是",AD262-AE262,0)</f>
        <v>0</v>
      </c>
      <c r="BN262" s="502" t="n">
        <f aca="false">IF($D262="是",AF262-AG262,0)</f>
        <v>0</v>
      </c>
      <c r="BO262" s="502" t="n">
        <f aca="false">IF($D262="是",AH262-AI262,0)</f>
        <v>0</v>
      </c>
      <c r="BP262" s="502" t="n">
        <f aca="false">IF($D262="是",AJ262-AK262,0)</f>
        <v>0</v>
      </c>
      <c r="BQ262" s="502" t="n">
        <f aca="false">IF($D262="是",AL262-AM262,0)</f>
        <v>0</v>
      </c>
      <c r="BR262" s="502" t="n">
        <f aca="false">IF($D262="是",AN262-AO262,0)</f>
        <v>0</v>
      </c>
      <c r="BS262" s="502" t="n">
        <f aca="false">IF($D262="是",AP262-AQ262,0)</f>
        <v>0</v>
      </c>
      <c r="BT262" s="512" t="n">
        <f aca="false">IF($D262="是",AR262-AS262,0)</f>
        <v>0</v>
      </c>
    </row>
    <row r="263" customFormat="false" ht="14.25" hidden="false" customHeight="false" outlineLevel="0" collapsed="false">
      <c r="A263" s="499"/>
      <c r="B263" s="500"/>
      <c r="C263" s="500"/>
      <c r="D263" s="501"/>
      <c r="E263" s="502" t="n">
        <f aca="false">IF($C$3="是",ROUND($A$3*G263/$B$3,2),ROUND($A$3*(G263-AT263)/$B$3,2))</f>
        <v>0</v>
      </c>
      <c r="F263" s="503"/>
      <c r="G263" s="504" t="n">
        <f aca="false">H263+AC263+AT263</f>
        <v>0</v>
      </c>
      <c r="H263" s="505" t="n">
        <f aca="false">SUMIF(I$12:AB$12,"总值",I263:AB263)</f>
        <v>0</v>
      </c>
      <c r="I263" s="506"/>
      <c r="J263" s="506"/>
      <c r="K263" s="506"/>
      <c r="L263" s="506"/>
      <c r="M263" s="506"/>
      <c r="N263" s="506"/>
      <c r="O263" s="506"/>
      <c r="P263" s="506"/>
      <c r="Q263" s="506"/>
      <c r="R263" s="506"/>
      <c r="S263" s="506"/>
      <c r="T263" s="506"/>
      <c r="U263" s="506"/>
      <c r="V263" s="506"/>
      <c r="W263" s="506"/>
      <c r="X263" s="506"/>
      <c r="Y263" s="506"/>
      <c r="Z263" s="506"/>
      <c r="AA263" s="506"/>
      <c r="AB263" s="506"/>
      <c r="AC263" s="502" t="n">
        <f aca="false">SUMIF(AD$12:AS$12,"总值",AD263:AS263)</f>
        <v>0</v>
      </c>
      <c r="AD263" s="507"/>
      <c r="AE263" s="507"/>
      <c r="AF263" s="507"/>
      <c r="AG263" s="507"/>
      <c r="AH263" s="507"/>
      <c r="AI263" s="507"/>
      <c r="AJ263" s="507"/>
      <c r="AK263" s="507"/>
      <c r="AL263" s="507"/>
      <c r="AM263" s="507"/>
      <c r="AN263" s="507"/>
      <c r="AO263" s="507"/>
      <c r="AP263" s="507"/>
      <c r="AQ263" s="507"/>
      <c r="AR263" s="507"/>
      <c r="AS263" s="507"/>
      <c r="AT263" s="508"/>
      <c r="AU263" s="509"/>
      <c r="AV263" s="510" t="n">
        <f aca="false">A263</f>
        <v>0</v>
      </c>
      <c r="AW263" s="510" t="n">
        <f aca="false">B263</f>
        <v>0</v>
      </c>
      <c r="AX263" s="510" t="n">
        <f aca="false">C263</f>
        <v>0</v>
      </c>
      <c r="AY263" s="511" t="n">
        <f aca="false">ROUND($AY$6*AZ263/$AZ$5,2)</f>
        <v>0</v>
      </c>
      <c r="AZ263" s="502" t="n">
        <f aca="false">BA263+BL263</f>
        <v>0</v>
      </c>
      <c r="BA263" s="502" t="n">
        <f aca="false">SUM(BB263:BK263)</f>
        <v>0</v>
      </c>
      <c r="BB263" s="502" t="n">
        <f aca="false">IF($D263="是",I263-J263,0)</f>
        <v>0</v>
      </c>
      <c r="BC263" s="502" t="n">
        <f aca="false">IF($D263="是",K263-L263,0)</f>
        <v>0</v>
      </c>
      <c r="BD263" s="502" t="n">
        <f aca="false">IF($D263="是",M263-N263,0)</f>
        <v>0</v>
      </c>
      <c r="BE263" s="502" t="n">
        <f aca="false">IF($D263="是",O263-P263,0)</f>
        <v>0</v>
      </c>
      <c r="BF263" s="502" t="n">
        <f aca="false">IF($D263="是",Q263-R263,0)</f>
        <v>0</v>
      </c>
      <c r="BG263" s="502" t="n">
        <f aca="false">IF($D263="是",S263-T263,0)</f>
        <v>0</v>
      </c>
      <c r="BH263" s="502" t="n">
        <f aca="false">IF($D263="是",U263-V263,0)</f>
        <v>0</v>
      </c>
      <c r="BI263" s="502" t="n">
        <f aca="false">IF($D263="是",W263-X263,0)</f>
        <v>0</v>
      </c>
      <c r="BJ263" s="502" t="n">
        <f aca="false">IF($D263="是",Y263-Z263,0)</f>
        <v>0</v>
      </c>
      <c r="BK263" s="502" t="n">
        <f aca="false">IF($D263="是",AA263-AB263,0)</f>
        <v>0</v>
      </c>
      <c r="BL263" s="502" t="n">
        <f aca="false">SUM(BM263:BT263)</f>
        <v>0</v>
      </c>
      <c r="BM263" s="502" t="n">
        <f aca="false">IF($D263="是",AD263-AE263,0)</f>
        <v>0</v>
      </c>
      <c r="BN263" s="502" t="n">
        <f aca="false">IF($D263="是",AF263-AG263,0)</f>
        <v>0</v>
      </c>
      <c r="BO263" s="502" t="n">
        <f aca="false">IF($D263="是",AH263-AI263,0)</f>
        <v>0</v>
      </c>
      <c r="BP263" s="502" t="n">
        <f aca="false">IF($D263="是",AJ263-AK263,0)</f>
        <v>0</v>
      </c>
      <c r="BQ263" s="502" t="n">
        <f aca="false">IF($D263="是",AL263-AM263,0)</f>
        <v>0</v>
      </c>
      <c r="BR263" s="502" t="n">
        <f aca="false">IF($D263="是",AN263-AO263,0)</f>
        <v>0</v>
      </c>
      <c r="BS263" s="502" t="n">
        <f aca="false">IF($D263="是",AP263-AQ263,0)</f>
        <v>0</v>
      </c>
      <c r="BT263" s="512" t="n">
        <f aca="false">IF($D263="是",AR263-AS263,0)</f>
        <v>0</v>
      </c>
    </row>
    <row r="264" customFormat="false" ht="14.25" hidden="false" customHeight="false" outlineLevel="0" collapsed="false">
      <c r="A264" s="499"/>
      <c r="B264" s="500"/>
      <c r="C264" s="500"/>
      <c r="D264" s="501"/>
      <c r="E264" s="502" t="n">
        <f aca="false">IF($C$3="是",ROUND($A$3*G264/$B$3,2),ROUND($A$3*(G264-AT264)/$B$3,2))</f>
        <v>0</v>
      </c>
      <c r="F264" s="503"/>
      <c r="G264" s="504" t="n">
        <f aca="false">H264+AC264+AT264</f>
        <v>0</v>
      </c>
      <c r="H264" s="505" t="n">
        <f aca="false">SUMIF(I$12:AB$12,"总值",I264:AB264)</f>
        <v>0</v>
      </c>
      <c r="I264" s="506"/>
      <c r="J264" s="506"/>
      <c r="K264" s="506"/>
      <c r="L264" s="506"/>
      <c r="M264" s="506"/>
      <c r="N264" s="506"/>
      <c r="O264" s="506"/>
      <c r="P264" s="506"/>
      <c r="Q264" s="506"/>
      <c r="R264" s="506"/>
      <c r="S264" s="506"/>
      <c r="T264" s="506"/>
      <c r="U264" s="506"/>
      <c r="V264" s="506"/>
      <c r="W264" s="506"/>
      <c r="X264" s="506"/>
      <c r="Y264" s="506"/>
      <c r="Z264" s="506"/>
      <c r="AA264" s="506"/>
      <c r="AB264" s="506"/>
      <c r="AC264" s="502" t="n">
        <f aca="false">SUMIF(AD$12:AS$12,"总值",AD264:AS264)</f>
        <v>0</v>
      </c>
      <c r="AD264" s="507"/>
      <c r="AE264" s="507"/>
      <c r="AF264" s="507"/>
      <c r="AG264" s="507"/>
      <c r="AH264" s="507"/>
      <c r="AI264" s="507"/>
      <c r="AJ264" s="507"/>
      <c r="AK264" s="507"/>
      <c r="AL264" s="507"/>
      <c r="AM264" s="507"/>
      <c r="AN264" s="507"/>
      <c r="AO264" s="507"/>
      <c r="AP264" s="507"/>
      <c r="AQ264" s="507"/>
      <c r="AR264" s="507"/>
      <c r="AS264" s="507"/>
      <c r="AT264" s="508"/>
      <c r="AU264" s="509"/>
      <c r="AV264" s="510" t="n">
        <f aca="false">A264</f>
        <v>0</v>
      </c>
      <c r="AW264" s="510" t="n">
        <f aca="false">B264</f>
        <v>0</v>
      </c>
      <c r="AX264" s="510" t="n">
        <f aca="false">C264</f>
        <v>0</v>
      </c>
      <c r="AY264" s="511" t="n">
        <f aca="false">ROUND($AY$6*AZ264/$AZ$5,2)</f>
        <v>0</v>
      </c>
      <c r="AZ264" s="502" t="n">
        <f aca="false">BA264+BL264</f>
        <v>0</v>
      </c>
      <c r="BA264" s="502" t="n">
        <f aca="false">SUM(BB264:BK264)</f>
        <v>0</v>
      </c>
      <c r="BB264" s="502" t="n">
        <f aca="false">IF($D264="是",I264-J264,0)</f>
        <v>0</v>
      </c>
      <c r="BC264" s="502" t="n">
        <f aca="false">IF($D264="是",K264-L264,0)</f>
        <v>0</v>
      </c>
      <c r="BD264" s="502" t="n">
        <f aca="false">IF($D264="是",M264-N264,0)</f>
        <v>0</v>
      </c>
      <c r="BE264" s="502" t="n">
        <f aca="false">IF($D264="是",O264-P264,0)</f>
        <v>0</v>
      </c>
      <c r="BF264" s="502" t="n">
        <f aca="false">IF($D264="是",Q264-R264,0)</f>
        <v>0</v>
      </c>
      <c r="BG264" s="502" t="n">
        <f aca="false">IF($D264="是",S264-T264,0)</f>
        <v>0</v>
      </c>
      <c r="BH264" s="502" t="n">
        <f aca="false">IF($D264="是",U264-V264,0)</f>
        <v>0</v>
      </c>
      <c r="BI264" s="502" t="n">
        <f aca="false">IF($D264="是",W264-X264,0)</f>
        <v>0</v>
      </c>
      <c r="BJ264" s="502" t="n">
        <f aca="false">IF($D264="是",Y264-Z264,0)</f>
        <v>0</v>
      </c>
      <c r="BK264" s="502" t="n">
        <f aca="false">IF($D264="是",AA264-AB264,0)</f>
        <v>0</v>
      </c>
      <c r="BL264" s="502" t="n">
        <f aca="false">SUM(BM264:BT264)</f>
        <v>0</v>
      </c>
      <c r="BM264" s="502" t="n">
        <f aca="false">IF($D264="是",AD264-AE264,0)</f>
        <v>0</v>
      </c>
      <c r="BN264" s="502" t="n">
        <f aca="false">IF($D264="是",AF264-AG264,0)</f>
        <v>0</v>
      </c>
      <c r="BO264" s="502" t="n">
        <f aca="false">IF($D264="是",AH264-AI264,0)</f>
        <v>0</v>
      </c>
      <c r="BP264" s="502" t="n">
        <f aca="false">IF($D264="是",AJ264-AK264,0)</f>
        <v>0</v>
      </c>
      <c r="BQ264" s="502" t="n">
        <f aca="false">IF($D264="是",AL264-AM264,0)</f>
        <v>0</v>
      </c>
      <c r="BR264" s="502" t="n">
        <f aca="false">IF($D264="是",AN264-AO264,0)</f>
        <v>0</v>
      </c>
      <c r="BS264" s="502" t="n">
        <f aca="false">IF($D264="是",AP264-AQ264,0)</f>
        <v>0</v>
      </c>
      <c r="BT264" s="512" t="n">
        <f aca="false">IF($D264="是",AR264-AS264,0)</f>
        <v>0</v>
      </c>
    </row>
    <row r="265" customFormat="false" ht="14.25" hidden="false" customHeight="false" outlineLevel="0" collapsed="false">
      <c r="A265" s="499"/>
      <c r="B265" s="500"/>
      <c r="C265" s="500"/>
      <c r="D265" s="501"/>
      <c r="E265" s="502" t="n">
        <f aca="false">IF($C$3="是",ROUND($A$3*G265/$B$3,2),ROUND($A$3*(G265-AT265)/$B$3,2))</f>
        <v>0</v>
      </c>
      <c r="F265" s="503"/>
      <c r="G265" s="504" t="n">
        <f aca="false">H265+AC265+AT265</f>
        <v>0</v>
      </c>
      <c r="H265" s="505" t="n">
        <f aca="false">SUMIF(I$12:AB$12,"总值",I265:AB265)</f>
        <v>0</v>
      </c>
      <c r="I265" s="506"/>
      <c r="J265" s="506"/>
      <c r="K265" s="506"/>
      <c r="L265" s="506"/>
      <c r="M265" s="506"/>
      <c r="N265" s="506"/>
      <c r="O265" s="506"/>
      <c r="P265" s="506"/>
      <c r="Q265" s="506"/>
      <c r="R265" s="506"/>
      <c r="S265" s="506"/>
      <c r="T265" s="506"/>
      <c r="U265" s="506"/>
      <c r="V265" s="506"/>
      <c r="W265" s="506"/>
      <c r="X265" s="506"/>
      <c r="Y265" s="506"/>
      <c r="Z265" s="506"/>
      <c r="AA265" s="506"/>
      <c r="AB265" s="506"/>
      <c r="AC265" s="502" t="n">
        <f aca="false">SUMIF(AD$12:AS$12,"总值",AD265:AS265)</f>
        <v>0</v>
      </c>
      <c r="AD265" s="507"/>
      <c r="AE265" s="507"/>
      <c r="AF265" s="507"/>
      <c r="AG265" s="507"/>
      <c r="AH265" s="507"/>
      <c r="AI265" s="507"/>
      <c r="AJ265" s="507"/>
      <c r="AK265" s="507"/>
      <c r="AL265" s="507"/>
      <c r="AM265" s="507"/>
      <c r="AN265" s="507"/>
      <c r="AO265" s="507"/>
      <c r="AP265" s="507"/>
      <c r="AQ265" s="507"/>
      <c r="AR265" s="507"/>
      <c r="AS265" s="507"/>
      <c r="AT265" s="508"/>
      <c r="AU265" s="509"/>
      <c r="AV265" s="510" t="n">
        <f aca="false">A265</f>
        <v>0</v>
      </c>
      <c r="AW265" s="510" t="n">
        <f aca="false">B265</f>
        <v>0</v>
      </c>
      <c r="AX265" s="510" t="n">
        <f aca="false">C265</f>
        <v>0</v>
      </c>
      <c r="AY265" s="511" t="n">
        <f aca="false">ROUND($AY$6*AZ265/$AZ$5,2)</f>
        <v>0</v>
      </c>
      <c r="AZ265" s="502" t="n">
        <f aca="false">BA265+BL265</f>
        <v>0</v>
      </c>
      <c r="BA265" s="502" t="n">
        <f aca="false">SUM(BB265:BK265)</f>
        <v>0</v>
      </c>
      <c r="BB265" s="502" t="n">
        <f aca="false">IF($D265="是",I265-J265,0)</f>
        <v>0</v>
      </c>
      <c r="BC265" s="502" t="n">
        <f aca="false">IF($D265="是",K265-L265,0)</f>
        <v>0</v>
      </c>
      <c r="BD265" s="502" t="n">
        <f aca="false">IF($D265="是",M265-N265,0)</f>
        <v>0</v>
      </c>
      <c r="BE265" s="502" t="n">
        <f aca="false">IF($D265="是",O265-P265,0)</f>
        <v>0</v>
      </c>
      <c r="BF265" s="502" t="n">
        <f aca="false">IF($D265="是",Q265-R265,0)</f>
        <v>0</v>
      </c>
      <c r="BG265" s="502" t="n">
        <f aca="false">IF($D265="是",S265-T265,0)</f>
        <v>0</v>
      </c>
      <c r="BH265" s="502" t="n">
        <f aca="false">IF($D265="是",U265-V265,0)</f>
        <v>0</v>
      </c>
      <c r="BI265" s="502" t="n">
        <f aca="false">IF($D265="是",W265-X265,0)</f>
        <v>0</v>
      </c>
      <c r="BJ265" s="502" t="n">
        <f aca="false">IF($D265="是",Y265-Z265,0)</f>
        <v>0</v>
      </c>
      <c r="BK265" s="502" t="n">
        <f aca="false">IF($D265="是",AA265-AB265,0)</f>
        <v>0</v>
      </c>
      <c r="BL265" s="502" t="n">
        <f aca="false">SUM(BM265:BT265)</f>
        <v>0</v>
      </c>
      <c r="BM265" s="502" t="n">
        <f aca="false">IF($D265="是",AD265-AE265,0)</f>
        <v>0</v>
      </c>
      <c r="BN265" s="502" t="n">
        <f aca="false">IF($D265="是",AF265-AG265,0)</f>
        <v>0</v>
      </c>
      <c r="BO265" s="502" t="n">
        <f aca="false">IF($D265="是",AH265-AI265,0)</f>
        <v>0</v>
      </c>
      <c r="BP265" s="502" t="n">
        <f aca="false">IF($D265="是",AJ265-AK265,0)</f>
        <v>0</v>
      </c>
      <c r="BQ265" s="502" t="n">
        <f aca="false">IF($D265="是",AL265-AM265,0)</f>
        <v>0</v>
      </c>
      <c r="BR265" s="502" t="n">
        <f aca="false">IF($D265="是",AN265-AO265,0)</f>
        <v>0</v>
      </c>
      <c r="BS265" s="502" t="n">
        <f aca="false">IF($D265="是",AP265-AQ265,0)</f>
        <v>0</v>
      </c>
      <c r="BT265" s="512" t="n">
        <f aca="false">IF($D265="是",AR265-AS265,0)</f>
        <v>0</v>
      </c>
    </row>
    <row r="266" customFormat="false" ht="14.25" hidden="false" customHeight="false" outlineLevel="0" collapsed="false">
      <c r="A266" s="499"/>
      <c r="B266" s="500"/>
      <c r="C266" s="500"/>
      <c r="D266" s="501"/>
      <c r="E266" s="502" t="n">
        <f aca="false">IF($C$3="是",ROUND($A$3*G266/$B$3,2),ROUND($A$3*(G266-AT266)/$B$3,2))</f>
        <v>0</v>
      </c>
      <c r="F266" s="503"/>
      <c r="G266" s="504" t="n">
        <f aca="false">H266+AC266+AT266</f>
        <v>0</v>
      </c>
      <c r="H266" s="505" t="n">
        <f aca="false">SUMIF(I$12:AB$12,"总值",I266:AB266)</f>
        <v>0</v>
      </c>
      <c r="I266" s="506"/>
      <c r="J266" s="506"/>
      <c r="K266" s="506"/>
      <c r="L266" s="506"/>
      <c r="M266" s="506"/>
      <c r="N266" s="506"/>
      <c r="O266" s="506"/>
      <c r="P266" s="506"/>
      <c r="Q266" s="506"/>
      <c r="R266" s="506"/>
      <c r="S266" s="506"/>
      <c r="T266" s="506"/>
      <c r="U266" s="506"/>
      <c r="V266" s="506"/>
      <c r="W266" s="506"/>
      <c r="X266" s="506"/>
      <c r="Y266" s="506"/>
      <c r="Z266" s="506"/>
      <c r="AA266" s="506"/>
      <c r="AB266" s="506"/>
      <c r="AC266" s="502" t="n">
        <f aca="false">SUMIF(AD$12:AS$12,"总值",AD266:AS266)</f>
        <v>0</v>
      </c>
      <c r="AD266" s="507"/>
      <c r="AE266" s="507"/>
      <c r="AF266" s="507"/>
      <c r="AG266" s="507"/>
      <c r="AH266" s="507"/>
      <c r="AI266" s="507"/>
      <c r="AJ266" s="507"/>
      <c r="AK266" s="507"/>
      <c r="AL266" s="507"/>
      <c r="AM266" s="507"/>
      <c r="AN266" s="507"/>
      <c r="AO266" s="507"/>
      <c r="AP266" s="507"/>
      <c r="AQ266" s="507"/>
      <c r="AR266" s="507"/>
      <c r="AS266" s="507"/>
      <c r="AT266" s="508"/>
      <c r="AU266" s="509"/>
      <c r="AV266" s="510" t="n">
        <f aca="false">A266</f>
        <v>0</v>
      </c>
      <c r="AW266" s="510" t="n">
        <f aca="false">B266</f>
        <v>0</v>
      </c>
      <c r="AX266" s="510" t="n">
        <f aca="false">C266</f>
        <v>0</v>
      </c>
      <c r="AY266" s="511" t="n">
        <f aca="false">ROUND($AY$6*AZ266/$AZ$5,2)</f>
        <v>0</v>
      </c>
      <c r="AZ266" s="502" t="n">
        <f aca="false">BA266+BL266</f>
        <v>0</v>
      </c>
      <c r="BA266" s="502" t="n">
        <f aca="false">SUM(BB266:BK266)</f>
        <v>0</v>
      </c>
      <c r="BB266" s="502" t="n">
        <f aca="false">IF($D266="是",I266-J266,0)</f>
        <v>0</v>
      </c>
      <c r="BC266" s="502" t="n">
        <f aca="false">IF($D266="是",K266-L266,0)</f>
        <v>0</v>
      </c>
      <c r="BD266" s="502" t="n">
        <f aca="false">IF($D266="是",M266-N266,0)</f>
        <v>0</v>
      </c>
      <c r="BE266" s="502" t="n">
        <f aca="false">IF($D266="是",O266-P266,0)</f>
        <v>0</v>
      </c>
      <c r="BF266" s="502" t="n">
        <f aca="false">IF($D266="是",Q266-R266,0)</f>
        <v>0</v>
      </c>
      <c r="BG266" s="502" t="n">
        <f aca="false">IF($D266="是",S266-T266,0)</f>
        <v>0</v>
      </c>
      <c r="BH266" s="502" t="n">
        <f aca="false">IF($D266="是",U266-V266,0)</f>
        <v>0</v>
      </c>
      <c r="BI266" s="502" t="n">
        <f aca="false">IF($D266="是",W266-X266,0)</f>
        <v>0</v>
      </c>
      <c r="BJ266" s="502" t="n">
        <f aca="false">IF($D266="是",Y266-Z266,0)</f>
        <v>0</v>
      </c>
      <c r="BK266" s="502" t="n">
        <f aca="false">IF($D266="是",AA266-AB266,0)</f>
        <v>0</v>
      </c>
      <c r="BL266" s="502" t="n">
        <f aca="false">SUM(BM266:BT266)</f>
        <v>0</v>
      </c>
      <c r="BM266" s="502" t="n">
        <f aca="false">IF($D266="是",AD266-AE266,0)</f>
        <v>0</v>
      </c>
      <c r="BN266" s="502" t="n">
        <f aca="false">IF($D266="是",AF266-AG266,0)</f>
        <v>0</v>
      </c>
      <c r="BO266" s="502" t="n">
        <f aca="false">IF($D266="是",AH266-AI266,0)</f>
        <v>0</v>
      </c>
      <c r="BP266" s="502" t="n">
        <f aca="false">IF($D266="是",AJ266-AK266,0)</f>
        <v>0</v>
      </c>
      <c r="BQ266" s="502" t="n">
        <f aca="false">IF($D266="是",AL266-AM266,0)</f>
        <v>0</v>
      </c>
      <c r="BR266" s="502" t="n">
        <f aca="false">IF($D266="是",AN266-AO266,0)</f>
        <v>0</v>
      </c>
      <c r="BS266" s="502" t="n">
        <f aca="false">IF($D266="是",AP266-AQ266,0)</f>
        <v>0</v>
      </c>
      <c r="BT266" s="512" t="n">
        <f aca="false">IF($D266="是",AR266-AS266,0)</f>
        <v>0</v>
      </c>
    </row>
    <row r="267" customFormat="false" ht="14.25" hidden="false" customHeight="false" outlineLevel="0" collapsed="false">
      <c r="A267" s="499"/>
      <c r="B267" s="500"/>
      <c r="C267" s="500"/>
      <c r="D267" s="501"/>
      <c r="E267" s="502" t="n">
        <f aca="false">IF($C$3="是",ROUND($A$3*G267/$B$3,2),ROUND($A$3*(G267-AT267)/$B$3,2))</f>
        <v>0</v>
      </c>
      <c r="F267" s="503"/>
      <c r="G267" s="504" t="n">
        <f aca="false">H267+AC267+AT267</f>
        <v>0</v>
      </c>
      <c r="H267" s="505" t="n">
        <f aca="false">SUMIF(I$12:AB$12,"总值",I267:AB267)</f>
        <v>0</v>
      </c>
      <c r="I267" s="506"/>
      <c r="J267" s="506"/>
      <c r="K267" s="506"/>
      <c r="L267" s="506"/>
      <c r="M267" s="506"/>
      <c r="N267" s="506"/>
      <c r="O267" s="506"/>
      <c r="P267" s="506"/>
      <c r="Q267" s="506"/>
      <c r="R267" s="506"/>
      <c r="S267" s="506"/>
      <c r="T267" s="506"/>
      <c r="U267" s="506"/>
      <c r="V267" s="506"/>
      <c r="W267" s="506"/>
      <c r="X267" s="506"/>
      <c r="Y267" s="506"/>
      <c r="Z267" s="506"/>
      <c r="AA267" s="506"/>
      <c r="AB267" s="506"/>
      <c r="AC267" s="502" t="n">
        <f aca="false">SUMIF(AD$12:AS$12,"总值",AD267:AS267)</f>
        <v>0</v>
      </c>
      <c r="AD267" s="507"/>
      <c r="AE267" s="507"/>
      <c r="AF267" s="507"/>
      <c r="AG267" s="507"/>
      <c r="AH267" s="507"/>
      <c r="AI267" s="507"/>
      <c r="AJ267" s="507"/>
      <c r="AK267" s="507"/>
      <c r="AL267" s="507"/>
      <c r="AM267" s="507"/>
      <c r="AN267" s="507"/>
      <c r="AO267" s="507"/>
      <c r="AP267" s="507"/>
      <c r="AQ267" s="507"/>
      <c r="AR267" s="507"/>
      <c r="AS267" s="507"/>
      <c r="AT267" s="508"/>
      <c r="AU267" s="509"/>
      <c r="AV267" s="510" t="n">
        <f aca="false">A267</f>
        <v>0</v>
      </c>
      <c r="AW267" s="510" t="n">
        <f aca="false">B267</f>
        <v>0</v>
      </c>
      <c r="AX267" s="510" t="n">
        <f aca="false">C267</f>
        <v>0</v>
      </c>
      <c r="AY267" s="511" t="n">
        <f aca="false">ROUND($AY$6*AZ267/$AZ$5,2)</f>
        <v>0</v>
      </c>
      <c r="AZ267" s="502" t="n">
        <f aca="false">BA267+BL267</f>
        <v>0</v>
      </c>
      <c r="BA267" s="502" t="n">
        <f aca="false">SUM(BB267:BK267)</f>
        <v>0</v>
      </c>
      <c r="BB267" s="502" t="n">
        <f aca="false">IF($D267="是",I267-J267,0)</f>
        <v>0</v>
      </c>
      <c r="BC267" s="502" t="n">
        <f aca="false">IF($D267="是",K267-L267,0)</f>
        <v>0</v>
      </c>
      <c r="BD267" s="502" t="n">
        <f aca="false">IF($D267="是",M267-N267,0)</f>
        <v>0</v>
      </c>
      <c r="BE267" s="502" t="n">
        <f aca="false">IF($D267="是",O267-P267,0)</f>
        <v>0</v>
      </c>
      <c r="BF267" s="502" t="n">
        <f aca="false">IF($D267="是",Q267-R267,0)</f>
        <v>0</v>
      </c>
      <c r="BG267" s="502" t="n">
        <f aca="false">IF($D267="是",S267-T267,0)</f>
        <v>0</v>
      </c>
      <c r="BH267" s="502" t="n">
        <f aca="false">IF($D267="是",U267-V267,0)</f>
        <v>0</v>
      </c>
      <c r="BI267" s="502" t="n">
        <f aca="false">IF($D267="是",W267-X267,0)</f>
        <v>0</v>
      </c>
      <c r="BJ267" s="502" t="n">
        <f aca="false">IF($D267="是",Y267-Z267,0)</f>
        <v>0</v>
      </c>
      <c r="BK267" s="502" t="n">
        <f aca="false">IF($D267="是",AA267-AB267,0)</f>
        <v>0</v>
      </c>
      <c r="BL267" s="502" t="n">
        <f aca="false">SUM(BM267:BT267)</f>
        <v>0</v>
      </c>
      <c r="BM267" s="502" t="n">
        <f aca="false">IF($D267="是",AD267-AE267,0)</f>
        <v>0</v>
      </c>
      <c r="BN267" s="502" t="n">
        <f aca="false">IF($D267="是",AF267-AG267,0)</f>
        <v>0</v>
      </c>
      <c r="BO267" s="502" t="n">
        <f aca="false">IF($D267="是",AH267-AI267,0)</f>
        <v>0</v>
      </c>
      <c r="BP267" s="502" t="n">
        <f aca="false">IF($D267="是",AJ267-AK267,0)</f>
        <v>0</v>
      </c>
      <c r="BQ267" s="502" t="n">
        <f aca="false">IF($D267="是",AL267-AM267,0)</f>
        <v>0</v>
      </c>
      <c r="BR267" s="502" t="n">
        <f aca="false">IF($D267="是",AN267-AO267,0)</f>
        <v>0</v>
      </c>
      <c r="BS267" s="502" t="n">
        <f aca="false">IF($D267="是",AP267-AQ267,0)</f>
        <v>0</v>
      </c>
      <c r="BT267" s="512" t="n">
        <f aca="false">IF($D267="是",AR267-AS267,0)</f>
        <v>0</v>
      </c>
    </row>
    <row r="268" customFormat="false" ht="14.25" hidden="false" customHeight="false" outlineLevel="0" collapsed="false">
      <c r="A268" s="499"/>
      <c r="B268" s="500"/>
      <c r="C268" s="500"/>
      <c r="D268" s="501"/>
      <c r="E268" s="502" t="n">
        <f aca="false">IF($C$3="是",ROUND($A$3*G268/$B$3,2),ROUND($A$3*(G268-AT268)/$B$3,2))</f>
        <v>0</v>
      </c>
      <c r="F268" s="503"/>
      <c r="G268" s="504" t="n">
        <f aca="false">H268+AC268+AT268</f>
        <v>0</v>
      </c>
      <c r="H268" s="505" t="n">
        <f aca="false">SUMIF(I$12:AB$12,"总值",I268:AB268)</f>
        <v>0</v>
      </c>
      <c r="I268" s="506"/>
      <c r="J268" s="506"/>
      <c r="K268" s="506"/>
      <c r="L268" s="506"/>
      <c r="M268" s="506"/>
      <c r="N268" s="506"/>
      <c r="O268" s="506"/>
      <c r="P268" s="506"/>
      <c r="Q268" s="506"/>
      <c r="R268" s="506"/>
      <c r="S268" s="506"/>
      <c r="T268" s="506"/>
      <c r="U268" s="506"/>
      <c r="V268" s="506"/>
      <c r="W268" s="506"/>
      <c r="X268" s="506"/>
      <c r="Y268" s="506"/>
      <c r="Z268" s="506"/>
      <c r="AA268" s="506"/>
      <c r="AB268" s="506"/>
      <c r="AC268" s="502" t="n">
        <f aca="false">SUMIF(AD$12:AS$12,"总值",AD268:AS268)</f>
        <v>0</v>
      </c>
      <c r="AD268" s="507"/>
      <c r="AE268" s="507"/>
      <c r="AF268" s="507"/>
      <c r="AG268" s="507"/>
      <c r="AH268" s="507"/>
      <c r="AI268" s="507"/>
      <c r="AJ268" s="507"/>
      <c r="AK268" s="507"/>
      <c r="AL268" s="507"/>
      <c r="AM268" s="507"/>
      <c r="AN268" s="507"/>
      <c r="AO268" s="507"/>
      <c r="AP268" s="507"/>
      <c r="AQ268" s="507"/>
      <c r="AR268" s="507"/>
      <c r="AS268" s="507"/>
      <c r="AT268" s="508"/>
      <c r="AU268" s="509"/>
      <c r="AV268" s="510" t="n">
        <f aca="false">A268</f>
        <v>0</v>
      </c>
      <c r="AW268" s="510" t="n">
        <f aca="false">B268</f>
        <v>0</v>
      </c>
      <c r="AX268" s="510" t="n">
        <f aca="false">C268</f>
        <v>0</v>
      </c>
      <c r="AY268" s="511" t="n">
        <f aca="false">ROUND($AY$6*AZ268/$AZ$5,2)</f>
        <v>0</v>
      </c>
      <c r="AZ268" s="502" t="n">
        <f aca="false">BA268+BL268</f>
        <v>0</v>
      </c>
      <c r="BA268" s="502" t="n">
        <f aca="false">SUM(BB268:BK268)</f>
        <v>0</v>
      </c>
      <c r="BB268" s="502" t="n">
        <f aca="false">IF($D268="是",I268-J268,0)</f>
        <v>0</v>
      </c>
      <c r="BC268" s="502" t="n">
        <f aca="false">IF($D268="是",K268-L268,0)</f>
        <v>0</v>
      </c>
      <c r="BD268" s="502" t="n">
        <f aca="false">IF($D268="是",M268-N268,0)</f>
        <v>0</v>
      </c>
      <c r="BE268" s="502" t="n">
        <f aca="false">IF($D268="是",O268-P268,0)</f>
        <v>0</v>
      </c>
      <c r="BF268" s="502" t="n">
        <f aca="false">IF($D268="是",Q268-R268,0)</f>
        <v>0</v>
      </c>
      <c r="BG268" s="502" t="n">
        <f aca="false">IF($D268="是",S268-T268,0)</f>
        <v>0</v>
      </c>
      <c r="BH268" s="502" t="n">
        <f aca="false">IF($D268="是",U268-V268,0)</f>
        <v>0</v>
      </c>
      <c r="BI268" s="502" t="n">
        <f aca="false">IF($D268="是",W268-X268,0)</f>
        <v>0</v>
      </c>
      <c r="BJ268" s="502" t="n">
        <f aca="false">IF($D268="是",Y268-Z268,0)</f>
        <v>0</v>
      </c>
      <c r="BK268" s="502" t="n">
        <f aca="false">IF($D268="是",AA268-AB268,0)</f>
        <v>0</v>
      </c>
      <c r="BL268" s="502" t="n">
        <f aca="false">SUM(BM268:BT268)</f>
        <v>0</v>
      </c>
      <c r="BM268" s="502" t="n">
        <f aca="false">IF($D268="是",AD268-AE268,0)</f>
        <v>0</v>
      </c>
      <c r="BN268" s="502" t="n">
        <f aca="false">IF($D268="是",AF268-AG268,0)</f>
        <v>0</v>
      </c>
      <c r="BO268" s="502" t="n">
        <f aca="false">IF($D268="是",AH268-AI268,0)</f>
        <v>0</v>
      </c>
      <c r="BP268" s="502" t="n">
        <f aca="false">IF($D268="是",AJ268-AK268,0)</f>
        <v>0</v>
      </c>
      <c r="BQ268" s="502" t="n">
        <f aca="false">IF($D268="是",AL268-AM268,0)</f>
        <v>0</v>
      </c>
      <c r="BR268" s="502" t="n">
        <f aca="false">IF($D268="是",AN268-AO268,0)</f>
        <v>0</v>
      </c>
      <c r="BS268" s="502" t="n">
        <f aca="false">IF($D268="是",AP268-AQ268,0)</f>
        <v>0</v>
      </c>
      <c r="BT268" s="512" t="n">
        <f aca="false">IF($D268="是",AR268-AS268,0)</f>
        <v>0</v>
      </c>
    </row>
    <row r="269" customFormat="false" ht="14.25" hidden="false" customHeight="false" outlineLevel="0" collapsed="false">
      <c r="A269" s="499"/>
      <c r="B269" s="500"/>
      <c r="C269" s="500"/>
      <c r="D269" s="501"/>
      <c r="E269" s="502" t="n">
        <f aca="false">IF($C$3="是",ROUND($A$3*G269/$B$3,2),ROUND($A$3*(G269-AT269)/$B$3,2))</f>
        <v>0</v>
      </c>
      <c r="F269" s="503"/>
      <c r="G269" s="504" t="n">
        <f aca="false">H269+AC269+AT269</f>
        <v>0</v>
      </c>
      <c r="H269" s="505" t="n">
        <f aca="false">SUMIF(I$12:AB$12,"总值",I269:AB269)</f>
        <v>0</v>
      </c>
      <c r="I269" s="506"/>
      <c r="J269" s="506"/>
      <c r="K269" s="506"/>
      <c r="L269" s="506"/>
      <c r="M269" s="506"/>
      <c r="N269" s="506"/>
      <c r="O269" s="506"/>
      <c r="P269" s="506"/>
      <c r="Q269" s="506"/>
      <c r="R269" s="506"/>
      <c r="S269" s="506"/>
      <c r="T269" s="506"/>
      <c r="U269" s="506"/>
      <c r="V269" s="506"/>
      <c r="W269" s="506"/>
      <c r="X269" s="506"/>
      <c r="Y269" s="506"/>
      <c r="Z269" s="506"/>
      <c r="AA269" s="506"/>
      <c r="AB269" s="506"/>
      <c r="AC269" s="502" t="n">
        <f aca="false">SUMIF(AD$12:AS$12,"总值",AD269:AS269)</f>
        <v>0</v>
      </c>
      <c r="AD269" s="507"/>
      <c r="AE269" s="507"/>
      <c r="AF269" s="507"/>
      <c r="AG269" s="507"/>
      <c r="AH269" s="507"/>
      <c r="AI269" s="507"/>
      <c r="AJ269" s="507"/>
      <c r="AK269" s="507"/>
      <c r="AL269" s="507"/>
      <c r="AM269" s="507"/>
      <c r="AN269" s="507"/>
      <c r="AO269" s="507"/>
      <c r="AP269" s="507"/>
      <c r="AQ269" s="507"/>
      <c r="AR269" s="507"/>
      <c r="AS269" s="507"/>
      <c r="AT269" s="508"/>
      <c r="AU269" s="509"/>
      <c r="AV269" s="510" t="n">
        <f aca="false">A269</f>
        <v>0</v>
      </c>
      <c r="AW269" s="510" t="n">
        <f aca="false">B269</f>
        <v>0</v>
      </c>
      <c r="AX269" s="510" t="n">
        <f aca="false">C269</f>
        <v>0</v>
      </c>
      <c r="AY269" s="511" t="n">
        <f aca="false">ROUND($AY$6*AZ269/$AZ$5,2)</f>
        <v>0</v>
      </c>
      <c r="AZ269" s="502" t="n">
        <f aca="false">BA269+BL269</f>
        <v>0</v>
      </c>
      <c r="BA269" s="502" t="n">
        <f aca="false">SUM(BB269:BK269)</f>
        <v>0</v>
      </c>
      <c r="BB269" s="502" t="n">
        <f aca="false">IF($D269="是",I269-J269,0)</f>
        <v>0</v>
      </c>
      <c r="BC269" s="502" t="n">
        <f aca="false">IF($D269="是",K269-L269,0)</f>
        <v>0</v>
      </c>
      <c r="BD269" s="502" t="n">
        <f aca="false">IF($D269="是",M269-N269,0)</f>
        <v>0</v>
      </c>
      <c r="BE269" s="502" t="n">
        <f aca="false">IF($D269="是",O269-P269,0)</f>
        <v>0</v>
      </c>
      <c r="BF269" s="502" t="n">
        <f aca="false">IF($D269="是",Q269-R269,0)</f>
        <v>0</v>
      </c>
      <c r="BG269" s="502" t="n">
        <f aca="false">IF($D269="是",S269-T269,0)</f>
        <v>0</v>
      </c>
      <c r="BH269" s="502" t="n">
        <f aca="false">IF($D269="是",U269-V269,0)</f>
        <v>0</v>
      </c>
      <c r="BI269" s="502" t="n">
        <f aca="false">IF($D269="是",W269-X269,0)</f>
        <v>0</v>
      </c>
      <c r="BJ269" s="502" t="n">
        <f aca="false">IF($D269="是",Y269-Z269,0)</f>
        <v>0</v>
      </c>
      <c r="BK269" s="502" t="n">
        <f aca="false">IF($D269="是",AA269-AB269,0)</f>
        <v>0</v>
      </c>
      <c r="BL269" s="502" t="n">
        <f aca="false">SUM(BM269:BT269)</f>
        <v>0</v>
      </c>
      <c r="BM269" s="502" t="n">
        <f aca="false">IF($D269="是",AD269-AE269,0)</f>
        <v>0</v>
      </c>
      <c r="BN269" s="502" t="n">
        <f aca="false">IF($D269="是",AF269-AG269,0)</f>
        <v>0</v>
      </c>
      <c r="BO269" s="502" t="n">
        <f aca="false">IF($D269="是",AH269-AI269,0)</f>
        <v>0</v>
      </c>
      <c r="BP269" s="502" t="n">
        <f aca="false">IF($D269="是",AJ269-AK269,0)</f>
        <v>0</v>
      </c>
      <c r="BQ269" s="502" t="n">
        <f aca="false">IF($D269="是",AL269-AM269,0)</f>
        <v>0</v>
      </c>
      <c r="BR269" s="502" t="n">
        <f aca="false">IF($D269="是",AN269-AO269,0)</f>
        <v>0</v>
      </c>
      <c r="BS269" s="502" t="n">
        <f aca="false">IF($D269="是",AP269-AQ269,0)</f>
        <v>0</v>
      </c>
      <c r="BT269" s="512" t="n">
        <f aca="false">IF($D269="是",AR269-AS269,0)</f>
        <v>0</v>
      </c>
    </row>
    <row r="270" customFormat="false" ht="14.25" hidden="false" customHeight="false" outlineLevel="0" collapsed="false">
      <c r="A270" s="499"/>
      <c r="B270" s="500"/>
      <c r="C270" s="500"/>
      <c r="D270" s="501"/>
      <c r="E270" s="502" t="n">
        <f aca="false">IF($C$3="是",ROUND($A$3*G270/$B$3,2),ROUND($A$3*(G270-AT270)/$B$3,2))</f>
        <v>0</v>
      </c>
      <c r="F270" s="503"/>
      <c r="G270" s="504" t="n">
        <f aca="false">H270+AC270+AT270</f>
        <v>0</v>
      </c>
      <c r="H270" s="505" t="n">
        <f aca="false">SUMIF(I$12:AB$12,"总值",I270:AB270)</f>
        <v>0</v>
      </c>
      <c r="I270" s="506"/>
      <c r="J270" s="506"/>
      <c r="K270" s="506"/>
      <c r="L270" s="506"/>
      <c r="M270" s="506"/>
      <c r="N270" s="506"/>
      <c r="O270" s="506"/>
      <c r="P270" s="506"/>
      <c r="Q270" s="506"/>
      <c r="R270" s="506"/>
      <c r="S270" s="506"/>
      <c r="T270" s="506"/>
      <c r="U270" s="506"/>
      <c r="V270" s="506"/>
      <c r="W270" s="506"/>
      <c r="X270" s="506"/>
      <c r="Y270" s="506"/>
      <c r="Z270" s="506"/>
      <c r="AA270" s="506"/>
      <c r="AB270" s="506"/>
      <c r="AC270" s="502" t="n">
        <f aca="false">SUMIF(AD$12:AS$12,"总值",AD270:AS270)</f>
        <v>0</v>
      </c>
      <c r="AD270" s="507"/>
      <c r="AE270" s="507"/>
      <c r="AF270" s="507"/>
      <c r="AG270" s="507"/>
      <c r="AH270" s="507"/>
      <c r="AI270" s="507"/>
      <c r="AJ270" s="507"/>
      <c r="AK270" s="507"/>
      <c r="AL270" s="507"/>
      <c r="AM270" s="507"/>
      <c r="AN270" s="507"/>
      <c r="AO270" s="507"/>
      <c r="AP270" s="507"/>
      <c r="AQ270" s="507"/>
      <c r="AR270" s="507"/>
      <c r="AS270" s="507"/>
      <c r="AT270" s="508"/>
      <c r="AU270" s="509"/>
      <c r="AV270" s="510" t="n">
        <f aca="false">A270</f>
        <v>0</v>
      </c>
      <c r="AW270" s="510" t="n">
        <f aca="false">B270</f>
        <v>0</v>
      </c>
      <c r="AX270" s="510" t="n">
        <f aca="false">C270</f>
        <v>0</v>
      </c>
      <c r="AY270" s="511" t="n">
        <f aca="false">ROUND($AY$6*AZ270/$AZ$5,2)</f>
        <v>0</v>
      </c>
      <c r="AZ270" s="502" t="n">
        <f aca="false">BA270+BL270</f>
        <v>0</v>
      </c>
      <c r="BA270" s="502" t="n">
        <f aca="false">SUM(BB270:BK270)</f>
        <v>0</v>
      </c>
      <c r="BB270" s="502" t="n">
        <f aca="false">IF($D270="是",I270-J270,0)</f>
        <v>0</v>
      </c>
      <c r="BC270" s="502" t="n">
        <f aca="false">IF($D270="是",K270-L270,0)</f>
        <v>0</v>
      </c>
      <c r="BD270" s="502" t="n">
        <f aca="false">IF($D270="是",M270-N270,0)</f>
        <v>0</v>
      </c>
      <c r="BE270" s="502" t="n">
        <f aca="false">IF($D270="是",O270-P270,0)</f>
        <v>0</v>
      </c>
      <c r="BF270" s="502" t="n">
        <f aca="false">IF($D270="是",Q270-R270,0)</f>
        <v>0</v>
      </c>
      <c r="BG270" s="502" t="n">
        <f aca="false">IF($D270="是",S270-T270,0)</f>
        <v>0</v>
      </c>
      <c r="BH270" s="502" t="n">
        <f aca="false">IF($D270="是",U270-V270,0)</f>
        <v>0</v>
      </c>
      <c r="BI270" s="502" t="n">
        <f aca="false">IF($D270="是",W270-X270,0)</f>
        <v>0</v>
      </c>
      <c r="BJ270" s="502" t="n">
        <f aca="false">IF($D270="是",Y270-Z270,0)</f>
        <v>0</v>
      </c>
      <c r="BK270" s="502" t="n">
        <f aca="false">IF($D270="是",AA270-AB270,0)</f>
        <v>0</v>
      </c>
      <c r="BL270" s="502" t="n">
        <f aca="false">SUM(BM270:BT270)</f>
        <v>0</v>
      </c>
      <c r="BM270" s="502" t="n">
        <f aca="false">IF($D270="是",AD270-AE270,0)</f>
        <v>0</v>
      </c>
      <c r="BN270" s="502" t="n">
        <f aca="false">IF($D270="是",AF270-AG270,0)</f>
        <v>0</v>
      </c>
      <c r="BO270" s="502" t="n">
        <f aca="false">IF($D270="是",AH270-AI270,0)</f>
        <v>0</v>
      </c>
      <c r="BP270" s="502" t="n">
        <f aca="false">IF($D270="是",AJ270-AK270,0)</f>
        <v>0</v>
      </c>
      <c r="BQ270" s="502" t="n">
        <f aca="false">IF($D270="是",AL270-AM270,0)</f>
        <v>0</v>
      </c>
      <c r="BR270" s="502" t="n">
        <f aca="false">IF($D270="是",AN270-AO270,0)</f>
        <v>0</v>
      </c>
      <c r="BS270" s="502" t="n">
        <f aca="false">IF($D270="是",AP270-AQ270,0)</f>
        <v>0</v>
      </c>
      <c r="BT270" s="512" t="n">
        <f aca="false">IF($D270="是",AR270-AS270,0)</f>
        <v>0</v>
      </c>
    </row>
    <row r="271" customFormat="false" ht="14.25" hidden="false" customHeight="false" outlineLevel="0" collapsed="false">
      <c r="A271" s="499"/>
      <c r="B271" s="500"/>
      <c r="C271" s="500"/>
      <c r="D271" s="501"/>
      <c r="E271" s="502" t="n">
        <f aca="false">IF($C$3="是",ROUND($A$3*G271/$B$3,2),ROUND($A$3*(G271-AT271)/$B$3,2))</f>
        <v>0</v>
      </c>
      <c r="F271" s="503"/>
      <c r="G271" s="504" t="n">
        <f aca="false">H271+AC271+AT271</f>
        <v>0</v>
      </c>
      <c r="H271" s="505" t="n">
        <f aca="false">SUMIF(I$12:AB$12,"总值",I271:AB271)</f>
        <v>0</v>
      </c>
      <c r="I271" s="506"/>
      <c r="J271" s="506"/>
      <c r="K271" s="506"/>
      <c r="L271" s="506"/>
      <c r="M271" s="506"/>
      <c r="N271" s="506"/>
      <c r="O271" s="506"/>
      <c r="P271" s="506"/>
      <c r="Q271" s="506"/>
      <c r="R271" s="506"/>
      <c r="S271" s="506"/>
      <c r="T271" s="506"/>
      <c r="U271" s="506"/>
      <c r="V271" s="506"/>
      <c r="W271" s="506"/>
      <c r="X271" s="506"/>
      <c r="Y271" s="506"/>
      <c r="Z271" s="506"/>
      <c r="AA271" s="506"/>
      <c r="AB271" s="506"/>
      <c r="AC271" s="502" t="n">
        <f aca="false">SUMIF(AD$12:AS$12,"总值",AD271:AS271)</f>
        <v>0</v>
      </c>
      <c r="AD271" s="507"/>
      <c r="AE271" s="507"/>
      <c r="AF271" s="507"/>
      <c r="AG271" s="507"/>
      <c r="AH271" s="507"/>
      <c r="AI271" s="507"/>
      <c r="AJ271" s="507"/>
      <c r="AK271" s="507"/>
      <c r="AL271" s="507"/>
      <c r="AM271" s="507"/>
      <c r="AN271" s="507"/>
      <c r="AO271" s="507"/>
      <c r="AP271" s="507"/>
      <c r="AQ271" s="507"/>
      <c r="AR271" s="507"/>
      <c r="AS271" s="507"/>
      <c r="AT271" s="508"/>
      <c r="AU271" s="509"/>
      <c r="AV271" s="510" t="n">
        <f aca="false">A271</f>
        <v>0</v>
      </c>
      <c r="AW271" s="510" t="n">
        <f aca="false">B271</f>
        <v>0</v>
      </c>
      <c r="AX271" s="510" t="n">
        <f aca="false">C271</f>
        <v>0</v>
      </c>
      <c r="AY271" s="511" t="n">
        <f aca="false">ROUND($AY$6*AZ271/$AZ$5,2)</f>
        <v>0</v>
      </c>
      <c r="AZ271" s="502" t="n">
        <f aca="false">BA271+BL271</f>
        <v>0</v>
      </c>
      <c r="BA271" s="502" t="n">
        <f aca="false">SUM(BB271:BK271)</f>
        <v>0</v>
      </c>
      <c r="BB271" s="502" t="n">
        <f aca="false">IF($D271="是",I271-J271,0)</f>
        <v>0</v>
      </c>
      <c r="BC271" s="502" t="n">
        <f aca="false">IF($D271="是",K271-L271,0)</f>
        <v>0</v>
      </c>
      <c r="BD271" s="502" t="n">
        <f aca="false">IF($D271="是",M271-N271,0)</f>
        <v>0</v>
      </c>
      <c r="BE271" s="502" t="n">
        <f aca="false">IF($D271="是",O271-P271,0)</f>
        <v>0</v>
      </c>
      <c r="BF271" s="502" t="n">
        <f aca="false">IF($D271="是",Q271-R271,0)</f>
        <v>0</v>
      </c>
      <c r="BG271" s="502" t="n">
        <f aca="false">IF($D271="是",S271-T271,0)</f>
        <v>0</v>
      </c>
      <c r="BH271" s="502" t="n">
        <f aca="false">IF($D271="是",U271-V271,0)</f>
        <v>0</v>
      </c>
      <c r="BI271" s="502" t="n">
        <f aca="false">IF($D271="是",W271-X271,0)</f>
        <v>0</v>
      </c>
      <c r="BJ271" s="502" t="n">
        <f aca="false">IF($D271="是",Y271-Z271,0)</f>
        <v>0</v>
      </c>
      <c r="BK271" s="502" t="n">
        <f aca="false">IF($D271="是",AA271-AB271,0)</f>
        <v>0</v>
      </c>
      <c r="BL271" s="502" t="n">
        <f aca="false">SUM(BM271:BT271)</f>
        <v>0</v>
      </c>
      <c r="BM271" s="502" t="n">
        <f aca="false">IF($D271="是",AD271-AE271,0)</f>
        <v>0</v>
      </c>
      <c r="BN271" s="502" t="n">
        <f aca="false">IF($D271="是",AF271-AG271,0)</f>
        <v>0</v>
      </c>
      <c r="BO271" s="502" t="n">
        <f aca="false">IF($D271="是",AH271-AI271,0)</f>
        <v>0</v>
      </c>
      <c r="BP271" s="502" t="n">
        <f aca="false">IF($D271="是",AJ271-AK271,0)</f>
        <v>0</v>
      </c>
      <c r="BQ271" s="502" t="n">
        <f aca="false">IF($D271="是",AL271-AM271,0)</f>
        <v>0</v>
      </c>
      <c r="BR271" s="502" t="n">
        <f aca="false">IF($D271="是",AN271-AO271,0)</f>
        <v>0</v>
      </c>
      <c r="BS271" s="502" t="n">
        <f aca="false">IF($D271="是",AP271-AQ271,0)</f>
        <v>0</v>
      </c>
      <c r="BT271" s="512" t="n">
        <f aca="false">IF($D271="是",AR271-AS271,0)</f>
        <v>0</v>
      </c>
    </row>
    <row r="272" customFormat="false" ht="14.25" hidden="false" customHeight="false" outlineLevel="0" collapsed="false">
      <c r="A272" s="499"/>
      <c r="B272" s="500"/>
      <c r="C272" s="500"/>
      <c r="D272" s="501"/>
      <c r="E272" s="502" t="n">
        <f aca="false">IF($C$3="是",ROUND($A$3*G272/$B$3,2),ROUND($A$3*(G272-AT272)/$B$3,2))</f>
        <v>0</v>
      </c>
      <c r="F272" s="503"/>
      <c r="G272" s="504" t="n">
        <f aca="false">H272+AC272+AT272</f>
        <v>0</v>
      </c>
      <c r="H272" s="505" t="n">
        <f aca="false">SUMIF(I$12:AB$12,"总值",I272:AB272)</f>
        <v>0</v>
      </c>
      <c r="I272" s="506"/>
      <c r="J272" s="506"/>
      <c r="K272" s="506"/>
      <c r="L272" s="506"/>
      <c r="M272" s="506"/>
      <c r="N272" s="506"/>
      <c r="O272" s="506"/>
      <c r="P272" s="506"/>
      <c r="Q272" s="506"/>
      <c r="R272" s="506"/>
      <c r="S272" s="506"/>
      <c r="T272" s="506"/>
      <c r="U272" s="506"/>
      <c r="V272" s="506"/>
      <c r="W272" s="506"/>
      <c r="X272" s="506"/>
      <c r="Y272" s="506"/>
      <c r="Z272" s="506"/>
      <c r="AA272" s="506"/>
      <c r="AB272" s="506"/>
      <c r="AC272" s="502" t="n">
        <f aca="false">SUMIF(AD$12:AS$12,"总值",AD272:AS272)</f>
        <v>0</v>
      </c>
      <c r="AD272" s="507"/>
      <c r="AE272" s="507"/>
      <c r="AF272" s="507"/>
      <c r="AG272" s="507"/>
      <c r="AH272" s="507"/>
      <c r="AI272" s="507"/>
      <c r="AJ272" s="507"/>
      <c r="AK272" s="507"/>
      <c r="AL272" s="507"/>
      <c r="AM272" s="507"/>
      <c r="AN272" s="507"/>
      <c r="AO272" s="507"/>
      <c r="AP272" s="507"/>
      <c r="AQ272" s="507"/>
      <c r="AR272" s="507"/>
      <c r="AS272" s="507"/>
      <c r="AT272" s="508"/>
      <c r="AU272" s="509"/>
      <c r="AV272" s="510" t="n">
        <f aca="false">A272</f>
        <v>0</v>
      </c>
      <c r="AW272" s="510" t="n">
        <f aca="false">B272</f>
        <v>0</v>
      </c>
      <c r="AX272" s="510" t="n">
        <f aca="false">C272</f>
        <v>0</v>
      </c>
      <c r="AY272" s="511" t="n">
        <f aca="false">ROUND($AY$6*AZ272/$AZ$5,2)</f>
        <v>0</v>
      </c>
      <c r="AZ272" s="502" t="n">
        <f aca="false">BA272+BL272</f>
        <v>0</v>
      </c>
      <c r="BA272" s="502" t="n">
        <f aca="false">SUM(BB272:BK272)</f>
        <v>0</v>
      </c>
      <c r="BB272" s="502" t="n">
        <f aca="false">IF($D272="是",I272-J272,0)</f>
        <v>0</v>
      </c>
      <c r="BC272" s="502" t="n">
        <f aca="false">IF($D272="是",K272-L272,0)</f>
        <v>0</v>
      </c>
      <c r="BD272" s="502" t="n">
        <f aca="false">IF($D272="是",M272-N272,0)</f>
        <v>0</v>
      </c>
      <c r="BE272" s="502" t="n">
        <f aca="false">IF($D272="是",O272-P272,0)</f>
        <v>0</v>
      </c>
      <c r="BF272" s="502" t="n">
        <f aca="false">IF($D272="是",Q272-R272,0)</f>
        <v>0</v>
      </c>
      <c r="BG272" s="502" t="n">
        <f aca="false">IF($D272="是",S272-T272,0)</f>
        <v>0</v>
      </c>
      <c r="BH272" s="502" t="n">
        <f aca="false">IF($D272="是",U272-V272,0)</f>
        <v>0</v>
      </c>
      <c r="BI272" s="502" t="n">
        <f aca="false">IF($D272="是",W272-X272,0)</f>
        <v>0</v>
      </c>
      <c r="BJ272" s="502" t="n">
        <f aca="false">IF($D272="是",Y272-Z272,0)</f>
        <v>0</v>
      </c>
      <c r="BK272" s="502" t="n">
        <f aca="false">IF($D272="是",AA272-AB272,0)</f>
        <v>0</v>
      </c>
      <c r="BL272" s="502" t="n">
        <f aca="false">SUM(BM272:BT272)</f>
        <v>0</v>
      </c>
      <c r="BM272" s="502" t="n">
        <f aca="false">IF($D272="是",AD272-AE272,0)</f>
        <v>0</v>
      </c>
      <c r="BN272" s="502" t="n">
        <f aca="false">IF($D272="是",AF272-AG272,0)</f>
        <v>0</v>
      </c>
      <c r="BO272" s="502" t="n">
        <f aca="false">IF($D272="是",AH272-AI272,0)</f>
        <v>0</v>
      </c>
      <c r="BP272" s="502" t="n">
        <f aca="false">IF($D272="是",AJ272-AK272,0)</f>
        <v>0</v>
      </c>
      <c r="BQ272" s="502" t="n">
        <f aca="false">IF($D272="是",AL272-AM272,0)</f>
        <v>0</v>
      </c>
      <c r="BR272" s="502" t="n">
        <f aca="false">IF($D272="是",AN272-AO272,0)</f>
        <v>0</v>
      </c>
      <c r="BS272" s="502" t="n">
        <f aca="false">IF($D272="是",AP272-AQ272,0)</f>
        <v>0</v>
      </c>
      <c r="BT272" s="512" t="n">
        <f aca="false">IF($D272="是",AR272-AS272,0)</f>
        <v>0</v>
      </c>
    </row>
    <row r="273" customFormat="false" ht="14.25" hidden="false" customHeight="false" outlineLevel="0" collapsed="false">
      <c r="A273" s="499"/>
      <c r="B273" s="500"/>
      <c r="C273" s="500"/>
      <c r="D273" s="501"/>
      <c r="E273" s="502" t="n">
        <f aca="false">IF($C$3="是",ROUND($A$3*G273/$B$3,2),ROUND($A$3*(G273-AT273)/$B$3,2))</f>
        <v>0</v>
      </c>
      <c r="F273" s="503"/>
      <c r="G273" s="504" t="n">
        <f aca="false">H273+AC273+AT273</f>
        <v>0</v>
      </c>
      <c r="H273" s="505" t="n">
        <f aca="false">SUMIF(I$12:AB$12,"总值",I273:AB273)</f>
        <v>0</v>
      </c>
      <c r="I273" s="506"/>
      <c r="J273" s="506"/>
      <c r="K273" s="506"/>
      <c r="L273" s="506"/>
      <c r="M273" s="506"/>
      <c r="N273" s="506"/>
      <c r="O273" s="506"/>
      <c r="P273" s="506"/>
      <c r="Q273" s="506"/>
      <c r="R273" s="506"/>
      <c r="S273" s="506"/>
      <c r="T273" s="506"/>
      <c r="U273" s="506"/>
      <c r="V273" s="506"/>
      <c r="W273" s="506"/>
      <c r="X273" s="506"/>
      <c r="Y273" s="506"/>
      <c r="Z273" s="506"/>
      <c r="AA273" s="506"/>
      <c r="AB273" s="506"/>
      <c r="AC273" s="502" t="n">
        <f aca="false">SUMIF(AD$12:AS$12,"总值",AD273:AS273)</f>
        <v>0</v>
      </c>
      <c r="AD273" s="507"/>
      <c r="AE273" s="507"/>
      <c r="AF273" s="507"/>
      <c r="AG273" s="507"/>
      <c r="AH273" s="507"/>
      <c r="AI273" s="507"/>
      <c r="AJ273" s="507"/>
      <c r="AK273" s="507"/>
      <c r="AL273" s="507"/>
      <c r="AM273" s="507"/>
      <c r="AN273" s="507"/>
      <c r="AO273" s="507"/>
      <c r="AP273" s="507"/>
      <c r="AQ273" s="507"/>
      <c r="AR273" s="507"/>
      <c r="AS273" s="507"/>
      <c r="AT273" s="508"/>
      <c r="AU273" s="509"/>
      <c r="AV273" s="510" t="n">
        <f aca="false">A273</f>
        <v>0</v>
      </c>
      <c r="AW273" s="510" t="n">
        <f aca="false">B273</f>
        <v>0</v>
      </c>
      <c r="AX273" s="510" t="n">
        <f aca="false">C273</f>
        <v>0</v>
      </c>
      <c r="AY273" s="511" t="n">
        <f aca="false">ROUND($AY$6*AZ273/$AZ$5,2)</f>
        <v>0</v>
      </c>
      <c r="AZ273" s="502" t="n">
        <f aca="false">BA273+BL273</f>
        <v>0</v>
      </c>
      <c r="BA273" s="502" t="n">
        <f aca="false">SUM(BB273:BK273)</f>
        <v>0</v>
      </c>
      <c r="BB273" s="502" t="n">
        <f aca="false">IF($D273="是",I273-J273,0)</f>
        <v>0</v>
      </c>
      <c r="BC273" s="502" t="n">
        <f aca="false">IF($D273="是",K273-L273,0)</f>
        <v>0</v>
      </c>
      <c r="BD273" s="502" t="n">
        <f aca="false">IF($D273="是",M273-N273,0)</f>
        <v>0</v>
      </c>
      <c r="BE273" s="502" t="n">
        <f aca="false">IF($D273="是",O273-P273,0)</f>
        <v>0</v>
      </c>
      <c r="BF273" s="502" t="n">
        <f aca="false">IF($D273="是",Q273-R273,0)</f>
        <v>0</v>
      </c>
      <c r="BG273" s="502" t="n">
        <f aca="false">IF($D273="是",S273-T273,0)</f>
        <v>0</v>
      </c>
      <c r="BH273" s="502" t="n">
        <f aca="false">IF($D273="是",U273-V273,0)</f>
        <v>0</v>
      </c>
      <c r="BI273" s="502" t="n">
        <f aca="false">IF($D273="是",W273-X273,0)</f>
        <v>0</v>
      </c>
      <c r="BJ273" s="502" t="n">
        <f aca="false">IF($D273="是",Y273-Z273,0)</f>
        <v>0</v>
      </c>
      <c r="BK273" s="502" t="n">
        <f aca="false">IF($D273="是",AA273-AB273,0)</f>
        <v>0</v>
      </c>
      <c r="BL273" s="502" t="n">
        <f aca="false">SUM(BM273:BT273)</f>
        <v>0</v>
      </c>
      <c r="BM273" s="502" t="n">
        <f aca="false">IF($D273="是",AD273-AE273,0)</f>
        <v>0</v>
      </c>
      <c r="BN273" s="502" t="n">
        <f aca="false">IF($D273="是",AF273-AG273,0)</f>
        <v>0</v>
      </c>
      <c r="BO273" s="502" t="n">
        <f aca="false">IF($D273="是",AH273-AI273,0)</f>
        <v>0</v>
      </c>
      <c r="BP273" s="502" t="n">
        <f aca="false">IF($D273="是",AJ273-AK273,0)</f>
        <v>0</v>
      </c>
      <c r="BQ273" s="502" t="n">
        <f aca="false">IF($D273="是",AL273-AM273,0)</f>
        <v>0</v>
      </c>
      <c r="BR273" s="502" t="n">
        <f aca="false">IF($D273="是",AN273-AO273,0)</f>
        <v>0</v>
      </c>
      <c r="BS273" s="502" t="n">
        <f aca="false">IF($D273="是",AP273-AQ273,0)</f>
        <v>0</v>
      </c>
      <c r="BT273" s="512" t="n">
        <f aca="false">IF($D273="是",AR273-AS273,0)</f>
        <v>0</v>
      </c>
    </row>
    <row r="274" customFormat="false" ht="14.25" hidden="false" customHeight="false" outlineLevel="0" collapsed="false">
      <c r="A274" s="499"/>
      <c r="B274" s="500"/>
      <c r="C274" s="500"/>
      <c r="D274" s="501"/>
      <c r="E274" s="502" t="n">
        <f aca="false">IF($C$3="是",ROUND($A$3*G274/$B$3,2),ROUND($A$3*(G274-AT274)/$B$3,2))</f>
        <v>0</v>
      </c>
      <c r="F274" s="503"/>
      <c r="G274" s="504" t="n">
        <f aca="false">H274+AC274+AT274</f>
        <v>0</v>
      </c>
      <c r="H274" s="505" t="n">
        <f aca="false">SUMIF(I$12:AB$12,"总值",I274:AB274)</f>
        <v>0</v>
      </c>
      <c r="I274" s="506"/>
      <c r="J274" s="506"/>
      <c r="K274" s="506"/>
      <c r="L274" s="506"/>
      <c r="M274" s="506"/>
      <c r="N274" s="506"/>
      <c r="O274" s="506"/>
      <c r="P274" s="506"/>
      <c r="Q274" s="506"/>
      <c r="R274" s="506"/>
      <c r="S274" s="506"/>
      <c r="T274" s="506"/>
      <c r="U274" s="506"/>
      <c r="V274" s="506"/>
      <c r="W274" s="506"/>
      <c r="X274" s="506"/>
      <c r="Y274" s="506"/>
      <c r="Z274" s="506"/>
      <c r="AA274" s="506"/>
      <c r="AB274" s="506"/>
      <c r="AC274" s="502" t="n">
        <f aca="false">SUMIF(AD$12:AS$12,"总值",AD274:AS274)</f>
        <v>0</v>
      </c>
      <c r="AD274" s="507"/>
      <c r="AE274" s="507"/>
      <c r="AF274" s="507"/>
      <c r="AG274" s="507"/>
      <c r="AH274" s="507"/>
      <c r="AI274" s="507"/>
      <c r="AJ274" s="507"/>
      <c r="AK274" s="507"/>
      <c r="AL274" s="507"/>
      <c r="AM274" s="507"/>
      <c r="AN274" s="507"/>
      <c r="AO274" s="507"/>
      <c r="AP274" s="507"/>
      <c r="AQ274" s="507"/>
      <c r="AR274" s="507"/>
      <c r="AS274" s="507"/>
      <c r="AT274" s="508"/>
      <c r="AU274" s="509"/>
      <c r="AV274" s="510" t="n">
        <f aca="false">A274</f>
        <v>0</v>
      </c>
      <c r="AW274" s="510" t="n">
        <f aca="false">B274</f>
        <v>0</v>
      </c>
      <c r="AX274" s="510" t="n">
        <f aca="false">C274</f>
        <v>0</v>
      </c>
      <c r="AY274" s="511" t="n">
        <f aca="false">ROUND($AY$6*AZ274/$AZ$5,2)</f>
        <v>0</v>
      </c>
      <c r="AZ274" s="502" t="n">
        <f aca="false">BA274+BL274</f>
        <v>0</v>
      </c>
      <c r="BA274" s="502" t="n">
        <f aca="false">SUM(BB274:BK274)</f>
        <v>0</v>
      </c>
      <c r="BB274" s="502" t="n">
        <f aca="false">IF($D274="是",I274-J274,0)</f>
        <v>0</v>
      </c>
      <c r="BC274" s="502" t="n">
        <f aca="false">IF($D274="是",K274-L274,0)</f>
        <v>0</v>
      </c>
      <c r="BD274" s="502" t="n">
        <f aca="false">IF($D274="是",M274-N274,0)</f>
        <v>0</v>
      </c>
      <c r="BE274" s="502" t="n">
        <f aca="false">IF($D274="是",O274-P274,0)</f>
        <v>0</v>
      </c>
      <c r="BF274" s="502" t="n">
        <f aca="false">IF($D274="是",Q274-R274,0)</f>
        <v>0</v>
      </c>
      <c r="BG274" s="502" t="n">
        <f aca="false">IF($D274="是",S274-T274,0)</f>
        <v>0</v>
      </c>
      <c r="BH274" s="502" t="n">
        <f aca="false">IF($D274="是",U274-V274,0)</f>
        <v>0</v>
      </c>
      <c r="BI274" s="502" t="n">
        <f aca="false">IF($D274="是",W274-X274,0)</f>
        <v>0</v>
      </c>
      <c r="BJ274" s="502" t="n">
        <f aca="false">IF($D274="是",Y274-Z274,0)</f>
        <v>0</v>
      </c>
      <c r="BK274" s="502" t="n">
        <f aca="false">IF($D274="是",AA274-AB274,0)</f>
        <v>0</v>
      </c>
      <c r="BL274" s="502" t="n">
        <f aca="false">SUM(BM274:BT274)</f>
        <v>0</v>
      </c>
      <c r="BM274" s="502" t="n">
        <f aca="false">IF($D274="是",AD274-AE274,0)</f>
        <v>0</v>
      </c>
      <c r="BN274" s="502" t="n">
        <f aca="false">IF($D274="是",AF274-AG274,0)</f>
        <v>0</v>
      </c>
      <c r="BO274" s="502" t="n">
        <f aca="false">IF($D274="是",AH274-AI274,0)</f>
        <v>0</v>
      </c>
      <c r="BP274" s="502" t="n">
        <f aca="false">IF($D274="是",AJ274-AK274,0)</f>
        <v>0</v>
      </c>
      <c r="BQ274" s="502" t="n">
        <f aca="false">IF($D274="是",AL274-AM274,0)</f>
        <v>0</v>
      </c>
      <c r="BR274" s="502" t="n">
        <f aca="false">IF($D274="是",AN274-AO274,0)</f>
        <v>0</v>
      </c>
      <c r="BS274" s="502" t="n">
        <f aca="false">IF($D274="是",AP274-AQ274,0)</f>
        <v>0</v>
      </c>
      <c r="BT274" s="512" t="n">
        <f aca="false">IF($D274="是",AR274-AS274,0)</f>
        <v>0</v>
      </c>
    </row>
    <row r="275" customFormat="false" ht="14.25" hidden="false" customHeight="false" outlineLevel="0" collapsed="false">
      <c r="A275" s="499"/>
      <c r="B275" s="500"/>
      <c r="C275" s="500"/>
      <c r="D275" s="501"/>
      <c r="E275" s="502" t="n">
        <f aca="false">IF($C$3="是",ROUND($A$3*G275/$B$3,2),ROUND($A$3*(G275-AT275)/$B$3,2))</f>
        <v>0</v>
      </c>
      <c r="F275" s="503"/>
      <c r="G275" s="504" t="n">
        <f aca="false">H275+AC275+AT275</f>
        <v>0</v>
      </c>
      <c r="H275" s="505" t="n">
        <f aca="false">SUMIF(I$12:AB$12,"总值",I275:AB275)</f>
        <v>0</v>
      </c>
      <c r="I275" s="506"/>
      <c r="J275" s="506"/>
      <c r="K275" s="506"/>
      <c r="L275" s="506"/>
      <c r="M275" s="506"/>
      <c r="N275" s="506"/>
      <c r="O275" s="506"/>
      <c r="P275" s="506"/>
      <c r="Q275" s="506"/>
      <c r="R275" s="506"/>
      <c r="S275" s="506"/>
      <c r="T275" s="506"/>
      <c r="U275" s="506"/>
      <c r="V275" s="506"/>
      <c r="W275" s="506"/>
      <c r="X275" s="506"/>
      <c r="Y275" s="506"/>
      <c r="Z275" s="506"/>
      <c r="AA275" s="506"/>
      <c r="AB275" s="506"/>
      <c r="AC275" s="502" t="n">
        <f aca="false">SUMIF(AD$12:AS$12,"总值",AD275:AS275)</f>
        <v>0</v>
      </c>
      <c r="AD275" s="507"/>
      <c r="AE275" s="507"/>
      <c r="AF275" s="507"/>
      <c r="AG275" s="507"/>
      <c r="AH275" s="507"/>
      <c r="AI275" s="507"/>
      <c r="AJ275" s="507"/>
      <c r="AK275" s="507"/>
      <c r="AL275" s="507"/>
      <c r="AM275" s="507"/>
      <c r="AN275" s="507"/>
      <c r="AO275" s="507"/>
      <c r="AP275" s="507"/>
      <c r="AQ275" s="507"/>
      <c r="AR275" s="507"/>
      <c r="AS275" s="507"/>
      <c r="AT275" s="508"/>
      <c r="AU275" s="509"/>
      <c r="AV275" s="510" t="n">
        <f aca="false">A275</f>
        <v>0</v>
      </c>
      <c r="AW275" s="510" t="n">
        <f aca="false">B275</f>
        <v>0</v>
      </c>
      <c r="AX275" s="510" t="n">
        <f aca="false">C275</f>
        <v>0</v>
      </c>
      <c r="AY275" s="511" t="n">
        <f aca="false">ROUND($AY$6*AZ275/$AZ$5,2)</f>
        <v>0</v>
      </c>
      <c r="AZ275" s="502" t="n">
        <f aca="false">BA275+BL275</f>
        <v>0</v>
      </c>
      <c r="BA275" s="502" t="n">
        <f aca="false">SUM(BB275:BK275)</f>
        <v>0</v>
      </c>
      <c r="BB275" s="502" t="n">
        <f aca="false">IF($D275="是",I275-J275,0)</f>
        <v>0</v>
      </c>
      <c r="BC275" s="502" t="n">
        <f aca="false">IF($D275="是",K275-L275,0)</f>
        <v>0</v>
      </c>
      <c r="BD275" s="502" t="n">
        <f aca="false">IF($D275="是",M275-N275,0)</f>
        <v>0</v>
      </c>
      <c r="BE275" s="502" t="n">
        <f aca="false">IF($D275="是",O275-P275,0)</f>
        <v>0</v>
      </c>
      <c r="BF275" s="502" t="n">
        <f aca="false">IF($D275="是",Q275-R275,0)</f>
        <v>0</v>
      </c>
      <c r="BG275" s="502" t="n">
        <f aca="false">IF($D275="是",S275-T275,0)</f>
        <v>0</v>
      </c>
      <c r="BH275" s="502" t="n">
        <f aca="false">IF($D275="是",U275-V275,0)</f>
        <v>0</v>
      </c>
      <c r="BI275" s="502" t="n">
        <f aca="false">IF($D275="是",W275-X275,0)</f>
        <v>0</v>
      </c>
      <c r="BJ275" s="502" t="n">
        <f aca="false">IF($D275="是",Y275-Z275,0)</f>
        <v>0</v>
      </c>
      <c r="BK275" s="502" t="n">
        <f aca="false">IF($D275="是",AA275-AB275,0)</f>
        <v>0</v>
      </c>
      <c r="BL275" s="502" t="n">
        <f aca="false">SUM(BM275:BT275)</f>
        <v>0</v>
      </c>
      <c r="BM275" s="502" t="n">
        <f aca="false">IF($D275="是",AD275-AE275,0)</f>
        <v>0</v>
      </c>
      <c r="BN275" s="502" t="n">
        <f aca="false">IF($D275="是",AF275-AG275,0)</f>
        <v>0</v>
      </c>
      <c r="BO275" s="502" t="n">
        <f aca="false">IF($D275="是",AH275-AI275,0)</f>
        <v>0</v>
      </c>
      <c r="BP275" s="502" t="n">
        <f aca="false">IF($D275="是",AJ275-AK275,0)</f>
        <v>0</v>
      </c>
      <c r="BQ275" s="502" t="n">
        <f aca="false">IF($D275="是",AL275-AM275,0)</f>
        <v>0</v>
      </c>
      <c r="BR275" s="502" t="n">
        <f aca="false">IF($D275="是",AN275-AO275,0)</f>
        <v>0</v>
      </c>
      <c r="BS275" s="502" t="n">
        <f aca="false">IF($D275="是",AP275-AQ275,0)</f>
        <v>0</v>
      </c>
      <c r="BT275" s="512" t="n">
        <f aca="false">IF($D275="是",AR275-AS275,0)</f>
        <v>0</v>
      </c>
    </row>
    <row r="276" customFormat="false" ht="14.25" hidden="false" customHeight="false" outlineLevel="0" collapsed="false">
      <c r="A276" s="499"/>
      <c r="B276" s="500"/>
      <c r="C276" s="500"/>
      <c r="D276" s="501"/>
      <c r="E276" s="502" t="n">
        <f aca="false">IF($C$3="是",ROUND($A$3*G276/$B$3,2),ROUND($A$3*(G276-AT276)/$B$3,2))</f>
        <v>0</v>
      </c>
      <c r="F276" s="503"/>
      <c r="G276" s="504" t="n">
        <f aca="false">H276+AC276+AT276</f>
        <v>0</v>
      </c>
      <c r="H276" s="505" t="n">
        <f aca="false">SUMIF(I$12:AB$12,"总值",I276:AB276)</f>
        <v>0</v>
      </c>
      <c r="I276" s="506"/>
      <c r="J276" s="506"/>
      <c r="K276" s="506"/>
      <c r="L276" s="506"/>
      <c r="M276" s="506"/>
      <c r="N276" s="506"/>
      <c r="O276" s="506"/>
      <c r="P276" s="506"/>
      <c r="Q276" s="506"/>
      <c r="R276" s="506"/>
      <c r="S276" s="506"/>
      <c r="T276" s="506"/>
      <c r="U276" s="506"/>
      <c r="V276" s="506"/>
      <c r="W276" s="506"/>
      <c r="X276" s="506"/>
      <c r="Y276" s="506"/>
      <c r="Z276" s="506"/>
      <c r="AA276" s="506"/>
      <c r="AB276" s="506"/>
      <c r="AC276" s="502" t="n">
        <f aca="false">SUMIF(AD$12:AS$12,"总值",AD276:AS276)</f>
        <v>0</v>
      </c>
      <c r="AD276" s="507"/>
      <c r="AE276" s="507"/>
      <c r="AF276" s="507"/>
      <c r="AG276" s="507"/>
      <c r="AH276" s="507"/>
      <c r="AI276" s="507"/>
      <c r="AJ276" s="507"/>
      <c r="AK276" s="507"/>
      <c r="AL276" s="507"/>
      <c r="AM276" s="507"/>
      <c r="AN276" s="507"/>
      <c r="AO276" s="507"/>
      <c r="AP276" s="507"/>
      <c r="AQ276" s="507"/>
      <c r="AR276" s="507"/>
      <c r="AS276" s="507"/>
      <c r="AT276" s="508"/>
      <c r="AU276" s="509"/>
      <c r="AV276" s="510" t="n">
        <f aca="false">A276</f>
        <v>0</v>
      </c>
      <c r="AW276" s="510" t="n">
        <f aca="false">B276</f>
        <v>0</v>
      </c>
      <c r="AX276" s="510" t="n">
        <f aca="false">C276</f>
        <v>0</v>
      </c>
      <c r="AY276" s="511" t="n">
        <f aca="false">ROUND($AY$6*AZ276/$AZ$5,2)</f>
        <v>0</v>
      </c>
      <c r="AZ276" s="502" t="n">
        <f aca="false">BA276+BL276</f>
        <v>0</v>
      </c>
      <c r="BA276" s="502" t="n">
        <f aca="false">SUM(BB276:BK276)</f>
        <v>0</v>
      </c>
      <c r="BB276" s="502" t="n">
        <f aca="false">IF($D276="是",I276-J276,0)</f>
        <v>0</v>
      </c>
      <c r="BC276" s="502" t="n">
        <f aca="false">IF($D276="是",K276-L276,0)</f>
        <v>0</v>
      </c>
      <c r="BD276" s="502" t="n">
        <f aca="false">IF($D276="是",M276-N276,0)</f>
        <v>0</v>
      </c>
      <c r="BE276" s="502" t="n">
        <f aca="false">IF($D276="是",O276-P276,0)</f>
        <v>0</v>
      </c>
      <c r="BF276" s="502" t="n">
        <f aca="false">IF($D276="是",Q276-R276,0)</f>
        <v>0</v>
      </c>
      <c r="BG276" s="502" t="n">
        <f aca="false">IF($D276="是",S276-T276,0)</f>
        <v>0</v>
      </c>
      <c r="BH276" s="502" t="n">
        <f aca="false">IF($D276="是",U276-V276,0)</f>
        <v>0</v>
      </c>
      <c r="BI276" s="502" t="n">
        <f aca="false">IF($D276="是",W276-X276,0)</f>
        <v>0</v>
      </c>
      <c r="BJ276" s="502" t="n">
        <f aca="false">IF($D276="是",Y276-Z276,0)</f>
        <v>0</v>
      </c>
      <c r="BK276" s="502" t="n">
        <f aca="false">IF($D276="是",AA276-AB276,0)</f>
        <v>0</v>
      </c>
      <c r="BL276" s="502" t="n">
        <f aca="false">SUM(BM276:BT276)</f>
        <v>0</v>
      </c>
      <c r="BM276" s="502" t="n">
        <f aca="false">IF($D276="是",AD276-AE276,0)</f>
        <v>0</v>
      </c>
      <c r="BN276" s="502" t="n">
        <f aca="false">IF($D276="是",AF276-AG276,0)</f>
        <v>0</v>
      </c>
      <c r="BO276" s="502" t="n">
        <f aca="false">IF($D276="是",AH276-AI276,0)</f>
        <v>0</v>
      </c>
      <c r="BP276" s="502" t="n">
        <f aca="false">IF($D276="是",AJ276-AK276,0)</f>
        <v>0</v>
      </c>
      <c r="BQ276" s="502" t="n">
        <f aca="false">IF($D276="是",AL276-AM276,0)</f>
        <v>0</v>
      </c>
      <c r="BR276" s="502" t="n">
        <f aca="false">IF($D276="是",AN276-AO276,0)</f>
        <v>0</v>
      </c>
      <c r="BS276" s="502" t="n">
        <f aca="false">IF($D276="是",AP276-AQ276,0)</f>
        <v>0</v>
      </c>
      <c r="BT276" s="512" t="n">
        <f aca="false">IF($D276="是",AR276-AS276,0)</f>
        <v>0</v>
      </c>
    </row>
    <row r="277" customFormat="false" ht="14.25" hidden="false" customHeight="false" outlineLevel="0" collapsed="false">
      <c r="A277" s="499"/>
      <c r="B277" s="500"/>
      <c r="C277" s="500"/>
      <c r="D277" s="501"/>
      <c r="E277" s="502" t="n">
        <f aca="false">IF($C$3="是",ROUND($A$3*G277/$B$3,2),ROUND($A$3*(G277-AT277)/$B$3,2))</f>
        <v>0</v>
      </c>
      <c r="F277" s="503"/>
      <c r="G277" s="504" t="n">
        <f aca="false">H277+AC277+AT277</f>
        <v>0</v>
      </c>
      <c r="H277" s="505" t="n">
        <f aca="false">SUMIF(I$12:AB$12,"总值",I277:AB277)</f>
        <v>0</v>
      </c>
      <c r="I277" s="506"/>
      <c r="J277" s="506"/>
      <c r="K277" s="506"/>
      <c r="L277" s="506"/>
      <c r="M277" s="506"/>
      <c r="N277" s="506"/>
      <c r="O277" s="506"/>
      <c r="P277" s="506"/>
      <c r="Q277" s="506"/>
      <c r="R277" s="506"/>
      <c r="S277" s="506"/>
      <c r="T277" s="506"/>
      <c r="U277" s="506"/>
      <c r="V277" s="506"/>
      <c r="W277" s="506"/>
      <c r="X277" s="506"/>
      <c r="Y277" s="506"/>
      <c r="Z277" s="506"/>
      <c r="AA277" s="506"/>
      <c r="AB277" s="506"/>
      <c r="AC277" s="502" t="n">
        <f aca="false">SUMIF(AD$12:AS$12,"总值",AD277:AS277)</f>
        <v>0</v>
      </c>
      <c r="AD277" s="507"/>
      <c r="AE277" s="507"/>
      <c r="AF277" s="507"/>
      <c r="AG277" s="507"/>
      <c r="AH277" s="507"/>
      <c r="AI277" s="507"/>
      <c r="AJ277" s="507"/>
      <c r="AK277" s="507"/>
      <c r="AL277" s="507"/>
      <c r="AM277" s="507"/>
      <c r="AN277" s="507"/>
      <c r="AO277" s="507"/>
      <c r="AP277" s="507"/>
      <c r="AQ277" s="507"/>
      <c r="AR277" s="507"/>
      <c r="AS277" s="507"/>
      <c r="AT277" s="508"/>
      <c r="AU277" s="509"/>
      <c r="AV277" s="510" t="n">
        <f aca="false">A277</f>
        <v>0</v>
      </c>
      <c r="AW277" s="510" t="n">
        <f aca="false">B277</f>
        <v>0</v>
      </c>
      <c r="AX277" s="510" t="n">
        <f aca="false">C277</f>
        <v>0</v>
      </c>
      <c r="AY277" s="511" t="n">
        <f aca="false">ROUND($AY$6*AZ277/$AZ$5,2)</f>
        <v>0</v>
      </c>
      <c r="AZ277" s="502" t="n">
        <f aca="false">BA277+BL277</f>
        <v>0</v>
      </c>
      <c r="BA277" s="502" t="n">
        <f aca="false">SUM(BB277:BK277)</f>
        <v>0</v>
      </c>
      <c r="BB277" s="502" t="n">
        <f aca="false">IF($D277="是",I277-J277,0)</f>
        <v>0</v>
      </c>
      <c r="BC277" s="502" t="n">
        <f aca="false">IF($D277="是",K277-L277,0)</f>
        <v>0</v>
      </c>
      <c r="BD277" s="502" t="n">
        <f aca="false">IF($D277="是",M277-N277,0)</f>
        <v>0</v>
      </c>
      <c r="BE277" s="502" t="n">
        <f aca="false">IF($D277="是",O277-P277,0)</f>
        <v>0</v>
      </c>
      <c r="BF277" s="502" t="n">
        <f aca="false">IF($D277="是",Q277-R277,0)</f>
        <v>0</v>
      </c>
      <c r="BG277" s="502" t="n">
        <f aca="false">IF($D277="是",S277-T277,0)</f>
        <v>0</v>
      </c>
      <c r="BH277" s="502" t="n">
        <f aca="false">IF($D277="是",U277-V277,0)</f>
        <v>0</v>
      </c>
      <c r="BI277" s="502" t="n">
        <f aca="false">IF($D277="是",W277-X277,0)</f>
        <v>0</v>
      </c>
      <c r="BJ277" s="502" t="n">
        <f aca="false">IF($D277="是",Y277-Z277,0)</f>
        <v>0</v>
      </c>
      <c r="BK277" s="502" t="n">
        <f aca="false">IF($D277="是",AA277-AB277,0)</f>
        <v>0</v>
      </c>
      <c r="BL277" s="502" t="n">
        <f aca="false">SUM(BM277:BT277)</f>
        <v>0</v>
      </c>
      <c r="BM277" s="502" t="n">
        <f aca="false">IF($D277="是",AD277-AE277,0)</f>
        <v>0</v>
      </c>
      <c r="BN277" s="502" t="n">
        <f aca="false">IF($D277="是",AF277-AG277,0)</f>
        <v>0</v>
      </c>
      <c r="BO277" s="502" t="n">
        <f aca="false">IF($D277="是",AH277-AI277,0)</f>
        <v>0</v>
      </c>
      <c r="BP277" s="502" t="n">
        <f aca="false">IF($D277="是",AJ277-AK277,0)</f>
        <v>0</v>
      </c>
      <c r="BQ277" s="502" t="n">
        <f aca="false">IF($D277="是",AL277-AM277,0)</f>
        <v>0</v>
      </c>
      <c r="BR277" s="502" t="n">
        <f aca="false">IF($D277="是",AN277-AO277,0)</f>
        <v>0</v>
      </c>
      <c r="BS277" s="502" t="n">
        <f aca="false">IF($D277="是",AP277-AQ277,0)</f>
        <v>0</v>
      </c>
      <c r="BT277" s="512" t="n">
        <f aca="false">IF($D277="是",AR277-AS277,0)</f>
        <v>0</v>
      </c>
    </row>
    <row r="278" customFormat="false" ht="14.25" hidden="false" customHeight="false" outlineLevel="0" collapsed="false">
      <c r="A278" s="499"/>
      <c r="B278" s="500"/>
      <c r="C278" s="500"/>
      <c r="D278" s="501"/>
      <c r="E278" s="502" t="n">
        <f aca="false">IF($C$3="是",ROUND($A$3*G278/$B$3,2),ROUND($A$3*(G278-AT278)/$B$3,2))</f>
        <v>0</v>
      </c>
      <c r="F278" s="503"/>
      <c r="G278" s="504" t="n">
        <f aca="false">H278+AC278+AT278</f>
        <v>0</v>
      </c>
      <c r="H278" s="505" t="n">
        <f aca="false">SUMIF(I$12:AB$12,"总值",I278:AB278)</f>
        <v>0</v>
      </c>
      <c r="I278" s="506"/>
      <c r="J278" s="506"/>
      <c r="K278" s="506"/>
      <c r="L278" s="506"/>
      <c r="M278" s="506"/>
      <c r="N278" s="506"/>
      <c r="O278" s="506"/>
      <c r="P278" s="506"/>
      <c r="Q278" s="506"/>
      <c r="R278" s="506"/>
      <c r="S278" s="506"/>
      <c r="T278" s="506"/>
      <c r="U278" s="506"/>
      <c r="V278" s="506"/>
      <c r="W278" s="506"/>
      <c r="X278" s="506"/>
      <c r="Y278" s="506"/>
      <c r="Z278" s="506"/>
      <c r="AA278" s="506"/>
      <c r="AB278" s="506"/>
      <c r="AC278" s="502" t="n">
        <f aca="false">SUMIF(AD$12:AS$12,"总值",AD278:AS278)</f>
        <v>0</v>
      </c>
      <c r="AD278" s="507"/>
      <c r="AE278" s="507"/>
      <c r="AF278" s="507"/>
      <c r="AG278" s="507"/>
      <c r="AH278" s="507"/>
      <c r="AI278" s="507"/>
      <c r="AJ278" s="507"/>
      <c r="AK278" s="507"/>
      <c r="AL278" s="507"/>
      <c r="AM278" s="507"/>
      <c r="AN278" s="507"/>
      <c r="AO278" s="507"/>
      <c r="AP278" s="507"/>
      <c r="AQ278" s="507"/>
      <c r="AR278" s="507"/>
      <c r="AS278" s="507"/>
      <c r="AT278" s="508"/>
      <c r="AU278" s="509"/>
      <c r="AV278" s="510" t="n">
        <f aca="false">A278</f>
        <v>0</v>
      </c>
      <c r="AW278" s="510" t="n">
        <f aca="false">B278</f>
        <v>0</v>
      </c>
      <c r="AX278" s="510" t="n">
        <f aca="false">C278</f>
        <v>0</v>
      </c>
      <c r="AY278" s="511" t="n">
        <f aca="false">ROUND($AY$6*AZ278/$AZ$5,2)</f>
        <v>0</v>
      </c>
      <c r="AZ278" s="502" t="n">
        <f aca="false">BA278+BL278</f>
        <v>0</v>
      </c>
      <c r="BA278" s="502" t="n">
        <f aca="false">SUM(BB278:BK278)</f>
        <v>0</v>
      </c>
      <c r="BB278" s="502" t="n">
        <f aca="false">IF($D278="是",I278-J278,0)</f>
        <v>0</v>
      </c>
      <c r="BC278" s="502" t="n">
        <f aca="false">IF($D278="是",K278-L278,0)</f>
        <v>0</v>
      </c>
      <c r="BD278" s="502" t="n">
        <f aca="false">IF($D278="是",M278-N278,0)</f>
        <v>0</v>
      </c>
      <c r="BE278" s="502" t="n">
        <f aca="false">IF($D278="是",O278-P278,0)</f>
        <v>0</v>
      </c>
      <c r="BF278" s="502" t="n">
        <f aca="false">IF($D278="是",Q278-R278,0)</f>
        <v>0</v>
      </c>
      <c r="BG278" s="502" t="n">
        <f aca="false">IF($D278="是",S278-T278,0)</f>
        <v>0</v>
      </c>
      <c r="BH278" s="502" t="n">
        <f aca="false">IF($D278="是",U278-V278,0)</f>
        <v>0</v>
      </c>
      <c r="BI278" s="502" t="n">
        <f aca="false">IF($D278="是",W278-X278,0)</f>
        <v>0</v>
      </c>
      <c r="BJ278" s="502" t="n">
        <f aca="false">IF($D278="是",Y278-Z278,0)</f>
        <v>0</v>
      </c>
      <c r="BK278" s="502" t="n">
        <f aca="false">IF($D278="是",AA278-AB278,0)</f>
        <v>0</v>
      </c>
      <c r="BL278" s="502" t="n">
        <f aca="false">SUM(BM278:BT278)</f>
        <v>0</v>
      </c>
      <c r="BM278" s="502" t="n">
        <f aca="false">IF($D278="是",AD278-AE278,0)</f>
        <v>0</v>
      </c>
      <c r="BN278" s="502" t="n">
        <f aca="false">IF($D278="是",AF278-AG278,0)</f>
        <v>0</v>
      </c>
      <c r="BO278" s="502" t="n">
        <f aca="false">IF($D278="是",AH278-AI278,0)</f>
        <v>0</v>
      </c>
      <c r="BP278" s="502" t="n">
        <f aca="false">IF($D278="是",AJ278-AK278,0)</f>
        <v>0</v>
      </c>
      <c r="BQ278" s="502" t="n">
        <f aca="false">IF($D278="是",AL278-AM278,0)</f>
        <v>0</v>
      </c>
      <c r="BR278" s="502" t="n">
        <f aca="false">IF($D278="是",AN278-AO278,0)</f>
        <v>0</v>
      </c>
      <c r="BS278" s="502" t="n">
        <f aca="false">IF($D278="是",AP278-AQ278,0)</f>
        <v>0</v>
      </c>
      <c r="BT278" s="512" t="n">
        <f aca="false">IF($D278="是",AR278-AS278,0)</f>
        <v>0</v>
      </c>
    </row>
    <row r="279" customFormat="false" ht="14.25" hidden="false" customHeight="false" outlineLevel="0" collapsed="false">
      <c r="A279" s="499"/>
      <c r="B279" s="500"/>
      <c r="C279" s="500"/>
      <c r="D279" s="501"/>
      <c r="E279" s="502" t="n">
        <f aca="false">IF($C$3="是",ROUND($A$3*G279/$B$3,2),ROUND($A$3*(G279-AT279)/$B$3,2))</f>
        <v>0</v>
      </c>
      <c r="F279" s="503"/>
      <c r="G279" s="504" t="n">
        <f aca="false">H279+AC279+AT279</f>
        <v>0</v>
      </c>
      <c r="H279" s="505" t="n">
        <f aca="false">SUMIF(I$12:AB$12,"总值",I279:AB279)</f>
        <v>0</v>
      </c>
      <c r="I279" s="506"/>
      <c r="J279" s="506"/>
      <c r="K279" s="506"/>
      <c r="L279" s="506"/>
      <c r="M279" s="506"/>
      <c r="N279" s="506"/>
      <c r="O279" s="506"/>
      <c r="P279" s="506"/>
      <c r="Q279" s="506"/>
      <c r="R279" s="506"/>
      <c r="S279" s="506"/>
      <c r="T279" s="506"/>
      <c r="U279" s="506"/>
      <c r="V279" s="506"/>
      <c r="W279" s="506"/>
      <c r="X279" s="506"/>
      <c r="Y279" s="506"/>
      <c r="Z279" s="506"/>
      <c r="AA279" s="506"/>
      <c r="AB279" s="506"/>
      <c r="AC279" s="502" t="n">
        <f aca="false">SUMIF(AD$12:AS$12,"总值",AD279:AS279)</f>
        <v>0</v>
      </c>
      <c r="AD279" s="507"/>
      <c r="AE279" s="507"/>
      <c r="AF279" s="507"/>
      <c r="AG279" s="507"/>
      <c r="AH279" s="507"/>
      <c r="AI279" s="507"/>
      <c r="AJ279" s="507"/>
      <c r="AK279" s="507"/>
      <c r="AL279" s="507"/>
      <c r="AM279" s="507"/>
      <c r="AN279" s="507"/>
      <c r="AO279" s="507"/>
      <c r="AP279" s="507"/>
      <c r="AQ279" s="507"/>
      <c r="AR279" s="507"/>
      <c r="AS279" s="507"/>
      <c r="AT279" s="508"/>
      <c r="AU279" s="509"/>
      <c r="AV279" s="510" t="n">
        <f aca="false">A279</f>
        <v>0</v>
      </c>
      <c r="AW279" s="510" t="n">
        <f aca="false">B279</f>
        <v>0</v>
      </c>
      <c r="AX279" s="510" t="n">
        <f aca="false">C279</f>
        <v>0</v>
      </c>
      <c r="AY279" s="511" t="n">
        <f aca="false">ROUND($AY$6*AZ279/$AZ$5,2)</f>
        <v>0</v>
      </c>
      <c r="AZ279" s="502" t="n">
        <f aca="false">BA279+BL279</f>
        <v>0</v>
      </c>
      <c r="BA279" s="502" t="n">
        <f aca="false">SUM(BB279:BK279)</f>
        <v>0</v>
      </c>
      <c r="BB279" s="502" t="n">
        <f aca="false">IF($D279="是",I279-J279,0)</f>
        <v>0</v>
      </c>
      <c r="BC279" s="502" t="n">
        <f aca="false">IF($D279="是",K279-L279,0)</f>
        <v>0</v>
      </c>
      <c r="BD279" s="502" t="n">
        <f aca="false">IF($D279="是",M279-N279,0)</f>
        <v>0</v>
      </c>
      <c r="BE279" s="502" t="n">
        <f aca="false">IF($D279="是",O279-P279,0)</f>
        <v>0</v>
      </c>
      <c r="BF279" s="502" t="n">
        <f aca="false">IF($D279="是",Q279-R279,0)</f>
        <v>0</v>
      </c>
      <c r="BG279" s="502" t="n">
        <f aca="false">IF($D279="是",S279-T279,0)</f>
        <v>0</v>
      </c>
      <c r="BH279" s="502" t="n">
        <f aca="false">IF($D279="是",U279-V279,0)</f>
        <v>0</v>
      </c>
      <c r="BI279" s="502" t="n">
        <f aca="false">IF($D279="是",W279-X279,0)</f>
        <v>0</v>
      </c>
      <c r="BJ279" s="502" t="n">
        <f aca="false">IF($D279="是",Y279-Z279,0)</f>
        <v>0</v>
      </c>
      <c r="BK279" s="502" t="n">
        <f aca="false">IF($D279="是",AA279-AB279,0)</f>
        <v>0</v>
      </c>
      <c r="BL279" s="502" t="n">
        <f aca="false">SUM(BM279:BT279)</f>
        <v>0</v>
      </c>
      <c r="BM279" s="502" t="n">
        <f aca="false">IF($D279="是",AD279-AE279,0)</f>
        <v>0</v>
      </c>
      <c r="BN279" s="502" t="n">
        <f aca="false">IF($D279="是",AF279-AG279,0)</f>
        <v>0</v>
      </c>
      <c r="BO279" s="502" t="n">
        <f aca="false">IF($D279="是",AH279-AI279,0)</f>
        <v>0</v>
      </c>
      <c r="BP279" s="502" t="n">
        <f aca="false">IF($D279="是",AJ279-AK279,0)</f>
        <v>0</v>
      </c>
      <c r="BQ279" s="502" t="n">
        <f aca="false">IF($D279="是",AL279-AM279,0)</f>
        <v>0</v>
      </c>
      <c r="BR279" s="502" t="n">
        <f aca="false">IF($D279="是",AN279-AO279,0)</f>
        <v>0</v>
      </c>
      <c r="BS279" s="502" t="n">
        <f aca="false">IF($D279="是",AP279-AQ279,0)</f>
        <v>0</v>
      </c>
      <c r="BT279" s="512" t="n">
        <f aca="false">IF($D279="是",AR279-AS279,0)</f>
        <v>0</v>
      </c>
    </row>
    <row r="280" customFormat="false" ht="14.25" hidden="false" customHeight="false" outlineLevel="0" collapsed="false">
      <c r="A280" s="499"/>
      <c r="B280" s="500"/>
      <c r="C280" s="500"/>
      <c r="D280" s="501"/>
      <c r="E280" s="502" t="n">
        <f aca="false">IF($C$3="是",ROUND($A$3*G280/$B$3,2),ROUND($A$3*(G280-AT280)/$B$3,2))</f>
        <v>0</v>
      </c>
      <c r="F280" s="503"/>
      <c r="G280" s="504" t="n">
        <f aca="false">H280+AC280+AT280</f>
        <v>0</v>
      </c>
      <c r="H280" s="505" t="n">
        <f aca="false">SUMIF(I$12:AB$12,"总值",I280:AB280)</f>
        <v>0</v>
      </c>
      <c r="I280" s="506"/>
      <c r="J280" s="506"/>
      <c r="K280" s="506"/>
      <c r="L280" s="506"/>
      <c r="M280" s="506"/>
      <c r="N280" s="506"/>
      <c r="O280" s="506"/>
      <c r="P280" s="506"/>
      <c r="Q280" s="506"/>
      <c r="R280" s="506"/>
      <c r="S280" s="506"/>
      <c r="T280" s="506"/>
      <c r="U280" s="506"/>
      <c r="V280" s="506"/>
      <c r="W280" s="506"/>
      <c r="X280" s="506"/>
      <c r="Y280" s="506"/>
      <c r="Z280" s="506"/>
      <c r="AA280" s="506"/>
      <c r="AB280" s="506"/>
      <c r="AC280" s="502" t="n">
        <f aca="false">SUMIF(AD$12:AS$12,"总值",AD280:AS280)</f>
        <v>0</v>
      </c>
      <c r="AD280" s="507"/>
      <c r="AE280" s="507"/>
      <c r="AF280" s="507"/>
      <c r="AG280" s="507"/>
      <c r="AH280" s="507"/>
      <c r="AI280" s="507"/>
      <c r="AJ280" s="507"/>
      <c r="AK280" s="507"/>
      <c r="AL280" s="507"/>
      <c r="AM280" s="507"/>
      <c r="AN280" s="507"/>
      <c r="AO280" s="507"/>
      <c r="AP280" s="507"/>
      <c r="AQ280" s="507"/>
      <c r="AR280" s="507"/>
      <c r="AS280" s="507"/>
      <c r="AT280" s="508"/>
      <c r="AU280" s="509"/>
      <c r="AV280" s="510" t="n">
        <f aca="false">A280</f>
        <v>0</v>
      </c>
      <c r="AW280" s="510" t="n">
        <f aca="false">B280</f>
        <v>0</v>
      </c>
      <c r="AX280" s="510" t="n">
        <f aca="false">C280</f>
        <v>0</v>
      </c>
      <c r="AY280" s="511" t="n">
        <f aca="false">ROUND($AY$6*AZ280/$AZ$5,2)</f>
        <v>0</v>
      </c>
      <c r="AZ280" s="502" t="n">
        <f aca="false">BA280+BL280</f>
        <v>0</v>
      </c>
      <c r="BA280" s="502" t="n">
        <f aca="false">SUM(BB280:BK280)</f>
        <v>0</v>
      </c>
      <c r="BB280" s="502" t="n">
        <f aca="false">IF($D280="是",I280-J280,0)</f>
        <v>0</v>
      </c>
      <c r="BC280" s="502" t="n">
        <f aca="false">IF($D280="是",K280-L280,0)</f>
        <v>0</v>
      </c>
      <c r="BD280" s="502" t="n">
        <f aca="false">IF($D280="是",M280-N280,0)</f>
        <v>0</v>
      </c>
      <c r="BE280" s="502" t="n">
        <f aca="false">IF($D280="是",O280-P280,0)</f>
        <v>0</v>
      </c>
      <c r="BF280" s="502" t="n">
        <f aca="false">IF($D280="是",Q280-R280,0)</f>
        <v>0</v>
      </c>
      <c r="BG280" s="502" t="n">
        <f aca="false">IF($D280="是",S280-T280,0)</f>
        <v>0</v>
      </c>
      <c r="BH280" s="502" t="n">
        <f aca="false">IF($D280="是",U280-V280,0)</f>
        <v>0</v>
      </c>
      <c r="BI280" s="502" t="n">
        <f aca="false">IF($D280="是",W280-X280,0)</f>
        <v>0</v>
      </c>
      <c r="BJ280" s="502" t="n">
        <f aca="false">IF($D280="是",Y280-Z280,0)</f>
        <v>0</v>
      </c>
      <c r="BK280" s="502" t="n">
        <f aca="false">IF($D280="是",AA280-AB280,0)</f>
        <v>0</v>
      </c>
      <c r="BL280" s="502" t="n">
        <f aca="false">SUM(BM280:BT280)</f>
        <v>0</v>
      </c>
      <c r="BM280" s="502" t="n">
        <f aca="false">IF($D280="是",AD280-AE280,0)</f>
        <v>0</v>
      </c>
      <c r="BN280" s="502" t="n">
        <f aca="false">IF($D280="是",AF280-AG280,0)</f>
        <v>0</v>
      </c>
      <c r="BO280" s="502" t="n">
        <f aca="false">IF($D280="是",AH280-AI280,0)</f>
        <v>0</v>
      </c>
      <c r="BP280" s="502" t="n">
        <f aca="false">IF($D280="是",AJ280-AK280,0)</f>
        <v>0</v>
      </c>
      <c r="BQ280" s="502" t="n">
        <f aca="false">IF($D280="是",AL280-AM280,0)</f>
        <v>0</v>
      </c>
      <c r="BR280" s="502" t="n">
        <f aca="false">IF($D280="是",AN280-AO280,0)</f>
        <v>0</v>
      </c>
      <c r="BS280" s="502" t="n">
        <f aca="false">IF($D280="是",AP280-AQ280,0)</f>
        <v>0</v>
      </c>
      <c r="BT280" s="512" t="n">
        <f aca="false">IF($D280="是",AR280-AS280,0)</f>
        <v>0</v>
      </c>
    </row>
    <row r="281" customFormat="false" ht="14.25" hidden="false" customHeight="false" outlineLevel="0" collapsed="false">
      <c r="A281" s="499"/>
      <c r="B281" s="500"/>
      <c r="C281" s="500"/>
      <c r="D281" s="501"/>
      <c r="E281" s="502" t="n">
        <f aca="false">IF($C$3="是",ROUND($A$3*G281/$B$3,2),ROUND($A$3*(G281-AT281)/$B$3,2))</f>
        <v>0</v>
      </c>
      <c r="F281" s="503"/>
      <c r="G281" s="504" t="n">
        <f aca="false">H281+AC281+AT281</f>
        <v>0</v>
      </c>
      <c r="H281" s="505" t="n">
        <f aca="false">SUMIF(I$12:AB$12,"总值",I281:AB281)</f>
        <v>0</v>
      </c>
      <c r="I281" s="506"/>
      <c r="J281" s="506"/>
      <c r="K281" s="506"/>
      <c r="L281" s="506"/>
      <c r="M281" s="506"/>
      <c r="N281" s="506"/>
      <c r="O281" s="506"/>
      <c r="P281" s="506"/>
      <c r="Q281" s="506"/>
      <c r="R281" s="506"/>
      <c r="S281" s="506"/>
      <c r="T281" s="506"/>
      <c r="U281" s="506"/>
      <c r="V281" s="506"/>
      <c r="W281" s="506"/>
      <c r="X281" s="506"/>
      <c r="Y281" s="506"/>
      <c r="Z281" s="506"/>
      <c r="AA281" s="506"/>
      <c r="AB281" s="506"/>
      <c r="AC281" s="502" t="n">
        <f aca="false">SUMIF(AD$12:AS$12,"总值",AD281:AS281)</f>
        <v>0</v>
      </c>
      <c r="AD281" s="507"/>
      <c r="AE281" s="507"/>
      <c r="AF281" s="507"/>
      <c r="AG281" s="507"/>
      <c r="AH281" s="507"/>
      <c r="AI281" s="507"/>
      <c r="AJ281" s="507"/>
      <c r="AK281" s="507"/>
      <c r="AL281" s="507"/>
      <c r="AM281" s="507"/>
      <c r="AN281" s="507"/>
      <c r="AO281" s="507"/>
      <c r="AP281" s="507"/>
      <c r="AQ281" s="507"/>
      <c r="AR281" s="507"/>
      <c r="AS281" s="507"/>
      <c r="AT281" s="508"/>
      <c r="AU281" s="509"/>
      <c r="AV281" s="510" t="n">
        <f aca="false">A281</f>
        <v>0</v>
      </c>
      <c r="AW281" s="510" t="n">
        <f aca="false">B281</f>
        <v>0</v>
      </c>
      <c r="AX281" s="510" t="n">
        <f aca="false">C281</f>
        <v>0</v>
      </c>
      <c r="AY281" s="511" t="n">
        <f aca="false">ROUND($AY$6*AZ281/$AZ$5,2)</f>
        <v>0</v>
      </c>
      <c r="AZ281" s="502" t="n">
        <f aca="false">BA281+BL281</f>
        <v>0</v>
      </c>
      <c r="BA281" s="502" t="n">
        <f aca="false">SUM(BB281:BK281)</f>
        <v>0</v>
      </c>
      <c r="BB281" s="502" t="n">
        <f aca="false">IF($D281="是",I281-J281,0)</f>
        <v>0</v>
      </c>
      <c r="BC281" s="502" t="n">
        <f aca="false">IF($D281="是",K281-L281,0)</f>
        <v>0</v>
      </c>
      <c r="BD281" s="502" t="n">
        <f aca="false">IF($D281="是",M281-N281,0)</f>
        <v>0</v>
      </c>
      <c r="BE281" s="502" t="n">
        <f aca="false">IF($D281="是",O281-P281,0)</f>
        <v>0</v>
      </c>
      <c r="BF281" s="502" t="n">
        <f aca="false">IF($D281="是",Q281-R281,0)</f>
        <v>0</v>
      </c>
      <c r="BG281" s="502" t="n">
        <f aca="false">IF($D281="是",S281-T281,0)</f>
        <v>0</v>
      </c>
      <c r="BH281" s="502" t="n">
        <f aca="false">IF($D281="是",U281-V281,0)</f>
        <v>0</v>
      </c>
      <c r="BI281" s="502" t="n">
        <f aca="false">IF($D281="是",W281-X281,0)</f>
        <v>0</v>
      </c>
      <c r="BJ281" s="502" t="n">
        <f aca="false">IF($D281="是",Y281-Z281,0)</f>
        <v>0</v>
      </c>
      <c r="BK281" s="502" t="n">
        <f aca="false">IF($D281="是",AA281-AB281,0)</f>
        <v>0</v>
      </c>
      <c r="BL281" s="502" t="n">
        <f aca="false">SUM(BM281:BT281)</f>
        <v>0</v>
      </c>
      <c r="BM281" s="502" t="n">
        <f aca="false">IF($D281="是",AD281-AE281,0)</f>
        <v>0</v>
      </c>
      <c r="BN281" s="502" t="n">
        <f aca="false">IF($D281="是",AF281-AG281,0)</f>
        <v>0</v>
      </c>
      <c r="BO281" s="502" t="n">
        <f aca="false">IF($D281="是",AH281-AI281,0)</f>
        <v>0</v>
      </c>
      <c r="BP281" s="502" t="n">
        <f aca="false">IF($D281="是",AJ281-AK281,0)</f>
        <v>0</v>
      </c>
      <c r="BQ281" s="502" t="n">
        <f aca="false">IF($D281="是",AL281-AM281,0)</f>
        <v>0</v>
      </c>
      <c r="BR281" s="502" t="n">
        <f aca="false">IF($D281="是",AN281-AO281,0)</f>
        <v>0</v>
      </c>
      <c r="BS281" s="502" t="n">
        <f aca="false">IF($D281="是",AP281-AQ281,0)</f>
        <v>0</v>
      </c>
      <c r="BT281" s="512" t="n">
        <f aca="false">IF($D281="是",AR281-AS281,0)</f>
        <v>0</v>
      </c>
    </row>
    <row r="282" customFormat="false" ht="14.25" hidden="false" customHeight="false" outlineLevel="0" collapsed="false">
      <c r="A282" s="499"/>
      <c r="B282" s="500"/>
      <c r="C282" s="500"/>
      <c r="D282" s="501"/>
      <c r="E282" s="502" t="n">
        <f aca="false">IF($C$3="是",ROUND($A$3*G282/$B$3,2),ROUND($A$3*(G282-AT282)/$B$3,2))</f>
        <v>0</v>
      </c>
      <c r="F282" s="503"/>
      <c r="G282" s="504" t="n">
        <f aca="false">H282+AC282+AT282</f>
        <v>0</v>
      </c>
      <c r="H282" s="505" t="n">
        <f aca="false">SUMIF(I$12:AB$12,"总值",I282:AB282)</f>
        <v>0</v>
      </c>
      <c r="I282" s="506"/>
      <c r="J282" s="506"/>
      <c r="K282" s="506"/>
      <c r="L282" s="506"/>
      <c r="M282" s="506"/>
      <c r="N282" s="506"/>
      <c r="O282" s="506"/>
      <c r="P282" s="506"/>
      <c r="Q282" s="506"/>
      <c r="R282" s="506"/>
      <c r="S282" s="506"/>
      <c r="T282" s="506"/>
      <c r="U282" s="506"/>
      <c r="V282" s="506"/>
      <c r="W282" s="506"/>
      <c r="X282" s="506"/>
      <c r="Y282" s="506"/>
      <c r="Z282" s="506"/>
      <c r="AA282" s="506"/>
      <c r="AB282" s="506"/>
      <c r="AC282" s="502" t="n">
        <f aca="false">SUMIF(AD$12:AS$12,"总值",AD282:AS282)</f>
        <v>0</v>
      </c>
      <c r="AD282" s="507"/>
      <c r="AE282" s="507"/>
      <c r="AF282" s="507"/>
      <c r="AG282" s="507"/>
      <c r="AH282" s="507"/>
      <c r="AI282" s="507"/>
      <c r="AJ282" s="507"/>
      <c r="AK282" s="507"/>
      <c r="AL282" s="507"/>
      <c r="AM282" s="507"/>
      <c r="AN282" s="507"/>
      <c r="AO282" s="507"/>
      <c r="AP282" s="507"/>
      <c r="AQ282" s="507"/>
      <c r="AR282" s="507"/>
      <c r="AS282" s="507"/>
      <c r="AT282" s="508"/>
      <c r="AU282" s="509"/>
      <c r="AV282" s="510" t="n">
        <f aca="false">A282</f>
        <v>0</v>
      </c>
      <c r="AW282" s="510" t="n">
        <f aca="false">B282</f>
        <v>0</v>
      </c>
      <c r="AX282" s="510" t="n">
        <f aca="false">C282</f>
        <v>0</v>
      </c>
      <c r="AY282" s="511" t="n">
        <f aca="false">ROUND($AY$6*AZ282/$AZ$5,2)</f>
        <v>0</v>
      </c>
      <c r="AZ282" s="502" t="n">
        <f aca="false">BA282+BL282</f>
        <v>0</v>
      </c>
      <c r="BA282" s="502" t="n">
        <f aca="false">SUM(BB282:BK282)</f>
        <v>0</v>
      </c>
      <c r="BB282" s="502" t="n">
        <f aca="false">IF($D282="是",I282-J282,0)</f>
        <v>0</v>
      </c>
      <c r="BC282" s="502" t="n">
        <f aca="false">IF($D282="是",K282-L282,0)</f>
        <v>0</v>
      </c>
      <c r="BD282" s="502" t="n">
        <f aca="false">IF($D282="是",M282-N282,0)</f>
        <v>0</v>
      </c>
      <c r="BE282" s="502" t="n">
        <f aca="false">IF($D282="是",O282-P282,0)</f>
        <v>0</v>
      </c>
      <c r="BF282" s="502" t="n">
        <f aca="false">IF($D282="是",Q282-R282,0)</f>
        <v>0</v>
      </c>
      <c r="BG282" s="502" t="n">
        <f aca="false">IF($D282="是",S282-T282,0)</f>
        <v>0</v>
      </c>
      <c r="BH282" s="502" t="n">
        <f aca="false">IF($D282="是",U282-V282,0)</f>
        <v>0</v>
      </c>
      <c r="BI282" s="502" t="n">
        <f aca="false">IF($D282="是",W282-X282,0)</f>
        <v>0</v>
      </c>
      <c r="BJ282" s="502" t="n">
        <f aca="false">IF($D282="是",Y282-Z282,0)</f>
        <v>0</v>
      </c>
      <c r="BK282" s="502" t="n">
        <f aca="false">IF($D282="是",AA282-AB282,0)</f>
        <v>0</v>
      </c>
      <c r="BL282" s="502" t="n">
        <f aca="false">SUM(BM282:BT282)</f>
        <v>0</v>
      </c>
      <c r="BM282" s="502" t="n">
        <f aca="false">IF($D282="是",AD282-AE282,0)</f>
        <v>0</v>
      </c>
      <c r="BN282" s="502" t="n">
        <f aca="false">IF($D282="是",AF282-AG282,0)</f>
        <v>0</v>
      </c>
      <c r="BO282" s="502" t="n">
        <f aca="false">IF($D282="是",AH282-AI282,0)</f>
        <v>0</v>
      </c>
      <c r="BP282" s="502" t="n">
        <f aca="false">IF($D282="是",AJ282-AK282,0)</f>
        <v>0</v>
      </c>
      <c r="BQ282" s="502" t="n">
        <f aca="false">IF($D282="是",AL282-AM282,0)</f>
        <v>0</v>
      </c>
      <c r="BR282" s="502" t="n">
        <f aca="false">IF($D282="是",AN282-AO282,0)</f>
        <v>0</v>
      </c>
      <c r="BS282" s="502" t="n">
        <f aca="false">IF($D282="是",AP282-AQ282,0)</f>
        <v>0</v>
      </c>
      <c r="BT282" s="512" t="n">
        <f aca="false">IF($D282="是",AR282-AS282,0)</f>
        <v>0</v>
      </c>
    </row>
    <row r="283" customFormat="false" ht="14.25" hidden="false" customHeight="false" outlineLevel="0" collapsed="false">
      <c r="A283" s="499"/>
      <c r="B283" s="500"/>
      <c r="C283" s="500"/>
      <c r="D283" s="501"/>
      <c r="E283" s="502" t="n">
        <f aca="false">IF($C$3="是",ROUND($A$3*G283/$B$3,2),ROUND($A$3*(G283-AT283)/$B$3,2))</f>
        <v>0</v>
      </c>
      <c r="F283" s="503"/>
      <c r="G283" s="504" t="n">
        <f aca="false">H283+AC283+AT283</f>
        <v>0</v>
      </c>
      <c r="H283" s="505" t="n">
        <f aca="false">SUMIF(I$12:AB$12,"总值",I283:AB283)</f>
        <v>0</v>
      </c>
      <c r="I283" s="506"/>
      <c r="J283" s="506"/>
      <c r="K283" s="506"/>
      <c r="L283" s="506"/>
      <c r="M283" s="506"/>
      <c r="N283" s="506"/>
      <c r="O283" s="506"/>
      <c r="P283" s="506"/>
      <c r="Q283" s="506"/>
      <c r="R283" s="506"/>
      <c r="S283" s="506"/>
      <c r="T283" s="506"/>
      <c r="U283" s="506"/>
      <c r="V283" s="506"/>
      <c r="W283" s="506"/>
      <c r="X283" s="506"/>
      <c r="Y283" s="506"/>
      <c r="Z283" s="506"/>
      <c r="AA283" s="506"/>
      <c r="AB283" s="506"/>
      <c r="AC283" s="502" t="n">
        <f aca="false">SUMIF(AD$12:AS$12,"总值",AD283:AS283)</f>
        <v>0</v>
      </c>
      <c r="AD283" s="507"/>
      <c r="AE283" s="507"/>
      <c r="AF283" s="507"/>
      <c r="AG283" s="507"/>
      <c r="AH283" s="507"/>
      <c r="AI283" s="507"/>
      <c r="AJ283" s="507"/>
      <c r="AK283" s="507"/>
      <c r="AL283" s="507"/>
      <c r="AM283" s="507"/>
      <c r="AN283" s="507"/>
      <c r="AO283" s="507"/>
      <c r="AP283" s="507"/>
      <c r="AQ283" s="507"/>
      <c r="AR283" s="507"/>
      <c r="AS283" s="507"/>
      <c r="AT283" s="508"/>
      <c r="AU283" s="509"/>
      <c r="AV283" s="510" t="n">
        <f aca="false">A283</f>
        <v>0</v>
      </c>
      <c r="AW283" s="510" t="n">
        <f aca="false">B283</f>
        <v>0</v>
      </c>
      <c r="AX283" s="510" t="n">
        <f aca="false">C283</f>
        <v>0</v>
      </c>
      <c r="AY283" s="511" t="n">
        <f aca="false">ROUND($AY$6*AZ283/$AZ$5,2)</f>
        <v>0</v>
      </c>
      <c r="AZ283" s="502" t="n">
        <f aca="false">BA283+BL283</f>
        <v>0</v>
      </c>
      <c r="BA283" s="502" t="n">
        <f aca="false">SUM(BB283:BK283)</f>
        <v>0</v>
      </c>
      <c r="BB283" s="502" t="n">
        <f aca="false">IF($D283="是",I283-J283,0)</f>
        <v>0</v>
      </c>
      <c r="BC283" s="502" t="n">
        <f aca="false">IF($D283="是",K283-L283,0)</f>
        <v>0</v>
      </c>
      <c r="BD283" s="502" t="n">
        <f aca="false">IF($D283="是",M283-N283,0)</f>
        <v>0</v>
      </c>
      <c r="BE283" s="502" t="n">
        <f aca="false">IF($D283="是",O283-P283,0)</f>
        <v>0</v>
      </c>
      <c r="BF283" s="502" t="n">
        <f aca="false">IF($D283="是",Q283-R283,0)</f>
        <v>0</v>
      </c>
      <c r="BG283" s="502" t="n">
        <f aca="false">IF($D283="是",S283-T283,0)</f>
        <v>0</v>
      </c>
      <c r="BH283" s="502" t="n">
        <f aca="false">IF($D283="是",U283-V283,0)</f>
        <v>0</v>
      </c>
      <c r="BI283" s="502" t="n">
        <f aca="false">IF($D283="是",W283-X283,0)</f>
        <v>0</v>
      </c>
      <c r="BJ283" s="502" t="n">
        <f aca="false">IF($D283="是",Y283-Z283,0)</f>
        <v>0</v>
      </c>
      <c r="BK283" s="502" t="n">
        <f aca="false">IF($D283="是",AA283-AB283,0)</f>
        <v>0</v>
      </c>
      <c r="BL283" s="502" t="n">
        <f aca="false">SUM(BM283:BT283)</f>
        <v>0</v>
      </c>
      <c r="BM283" s="502" t="n">
        <f aca="false">IF($D283="是",AD283-AE283,0)</f>
        <v>0</v>
      </c>
      <c r="BN283" s="502" t="n">
        <f aca="false">IF($D283="是",AF283-AG283,0)</f>
        <v>0</v>
      </c>
      <c r="BO283" s="502" t="n">
        <f aca="false">IF($D283="是",AH283-AI283,0)</f>
        <v>0</v>
      </c>
      <c r="BP283" s="502" t="n">
        <f aca="false">IF($D283="是",AJ283-AK283,0)</f>
        <v>0</v>
      </c>
      <c r="BQ283" s="502" t="n">
        <f aca="false">IF($D283="是",AL283-AM283,0)</f>
        <v>0</v>
      </c>
      <c r="BR283" s="502" t="n">
        <f aca="false">IF($D283="是",AN283-AO283,0)</f>
        <v>0</v>
      </c>
      <c r="BS283" s="502" t="n">
        <f aca="false">IF($D283="是",AP283-AQ283,0)</f>
        <v>0</v>
      </c>
      <c r="BT283" s="512" t="n">
        <f aca="false">IF($D283="是",AR283-AS283,0)</f>
        <v>0</v>
      </c>
    </row>
    <row r="284" customFormat="false" ht="14.25" hidden="false" customHeight="false" outlineLevel="0" collapsed="false">
      <c r="A284" s="499"/>
      <c r="B284" s="500"/>
      <c r="C284" s="500"/>
      <c r="D284" s="501"/>
      <c r="E284" s="502" t="n">
        <f aca="false">IF($C$3="是",ROUND($A$3*G284/$B$3,2),ROUND($A$3*(G284-AT284)/$B$3,2))</f>
        <v>0</v>
      </c>
      <c r="F284" s="503"/>
      <c r="G284" s="504" t="n">
        <f aca="false">H284+AC284+AT284</f>
        <v>0</v>
      </c>
      <c r="H284" s="505" t="n">
        <f aca="false">SUMIF(I$12:AB$12,"总值",I284:AB284)</f>
        <v>0</v>
      </c>
      <c r="I284" s="506"/>
      <c r="J284" s="506"/>
      <c r="K284" s="506"/>
      <c r="L284" s="506"/>
      <c r="M284" s="506"/>
      <c r="N284" s="506"/>
      <c r="O284" s="506"/>
      <c r="P284" s="506"/>
      <c r="Q284" s="506"/>
      <c r="R284" s="506"/>
      <c r="S284" s="506"/>
      <c r="T284" s="506"/>
      <c r="U284" s="506"/>
      <c r="V284" s="506"/>
      <c r="W284" s="506"/>
      <c r="X284" s="506"/>
      <c r="Y284" s="506"/>
      <c r="Z284" s="506"/>
      <c r="AA284" s="506"/>
      <c r="AB284" s="506"/>
      <c r="AC284" s="502" t="n">
        <f aca="false">SUMIF(AD$12:AS$12,"总值",AD284:AS284)</f>
        <v>0</v>
      </c>
      <c r="AD284" s="507"/>
      <c r="AE284" s="507"/>
      <c r="AF284" s="507"/>
      <c r="AG284" s="507"/>
      <c r="AH284" s="507"/>
      <c r="AI284" s="507"/>
      <c r="AJ284" s="507"/>
      <c r="AK284" s="507"/>
      <c r="AL284" s="507"/>
      <c r="AM284" s="507"/>
      <c r="AN284" s="507"/>
      <c r="AO284" s="507"/>
      <c r="AP284" s="507"/>
      <c r="AQ284" s="507"/>
      <c r="AR284" s="507"/>
      <c r="AS284" s="507"/>
      <c r="AT284" s="508"/>
      <c r="AU284" s="509"/>
      <c r="AV284" s="510" t="n">
        <f aca="false">A284</f>
        <v>0</v>
      </c>
      <c r="AW284" s="510" t="n">
        <f aca="false">B284</f>
        <v>0</v>
      </c>
      <c r="AX284" s="510" t="n">
        <f aca="false">C284</f>
        <v>0</v>
      </c>
      <c r="AY284" s="511" t="n">
        <f aca="false">ROUND($AY$6*AZ284/$AZ$5,2)</f>
        <v>0</v>
      </c>
      <c r="AZ284" s="502" t="n">
        <f aca="false">BA284+BL284</f>
        <v>0</v>
      </c>
      <c r="BA284" s="502" t="n">
        <f aca="false">SUM(BB284:BK284)</f>
        <v>0</v>
      </c>
      <c r="BB284" s="502" t="n">
        <f aca="false">IF($D284="是",I284-J284,0)</f>
        <v>0</v>
      </c>
      <c r="BC284" s="502" t="n">
        <f aca="false">IF($D284="是",K284-L284,0)</f>
        <v>0</v>
      </c>
      <c r="BD284" s="502" t="n">
        <f aca="false">IF($D284="是",M284-N284,0)</f>
        <v>0</v>
      </c>
      <c r="BE284" s="502" t="n">
        <f aca="false">IF($D284="是",O284-P284,0)</f>
        <v>0</v>
      </c>
      <c r="BF284" s="502" t="n">
        <f aca="false">IF($D284="是",Q284-R284,0)</f>
        <v>0</v>
      </c>
      <c r="BG284" s="502" t="n">
        <f aca="false">IF($D284="是",S284-T284,0)</f>
        <v>0</v>
      </c>
      <c r="BH284" s="502" t="n">
        <f aca="false">IF($D284="是",U284-V284,0)</f>
        <v>0</v>
      </c>
      <c r="BI284" s="502" t="n">
        <f aca="false">IF($D284="是",W284-X284,0)</f>
        <v>0</v>
      </c>
      <c r="BJ284" s="502" t="n">
        <f aca="false">IF($D284="是",Y284-Z284,0)</f>
        <v>0</v>
      </c>
      <c r="BK284" s="502" t="n">
        <f aca="false">IF($D284="是",AA284-AB284,0)</f>
        <v>0</v>
      </c>
      <c r="BL284" s="502" t="n">
        <f aca="false">SUM(BM284:BT284)</f>
        <v>0</v>
      </c>
      <c r="BM284" s="502" t="n">
        <f aca="false">IF($D284="是",AD284-AE284,0)</f>
        <v>0</v>
      </c>
      <c r="BN284" s="502" t="n">
        <f aca="false">IF($D284="是",AF284-AG284,0)</f>
        <v>0</v>
      </c>
      <c r="BO284" s="502" t="n">
        <f aca="false">IF($D284="是",AH284-AI284,0)</f>
        <v>0</v>
      </c>
      <c r="BP284" s="502" t="n">
        <f aca="false">IF($D284="是",AJ284-AK284,0)</f>
        <v>0</v>
      </c>
      <c r="BQ284" s="502" t="n">
        <f aca="false">IF($D284="是",AL284-AM284,0)</f>
        <v>0</v>
      </c>
      <c r="BR284" s="502" t="n">
        <f aca="false">IF($D284="是",AN284-AO284,0)</f>
        <v>0</v>
      </c>
      <c r="BS284" s="502" t="n">
        <f aca="false">IF($D284="是",AP284-AQ284,0)</f>
        <v>0</v>
      </c>
      <c r="BT284" s="512" t="n">
        <f aca="false">IF($D284="是",AR284-AS284,0)</f>
        <v>0</v>
      </c>
    </row>
    <row r="285" customFormat="false" ht="14.25" hidden="false" customHeight="false" outlineLevel="0" collapsed="false">
      <c r="A285" s="499"/>
      <c r="B285" s="500"/>
      <c r="C285" s="500"/>
      <c r="D285" s="501"/>
      <c r="E285" s="502" t="n">
        <f aca="false">IF($C$3="是",ROUND($A$3*G285/$B$3,2),ROUND($A$3*(G285-AT285)/$B$3,2))</f>
        <v>0</v>
      </c>
      <c r="F285" s="503"/>
      <c r="G285" s="504" t="n">
        <f aca="false">H285+AC285+AT285</f>
        <v>0</v>
      </c>
      <c r="H285" s="505" t="n">
        <f aca="false">SUMIF(I$12:AB$12,"总值",I285:AB285)</f>
        <v>0</v>
      </c>
      <c r="I285" s="506"/>
      <c r="J285" s="506"/>
      <c r="K285" s="506"/>
      <c r="L285" s="506"/>
      <c r="M285" s="506"/>
      <c r="N285" s="506"/>
      <c r="O285" s="506"/>
      <c r="P285" s="506"/>
      <c r="Q285" s="506"/>
      <c r="R285" s="506"/>
      <c r="S285" s="506"/>
      <c r="T285" s="506"/>
      <c r="U285" s="506"/>
      <c r="V285" s="506"/>
      <c r="W285" s="506"/>
      <c r="X285" s="506"/>
      <c r="Y285" s="506"/>
      <c r="Z285" s="506"/>
      <c r="AA285" s="506"/>
      <c r="AB285" s="506"/>
      <c r="AC285" s="502" t="n">
        <f aca="false">SUMIF(AD$12:AS$12,"总值",AD285:AS285)</f>
        <v>0</v>
      </c>
      <c r="AD285" s="507"/>
      <c r="AE285" s="507"/>
      <c r="AF285" s="507"/>
      <c r="AG285" s="507"/>
      <c r="AH285" s="507"/>
      <c r="AI285" s="507"/>
      <c r="AJ285" s="507"/>
      <c r="AK285" s="507"/>
      <c r="AL285" s="507"/>
      <c r="AM285" s="507"/>
      <c r="AN285" s="507"/>
      <c r="AO285" s="507"/>
      <c r="AP285" s="507"/>
      <c r="AQ285" s="507"/>
      <c r="AR285" s="507"/>
      <c r="AS285" s="507"/>
      <c r="AT285" s="508"/>
      <c r="AU285" s="509"/>
      <c r="AV285" s="510" t="n">
        <f aca="false">A285</f>
        <v>0</v>
      </c>
      <c r="AW285" s="510" t="n">
        <f aca="false">B285</f>
        <v>0</v>
      </c>
      <c r="AX285" s="510" t="n">
        <f aca="false">C285</f>
        <v>0</v>
      </c>
      <c r="AY285" s="511" t="n">
        <f aca="false">ROUND($AY$6*AZ285/$AZ$5,2)</f>
        <v>0</v>
      </c>
      <c r="AZ285" s="502" t="n">
        <f aca="false">BA285+BL285</f>
        <v>0</v>
      </c>
      <c r="BA285" s="502" t="n">
        <f aca="false">SUM(BB285:BK285)</f>
        <v>0</v>
      </c>
      <c r="BB285" s="502" t="n">
        <f aca="false">IF($D285="是",I285-J285,0)</f>
        <v>0</v>
      </c>
      <c r="BC285" s="502" t="n">
        <f aca="false">IF($D285="是",K285-L285,0)</f>
        <v>0</v>
      </c>
      <c r="BD285" s="502" t="n">
        <f aca="false">IF($D285="是",M285-N285,0)</f>
        <v>0</v>
      </c>
      <c r="BE285" s="502" t="n">
        <f aca="false">IF($D285="是",O285-P285,0)</f>
        <v>0</v>
      </c>
      <c r="BF285" s="502" t="n">
        <f aca="false">IF($D285="是",Q285-R285,0)</f>
        <v>0</v>
      </c>
      <c r="BG285" s="502" t="n">
        <f aca="false">IF($D285="是",S285-T285,0)</f>
        <v>0</v>
      </c>
      <c r="BH285" s="502" t="n">
        <f aca="false">IF($D285="是",U285-V285,0)</f>
        <v>0</v>
      </c>
      <c r="BI285" s="502" t="n">
        <f aca="false">IF($D285="是",W285-X285,0)</f>
        <v>0</v>
      </c>
      <c r="BJ285" s="502" t="n">
        <f aca="false">IF($D285="是",Y285-Z285,0)</f>
        <v>0</v>
      </c>
      <c r="BK285" s="502" t="n">
        <f aca="false">IF($D285="是",AA285-AB285,0)</f>
        <v>0</v>
      </c>
      <c r="BL285" s="502" t="n">
        <f aca="false">SUM(BM285:BT285)</f>
        <v>0</v>
      </c>
      <c r="BM285" s="502" t="n">
        <f aca="false">IF($D285="是",AD285-AE285,0)</f>
        <v>0</v>
      </c>
      <c r="BN285" s="502" t="n">
        <f aca="false">IF($D285="是",AF285-AG285,0)</f>
        <v>0</v>
      </c>
      <c r="BO285" s="502" t="n">
        <f aca="false">IF($D285="是",AH285-AI285,0)</f>
        <v>0</v>
      </c>
      <c r="BP285" s="502" t="n">
        <f aca="false">IF($D285="是",AJ285-AK285,0)</f>
        <v>0</v>
      </c>
      <c r="BQ285" s="502" t="n">
        <f aca="false">IF($D285="是",AL285-AM285,0)</f>
        <v>0</v>
      </c>
      <c r="BR285" s="502" t="n">
        <f aca="false">IF($D285="是",AN285-AO285,0)</f>
        <v>0</v>
      </c>
      <c r="BS285" s="502" t="n">
        <f aca="false">IF($D285="是",AP285-AQ285,0)</f>
        <v>0</v>
      </c>
      <c r="BT285" s="512" t="n">
        <f aca="false">IF($D285="是",AR285-AS285,0)</f>
        <v>0</v>
      </c>
    </row>
    <row r="286" customFormat="false" ht="14.25" hidden="false" customHeight="false" outlineLevel="0" collapsed="false">
      <c r="A286" s="499"/>
      <c r="B286" s="500"/>
      <c r="C286" s="500"/>
      <c r="D286" s="501"/>
      <c r="E286" s="502" t="n">
        <f aca="false">IF($C$3="是",ROUND($A$3*G286/$B$3,2),ROUND($A$3*(G286-AT286)/$B$3,2))</f>
        <v>0</v>
      </c>
      <c r="F286" s="503"/>
      <c r="G286" s="504" t="n">
        <f aca="false">H286+AC286+AT286</f>
        <v>0</v>
      </c>
      <c r="H286" s="505" t="n">
        <f aca="false">SUMIF(I$12:AB$12,"总值",I286:AB286)</f>
        <v>0</v>
      </c>
      <c r="I286" s="506"/>
      <c r="J286" s="506"/>
      <c r="K286" s="506"/>
      <c r="L286" s="506"/>
      <c r="M286" s="506"/>
      <c r="N286" s="506"/>
      <c r="O286" s="506"/>
      <c r="P286" s="506"/>
      <c r="Q286" s="506"/>
      <c r="R286" s="506"/>
      <c r="S286" s="506"/>
      <c r="T286" s="506"/>
      <c r="U286" s="506"/>
      <c r="V286" s="506"/>
      <c r="W286" s="506"/>
      <c r="X286" s="506"/>
      <c r="Y286" s="506"/>
      <c r="Z286" s="506"/>
      <c r="AA286" s="506"/>
      <c r="AB286" s="506"/>
      <c r="AC286" s="502" t="n">
        <f aca="false">SUMIF(AD$12:AS$12,"总值",AD286:AS286)</f>
        <v>0</v>
      </c>
      <c r="AD286" s="507"/>
      <c r="AE286" s="507"/>
      <c r="AF286" s="507"/>
      <c r="AG286" s="507"/>
      <c r="AH286" s="507"/>
      <c r="AI286" s="507"/>
      <c r="AJ286" s="507"/>
      <c r="AK286" s="507"/>
      <c r="AL286" s="507"/>
      <c r="AM286" s="507"/>
      <c r="AN286" s="507"/>
      <c r="AO286" s="507"/>
      <c r="AP286" s="507"/>
      <c r="AQ286" s="507"/>
      <c r="AR286" s="507"/>
      <c r="AS286" s="507"/>
      <c r="AT286" s="508"/>
      <c r="AU286" s="509"/>
      <c r="AV286" s="510" t="n">
        <f aca="false">A286</f>
        <v>0</v>
      </c>
      <c r="AW286" s="510" t="n">
        <f aca="false">B286</f>
        <v>0</v>
      </c>
      <c r="AX286" s="510" t="n">
        <f aca="false">C286</f>
        <v>0</v>
      </c>
      <c r="AY286" s="511" t="n">
        <f aca="false">ROUND($AY$6*AZ286/$AZ$5,2)</f>
        <v>0</v>
      </c>
      <c r="AZ286" s="502" t="n">
        <f aca="false">BA286+BL286</f>
        <v>0</v>
      </c>
      <c r="BA286" s="502" t="n">
        <f aca="false">SUM(BB286:BK286)</f>
        <v>0</v>
      </c>
      <c r="BB286" s="502" t="n">
        <f aca="false">IF($D286="是",I286-J286,0)</f>
        <v>0</v>
      </c>
      <c r="BC286" s="502" t="n">
        <f aca="false">IF($D286="是",K286-L286,0)</f>
        <v>0</v>
      </c>
      <c r="BD286" s="502" t="n">
        <f aca="false">IF($D286="是",M286-N286,0)</f>
        <v>0</v>
      </c>
      <c r="BE286" s="502" t="n">
        <f aca="false">IF($D286="是",O286-P286,0)</f>
        <v>0</v>
      </c>
      <c r="BF286" s="502" t="n">
        <f aca="false">IF($D286="是",Q286-R286,0)</f>
        <v>0</v>
      </c>
      <c r="BG286" s="502" t="n">
        <f aca="false">IF($D286="是",S286-T286,0)</f>
        <v>0</v>
      </c>
      <c r="BH286" s="502" t="n">
        <f aca="false">IF($D286="是",U286-V286,0)</f>
        <v>0</v>
      </c>
      <c r="BI286" s="502" t="n">
        <f aca="false">IF($D286="是",W286-X286,0)</f>
        <v>0</v>
      </c>
      <c r="BJ286" s="502" t="n">
        <f aca="false">IF($D286="是",Y286-Z286,0)</f>
        <v>0</v>
      </c>
      <c r="BK286" s="502" t="n">
        <f aca="false">IF($D286="是",AA286-AB286,0)</f>
        <v>0</v>
      </c>
      <c r="BL286" s="502" t="n">
        <f aca="false">SUM(BM286:BT286)</f>
        <v>0</v>
      </c>
      <c r="BM286" s="502" t="n">
        <f aca="false">IF($D286="是",AD286-AE286,0)</f>
        <v>0</v>
      </c>
      <c r="BN286" s="502" t="n">
        <f aca="false">IF($D286="是",AF286-AG286,0)</f>
        <v>0</v>
      </c>
      <c r="BO286" s="502" t="n">
        <f aca="false">IF($D286="是",AH286-AI286,0)</f>
        <v>0</v>
      </c>
      <c r="BP286" s="502" t="n">
        <f aca="false">IF($D286="是",AJ286-AK286,0)</f>
        <v>0</v>
      </c>
      <c r="BQ286" s="502" t="n">
        <f aca="false">IF($D286="是",AL286-AM286,0)</f>
        <v>0</v>
      </c>
      <c r="BR286" s="502" t="n">
        <f aca="false">IF($D286="是",AN286-AO286,0)</f>
        <v>0</v>
      </c>
      <c r="BS286" s="502" t="n">
        <f aca="false">IF($D286="是",AP286-AQ286,0)</f>
        <v>0</v>
      </c>
      <c r="BT286" s="512" t="n">
        <f aca="false">IF($D286="是",AR286-AS286,0)</f>
        <v>0</v>
      </c>
    </row>
    <row r="287" customFormat="false" ht="14.25" hidden="false" customHeight="false" outlineLevel="0" collapsed="false">
      <c r="A287" s="499"/>
      <c r="B287" s="500"/>
      <c r="C287" s="500"/>
      <c r="D287" s="501"/>
      <c r="E287" s="502" t="n">
        <f aca="false">IF($C$3="是",ROUND($A$3*G287/$B$3,2),ROUND($A$3*(G287-AT287)/$B$3,2))</f>
        <v>0</v>
      </c>
      <c r="F287" s="503"/>
      <c r="G287" s="504" t="n">
        <f aca="false">H287+AC287+AT287</f>
        <v>0</v>
      </c>
      <c r="H287" s="505" t="n">
        <f aca="false">SUMIF(I$12:AB$12,"总值",I287:AB287)</f>
        <v>0</v>
      </c>
      <c r="I287" s="506"/>
      <c r="J287" s="506"/>
      <c r="K287" s="506"/>
      <c r="L287" s="506"/>
      <c r="M287" s="506"/>
      <c r="N287" s="506"/>
      <c r="O287" s="506"/>
      <c r="P287" s="506"/>
      <c r="Q287" s="506"/>
      <c r="R287" s="506"/>
      <c r="S287" s="506"/>
      <c r="T287" s="506"/>
      <c r="U287" s="506"/>
      <c r="V287" s="506"/>
      <c r="W287" s="506"/>
      <c r="X287" s="506"/>
      <c r="Y287" s="506"/>
      <c r="Z287" s="506"/>
      <c r="AA287" s="506"/>
      <c r="AB287" s="506"/>
      <c r="AC287" s="502" t="n">
        <f aca="false">SUMIF(AD$12:AS$12,"总值",AD287:AS287)</f>
        <v>0</v>
      </c>
      <c r="AD287" s="507"/>
      <c r="AE287" s="507"/>
      <c r="AF287" s="507"/>
      <c r="AG287" s="507"/>
      <c r="AH287" s="507"/>
      <c r="AI287" s="507"/>
      <c r="AJ287" s="507"/>
      <c r="AK287" s="507"/>
      <c r="AL287" s="507"/>
      <c r="AM287" s="507"/>
      <c r="AN287" s="507"/>
      <c r="AO287" s="507"/>
      <c r="AP287" s="507"/>
      <c r="AQ287" s="507"/>
      <c r="AR287" s="507"/>
      <c r="AS287" s="507"/>
      <c r="AT287" s="508"/>
      <c r="AU287" s="509"/>
      <c r="AV287" s="510" t="n">
        <f aca="false">A287</f>
        <v>0</v>
      </c>
      <c r="AW287" s="510" t="n">
        <f aca="false">B287</f>
        <v>0</v>
      </c>
      <c r="AX287" s="510" t="n">
        <f aca="false">C287</f>
        <v>0</v>
      </c>
      <c r="AY287" s="511" t="n">
        <f aca="false">ROUND($AY$6*AZ287/$AZ$5,2)</f>
        <v>0</v>
      </c>
      <c r="AZ287" s="502" t="n">
        <f aca="false">BA287+BL287</f>
        <v>0</v>
      </c>
      <c r="BA287" s="502" t="n">
        <f aca="false">SUM(BB287:BK287)</f>
        <v>0</v>
      </c>
      <c r="BB287" s="502" t="n">
        <f aca="false">IF($D287="是",I287-J287,0)</f>
        <v>0</v>
      </c>
      <c r="BC287" s="502" t="n">
        <f aca="false">IF($D287="是",K287-L287,0)</f>
        <v>0</v>
      </c>
      <c r="BD287" s="502" t="n">
        <f aca="false">IF($D287="是",M287-N287,0)</f>
        <v>0</v>
      </c>
      <c r="BE287" s="502" t="n">
        <f aca="false">IF($D287="是",O287-P287,0)</f>
        <v>0</v>
      </c>
      <c r="BF287" s="502" t="n">
        <f aca="false">IF($D287="是",Q287-R287,0)</f>
        <v>0</v>
      </c>
      <c r="BG287" s="502" t="n">
        <f aca="false">IF($D287="是",S287-T287,0)</f>
        <v>0</v>
      </c>
      <c r="BH287" s="502" t="n">
        <f aca="false">IF($D287="是",U287-V287,0)</f>
        <v>0</v>
      </c>
      <c r="BI287" s="502" t="n">
        <f aca="false">IF($D287="是",W287-X287,0)</f>
        <v>0</v>
      </c>
      <c r="BJ287" s="502" t="n">
        <f aca="false">IF($D287="是",Y287-Z287,0)</f>
        <v>0</v>
      </c>
      <c r="BK287" s="502" t="n">
        <f aca="false">IF($D287="是",AA287-AB287,0)</f>
        <v>0</v>
      </c>
      <c r="BL287" s="502" t="n">
        <f aca="false">SUM(BM287:BT287)</f>
        <v>0</v>
      </c>
      <c r="BM287" s="502" t="n">
        <f aca="false">IF($D287="是",AD287-AE287,0)</f>
        <v>0</v>
      </c>
      <c r="BN287" s="502" t="n">
        <f aca="false">IF($D287="是",AF287-AG287,0)</f>
        <v>0</v>
      </c>
      <c r="BO287" s="502" t="n">
        <f aca="false">IF($D287="是",AH287-AI287,0)</f>
        <v>0</v>
      </c>
      <c r="BP287" s="502" t="n">
        <f aca="false">IF($D287="是",AJ287-AK287,0)</f>
        <v>0</v>
      </c>
      <c r="BQ287" s="502" t="n">
        <f aca="false">IF($D287="是",AL287-AM287,0)</f>
        <v>0</v>
      </c>
      <c r="BR287" s="502" t="n">
        <f aca="false">IF($D287="是",AN287-AO287,0)</f>
        <v>0</v>
      </c>
      <c r="BS287" s="502" t="n">
        <f aca="false">IF($D287="是",AP287-AQ287,0)</f>
        <v>0</v>
      </c>
      <c r="BT287" s="512" t="n">
        <f aca="false">IF($D287="是",AR287-AS287,0)</f>
        <v>0</v>
      </c>
    </row>
    <row r="288" customFormat="false" ht="14.25" hidden="false" customHeight="false" outlineLevel="0" collapsed="false">
      <c r="A288" s="499"/>
      <c r="B288" s="500"/>
      <c r="C288" s="500"/>
      <c r="D288" s="501"/>
      <c r="E288" s="502" t="n">
        <f aca="false">IF($C$3="是",ROUND($A$3*G288/$B$3,2),ROUND($A$3*(G288-AT288)/$B$3,2))</f>
        <v>0</v>
      </c>
      <c r="F288" s="503"/>
      <c r="G288" s="504" t="n">
        <f aca="false">H288+AC288+AT288</f>
        <v>0</v>
      </c>
      <c r="H288" s="505" t="n">
        <f aca="false">SUMIF(I$12:AB$12,"总值",I288:AB288)</f>
        <v>0</v>
      </c>
      <c r="I288" s="506"/>
      <c r="J288" s="506"/>
      <c r="K288" s="506"/>
      <c r="L288" s="506"/>
      <c r="M288" s="506"/>
      <c r="N288" s="506"/>
      <c r="O288" s="506"/>
      <c r="P288" s="506"/>
      <c r="Q288" s="506"/>
      <c r="R288" s="506"/>
      <c r="S288" s="506"/>
      <c r="T288" s="506"/>
      <c r="U288" s="506"/>
      <c r="V288" s="506"/>
      <c r="W288" s="506"/>
      <c r="X288" s="506"/>
      <c r="Y288" s="506"/>
      <c r="Z288" s="506"/>
      <c r="AA288" s="506"/>
      <c r="AB288" s="506"/>
      <c r="AC288" s="502" t="n">
        <f aca="false">SUMIF(AD$12:AS$12,"总值",AD288:AS288)</f>
        <v>0</v>
      </c>
      <c r="AD288" s="507"/>
      <c r="AE288" s="507"/>
      <c r="AF288" s="507"/>
      <c r="AG288" s="507"/>
      <c r="AH288" s="507"/>
      <c r="AI288" s="507"/>
      <c r="AJ288" s="507"/>
      <c r="AK288" s="507"/>
      <c r="AL288" s="507"/>
      <c r="AM288" s="507"/>
      <c r="AN288" s="507"/>
      <c r="AO288" s="507"/>
      <c r="AP288" s="507"/>
      <c r="AQ288" s="507"/>
      <c r="AR288" s="507"/>
      <c r="AS288" s="507"/>
      <c r="AT288" s="508"/>
      <c r="AU288" s="509"/>
      <c r="AV288" s="510" t="n">
        <f aca="false">A288</f>
        <v>0</v>
      </c>
      <c r="AW288" s="510" t="n">
        <f aca="false">B288</f>
        <v>0</v>
      </c>
      <c r="AX288" s="510" t="n">
        <f aca="false">C288</f>
        <v>0</v>
      </c>
      <c r="AY288" s="511" t="n">
        <f aca="false">ROUND($AY$6*AZ288/$AZ$5,2)</f>
        <v>0</v>
      </c>
      <c r="AZ288" s="502" t="n">
        <f aca="false">BA288+BL288</f>
        <v>0</v>
      </c>
      <c r="BA288" s="502" t="n">
        <f aca="false">SUM(BB288:BK288)</f>
        <v>0</v>
      </c>
      <c r="BB288" s="502" t="n">
        <f aca="false">IF($D288="是",I288-J288,0)</f>
        <v>0</v>
      </c>
      <c r="BC288" s="502" t="n">
        <f aca="false">IF($D288="是",K288-L288,0)</f>
        <v>0</v>
      </c>
      <c r="BD288" s="502" t="n">
        <f aca="false">IF($D288="是",M288-N288,0)</f>
        <v>0</v>
      </c>
      <c r="BE288" s="502" t="n">
        <f aca="false">IF($D288="是",O288-P288,0)</f>
        <v>0</v>
      </c>
      <c r="BF288" s="502" t="n">
        <f aca="false">IF($D288="是",Q288-R288,0)</f>
        <v>0</v>
      </c>
      <c r="BG288" s="502" t="n">
        <f aca="false">IF($D288="是",S288-T288,0)</f>
        <v>0</v>
      </c>
      <c r="BH288" s="502" t="n">
        <f aca="false">IF($D288="是",U288-V288,0)</f>
        <v>0</v>
      </c>
      <c r="BI288" s="502" t="n">
        <f aca="false">IF($D288="是",W288-X288,0)</f>
        <v>0</v>
      </c>
      <c r="BJ288" s="502" t="n">
        <f aca="false">IF($D288="是",Y288-Z288,0)</f>
        <v>0</v>
      </c>
      <c r="BK288" s="502" t="n">
        <f aca="false">IF($D288="是",AA288-AB288,0)</f>
        <v>0</v>
      </c>
      <c r="BL288" s="502" t="n">
        <f aca="false">SUM(BM288:BT288)</f>
        <v>0</v>
      </c>
      <c r="BM288" s="502" t="n">
        <f aca="false">IF($D288="是",AD288-AE288,0)</f>
        <v>0</v>
      </c>
      <c r="BN288" s="502" t="n">
        <f aca="false">IF($D288="是",AF288-AG288,0)</f>
        <v>0</v>
      </c>
      <c r="BO288" s="502" t="n">
        <f aca="false">IF($D288="是",AH288-AI288,0)</f>
        <v>0</v>
      </c>
      <c r="BP288" s="502" t="n">
        <f aca="false">IF($D288="是",AJ288-AK288,0)</f>
        <v>0</v>
      </c>
      <c r="BQ288" s="502" t="n">
        <f aca="false">IF($D288="是",AL288-AM288,0)</f>
        <v>0</v>
      </c>
      <c r="BR288" s="502" t="n">
        <f aca="false">IF($D288="是",AN288-AO288,0)</f>
        <v>0</v>
      </c>
      <c r="BS288" s="502" t="n">
        <f aca="false">IF($D288="是",AP288-AQ288,0)</f>
        <v>0</v>
      </c>
      <c r="BT288" s="512" t="n">
        <f aca="false">IF($D288="是",AR288-AS288,0)</f>
        <v>0</v>
      </c>
    </row>
    <row r="289" customFormat="false" ht="14.25" hidden="false" customHeight="false" outlineLevel="0" collapsed="false">
      <c r="A289" s="499"/>
      <c r="B289" s="500"/>
      <c r="C289" s="500"/>
      <c r="D289" s="501"/>
      <c r="E289" s="502" t="n">
        <f aca="false">IF($C$3="是",ROUND($A$3*G289/$B$3,2),ROUND($A$3*(G289-AT289)/$B$3,2))</f>
        <v>0</v>
      </c>
      <c r="F289" s="503"/>
      <c r="G289" s="504" t="n">
        <f aca="false">H289+AC289+AT289</f>
        <v>0</v>
      </c>
      <c r="H289" s="505" t="n">
        <f aca="false">SUMIF(I$12:AB$12,"总值",I289:AB289)</f>
        <v>0</v>
      </c>
      <c r="I289" s="506"/>
      <c r="J289" s="506"/>
      <c r="K289" s="506"/>
      <c r="L289" s="506"/>
      <c r="M289" s="506"/>
      <c r="N289" s="506"/>
      <c r="O289" s="506"/>
      <c r="P289" s="506"/>
      <c r="Q289" s="506"/>
      <c r="R289" s="506"/>
      <c r="S289" s="506"/>
      <c r="T289" s="506"/>
      <c r="U289" s="506"/>
      <c r="V289" s="506"/>
      <c r="W289" s="506"/>
      <c r="X289" s="506"/>
      <c r="Y289" s="506"/>
      <c r="Z289" s="506"/>
      <c r="AA289" s="506"/>
      <c r="AB289" s="506"/>
      <c r="AC289" s="502" t="n">
        <f aca="false">SUMIF(AD$12:AS$12,"总值",AD289:AS289)</f>
        <v>0</v>
      </c>
      <c r="AD289" s="507"/>
      <c r="AE289" s="507"/>
      <c r="AF289" s="507"/>
      <c r="AG289" s="507"/>
      <c r="AH289" s="507"/>
      <c r="AI289" s="507"/>
      <c r="AJ289" s="507"/>
      <c r="AK289" s="507"/>
      <c r="AL289" s="507"/>
      <c r="AM289" s="507"/>
      <c r="AN289" s="507"/>
      <c r="AO289" s="507"/>
      <c r="AP289" s="507"/>
      <c r="AQ289" s="507"/>
      <c r="AR289" s="507"/>
      <c r="AS289" s="507"/>
      <c r="AT289" s="508"/>
      <c r="AU289" s="509"/>
      <c r="AV289" s="510" t="n">
        <f aca="false">A289</f>
        <v>0</v>
      </c>
      <c r="AW289" s="510" t="n">
        <f aca="false">B289</f>
        <v>0</v>
      </c>
      <c r="AX289" s="510" t="n">
        <f aca="false">C289</f>
        <v>0</v>
      </c>
      <c r="AY289" s="511" t="n">
        <f aca="false">ROUND($AY$6*AZ289/$AZ$5,2)</f>
        <v>0</v>
      </c>
      <c r="AZ289" s="502" t="n">
        <f aca="false">BA289+BL289</f>
        <v>0</v>
      </c>
      <c r="BA289" s="502" t="n">
        <f aca="false">SUM(BB289:BK289)</f>
        <v>0</v>
      </c>
      <c r="BB289" s="502" t="n">
        <f aca="false">IF($D289="是",I289-J289,0)</f>
        <v>0</v>
      </c>
      <c r="BC289" s="502" t="n">
        <f aca="false">IF($D289="是",K289-L289,0)</f>
        <v>0</v>
      </c>
      <c r="BD289" s="502" t="n">
        <f aca="false">IF($D289="是",M289-N289,0)</f>
        <v>0</v>
      </c>
      <c r="BE289" s="502" t="n">
        <f aca="false">IF($D289="是",O289-P289,0)</f>
        <v>0</v>
      </c>
      <c r="BF289" s="502" t="n">
        <f aca="false">IF($D289="是",Q289-R289,0)</f>
        <v>0</v>
      </c>
      <c r="BG289" s="502" t="n">
        <f aca="false">IF($D289="是",S289-T289,0)</f>
        <v>0</v>
      </c>
      <c r="BH289" s="502" t="n">
        <f aca="false">IF($D289="是",U289-V289,0)</f>
        <v>0</v>
      </c>
      <c r="BI289" s="502" t="n">
        <f aca="false">IF($D289="是",W289-X289,0)</f>
        <v>0</v>
      </c>
      <c r="BJ289" s="502" t="n">
        <f aca="false">IF($D289="是",Y289-Z289,0)</f>
        <v>0</v>
      </c>
      <c r="BK289" s="502" t="n">
        <f aca="false">IF($D289="是",AA289-AB289,0)</f>
        <v>0</v>
      </c>
      <c r="BL289" s="502" t="n">
        <f aca="false">SUM(BM289:BT289)</f>
        <v>0</v>
      </c>
      <c r="BM289" s="502" t="n">
        <f aca="false">IF($D289="是",AD289-AE289,0)</f>
        <v>0</v>
      </c>
      <c r="BN289" s="502" t="n">
        <f aca="false">IF($D289="是",AF289-AG289,0)</f>
        <v>0</v>
      </c>
      <c r="BO289" s="502" t="n">
        <f aca="false">IF($D289="是",AH289-AI289,0)</f>
        <v>0</v>
      </c>
      <c r="BP289" s="502" t="n">
        <f aca="false">IF($D289="是",AJ289-AK289,0)</f>
        <v>0</v>
      </c>
      <c r="BQ289" s="502" t="n">
        <f aca="false">IF($D289="是",AL289-AM289,0)</f>
        <v>0</v>
      </c>
      <c r="BR289" s="502" t="n">
        <f aca="false">IF($D289="是",AN289-AO289,0)</f>
        <v>0</v>
      </c>
      <c r="BS289" s="502" t="n">
        <f aca="false">IF($D289="是",AP289-AQ289,0)</f>
        <v>0</v>
      </c>
      <c r="BT289" s="512" t="n">
        <f aca="false">IF($D289="是",AR289-AS289,0)</f>
        <v>0</v>
      </c>
    </row>
    <row r="290" customFormat="false" ht="14.25" hidden="false" customHeight="false" outlineLevel="0" collapsed="false">
      <c r="A290" s="499"/>
      <c r="B290" s="500"/>
      <c r="C290" s="500"/>
      <c r="D290" s="501"/>
      <c r="E290" s="502" t="n">
        <f aca="false">IF($C$3="是",ROUND($A$3*G290/$B$3,2),ROUND($A$3*(G290-AT290)/$B$3,2))</f>
        <v>0</v>
      </c>
      <c r="F290" s="503"/>
      <c r="G290" s="504" t="n">
        <f aca="false">H290+AC290+AT290</f>
        <v>0</v>
      </c>
      <c r="H290" s="505" t="n">
        <f aca="false">SUMIF(I$12:AB$12,"总值",I290:AB290)</f>
        <v>0</v>
      </c>
      <c r="I290" s="506"/>
      <c r="J290" s="506"/>
      <c r="K290" s="506"/>
      <c r="L290" s="506"/>
      <c r="M290" s="506"/>
      <c r="N290" s="506"/>
      <c r="O290" s="506"/>
      <c r="P290" s="506"/>
      <c r="Q290" s="506"/>
      <c r="R290" s="506"/>
      <c r="S290" s="506"/>
      <c r="T290" s="506"/>
      <c r="U290" s="506"/>
      <c r="V290" s="506"/>
      <c r="W290" s="506"/>
      <c r="X290" s="506"/>
      <c r="Y290" s="506"/>
      <c r="Z290" s="506"/>
      <c r="AA290" s="506"/>
      <c r="AB290" s="506"/>
      <c r="AC290" s="502" t="n">
        <f aca="false">SUMIF(AD$12:AS$12,"总值",AD290:AS290)</f>
        <v>0</v>
      </c>
      <c r="AD290" s="507"/>
      <c r="AE290" s="507"/>
      <c r="AF290" s="507"/>
      <c r="AG290" s="507"/>
      <c r="AH290" s="507"/>
      <c r="AI290" s="507"/>
      <c r="AJ290" s="507"/>
      <c r="AK290" s="507"/>
      <c r="AL290" s="507"/>
      <c r="AM290" s="507"/>
      <c r="AN290" s="507"/>
      <c r="AO290" s="507"/>
      <c r="AP290" s="507"/>
      <c r="AQ290" s="507"/>
      <c r="AR290" s="507"/>
      <c r="AS290" s="507"/>
      <c r="AT290" s="508"/>
      <c r="AU290" s="509"/>
      <c r="AV290" s="510" t="n">
        <f aca="false">A290</f>
        <v>0</v>
      </c>
      <c r="AW290" s="510" t="n">
        <f aca="false">B290</f>
        <v>0</v>
      </c>
      <c r="AX290" s="510" t="n">
        <f aca="false">C290</f>
        <v>0</v>
      </c>
      <c r="AY290" s="511" t="n">
        <f aca="false">ROUND($AY$6*AZ290/$AZ$5,2)</f>
        <v>0</v>
      </c>
      <c r="AZ290" s="502" t="n">
        <f aca="false">BA290+BL290</f>
        <v>0</v>
      </c>
      <c r="BA290" s="502" t="n">
        <f aca="false">SUM(BB290:BK290)</f>
        <v>0</v>
      </c>
      <c r="BB290" s="502" t="n">
        <f aca="false">IF($D290="是",I290-J290,0)</f>
        <v>0</v>
      </c>
      <c r="BC290" s="502" t="n">
        <f aca="false">IF($D290="是",K290-L290,0)</f>
        <v>0</v>
      </c>
      <c r="BD290" s="502" t="n">
        <f aca="false">IF($D290="是",M290-N290,0)</f>
        <v>0</v>
      </c>
      <c r="BE290" s="502" t="n">
        <f aca="false">IF($D290="是",O290-P290,0)</f>
        <v>0</v>
      </c>
      <c r="BF290" s="502" t="n">
        <f aca="false">IF($D290="是",Q290-R290,0)</f>
        <v>0</v>
      </c>
      <c r="BG290" s="502" t="n">
        <f aca="false">IF($D290="是",S290-T290,0)</f>
        <v>0</v>
      </c>
      <c r="BH290" s="502" t="n">
        <f aca="false">IF($D290="是",U290-V290,0)</f>
        <v>0</v>
      </c>
      <c r="BI290" s="502" t="n">
        <f aca="false">IF($D290="是",W290-X290,0)</f>
        <v>0</v>
      </c>
      <c r="BJ290" s="502" t="n">
        <f aca="false">IF($D290="是",Y290-Z290,0)</f>
        <v>0</v>
      </c>
      <c r="BK290" s="502" t="n">
        <f aca="false">IF($D290="是",AA290-AB290,0)</f>
        <v>0</v>
      </c>
      <c r="BL290" s="502" t="n">
        <f aca="false">SUM(BM290:BT290)</f>
        <v>0</v>
      </c>
      <c r="BM290" s="502" t="n">
        <f aca="false">IF($D290="是",AD290-AE290,0)</f>
        <v>0</v>
      </c>
      <c r="BN290" s="502" t="n">
        <f aca="false">IF($D290="是",AF290-AG290,0)</f>
        <v>0</v>
      </c>
      <c r="BO290" s="502" t="n">
        <f aca="false">IF($D290="是",AH290-AI290,0)</f>
        <v>0</v>
      </c>
      <c r="BP290" s="502" t="n">
        <f aca="false">IF($D290="是",AJ290-AK290,0)</f>
        <v>0</v>
      </c>
      <c r="BQ290" s="502" t="n">
        <f aca="false">IF($D290="是",AL290-AM290,0)</f>
        <v>0</v>
      </c>
      <c r="BR290" s="502" t="n">
        <f aca="false">IF($D290="是",AN290-AO290,0)</f>
        <v>0</v>
      </c>
      <c r="BS290" s="502" t="n">
        <f aca="false">IF($D290="是",AP290-AQ290,0)</f>
        <v>0</v>
      </c>
      <c r="BT290" s="512" t="n">
        <f aca="false">IF($D290="是",AR290-AS290,0)</f>
        <v>0</v>
      </c>
    </row>
    <row r="291" customFormat="false" ht="14.25" hidden="false" customHeight="false" outlineLevel="0" collapsed="false">
      <c r="A291" s="499"/>
      <c r="B291" s="500"/>
      <c r="C291" s="500"/>
      <c r="D291" s="501"/>
      <c r="E291" s="502" t="n">
        <f aca="false">IF($C$3="是",ROUND($A$3*G291/$B$3,2),ROUND($A$3*(G291-AT291)/$B$3,2))</f>
        <v>0</v>
      </c>
      <c r="F291" s="503"/>
      <c r="G291" s="504" t="n">
        <f aca="false">H291+AC291+AT291</f>
        <v>0</v>
      </c>
      <c r="H291" s="505" t="n">
        <f aca="false">SUMIF(I$12:AB$12,"总值",I291:AB291)</f>
        <v>0</v>
      </c>
      <c r="I291" s="506"/>
      <c r="J291" s="506"/>
      <c r="K291" s="506"/>
      <c r="L291" s="506"/>
      <c r="M291" s="506"/>
      <c r="N291" s="506"/>
      <c r="O291" s="506"/>
      <c r="P291" s="506"/>
      <c r="Q291" s="506"/>
      <c r="R291" s="506"/>
      <c r="S291" s="506"/>
      <c r="T291" s="506"/>
      <c r="U291" s="506"/>
      <c r="V291" s="506"/>
      <c r="W291" s="506"/>
      <c r="X291" s="506"/>
      <c r="Y291" s="506"/>
      <c r="Z291" s="506"/>
      <c r="AA291" s="506"/>
      <c r="AB291" s="506"/>
      <c r="AC291" s="502" t="n">
        <f aca="false">SUMIF(AD$12:AS$12,"总值",AD291:AS291)</f>
        <v>0</v>
      </c>
      <c r="AD291" s="507"/>
      <c r="AE291" s="507"/>
      <c r="AF291" s="507"/>
      <c r="AG291" s="507"/>
      <c r="AH291" s="507"/>
      <c r="AI291" s="507"/>
      <c r="AJ291" s="507"/>
      <c r="AK291" s="507"/>
      <c r="AL291" s="507"/>
      <c r="AM291" s="507"/>
      <c r="AN291" s="507"/>
      <c r="AO291" s="507"/>
      <c r="AP291" s="507"/>
      <c r="AQ291" s="507"/>
      <c r="AR291" s="507"/>
      <c r="AS291" s="507"/>
      <c r="AT291" s="508"/>
      <c r="AU291" s="509"/>
      <c r="AV291" s="510" t="n">
        <f aca="false">A291</f>
        <v>0</v>
      </c>
      <c r="AW291" s="510" t="n">
        <f aca="false">B291</f>
        <v>0</v>
      </c>
      <c r="AX291" s="510" t="n">
        <f aca="false">C291</f>
        <v>0</v>
      </c>
      <c r="AY291" s="511" t="n">
        <f aca="false">ROUND($AY$6*AZ291/$AZ$5,2)</f>
        <v>0</v>
      </c>
      <c r="AZ291" s="502" t="n">
        <f aca="false">BA291+BL291</f>
        <v>0</v>
      </c>
      <c r="BA291" s="502" t="n">
        <f aca="false">SUM(BB291:BK291)</f>
        <v>0</v>
      </c>
      <c r="BB291" s="502" t="n">
        <f aca="false">IF($D291="是",I291-J291,0)</f>
        <v>0</v>
      </c>
      <c r="BC291" s="502" t="n">
        <f aca="false">IF($D291="是",K291-L291,0)</f>
        <v>0</v>
      </c>
      <c r="BD291" s="502" t="n">
        <f aca="false">IF($D291="是",M291-N291,0)</f>
        <v>0</v>
      </c>
      <c r="BE291" s="502" t="n">
        <f aca="false">IF($D291="是",O291-P291,0)</f>
        <v>0</v>
      </c>
      <c r="BF291" s="502" t="n">
        <f aca="false">IF($D291="是",Q291-R291,0)</f>
        <v>0</v>
      </c>
      <c r="BG291" s="502" t="n">
        <f aca="false">IF($D291="是",S291-T291,0)</f>
        <v>0</v>
      </c>
      <c r="BH291" s="502" t="n">
        <f aca="false">IF($D291="是",U291-V291,0)</f>
        <v>0</v>
      </c>
      <c r="BI291" s="502" t="n">
        <f aca="false">IF($D291="是",W291-X291,0)</f>
        <v>0</v>
      </c>
      <c r="BJ291" s="502" t="n">
        <f aca="false">IF($D291="是",Y291-Z291,0)</f>
        <v>0</v>
      </c>
      <c r="BK291" s="502" t="n">
        <f aca="false">IF($D291="是",AA291-AB291,0)</f>
        <v>0</v>
      </c>
      <c r="BL291" s="502" t="n">
        <f aca="false">SUM(BM291:BT291)</f>
        <v>0</v>
      </c>
      <c r="BM291" s="502" t="n">
        <f aca="false">IF($D291="是",AD291-AE291,0)</f>
        <v>0</v>
      </c>
      <c r="BN291" s="502" t="n">
        <f aca="false">IF($D291="是",AF291-AG291,0)</f>
        <v>0</v>
      </c>
      <c r="BO291" s="502" t="n">
        <f aca="false">IF($D291="是",AH291-AI291,0)</f>
        <v>0</v>
      </c>
      <c r="BP291" s="502" t="n">
        <f aca="false">IF($D291="是",AJ291-AK291,0)</f>
        <v>0</v>
      </c>
      <c r="BQ291" s="502" t="n">
        <f aca="false">IF($D291="是",AL291-AM291,0)</f>
        <v>0</v>
      </c>
      <c r="BR291" s="502" t="n">
        <f aca="false">IF($D291="是",AN291-AO291,0)</f>
        <v>0</v>
      </c>
      <c r="BS291" s="502" t="n">
        <f aca="false">IF($D291="是",AP291-AQ291,0)</f>
        <v>0</v>
      </c>
      <c r="BT291" s="512" t="n">
        <f aca="false">IF($D291="是",AR291-AS291,0)</f>
        <v>0</v>
      </c>
    </row>
    <row r="292" customFormat="false" ht="14.25" hidden="false" customHeight="false" outlineLevel="0" collapsed="false">
      <c r="A292" s="499"/>
      <c r="B292" s="500"/>
      <c r="C292" s="500"/>
      <c r="D292" s="501"/>
      <c r="E292" s="502" t="n">
        <f aca="false">IF($C$3="是",ROUND($A$3*G292/$B$3,2),ROUND($A$3*(G292-AT292)/$B$3,2))</f>
        <v>0</v>
      </c>
      <c r="F292" s="503"/>
      <c r="G292" s="504" t="n">
        <f aca="false">H292+AC292+AT292</f>
        <v>0</v>
      </c>
      <c r="H292" s="505" t="n">
        <f aca="false">SUMIF(I$12:AB$12,"总值",I292:AB292)</f>
        <v>0</v>
      </c>
      <c r="I292" s="506"/>
      <c r="J292" s="506"/>
      <c r="K292" s="506"/>
      <c r="L292" s="506"/>
      <c r="M292" s="506"/>
      <c r="N292" s="506"/>
      <c r="O292" s="506"/>
      <c r="P292" s="506"/>
      <c r="Q292" s="506"/>
      <c r="R292" s="506"/>
      <c r="S292" s="506"/>
      <c r="T292" s="506"/>
      <c r="U292" s="506"/>
      <c r="V292" s="506"/>
      <c r="W292" s="506"/>
      <c r="X292" s="506"/>
      <c r="Y292" s="506"/>
      <c r="Z292" s="506"/>
      <c r="AA292" s="506"/>
      <c r="AB292" s="506"/>
      <c r="AC292" s="502" t="n">
        <f aca="false">SUMIF(AD$12:AS$12,"总值",AD292:AS292)</f>
        <v>0</v>
      </c>
      <c r="AD292" s="507"/>
      <c r="AE292" s="507"/>
      <c r="AF292" s="507"/>
      <c r="AG292" s="507"/>
      <c r="AH292" s="507"/>
      <c r="AI292" s="507"/>
      <c r="AJ292" s="507"/>
      <c r="AK292" s="507"/>
      <c r="AL292" s="507"/>
      <c r="AM292" s="507"/>
      <c r="AN292" s="507"/>
      <c r="AO292" s="507"/>
      <c r="AP292" s="507"/>
      <c r="AQ292" s="507"/>
      <c r="AR292" s="507"/>
      <c r="AS292" s="507"/>
      <c r="AT292" s="508"/>
      <c r="AU292" s="509"/>
      <c r="AV292" s="510" t="n">
        <f aca="false">A292</f>
        <v>0</v>
      </c>
      <c r="AW292" s="510" t="n">
        <f aca="false">B292</f>
        <v>0</v>
      </c>
      <c r="AX292" s="510" t="n">
        <f aca="false">C292</f>
        <v>0</v>
      </c>
      <c r="AY292" s="511" t="n">
        <f aca="false">ROUND($AY$6*AZ292/$AZ$5,2)</f>
        <v>0</v>
      </c>
      <c r="AZ292" s="502" t="n">
        <f aca="false">BA292+BL292</f>
        <v>0</v>
      </c>
      <c r="BA292" s="502" t="n">
        <f aca="false">SUM(BB292:BK292)</f>
        <v>0</v>
      </c>
      <c r="BB292" s="502" t="n">
        <f aca="false">IF($D292="是",I292-J292,0)</f>
        <v>0</v>
      </c>
      <c r="BC292" s="502" t="n">
        <f aca="false">IF($D292="是",K292-L292,0)</f>
        <v>0</v>
      </c>
      <c r="BD292" s="502" t="n">
        <f aca="false">IF($D292="是",M292-N292,0)</f>
        <v>0</v>
      </c>
      <c r="BE292" s="502" t="n">
        <f aca="false">IF($D292="是",O292-P292,0)</f>
        <v>0</v>
      </c>
      <c r="BF292" s="502" t="n">
        <f aca="false">IF($D292="是",Q292-R292,0)</f>
        <v>0</v>
      </c>
      <c r="BG292" s="502" t="n">
        <f aca="false">IF($D292="是",S292-T292,0)</f>
        <v>0</v>
      </c>
      <c r="BH292" s="502" t="n">
        <f aca="false">IF($D292="是",U292-V292,0)</f>
        <v>0</v>
      </c>
      <c r="BI292" s="502" t="n">
        <f aca="false">IF($D292="是",W292-X292,0)</f>
        <v>0</v>
      </c>
      <c r="BJ292" s="502" t="n">
        <f aca="false">IF($D292="是",Y292-Z292,0)</f>
        <v>0</v>
      </c>
      <c r="BK292" s="502" t="n">
        <f aca="false">IF($D292="是",AA292-AB292,0)</f>
        <v>0</v>
      </c>
      <c r="BL292" s="502" t="n">
        <f aca="false">SUM(BM292:BT292)</f>
        <v>0</v>
      </c>
      <c r="BM292" s="502" t="n">
        <f aca="false">IF($D292="是",AD292-AE292,0)</f>
        <v>0</v>
      </c>
      <c r="BN292" s="502" t="n">
        <f aca="false">IF($D292="是",AF292-AG292,0)</f>
        <v>0</v>
      </c>
      <c r="BO292" s="502" t="n">
        <f aca="false">IF($D292="是",AH292-AI292,0)</f>
        <v>0</v>
      </c>
      <c r="BP292" s="502" t="n">
        <f aca="false">IF($D292="是",AJ292-AK292,0)</f>
        <v>0</v>
      </c>
      <c r="BQ292" s="502" t="n">
        <f aca="false">IF($D292="是",AL292-AM292,0)</f>
        <v>0</v>
      </c>
      <c r="BR292" s="502" t="n">
        <f aca="false">IF($D292="是",AN292-AO292,0)</f>
        <v>0</v>
      </c>
      <c r="BS292" s="502" t="n">
        <f aca="false">IF($D292="是",AP292-AQ292,0)</f>
        <v>0</v>
      </c>
      <c r="BT292" s="512" t="n">
        <f aca="false">IF($D292="是",AR292-AS292,0)</f>
        <v>0</v>
      </c>
    </row>
    <row r="293" customFormat="false" ht="14.25" hidden="false" customHeight="false" outlineLevel="0" collapsed="false">
      <c r="A293" s="499"/>
      <c r="B293" s="500"/>
      <c r="C293" s="500"/>
      <c r="D293" s="501"/>
      <c r="E293" s="502" t="n">
        <f aca="false">IF($C$3="是",ROUND($A$3*G293/$B$3,2),ROUND($A$3*(G293-AT293)/$B$3,2))</f>
        <v>0</v>
      </c>
      <c r="F293" s="503"/>
      <c r="G293" s="504" t="n">
        <f aca="false">H293+AC293+AT293</f>
        <v>0</v>
      </c>
      <c r="H293" s="505" t="n">
        <f aca="false">SUMIF(I$12:AB$12,"总值",I293:AB293)</f>
        <v>0</v>
      </c>
      <c r="I293" s="506"/>
      <c r="J293" s="506"/>
      <c r="K293" s="506"/>
      <c r="L293" s="506"/>
      <c r="M293" s="506"/>
      <c r="N293" s="506"/>
      <c r="O293" s="506"/>
      <c r="P293" s="506"/>
      <c r="Q293" s="506"/>
      <c r="R293" s="506"/>
      <c r="S293" s="506"/>
      <c r="T293" s="506"/>
      <c r="U293" s="506"/>
      <c r="V293" s="506"/>
      <c r="W293" s="506"/>
      <c r="X293" s="506"/>
      <c r="Y293" s="506"/>
      <c r="Z293" s="506"/>
      <c r="AA293" s="506"/>
      <c r="AB293" s="506"/>
      <c r="AC293" s="502" t="n">
        <f aca="false">SUMIF(AD$12:AS$12,"总值",AD293:AS293)</f>
        <v>0</v>
      </c>
      <c r="AD293" s="507"/>
      <c r="AE293" s="507"/>
      <c r="AF293" s="507"/>
      <c r="AG293" s="507"/>
      <c r="AH293" s="507"/>
      <c r="AI293" s="507"/>
      <c r="AJ293" s="507"/>
      <c r="AK293" s="507"/>
      <c r="AL293" s="507"/>
      <c r="AM293" s="507"/>
      <c r="AN293" s="507"/>
      <c r="AO293" s="507"/>
      <c r="AP293" s="507"/>
      <c r="AQ293" s="507"/>
      <c r="AR293" s="507"/>
      <c r="AS293" s="507"/>
      <c r="AT293" s="508"/>
      <c r="AU293" s="509"/>
      <c r="AV293" s="510" t="n">
        <f aca="false">A293</f>
        <v>0</v>
      </c>
      <c r="AW293" s="510" t="n">
        <f aca="false">B293</f>
        <v>0</v>
      </c>
      <c r="AX293" s="510" t="n">
        <f aca="false">C293</f>
        <v>0</v>
      </c>
      <c r="AY293" s="511" t="n">
        <f aca="false">ROUND($AY$6*AZ293/$AZ$5,2)</f>
        <v>0</v>
      </c>
      <c r="AZ293" s="502" t="n">
        <f aca="false">BA293+BL293</f>
        <v>0</v>
      </c>
      <c r="BA293" s="502" t="n">
        <f aca="false">SUM(BB293:BK293)</f>
        <v>0</v>
      </c>
      <c r="BB293" s="502" t="n">
        <f aca="false">IF($D293="是",I293-J293,0)</f>
        <v>0</v>
      </c>
      <c r="BC293" s="502" t="n">
        <f aca="false">IF($D293="是",K293-L293,0)</f>
        <v>0</v>
      </c>
      <c r="BD293" s="502" t="n">
        <f aca="false">IF($D293="是",M293-N293,0)</f>
        <v>0</v>
      </c>
      <c r="BE293" s="502" t="n">
        <f aca="false">IF($D293="是",O293-P293,0)</f>
        <v>0</v>
      </c>
      <c r="BF293" s="502" t="n">
        <f aca="false">IF($D293="是",Q293-R293,0)</f>
        <v>0</v>
      </c>
      <c r="BG293" s="502" t="n">
        <f aca="false">IF($D293="是",S293-T293,0)</f>
        <v>0</v>
      </c>
      <c r="BH293" s="502" t="n">
        <f aca="false">IF($D293="是",U293-V293,0)</f>
        <v>0</v>
      </c>
      <c r="BI293" s="502" t="n">
        <f aca="false">IF($D293="是",W293-X293,0)</f>
        <v>0</v>
      </c>
      <c r="BJ293" s="502" t="n">
        <f aca="false">IF($D293="是",Y293-Z293,0)</f>
        <v>0</v>
      </c>
      <c r="BK293" s="502" t="n">
        <f aca="false">IF($D293="是",AA293-AB293,0)</f>
        <v>0</v>
      </c>
      <c r="BL293" s="502" t="n">
        <f aca="false">SUM(BM293:BT293)</f>
        <v>0</v>
      </c>
      <c r="BM293" s="502" t="n">
        <f aca="false">IF($D293="是",AD293-AE293,0)</f>
        <v>0</v>
      </c>
      <c r="BN293" s="502" t="n">
        <f aca="false">IF($D293="是",AF293-AG293,0)</f>
        <v>0</v>
      </c>
      <c r="BO293" s="502" t="n">
        <f aca="false">IF($D293="是",AH293-AI293,0)</f>
        <v>0</v>
      </c>
      <c r="BP293" s="502" t="n">
        <f aca="false">IF($D293="是",AJ293-AK293,0)</f>
        <v>0</v>
      </c>
      <c r="BQ293" s="502" t="n">
        <f aca="false">IF($D293="是",AL293-AM293,0)</f>
        <v>0</v>
      </c>
      <c r="BR293" s="502" t="n">
        <f aca="false">IF($D293="是",AN293-AO293,0)</f>
        <v>0</v>
      </c>
      <c r="BS293" s="502" t="n">
        <f aca="false">IF($D293="是",AP293-AQ293,0)</f>
        <v>0</v>
      </c>
      <c r="BT293" s="512" t="n">
        <f aca="false">IF($D293="是",AR293-AS293,0)</f>
        <v>0</v>
      </c>
    </row>
    <row r="294" customFormat="false" ht="14.25" hidden="false" customHeight="false" outlineLevel="0" collapsed="false">
      <c r="A294" s="499"/>
      <c r="B294" s="500"/>
      <c r="C294" s="500"/>
      <c r="D294" s="501"/>
      <c r="E294" s="502" t="n">
        <f aca="false">IF($C$3="是",ROUND($A$3*G294/$B$3,2),ROUND($A$3*(G294-AT294)/$B$3,2))</f>
        <v>0</v>
      </c>
      <c r="F294" s="503"/>
      <c r="G294" s="504" t="n">
        <f aca="false">H294+AC294+AT294</f>
        <v>0</v>
      </c>
      <c r="H294" s="505" t="n">
        <f aca="false">SUMIF(I$12:AB$12,"总值",I294:AB294)</f>
        <v>0</v>
      </c>
      <c r="I294" s="506"/>
      <c r="J294" s="506"/>
      <c r="K294" s="506"/>
      <c r="L294" s="506"/>
      <c r="M294" s="506"/>
      <c r="N294" s="506"/>
      <c r="O294" s="506"/>
      <c r="P294" s="506"/>
      <c r="Q294" s="506"/>
      <c r="R294" s="506"/>
      <c r="S294" s="506"/>
      <c r="T294" s="506"/>
      <c r="U294" s="506"/>
      <c r="V294" s="506"/>
      <c r="W294" s="506"/>
      <c r="X294" s="506"/>
      <c r="Y294" s="506"/>
      <c r="Z294" s="506"/>
      <c r="AA294" s="506"/>
      <c r="AB294" s="506"/>
      <c r="AC294" s="502" t="n">
        <f aca="false">SUMIF(AD$12:AS$12,"总值",AD294:AS294)</f>
        <v>0</v>
      </c>
      <c r="AD294" s="507"/>
      <c r="AE294" s="507"/>
      <c r="AF294" s="507"/>
      <c r="AG294" s="507"/>
      <c r="AH294" s="507"/>
      <c r="AI294" s="507"/>
      <c r="AJ294" s="507"/>
      <c r="AK294" s="507"/>
      <c r="AL294" s="507"/>
      <c r="AM294" s="507"/>
      <c r="AN294" s="507"/>
      <c r="AO294" s="507"/>
      <c r="AP294" s="507"/>
      <c r="AQ294" s="507"/>
      <c r="AR294" s="507"/>
      <c r="AS294" s="507"/>
      <c r="AT294" s="508"/>
      <c r="AU294" s="509"/>
      <c r="AV294" s="510" t="n">
        <f aca="false">A294</f>
        <v>0</v>
      </c>
      <c r="AW294" s="510" t="n">
        <f aca="false">B294</f>
        <v>0</v>
      </c>
      <c r="AX294" s="510" t="n">
        <f aca="false">C294</f>
        <v>0</v>
      </c>
      <c r="AY294" s="511" t="n">
        <f aca="false">ROUND($AY$6*AZ294/$AZ$5,2)</f>
        <v>0</v>
      </c>
      <c r="AZ294" s="502" t="n">
        <f aca="false">BA294+BL294</f>
        <v>0</v>
      </c>
      <c r="BA294" s="502" t="n">
        <f aca="false">SUM(BB294:BK294)</f>
        <v>0</v>
      </c>
      <c r="BB294" s="502" t="n">
        <f aca="false">IF($D294="是",I294-J294,0)</f>
        <v>0</v>
      </c>
      <c r="BC294" s="502" t="n">
        <f aca="false">IF($D294="是",K294-L294,0)</f>
        <v>0</v>
      </c>
      <c r="BD294" s="502" t="n">
        <f aca="false">IF($D294="是",M294-N294,0)</f>
        <v>0</v>
      </c>
      <c r="BE294" s="502" t="n">
        <f aca="false">IF($D294="是",O294-P294,0)</f>
        <v>0</v>
      </c>
      <c r="BF294" s="502" t="n">
        <f aca="false">IF($D294="是",Q294-R294,0)</f>
        <v>0</v>
      </c>
      <c r="BG294" s="502" t="n">
        <f aca="false">IF($D294="是",S294-T294,0)</f>
        <v>0</v>
      </c>
      <c r="BH294" s="502" t="n">
        <f aca="false">IF($D294="是",U294-V294,0)</f>
        <v>0</v>
      </c>
      <c r="BI294" s="502" t="n">
        <f aca="false">IF($D294="是",W294-X294,0)</f>
        <v>0</v>
      </c>
      <c r="BJ294" s="502" t="n">
        <f aca="false">IF($D294="是",Y294-Z294,0)</f>
        <v>0</v>
      </c>
      <c r="BK294" s="502" t="n">
        <f aca="false">IF($D294="是",AA294-AB294,0)</f>
        <v>0</v>
      </c>
      <c r="BL294" s="502" t="n">
        <f aca="false">SUM(BM294:BT294)</f>
        <v>0</v>
      </c>
      <c r="BM294" s="502" t="n">
        <f aca="false">IF($D294="是",AD294-AE294,0)</f>
        <v>0</v>
      </c>
      <c r="BN294" s="502" t="n">
        <f aca="false">IF($D294="是",AF294-AG294,0)</f>
        <v>0</v>
      </c>
      <c r="BO294" s="502" t="n">
        <f aca="false">IF($D294="是",AH294-AI294,0)</f>
        <v>0</v>
      </c>
      <c r="BP294" s="502" t="n">
        <f aca="false">IF($D294="是",AJ294-AK294,0)</f>
        <v>0</v>
      </c>
      <c r="BQ294" s="502" t="n">
        <f aca="false">IF($D294="是",AL294-AM294,0)</f>
        <v>0</v>
      </c>
      <c r="BR294" s="502" t="n">
        <f aca="false">IF($D294="是",AN294-AO294,0)</f>
        <v>0</v>
      </c>
      <c r="BS294" s="502" t="n">
        <f aca="false">IF($D294="是",AP294-AQ294,0)</f>
        <v>0</v>
      </c>
      <c r="BT294" s="512" t="n">
        <f aca="false">IF($D294="是",AR294-AS294,0)</f>
        <v>0</v>
      </c>
    </row>
    <row r="295" customFormat="false" ht="14.25" hidden="false" customHeight="false" outlineLevel="0" collapsed="false">
      <c r="A295" s="499"/>
      <c r="B295" s="500"/>
      <c r="C295" s="500"/>
      <c r="D295" s="501"/>
      <c r="E295" s="502" t="n">
        <f aca="false">IF($C$3="是",ROUND($A$3*G295/$B$3,2),ROUND($A$3*(G295-AT295)/$B$3,2))</f>
        <v>0</v>
      </c>
      <c r="F295" s="503"/>
      <c r="G295" s="504" t="n">
        <f aca="false">H295+AC295+AT295</f>
        <v>0</v>
      </c>
      <c r="H295" s="505" t="n">
        <f aca="false">SUMIF(I$12:AB$12,"总值",I295:AB295)</f>
        <v>0</v>
      </c>
      <c r="I295" s="506"/>
      <c r="J295" s="506"/>
      <c r="K295" s="506"/>
      <c r="L295" s="506"/>
      <c r="M295" s="506"/>
      <c r="N295" s="506"/>
      <c r="O295" s="506"/>
      <c r="P295" s="506"/>
      <c r="Q295" s="506"/>
      <c r="R295" s="506"/>
      <c r="S295" s="506"/>
      <c r="T295" s="506"/>
      <c r="U295" s="506"/>
      <c r="V295" s="506"/>
      <c r="W295" s="506"/>
      <c r="X295" s="506"/>
      <c r="Y295" s="506"/>
      <c r="Z295" s="506"/>
      <c r="AA295" s="506"/>
      <c r="AB295" s="506"/>
      <c r="AC295" s="502" t="n">
        <f aca="false">SUMIF(AD$12:AS$12,"总值",AD295:AS295)</f>
        <v>0</v>
      </c>
      <c r="AD295" s="507"/>
      <c r="AE295" s="507"/>
      <c r="AF295" s="507"/>
      <c r="AG295" s="507"/>
      <c r="AH295" s="507"/>
      <c r="AI295" s="507"/>
      <c r="AJ295" s="507"/>
      <c r="AK295" s="507"/>
      <c r="AL295" s="507"/>
      <c r="AM295" s="507"/>
      <c r="AN295" s="507"/>
      <c r="AO295" s="507"/>
      <c r="AP295" s="507"/>
      <c r="AQ295" s="507"/>
      <c r="AR295" s="507"/>
      <c r="AS295" s="507"/>
      <c r="AT295" s="508"/>
      <c r="AU295" s="509"/>
      <c r="AV295" s="510" t="n">
        <f aca="false">A295</f>
        <v>0</v>
      </c>
      <c r="AW295" s="510" t="n">
        <f aca="false">B295</f>
        <v>0</v>
      </c>
      <c r="AX295" s="510" t="n">
        <f aca="false">C295</f>
        <v>0</v>
      </c>
      <c r="AY295" s="511" t="n">
        <f aca="false">ROUND($AY$6*AZ295/$AZ$5,2)</f>
        <v>0</v>
      </c>
      <c r="AZ295" s="502" t="n">
        <f aca="false">BA295+BL295</f>
        <v>0</v>
      </c>
      <c r="BA295" s="502" t="n">
        <f aca="false">SUM(BB295:BK295)</f>
        <v>0</v>
      </c>
      <c r="BB295" s="502" t="n">
        <f aca="false">IF($D295="是",I295-J295,0)</f>
        <v>0</v>
      </c>
      <c r="BC295" s="502" t="n">
        <f aca="false">IF($D295="是",K295-L295,0)</f>
        <v>0</v>
      </c>
      <c r="BD295" s="502" t="n">
        <f aca="false">IF($D295="是",M295-N295,0)</f>
        <v>0</v>
      </c>
      <c r="BE295" s="502" t="n">
        <f aca="false">IF($D295="是",O295-P295,0)</f>
        <v>0</v>
      </c>
      <c r="BF295" s="502" t="n">
        <f aca="false">IF($D295="是",Q295-R295,0)</f>
        <v>0</v>
      </c>
      <c r="BG295" s="502" t="n">
        <f aca="false">IF($D295="是",S295-T295,0)</f>
        <v>0</v>
      </c>
      <c r="BH295" s="502" t="n">
        <f aca="false">IF($D295="是",U295-V295,0)</f>
        <v>0</v>
      </c>
      <c r="BI295" s="502" t="n">
        <f aca="false">IF($D295="是",W295-X295,0)</f>
        <v>0</v>
      </c>
      <c r="BJ295" s="502" t="n">
        <f aca="false">IF($D295="是",Y295-Z295,0)</f>
        <v>0</v>
      </c>
      <c r="BK295" s="502" t="n">
        <f aca="false">IF($D295="是",AA295-AB295,0)</f>
        <v>0</v>
      </c>
      <c r="BL295" s="502" t="n">
        <f aca="false">SUM(BM295:BT295)</f>
        <v>0</v>
      </c>
      <c r="BM295" s="502" t="n">
        <f aca="false">IF($D295="是",AD295-AE295,0)</f>
        <v>0</v>
      </c>
      <c r="BN295" s="502" t="n">
        <f aca="false">IF($D295="是",AF295-AG295,0)</f>
        <v>0</v>
      </c>
      <c r="BO295" s="502" t="n">
        <f aca="false">IF($D295="是",AH295-AI295,0)</f>
        <v>0</v>
      </c>
      <c r="BP295" s="502" t="n">
        <f aca="false">IF($D295="是",AJ295-AK295,0)</f>
        <v>0</v>
      </c>
      <c r="BQ295" s="502" t="n">
        <f aca="false">IF($D295="是",AL295-AM295,0)</f>
        <v>0</v>
      </c>
      <c r="BR295" s="502" t="n">
        <f aca="false">IF($D295="是",AN295-AO295,0)</f>
        <v>0</v>
      </c>
      <c r="BS295" s="502" t="n">
        <f aca="false">IF($D295="是",AP295-AQ295,0)</f>
        <v>0</v>
      </c>
      <c r="BT295" s="512" t="n">
        <f aca="false">IF($D295="是",AR295-AS295,0)</f>
        <v>0</v>
      </c>
    </row>
    <row r="296" customFormat="false" ht="14.25" hidden="false" customHeight="false" outlineLevel="0" collapsed="false">
      <c r="A296" s="499"/>
      <c r="B296" s="500"/>
      <c r="C296" s="500"/>
      <c r="D296" s="501"/>
      <c r="E296" s="502" t="n">
        <f aca="false">IF($C$3="是",ROUND($A$3*G296/$B$3,2),ROUND($A$3*(G296-AT296)/$B$3,2))</f>
        <v>0</v>
      </c>
      <c r="F296" s="503"/>
      <c r="G296" s="504" t="n">
        <f aca="false">H296+AC296+AT296</f>
        <v>0</v>
      </c>
      <c r="H296" s="505" t="n">
        <f aca="false">SUMIF(I$12:AB$12,"总值",I296:AB296)</f>
        <v>0</v>
      </c>
      <c r="I296" s="506"/>
      <c r="J296" s="506"/>
      <c r="K296" s="506"/>
      <c r="L296" s="506"/>
      <c r="M296" s="506"/>
      <c r="N296" s="506"/>
      <c r="O296" s="506"/>
      <c r="P296" s="506"/>
      <c r="Q296" s="506"/>
      <c r="R296" s="506"/>
      <c r="S296" s="506"/>
      <c r="T296" s="506"/>
      <c r="U296" s="506"/>
      <c r="V296" s="506"/>
      <c r="W296" s="506"/>
      <c r="X296" s="506"/>
      <c r="Y296" s="506"/>
      <c r="Z296" s="506"/>
      <c r="AA296" s="506"/>
      <c r="AB296" s="506"/>
      <c r="AC296" s="502" t="n">
        <f aca="false">SUMIF(AD$12:AS$12,"总值",AD296:AS296)</f>
        <v>0</v>
      </c>
      <c r="AD296" s="507"/>
      <c r="AE296" s="507"/>
      <c r="AF296" s="507"/>
      <c r="AG296" s="507"/>
      <c r="AH296" s="507"/>
      <c r="AI296" s="507"/>
      <c r="AJ296" s="507"/>
      <c r="AK296" s="507"/>
      <c r="AL296" s="507"/>
      <c r="AM296" s="507"/>
      <c r="AN296" s="507"/>
      <c r="AO296" s="507"/>
      <c r="AP296" s="507"/>
      <c r="AQ296" s="507"/>
      <c r="AR296" s="507"/>
      <c r="AS296" s="507"/>
      <c r="AT296" s="508"/>
      <c r="AU296" s="509"/>
      <c r="AV296" s="510" t="n">
        <f aca="false">A296</f>
        <v>0</v>
      </c>
      <c r="AW296" s="510" t="n">
        <f aca="false">B296</f>
        <v>0</v>
      </c>
      <c r="AX296" s="510" t="n">
        <f aca="false">C296</f>
        <v>0</v>
      </c>
      <c r="AY296" s="511" t="n">
        <f aca="false">ROUND($AY$6*AZ296/$AZ$5,2)</f>
        <v>0</v>
      </c>
      <c r="AZ296" s="502" t="n">
        <f aca="false">BA296+BL296</f>
        <v>0</v>
      </c>
      <c r="BA296" s="502" t="n">
        <f aca="false">SUM(BB296:BK296)</f>
        <v>0</v>
      </c>
      <c r="BB296" s="502" t="n">
        <f aca="false">IF($D296="是",I296-J296,0)</f>
        <v>0</v>
      </c>
      <c r="BC296" s="502" t="n">
        <f aca="false">IF($D296="是",K296-L296,0)</f>
        <v>0</v>
      </c>
      <c r="BD296" s="502" t="n">
        <f aca="false">IF($D296="是",M296-N296,0)</f>
        <v>0</v>
      </c>
      <c r="BE296" s="502" t="n">
        <f aca="false">IF($D296="是",O296-P296,0)</f>
        <v>0</v>
      </c>
      <c r="BF296" s="502" t="n">
        <f aca="false">IF($D296="是",Q296-R296,0)</f>
        <v>0</v>
      </c>
      <c r="BG296" s="502" t="n">
        <f aca="false">IF($D296="是",S296-T296,0)</f>
        <v>0</v>
      </c>
      <c r="BH296" s="502" t="n">
        <f aca="false">IF($D296="是",U296-V296,0)</f>
        <v>0</v>
      </c>
      <c r="BI296" s="502" t="n">
        <f aca="false">IF($D296="是",W296-X296,0)</f>
        <v>0</v>
      </c>
      <c r="BJ296" s="502" t="n">
        <f aca="false">IF($D296="是",Y296-Z296,0)</f>
        <v>0</v>
      </c>
      <c r="BK296" s="502" t="n">
        <f aca="false">IF($D296="是",AA296-AB296,0)</f>
        <v>0</v>
      </c>
      <c r="BL296" s="502" t="n">
        <f aca="false">SUM(BM296:BT296)</f>
        <v>0</v>
      </c>
      <c r="BM296" s="502" t="n">
        <f aca="false">IF($D296="是",AD296-AE296,0)</f>
        <v>0</v>
      </c>
      <c r="BN296" s="502" t="n">
        <f aca="false">IF($D296="是",AF296-AG296,0)</f>
        <v>0</v>
      </c>
      <c r="BO296" s="502" t="n">
        <f aca="false">IF($D296="是",AH296-AI296,0)</f>
        <v>0</v>
      </c>
      <c r="BP296" s="502" t="n">
        <f aca="false">IF($D296="是",AJ296-AK296,0)</f>
        <v>0</v>
      </c>
      <c r="BQ296" s="502" t="n">
        <f aca="false">IF($D296="是",AL296-AM296,0)</f>
        <v>0</v>
      </c>
      <c r="BR296" s="502" t="n">
        <f aca="false">IF($D296="是",AN296-AO296,0)</f>
        <v>0</v>
      </c>
      <c r="BS296" s="502" t="n">
        <f aca="false">IF($D296="是",AP296-AQ296,0)</f>
        <v>0</v>
      </c>
      <c r="BT296" s="512" t="n">
        <f aca="false">IF($D296="是",AR296-AS296,0)</f>
        <v>0</v>
      </c>
    </row>
    <row r="297" customFormat="false" ht="14.25" hidden="false" customHeight="false" outlineLevel="0" collapsed="false">
      <c r="A297" s="499"/>
      <c r="B297" s="500"/>
      <c r="C297" s="500"/>
      <c r="D297" s="501"/>
      <c r="E297" s="502" t="n">
        <f aca="false">IF($C$3="是",ROUND($A$3*G297/$B$3,2),ROUND($A$3*(G297-AT297)/$B$3,2))</f>
        <v>0</v>
      </c>
      <c r="F297" s="503"/>
      <c r="G297" s="504" t="n">
        <f aca="false">H297+AC297+AT297</f>
        <v>0</v>
      </c>
      <c r="H297" s="505" t="n">
        <f aca="false">SUMIF(I$12:AB$12,"总值",I297:AB297)</f>
        <v>0</v>
      </c>
      <c r="I297" s="506"/>
      <c r="J297" s="506"/>
      <c r="K297" s="506"/>
      <c r="L297" s="506"/>
      <c r="M297" s="506"/>
      <c r="N297" s="506"/>
      <c r="O297" s="506"/>
      <c r="P297" s="506"/>
      <c r="Q297" s="506"/>
      <c r="R297" s="506"/>
      <c r="S297" s="506"/>
      <c r="T297" s="506"/>
      <c r="U297" s="506"/>
      <c r="V297" s="506"/>
      <c r="W297" s="506"/>
      <c r="X297" s="506"/>
      <c r="Y297" s="506"/>
      <c r="Z297" s="506"/>
      <c r="AA297" s="506"/>
      <c r="AB297" s="506"/>
      <c r="AC297" s="502" t="n">
        <f aca="false">SUMIF(AD$12:AS$12,"总值",AD297:AS297)</f>
        <v>0</v>
      </c>
      <c r="AD297" s="507"/>
      <c r="AE297" s="507"/>
      <c r="AF297" s="507"/>
      <c r="AG297" s="507"/>
      <c r="AH297" s="507"/>
      <c r="AI297" s="507"/>
      <c r="AJ297" s="507"/>
      <c r="AK297" s="507"/>
      <c r="AL297" s="507"/>
      <c r="AM297" s="507"/>
      <c r="AN297" s="507"/>
      <c r="AO297" s="507"/>
      <c r="AP297" s="507"/>
      <c r="AQ297" s="507"/>
      <c r="AR297" s="507"/>
      <c r="AS297" s="507"/>
      <c r="AT297" s="508"/>
      <c r="AU297" s="509"/>
      <c r="AV297" s="510" t="n">
        <f aca="false">A297</f>
        <v>0</v>
      </c>
      <c r="AW297" s="510" t="n">
        <f aca="false">B297</f>
        <v>0</v>
      </c>
      <c r="AX297" s="510" t="n">
        <f aca="false">C297</f>
        <v>0</v>
      </c>
      <c r="AY297" s="511" t="n">
        <f aca="false">ROUND($AY$6*AZ297/$AZ$5,2)</f>
        <v>0</v>
      </c>
      <c r="AZ297" s="502" t="n">
        <f aca="false">BA297+BL297</f>
        <v>0</v>
      </c>
      <c r="BA297" s="502" t="n">
        <f aca="false">SUM(BB297:BK297)</f>
        <v>0</v>
      </c>
      <c r="BB297" s="502" t="n">
        <f aca="false">IF($D297="是",I297-J297,0)</f>
        <v>0</v>
      </c>
      <c r="BC297" s="502" t="n">
        <f aca="false">IF($D297="是",K297-L297,0)</f>
        <v>0</v>
      </c>
      <c r="BD297" s="502" t="n">
        <f aca="false">IF($D297="是",M297-N297,0)</f>
        <v>0</v>
      </c>
      <c r="BE297" s="502" t="n">
        <f aca="false">IF($D297="是",O297-P297,0)</f>
        <v>0</v>
      </c>
      <c r="BF297" s="502" t="n">
        <f aca="false">IF($D297="是",Q297-R297,0)</f>
        <v>0</v>
      </c>
      <c r="BG297" s="502" t="n">
        <f aca="false">IF($D297="是",S297-T297,0)</f>
        <v>0</v>
      </c>
      <c r="BH297" s="502" t="n">
        <f aca="false">IF($D297="是",U297-V297,0)</f>
        <v>0</v>
      </c>
      <c r="BI297" s="502" t="n">
        <f aca="false">IF($D297="是",W297-X297,0)</f>
        <v>0</v>
      </c>
      <c r="BJ297" s="502" t="n">
        <f aca="false">IF($D297="是",Y297-Z297,0)</f>
        <v>0</v>
      </c>
      <c r="BK297" s="502" t="n">
        <f aca="false">IF($D297="是",AA297-AB297,0)</f>
        <v>0</v>
      </c>
      <c r="BL297" s="502" t="n">
        <f aca="false">SUM(BM297:BT297)</f>
        <v>0</v>
      </c>
      <c r="BM297" s="502" t="n">
        <f aca="false">IF($D297="是",AD297-AE297,0)</f>
        <v>0</v>
      </c>
      <c r="BN297" s="502" t="n">
        <f aca="false">IF($D297="是",AF297-AG297,0)</f>
        <v>0</v>
      </c>
      <c r="BO297" s="502" t="n">
        <f aca="false">IF($D297="是",AH297-AI297,0)</f>
        <v>0</v>
      </c>
      <c r="BP297" s="502" t="n">
        <f aca="false">IF($D297="是",AJ297-AK297,0)</f>
        <v>0</v>
      </c>
      <c r="BQ297" s="502" t="n">
        <f aca="false">IF($D297="是",AL297-AM297,0)</f>
        <v>0</v>
      </c>
      <c r="BR297" s="502" t="n">
        <f aca="false">IF($D297="是",AN297-AO297,0)</f>
        <v>0</v>
      </c>
      <c r="BS297" s="502" t="n">
        <f aca="false">IF($D297="是",AP297-AQ297,0)</f>
        <v>0</v>
      </c>
      <c r="BT297" s="512" t="n">
        <f aca="false">IF($D297="是",AR297-AS297,0)</f>
        <v>0</v>
      </c>
    </row>
    <row r="298" customFormat="false" ht="14.25" hidden="false" customHeight="false" outlineLevel="0" collapsed="false">
      <c r="A298" s="499"/>
      <c r="B298" s="500"/>
      <c r="C298" s="500"/>
      <c r="D298" s="501"/>
      <c r="E298" s="502" t="n">
        <f aca="false">IF($C$3="是",ROUND($A$3*G298/$B$3,2),ROUND($A$3*(G298-AT298)/$B$3,2))</f>
        <v>0</v>
      </c>
      <c r="F298" s="503"/>
      <c r="G298" s="504" t="n">
        <f aca="false">H298+AC298+AT298</f>
        <v>0</v>
      </c>
      <c r="H298" s="505" t="n">
        <f aca="false">SUMIF(I$12:AB$12,"总值",I298:AB298)</f>
        <v>0</v>
      </c>
      <c r="I298" s="506"/>
      <c r="J298" s="506"/>
      <c r="K298" s="506"/>
      <c r="L298" s="506"/>
      <c r="M298" s="506"/>
      <c r="N298" s="506"/>
      <c r="O298" s="506"/>
      <c r="P298" s="506"/>
      <c r="Q298" s="506"/>
      <c r="R298" s="506"/>
      <c r="S298" s="506"/>
      <c r="T298" s="506"/>
      <c r="U298" s="506"/>
      <c r="V298" s="506"/>
      <c r="W298" s="506"/>
      <c r="X298" s="506"/>
      <c r="Y298" s="506"/>
      <c r="Z298" s="506"/>
      <c r="AA298" s="506"/>
      <c r="AB298" s="506"/>
      <c r="AC298" s="502" t="n">
        <f aca="false">SUMIF(AD$12:AS$12,"总值",AD298:AS298)</f>
        <v>0</v>
      </c>
      <c r="AD298" s="507"/>
      <c r="AE298" s="507"/>
      <c r="AF298" s="507"/>
      <c r="AG298" s="507"/>
      <c r="AH298" s="507"/>
      <c r="AI298" s="507"/>
      <c r="AJ298" s="507"/>
      <c r="AK298" s="507"/>
      <c r="AL298" s="507"/>
      <c r="AM298" s="507"/>
      <c r="AN298" s="507"/>
      <c r="AO298" s="507"/>
      <c r="AP298" s="507"/>
      <c r="AQ298" s="507"/>
      <c r="AR298" s="507"/>
      <c r="AS298" s="507"/>
      <c r="AT298" s="508"/>
      <c r="AU298" s="509"/>
      <c r="AV298" s="510" t="n">
        <f aca="false">A298</f>
        <v>0</v>
      </c>
      <c r="AW298" s="510" t="n">
        <f aca="false">B298</f>
        <v>0</v>
      </c>
      <c r="AX298" s="510" t="n">
        <f aca="false">C298</f>
        <v>0</v>
      </c>
      <c r="AY298" s="511" t="n">
        <f aca="false">ROUND($AY$6*AZ298/$AZ$5,2)</f>
        <v>0</v>
      </c>
      <c r="AZ298" s="502" t="n">
        <f aca="false">BA298+BL298</f>
        <v>0</v>
      </c>
      <c r="BA298" s="502" t="n">
        <f aca="false">SUM(BB298:BK298)</f>
        <v>0</v>
      </c>
      <c r="BB298" s="502" t="n">
        <f aca="false">IF($D298="是",I298-J298,0)</f>
        <v>0</v>
      </c>
      <c r="BC298" s="502" t="n">
        <f aca="false">IF($D298="是",K298-L298,0)</f>
        <v>0</v>
      </c>
      <c r="BD298" s="502" t="n">
        <f aca="false">IF($D298="是",M298-N298,0)</f>
        <v>0</v>
      </c>
      <c r="BE298" s="502" t="n">
        <f aca="false">IF($D298="是",O298-P298,0)</f>
        <v>0</v>
      </c>
      <c r="BF298" s="502" t="n">
        <f aca="false">IF($D298="是",Q298-R298,0)</f>
        <v>0</v>
      </c>
      <c r="BG298" s="502" t="n">
        <f aca="false">IF($D298="是",S298-T298,0)</f>
        <v>0</v>
      </c>
      <c r="BH298" s="502" t="n">
        <f aca="false">IF($D298="是",U298-V298,0)</f>
        <v>0</v>
      </c>
      <c r="BI298" s="502" t="n">
        <f aca="false">IF($D298="是",W298-X298,0)</f>
        <v>0</v>
      </c>
      <c r="BJ298" s="502" t="n">
        <f aca="false">IF($D298="是",Y298-Z298,0)</f>
        <v>0</v>
      </c>
      <c r="BK298" s="502" t="n">
        <f aca="false">IF($D298="是",AA298-AB298,0)</f>
        <v>0</v>
      </c>
      <c r="BL298" s="502" t="n">
        <f aca="false">SUM(BM298:BT298)</f>
        <v>0</v>
      </c>
      <c r="BM298" s="502" t="n">
        <f aca="false">IF($D298="是",AD298-AE298,0)</f>
        <v>0</v>
      </c>
      <c r="BN298" s="502" t="n">
        <f aca="false">IF($D298="是",AF298-AG298,0)</f>
        <v>0</v>
      </c>
      <c r="BO298" s="502" t="n">
        <f aca="false">IF($D298="是",AH298-AI298,0)</f>
        <v>0</v>
      </c>
      <c r="BP298" s="502" t="n">
        <f aca="false">IF($D298="是",AJ298-AK298,0)</f>
        <v>0</v>
      </c>
      <c r="BQ298" s="502" t="n">
        <f aca="false">IF($D298="是",AL298-AM298,0)</f>
        <v>0</v>
      </c>
      <c r="BR298" s="502" t="n">
        <f aca="false">IF($D298="是",AN298-AO298,0)</f>
        <v>0</v>
      </c>
      <c r="BS298" s="502" t="n">
        <f aca="false">IF($D298="是",AP298-AQ298,0)</f>
        <v>0</v>
      </c>
      <c r="BT298" s="512" t="n">
        <f aca="false">IF($D298="是",AR298-AS298,0)</f>
        <v>0</v>
      </c>
    </row>
    <row r="299" customFormat="false" ht="14.25" hidden="false" customHeight="false" outlineLevel="0" collapsed="false">
      <c r="A299" s="499"/>
      <c r="B299" s="500"/>
      <c r="C299" s="500"/>
      <c r="D299" s="501"/>
      <c r="E299" s="502" t="n">
        <f aca="false">IF($C$3="是",ROUND($A$3*G299/$B$3,2),ROUND($A$3*(G299-AT299)/$B$3,2))</f>
        <v>0</v>
      </c>
      <c r="F299" s="503"/>
      <c r="G299" s="504" t="n">
        <f aca="false">H299+AC299+AT299</f>
        <v>0</v>
      </c>
      <c r="H299" s="505" t="n">
        <f aca="false">SUMIF(I$12:AB$12,"总值",I299:AB299)</f>
        <v>0</v>
      </c>
      <c r="I299" s="506"/>
      <c r="J299" s="506"/>
      <c r="K299" s="506"/>
      <c r="L299" s="506"/>
      <c r="M299" s="506"/>
      <c r="N299" s="506"/>
      <c r="O299" s="506"/>
      <c r="P299" s="506"/>
      <c r="Q299" s="506"/>
      <c r="R299" s="506"/>
      <c r="S299" s="506"/>
      <c r="T299" s="506"/>
      <c r="U299" s="506"/>
      <c r="V299" s="506"/>
      <c r="W299" s="506"/>
      <c r="X299" s="506"/>
      <c r="Y299" s="506"/>
      <c r="Z299" s="506"/>
      <c r="AA299" s="506"/>
      <c r="AB299" s="506"/>
      <c r="AC299" s="502" t="n">
        <f aca="false">SUMIF(AD$12:AS$12,"总值",AD299:AS299)</f>
        <v>0</v>
      </c>
      <c r="AD299" s="507"/>
      <c r="AE299" s="507"/>
      <c r="AF299" s="507"/>
      <c r="AG299" s="507"/>
      <c r="AH299" s="507"/>
      <c r="AI299" s="507"/>
      <c r="AJ299" s="507"/>
      <c r="AK299" s="507"/>
      <c r="AL299" s="507"/>
      <c r="AM299" s="507"/>
      <c r="AN299" s="507"/>
      <c r="AO299" s="507"/>
      <c r="AP299" s="507"/>
      <c r="AQ299" s="507"/>
      <c r="AR299" s="507"/>
      <c r="AS299" s="507"/>
      <c r="AT299" s="508"/>
      <c r="AU299" s="509"/>
      <c r="AV299" s="510" t="n">
        <f aca="false">A299</f>
        <v>0</v>
      </c>
      <c r="AW299" s="510" t="n">
        <f aca="false">B299</f>
        <v>0</v>
      </c>
      <c r="AX299" s="510" t="n">
        <f aca="false">C299</f>
        <v>0</v>
      </c>
      <c r="AY299" s="511" t="n">
        <f aca="false">ROUND($AY$6*AZ299/$AZ$5,2)</f>
        <v>0</v>
      </c>
      <c r="AZ299" s="502" t="n">
        <f aca="false">BA299+BL299</f>
        <v>0</v>
      </c>
      <c r="BA299" s="502" t="n">
        <f aca="false">SUM(BB299:BK299)</f>
        <v>0</v>
      </c>
      <c r="BB299" s="502" t="n">
        <f aca="false">IF($D299="是",I299-J299,0)</f>
        <v>0</v>
      </c>
      <c r="BC299" s="502" t="n">
        <f aca="false">IF($D299="是",K299-L299,0)</f>
        <v>0</v>
      </c>
      <c r="BD299" s="502" t="n">
        <f aca="false">IF($D299="是",M299-N299,0)</f>
        <v>0</v>
      </c>
      <c r="BE299" s="502" t="n">
        <f aca="false">IF($D299="是",O299-P299,0)</f>
        <v>0</v>
      </c>
      <c r="BF299" s="502" t="n">
        <f aca="false">IF($D299="是",Q299-R299,0)</f>
        <v>0</v>
      </c>
      <c r="BG299" s="502" t="n">
        <f aca="false">IF($D299="是",S299-T299,0)</f>
        <v>0</v>
      </c>
      <c r="BH299" s="502" t="n">
        <f aca="false">IF($D299="是",U299-V299,0)</f>
        <v>0</v>
      </c>
      <c r="BI299" s="502" t="n">
        <f aca="false">IF($D299="是",W299-X299,0)</f>
        <v>0</v>
      </c>
      <c r="BJ299" s="502" t="n">
        <f aca="false">IF($D299="是",Y299-Z299,0)</f>
        <v>0</v>
      </c>
      <c r="BK299" s="502" t="n">
        <f aca="false">IF($D299="是",AA299-AB299,0)</f>
        <v>0</v>
      </c>
      <c r="BL299" s="502" t="n">
        <f aca="false">SUM(BM299:BT299)</f>
        <v>0</v>
      </c>
      <c r="BM299" s="502" t="n">
        <f aca="false">IF($D299="是",AD299-AE299,0)</f>
        <v>0</v>
      </c>
      <c r="BN299" s="502" t="n">
        <f aca="false">IF($D299="是",AF299-AG299,0)</f>
        <v>0</v>
      </c>
      <c r="BO299" s="502" t="n">
        <f aca="false">IF($D299="是",AH299-AI299,0)</f>
        <v>0</v>
      </c>
      <c r="BP299" s="502" t="n">
        <f aca="false">IF($D299="是",AJ299-AK299,0)</f>
        <v>0</v>
      </c>
      <c r="BQ299" s="502" t="n">
        <f aca="false">IF($D299="是",AL299-AM299,0)</f>
        <v>0</v>
      </c>
      <c r="BR299" s="502" t="n">
        <f aca="false">IF($D299="是",AN299-AO299,0)</f>
        <v>0</v>
      </c>
      <c r="BS299" s="502" t="n">
        <f aca="false">IF($D299="是",AP299-AQ299,0)</f>
        <v>0</v>
      </c>
      <c r="BT299" s="512" t="n">
        <f aca="false">IF($D299="是",AR299-AS299,0)</f>
        <v>0</v>
      </c>
    </row>
    <row r="300" customFormat="false" ht="14.25" hidden="false" customHeight="false" outlineLevel="0" collapsed="false">
      <c r="A300" s="499"/>
      <c r="B300" s="499"/>
      <c r="C300" s="499"/>
      <c r="D300" s="501"/>
      <c r="E300" s="502" t="n">
        <f aca="false">IF($C$3="是",ROUND($A$3*G300/$B$3,2),ROUND($A$3*(G300-AT300)/$B$3,2))</f>
        <v>0</v>
      </c>
      <c r="F300" s="513"/>
      <c r="G300" s="504" t="n">
        <f aca="false">H300+AC300+AT300</f>
        <v>0</v>
      </c>
      <c r="H300" s="505" t="n">
        <f aca="false">SUMIF(I$12:AB$12,"总值",I300:AB300)</f>
        <v>0</v>
      </c>
      <c r="I300" s="514"/>
      <c r="J300" s="514"/>
      <c r="K300" s="506"/>
      <c r="L300" s="506"/>
      <c r="M300" s="506"/>
      <c r="N300" s="506"/>
      <c r="O300" s="506"/>
      <c r="P300" s="506"/>
      <c r="Q300" s="506"/>
      <c r="R300" s="506"/>
      <c r="S300" s="506"/>
      <c r="T300" s="506"/>
      <c r="U300" s="506"/>
      <c r="V300" s="506"/>
      <c r="W300" s="506"/>
      <c r="X300" s="506"/>
      <c r="Y300" s="506"/>
      <c r="Z300" s="506"/>
      <c r="AA300" s="506"/>
      <c r="AB300" s="506"/>
      <c r="AC300" s="502" t="n">
        <f aca="false">SUMIF(AD$12:AS$12,"总值",AD300:AS300)</f>
        <v>0</v>
      </c>
      <c r="AD300" s="507"/>
      <c r="AE300" s="507"/>
      <c r="AF300" s="507"/>
      <c r="AG300" s="507"/>
      <c r="AH300" s="507"/>
      <c r="AI300" s="507"/>
      <c r="AJ300" s="507"/>
      <c r="AK300" s="507"/>
      <c r="AL300" s="507"/>
      <c r="AM300" s="507"/>
      <c r="AN300" s="507"/>
      <c r="AO300" s="507"/>
      <c r="AP300" s="507"/>
      <c r="AQ300" s="507"/>
      <c r="AR300" s="507"/>
      <c r="AS300" s="507"/>
      <c r="AT300" s="507"/>
      <c r="AU300" s="515"/>
      <c r="AV300" s="510" t="n">
        <f aca="false">A300</f>
        <v>0</v>
      </c>
      <c r="AW300" s="510" t="n">
        <f aca="false">B300</f>
        <v>0</v>
      </c>
      <c r="AX300" s="510" t="n">
        <f aca="false">C300</f>
        <v>0</v>
      </c>
      <c r="AY300" s="511" t="n">
        <f aca="false">ROUND($AY$6*AZ300/$AZ$5,2)</f>
        <v>0</v>
      </c>
      <c r="AZ300" s="502" t="n">
        <f aca="false">BA300+BL300</f>
        <v>0</v>
      </c>
      <c r="BA300" s="502" t="n">
        <f aca="false">SUM(BB300:BK300)</f>
        <v>0</v>
      </c>
      <c r="BB300" s="502" t="n">
        <f aca="false">IF($D300="是",I300-J300,0)</f>
        <v>0</v>
      </c>
      <c r="BC300" s="502" t="n">
        <f aca="false">IF($D300="是",K300-L300,0)</f>
        <v>0</v>
      </c>
      <c r="BD300" s="502" t="n">
        <f aca="false">IF($D300="是",M300-N300,0)</f>
        <v>0</v>
      </c>
      <c r="BE300" s="502" t="n">
        <f aca="false">IF($D300="是",O300-P300,0)</f>
        <v>0</v>
      </c>
      <c r="BF300" s="502" t="n">
        <f aca="false">IF($D300="是",Q300-R300,0)</f>
        <v>0</v>
      </c>
      <c r="BG300" s="502" t="n">
        <f aca="false">IF($D300="是",S300-T300,0)</f>
        <v>0</v>
      </c>
      <c r="BH300" s="502" t="n">
        <f aca="false">IF($D300="是",U300-V300,0)</f>
        <v>0</v>
      </c>
      <c r="BI300" s="502" t="n">
        <f aca="false">IF($D300="是",W300-X300,0)</f>
        <v>0</v>
      </c>
      <c r="BJ300" s="502" t="n">
        <f aca="false">IF($D300="是",Y300-Z300,0)</f>
        <v>0</v>
      </c>
      <c r="BK300" s="502" t="n">
        <f aca="false">IF($D300="是",AA300-AB300,0)</f>
        <v>0</v>
      </c>
      <c r="BL300" s="502" t="n">
        <f aca="false">SUM(BM300:BT300)</f>
        <v>0</v>
      </c>
      <c r="BM300" s="502" t="n">
        <f aca="false">IF($D300="是",AD300-AE300,0)</f>
        <v>0</v>
      </c>
      <c r="BN300" s="502" t="n">
        <f aca="false">IF($D300="是",AF300-AG300,0)</f>
        <v>0</v>
      </c>
      <c r="BO300" s="502" t="n">
        <f aca="false">IF($D300="是",AH300-AI300,0)</f>
        <v>0</v>
      </c>
      <c r="BP300" s="502" t="n">
        <f aca="false">IF($D300="是",AJ300-AK300,0)</f>
        <v>0</v>
      </c>
      <c r="BQ300" s="502" t="n">
        <f aca="false">IF($D300="是",AL300-AM300,0)</f>
        <v>0</v>
      </c>
      <c r="BR300" s="502" t="n">
        <f aca="false">IF($D300="是",AN300-AO300,0)</f>
        <v>0</v>
      </c>
      <c r="BS300" s="502" t="n">
        <f aca="false">IF($D300="是",AP300-AQ300,0)</f>
        <v>0</v>
      </c>
      <c r="BT300" s="512" t="n">
        <f aca="false">IF($D300="是",AR300-AS300,0)</f>
        <v>0</v>
      </c>
    </row>
    <row r="301" customFormat="false" ht="14.25" hidden="false" customHeight="false" outlineLevel="0" collapsed="false">
      <c r="A301" s="499"/>
      <c r="B301" s="499"/>
      <c r="C301" s="499"/>
      <c r="D301" s="501"/>
      <c r="E301" s="502" t="n">
        <f aca="false">IF($C$3="是",ROUND($A$3*G301/$B$3,2),ROUND($A$3*(G301-AT301)/$B$3,2))</f>
        <v>0</v>
      </c>
      <c r="F301" s="513"/>
      <c r="G301" s="504" t="n">
        <f aca="false">H301+AC301+AT301</f>
        <v>0</v>
      </c>
      <c r="H301" s="505" t="n">
        <f aca="false">SUMIF(I$12:AB$12,"总值",I301:AB301)</f>
        <v>0</v>
      </c>
      <c r="I301" s="506"/>
      <c r="J301" s="506"/>
      <c r="K301" s="506"/>
      <c r="L301" s="506"/>
      <c r="M301" s="506"/>
      <c r="N301" s="506"/>
      <c r="O301" s="506"/>
      <c r="P301" s="506"/>
      <c r="Q301" s="506"/>
      <c r="R301" s="506"/>
      <c r="S301" s="506"/>
      <c r="T301" s="506"/>
      <c r="U301" s="506"/>
      <c r="V301" s="506"/>
      <c r="W301" s="506"/>
      <c r="X301" s="506"/>
      <c r="Y301" s="506"/>
      <c r="Z301" s="506"/>
      <c r="AA301" s="506"/>
      <c r="AB301" s="506"/>
      <c r="AC301" s="502" t="n">
        <f aca="false">SUMIF(AD$12:AS$12,"总值",AD301:AS301)</f>
        <v>0</v>
      </c>
      <c r="AD301" s="507"/>
      <c r="AE301" s="507"/>
      <c r="AF301" s="507"/>
      <c r="AG301" s="507"/>
      <c r="AH301" s="507"/>
      <c r="AI301" s="507"/>
      <c r="AJ301" s="507"/>
      <c r="AK301" s="507"/>
      <c r="AL301" s="507"/>
      <c r="AM301" s="507"/>
      <c r="AN301" s="507"/>
      <c r="AO301" s="507"/>
      <c r="AP301" s="507"/>
      <c r="AQ301" s="507"/>
      <c r="AR301" s="507"/>
      <c r="AS301" s="507"/>
      <c r="AT301" s="507"/>
      <c r="AU301" s="515"/>
      <c r="AV301" s="510" t="n">
        <f aca="false">A301</f>
        <v>0</v>
      </c>
      <c r="AW301" s="510" t="n">
        <f aca="false">B301</f>
        <v>0</v>
      </c>
      <c r="AX301" s="510" t="n">
        <f aca="false">C301</f>
        <v>0</v>
      </c>
      <c r="AY301" s="511" t="n">
        <f aca="false">ROUND($AY$6*AZ301/$AZ$5,2)</f>
        <v>0</v>
      </c>
      <c r="AZ301" s="502" t="n">
        <f aca="false">BA301+BL301</f>
        <v>0</v>
      </c>
      <c r="BA301" s="502" t="n">
        <f aca="false">SUM(BB301:BK301)</f>
        <v>0</v>
      </c>
      <c r="BB301" s="502" t="n">
        <f aca="false">IF($D301="是",I301-J301,0)</f>
        <v>0</v>
      </c>
      <c r="BC301" s="502" t="n">
        <f aca="false">IF($D301="是",K301-L301,0)</f>
        <v>0</v>
      </c>
      <c r="BD301" s="502" t="n">
        <f aca="false">IF($D301="是",M301-N301,0)</f>
        <v>0</v>
      </c>
      <c r="BE301" s="502" t="n">
        <f aca="false">IF($D301="是",O301-P301,0)</f>
        <v>0</v>
      </c>
      <c r="BF301" s="502" t="n">
        <f aca="false">IF($D301="是",Q301-R301,0)</f>
        <v>0</v>
      </c>
      <c r="BG301" s="502" t="n">
        <f aca="false">IF($D301="是",S301-T301,0)</f>
        <v>0</v>
      </c>
      <c r="BH301" s="502" t="n">
        <f aca="false">IF($D301="是",U301-V301,0)</f>
        <v>0</v>
      </c>
      <c r="BI301" s="502" t="n">
        <f aca="false">IF($D301="是",W301-X301,0)</f>
        <v>0</v>
      </c>
      <c r="BJ301" s="502" t="n">
        <f aca="false">IF($D301="是",Y301-Z301,0)</f>
        <v>0</v>
      </c>
      <c r="BK301" s="502" t="n">
        <f aca="false">IF($D301="是",AA301-AB301,0)</f>
        <v>0</v>
      </c>
      <c r="BL301" s="502" t="n">
        <f aca="false">SUM(BM301:BT301)</f>
        <v>0</v>
      </c>
      <c r="BM301" s="502" t="n">
        <f aca="false">IF($D301="是",AD301-AE301,0)</f>
        <v>0</v>
      </c>
      <c r="BN301" s="502" t="n">
        <f aca="false">IF($D301="是",AF301-AG301,0)</f>
        <v>0</v>
      </c>
      <c r="BO301" s="502" t="n">
        <f aca="false">IF($D301="是",AH301-AI301,0)</f>
        <v>0</v>
      </c>
      <c r="BP301" s="502" t="n">
        <f aca="false">IF($D301="是",AJ301-AK301,0)</f>
        <v>0</v>
      </c>
      <c r="BQ301" s="502" t="n">
        <f aca="false">IF($D301="是",AL301-AM301,0)</f>
        <v>0</v>
      </c>
      <c r="BR301" s="502" t="n">
        <f aca="false">IF($D301="是",AN301-AO301,0)</f>
        <v>0</v>
      </c>
      <c r="BS301" s="502" t="n">
        <f aca="false">IF($D301="是",AP301-AQ301,0)</f>
        <v>0</v>
      </c>
      <c r="BT301" s="512" t="n">
        <f aca="false">IF($D301="是",AR301-AS301,0)</f>
        <v>0</v>
      </c>
    </row>
    <row r="302" customFormat="false" ht="14.25" hidden="false" customHeight="false" outlineLevel="0" collapsed="false">
      <c r="A302" s="499"/>
      <c r="B302" s="499"/>
      <c r="C302" s="499"/>
      <c r="D302" s="501"/>
      <c r="E302" s="502" t="n">
        <f aca="false">IF($C$3="是",ROUND($A$3*G302/$B$3,2),ROUND($A$3*(G302-AT302)/$B$3,2))</f>
        <v>0</v>
      </c>
      <c r="F302" s="513"/>
      <c r="G302" s="504" t="n">
        <f aca="false">H302+AC302+AT302</f>
        <v>0</v>
      </c>
      <c r="H302" s="505" t="n">
        <f aca="false">SUMIF(I$12:AB$12,"总值",I302:AB302)</f>
        <v>0</v>
      </c>
      <c r="I302" s="506"/>
      <c r="J302" s="506"/>
      <c r="K302" s="506"/>
      <c r="L302" s="506"/>
      <c r="M302" s="506"/>
      <c r="N302" s="506"/>
      <c r="O302" s="506"/>
      <c r="P302" s="506"/>
      <c r="Q302" s="506"/>
      <c r="R302" s="506"/>
      <c r="S302" s="506"/>
      <c r="T302" s="506"/>
      <c r="U302" s="506"/>
      <c r="V302" s="506"/>
      <c r="W302" s="506"/>
      <c r="X302" s="506"/>
      <c r="Y302" s="506"/>
      <c r="Z302" s="506"/>
      <c r="AA302" s="506"/>
      <c r="AB302" s="506"/>
      <c r="AC302" s="502" t="n">
        <f aca="false">SUMIF(AD$12:AS$12,"总值",AD302:AS302)</f>
        <v>0</v>
      </c>
      <c r="AD302" s="507"/>
      <c r="AE302" s="507"/>
      <c r="AF302" s="507"/>
      <c r="AG302" s="507"/>
      <c r="AH302" s="507"/>
      <c r="AI302" s="507"/>
      <c r="AJ302" s="507"/>
      <c r="AK302" s="507"/>
      <c r="AL302" s="507"/>
      <c r="AM302" s="507"/>
      <c r="AN302" s="507"/>
      <c r="AO302" s="507"/>
      <c r="AP302" s="507"/>
      <c r="AQ302" s="507"/>
      <c r="AR302" s="507"/>
      <c r="AS302" s="507"/>
      <c r="AT302" s="507"/>
      <c r="AU302" s="515"/>
      <c r="AV302" s="510" t="n">
        <f aca="false">A302</f>
        <v>0</v>
      </c>
      <c r="AW302" s="510" t="n">
        <f aca="false">B302</f>
        <v>0</v>
      </c>
      <c r="AX302" s="510" t="n">
        <f aca="false">C302</f>
        <v>0</v>
      </c>
      <c r="AY302" s="511" t="n">
        <f aca="false">ROUND($AY$6*AZ302/$AZ$5,2)</f>
        <v>0</v>
      </c>
      <c r="AZ302" s="502" t="n">
        <f aca="false">BA302+BL302</f>
        <v>0</v>
      </c>
      <c r="BA302" s="502" t="n">
        <f aca="false">SUM(BB302:BK302)</f>
        <v>0</v>
      </c>
      <c r="BB302" s="502" t="n">
        <f aca="false">IF($D302="是",I302-J302,0)</f>
        <v>0</v>
      </c>
      <c r="BC302" s="502" t="n">
        <f aca="false">IF($D302="是",K302-L302,0)</f>
        <v>0</v>
      </c>
      <c r="BD302" s="502" t="n">
        <f aca="false">IF($D302="是",M302-N302,0)</f>
        <v>0</v>
      </c>
      <c r="BE302" s="502" t="n">
        <f aca="false">IF($D302="是",O302-P302,0)</f>
        <v>0</v>
      </c>
      <c r="BF302" s="502" t="n">
        <f aca="false">IF($D302="是",Q302-R302,0)</f>
        <v>0</v>
      </c>
      <c r="BG302" s="502" t="n">
        <f aca="false">IF($D302="是",S302-T302,0)</f>
        <v>0</v>
      </c>
      <c r="BH302" s="502" t="n">
        <f aca="false">IF($D302="是",U302-V302,0)</f>
        <v>0</v>
      </c>
      <c r="BI302" s="502" t="n">
        <f aca="false">IF($D302="是",W302-X302,0)</f>
        <v>0</v>
      </c>
      <c r="BJ302" s="502" t="n">
        <f aca="false">IF($D302="是",Y302-Z302,0)</f>
        <v>0</v>
      </c>
      <c r="BK302" s="502" t="n">
        <f aca="false">IF($D302="是",AA302-AB302,0)</f>
        <v>0</v>
      </c>
      <c r="BL302" s="502" t="n">
        <f aca="false">SUM(BM302:BT302)</f>
        <v>0</v>
      </c>
      <c r="BM302" s="502" t="n">
        <f aca="false">IF($D302="是",AD302-AE302,0)</f>
        <v>0</v>
      </c>
      <c r="BN302" s="502" t="n">
        <f aca="false">IF($D302="是",AF302-AG302,0)</f>
        <v>0</v>
      </c>
      <c r="BO302" s="502" t="n">
        <f aca="false">IF($D302="是",AH302-AI302,0)</f>
        <v>0</v>
      </c>
      <c r="BP302" s="502" t="n">
        <f aca="false">IF($D302="是",AJ302-AK302,0)</f>
        <v>0</v>
      </c>
      <c r="BQ302" s="502" t="n">
        <f aca="false">IF($D302="是",AL302-AM302,0)</f>
        <v>0</v>
      </c>
      <c r="BR302" s="502" t="n">
        <f aca="false">IF($D302="是",AN302-AO302,0)</f>
        <v>0</v>
      </c>
      <c r="BS302" s="502" t="n">
        <f aca="false">IF($D302="是",AP302-AQ302,0)</f>
        <v>0</v>
      </c>
      <c r="BT302" s="512" t="n">
        <f aca="false">IF($D302="是",AR302-AS302,0)</f>
        <v>0</v>
      </c>
    </row>
    <row r="303" customFormat="false" ht="14.25" hidden="false" customHeight="false" outlineLevel="0" collapsed="false">
      <c r="A303" s="499"/>
      <c r="B303" s="500"/>
      <c r="C303" s="500"/>
      <c r="D303" s="501"/>
      <c r="E303" s="502" t="n">
        <f aca="false">IF($C$3="是",ROUND($A$3*G303/$B$3,2),ROUND($A$3*(G303-AT303)/$B$3,2))</f>
        <v>0</v>
      </c>
      <c r="F303" s="503"/>
      <c r="G303" s="504" t="n">
        <f aca="false">H303+AC303+AT303</f>
        <v>0</v>
      </c>
      <c r="H303" s="505" t="n">
        <f aca="false">SUMIF(I$12:AB$12,"总值",I303:AB303)</f>
        <v>0</v>
      </c>
      <c r="I303" s="506"/>
      <c r="J303" s="506"/>
      <c r="K303" s="506"/>
      <c r="L303" s="506"/>
      <c r="M303" s="506"/>
      <c r="N303" s="506"/>
      <c r="O303" s="506"/>
      <c r="P303" s="506"/>
      <c r="Q303" s="506"/>
      <c r="R303" s="506"/>
      <c r="S303" s="506"/>
      <c r="T303" s="506"/>
      <c r="U303" s="506"/>
      <c r="V303" s="506"/>
      <c r="W303" s="506"/>
      <c r="X303" s="506"/>
      <c r="Y303" s="506"/>
      <c r="Z303" s="506"/>
      <c r="AA303" s="506"/>
      <c r="AB303" s="506"/>
      <c r="AC303" s="502" t="n">
        <f aca="false">SUMIF(AD$12:AS$12,"总值",AD303:AS303)</f>
        <v>0</v>
      </c>
      <c r="AD303" s="507"/>
      <c r="AE303" s="507"/>
      <c r="AF303" s="507"/>
      <c r="AG303" s="507"/>
      <c r="AH303" s="507"/>
      <c r="AI303" s="507"/>
      <c r="AJ303" s="507"/>
      <c r="AK303" s="507"/>
      <c r="AL303" s="507"/>
      <c r="AM303" s="507"/>
      <c r="AN303" s="507"/>
      <c r="AO303" s="507"/>
      <c r="AP303" s="507"/>
      <c r="AQ303" s="507"/>
      <c r="AR303" s="507"/>
      <c r="AS303" s="507"/>
      <c r="AT303" s="508"/>
      <c r="AU303" s="509"/>
      <c r="AV303" s="510" t="n">
        <f aca="false">A303</f>
        <v>0</v>
      </c>
      <c r="AW303" s="510" t="n">
        <f aca="false">B303</f>
        <v>0</v>
      </c>
      <c r="AX303" s="510" t="n">
        <f aca="false">C303</f>
        <v>0</v>
      </c>
      <c r="AY303" s="511" t="n">
        <f aca="false">ROUND($AY$6*AZ303/$AZ$5,2)</f>
        <v>0</v>
      </c>
      <c r="AZ303" s="502" t="n">
        <f aca="false">BA303+BL303</f>
        <v>0</v>
      </c>
      <c r="BA303" s="502" t="n">
        <f aca="false">SUM(BB303:BK303)</f>
        <v>0</v>
      </c>
      <c r="BB303" s="502" t="n">
        <f aca="false">IF($D303="是",I303-J303,0)</f>
        <v>0</v>
      </c>
      <c r="BC303" s="502" t="n">
        <f aca="false">IF($D303="是",K303-L303,0)</f>
        <v>0</v>
      </c>
      <c r="BD303" s="502" t="n">
        <f aca="false">IF($D303="是",M303-N303,0)</f>
        <v>0</v>
      </c>
      <c r="BE303" s="502" t="n">
        <f aca="false">IF($D303="是",O303-P303,0)</f>
        <v>0</v>
      </c>
      <c r="BF303" s="502" t="n">
        <f aca="false">IF($D303="是",Q303-R303,0)</f>
        <v>0</v>
      </c>
      <c r="BG303" s="502" t="n">
        <f aca="false">IF($D303="是",S303-T303,0)</f>
        <v>0</v>
      </c>
      <c r="BH303" s="502" t="n">
        <f aca="false">IF($D303="是",U303-V303,0)</f>
        <v>0</v>
      </c>
      <c r="BI303" s="502" t="n">
        <f aca="false">IF($D303="是",W303-X303,0)</f>
        <v>0</v>
      </c>
      <c r="BJ303" s="502" t="n">
        <f aca="false">IF($D303="是",Y303-Z303,0)</f>
        <v>0</v>
      </c>
      <c r="BK303" s="502" t="n">
        <f aca="false">IF($D303="是",AA303-AB303,0)</f>
        <v>0</v>
      </c>
      <c r="BL303" s="502" t="n">
        <f aca="false">SUM(BM303:BT303)</f>
        <v>0</v>
      </c>
      <c r="BM303" s="502" t="n">
        <f aca="false">IF($D303="是",AD303-AE303,0)</f>
        <v>0</v>
      </c>
      <c r="BN303" s="502" t="n">
        <f aca="false">IF($D303="是",AF303-AG303,0)</f>
        <v>0</v>
      </c>
      <c r="BO303" s="502" t="n">
        <f aca="false">IF($D303="是",AH303-AI303,0)</f>
        <v>0</v>
      </c>
      <c r="BP303" s="502" t="n">
        <f aca="false">IF($D303="是",AJ303-AK303,0)</f>
        <v>0</v>
      </c>
      <c r="BQ303" s="502" t="n">
        <f aca="false">IF($D303="是",AL303-AM303,0)</f>
        <v>0</v>
      </c>
      <c r="BR303" s="502" t="n">
        <f aca="false">IF($D303="是",AN303-AO303,0)</f>
        <v>0</v>
      </c>
      <c r="BS303" s="502" t="n">
        <f aca="false">IF($D303="是",AP303-AQ303,0)</f>
        <v>0</v>
      </c>
      <c r="BT303" s="512" t="n">
        <f aca="false">IF($D303="是",AR303-AS303,0)</f>
        <v>0</v>
      </c>
    </row>
    <row r="304" customFormat="false" ht="14.25" hidden="false" customHeight="false" outlineLevel="0" collapsed="false">
      <c r="A304" s="499"/>
      <c r="B304" s="500"/>
      <c r="C304" s="500"/>
      <c r="D304" s="501"/>
      <c r="E304" s="502" t="n">
        <f aca="false">IF($C$3="是",ROUND($A$3*G304/$B$3,2),ROUND($A$3*(G304-AT304)/$B$3,2))</f>
        <v>0</v>
      </c>
      <c r="F304" s="503"/>
      <c r="G304" s="504" t="n">
        <f aca="false">H304+AC304+AT304</f>
        <v>0</v>
      </c>
      <c r="H304" s="505" t="n">
        <f aca="false">SUMIF(I$12:AB$12,"总值",I304:AB304)</f>
        <v>0</v>
      </c>
      <c r="I304" s="506"/>
      <c r="J304" s="506"/>
      <c r="K304" s="506"/>
      <c r="L304" s="506"/>
      <c r="M304" s="506"/>
      <c r="N304" s="506"/>
      <c r="O304" s="506"/>
      <c r="P304" s="506"/>
      <c r="Q304" s="506"/>
      <c r="R304" s="506"/>
      <c r="S304" s="506"/>
      <c r="T304" s="506"/>
      <c r="U304" s="506"/>
      <c r="V304" s="506"/>
      <c r="W304" s="506"/>
      <c r="X304" s="506"/>
      <c r="Y304" s="506"/>
      <c r="Z304" s="506"/>
      <c r="AA304" s="506"/>
      <c r="AB304" s="506"/>
      <c r="AC304" s="502" t="n">
        <f aca="false">SUMIF(AD$12:AS$12,"总值",AD304:AS304)</f>
        <v>0</v>
      </c>
      <c r="AD304" s="507"/>
      <c r="AE304" s="507"/>
      <c r="AF304" s="507"/>
      <c r="AG304" s="507"/>
      <c r="AH304" s="507"/>
      <c r="AI304" s="507"/>
      <c r="AJ304" s="507"/>
      <c r="AK304" s="507"/>
      <c r="AL304" s="507"/>
      <c r="AM304" s="507"/>
      <c r="AN304" s="507"/>
      <c r="AO304" s="507"/>
      <c r="AP304" s="507"/>
      <c r="AQ304" s="507"/>
      <c r="AR304" s="507"/>
      <c r="AS304" s="507"/>
      <c r="AT304" s="508"/>
      <c r="AU304" s="509"/>
      <c r="AV304" s="510" t="n">
        <f aca="false">A304</f>
        <v>0</v>
      </c>
      <c r="AW304" s="510" t="n">
        <f aca="false">B304</f>
        <v>0</v>
      </c>
      <c r="AX304" s="510" t="n">
        <f aca="false">C304</f>
        <v>0</v>
      </c>
      <c r="AY304" s="511" t="n">
        <f aca="false">ROUND($AY$6*AZ304/$AZ$5,2)</f>
        <v>0</v>
      </c>
      <c r="AZ304" s="502" t="n">
        <f aca="false">BA304+BL304</f>
        <v>0</v>
      </c>
      <c r="BA304" s="502" t="n">
        <f aca="false">SUM(BB304:BK304)</f>
        <v>0</v>
      </c>
      <c r="BB304" s="502" t="n">
        <f aca="false">IF($D304="是",I304-J304,0)</f>
        <v>0</v>
      </c>
      <c r="BC304" s="502" t="n">
        <f aca="false">IF($D304="是",K304-L304,0)</f>
        <v>0</v>
      </c>
      <c r="BD304" s="502" t="n">
        <f aca="false">IF($D304="是",M304-N304,0)</f>
        <v>0</v>
      </c>
      <c r="BE304" s="502" t="n">
        <f aca="false">IF($D304="是",O304-P304,0)</f>
        <v>0</v>
      </c>
      <c r="BF304" s="502" t="n">
        <f aca="false">IF($D304="是",Q304-R304,0)</f>
        <v>0</v>
      </c>
      <c r="BG304" s="502" t="n">
        <f aca="false">IF($D304="是",S304-T304,0)</f>
        <v>0</v>
      </c>
      <c r="BH304" s="502" t="n">
        <f aca="false">IF($D304="是",U304-V304,0)</f>
        <v>0</v>
      </c>
      <c r="BI304" s="502" t="n">
        <f aca="false">IF($D304="是",W304-X304,0)</f>
        <v>0</v>
      </c>
      <c r="BJ304" s="502" t="n">
        <f aca="false">IF($D304="是",Y304-Z304,0)</f>
        <v>0</v>
      </c>
      <c r="BK304" s="502" t="n">
        <f aca="false">IF($D304="是",AA304-AB304,0)</f>
        <v>0</v>
      </c>
      <c r="BL304" s="502" t="n">
        <f aca="false">SUM(BM304:BT304)</f>
        <v>0</v>
      </c>
      <c r="BM304" s="502" t="n">
        <f aca="false">IF($D304="是",AD304-AE304,0)</f>
        <v>0</v>
      </c>
      <c r="BN304" s="502" t="n">
        <f aca="false">IF($D304="是",AF304-AG304,0)</f>
        <v>0</v>
      </c>
      <c r="BO304" s="502" t="n">
        <f aca="false">IF($D304="是",AH304-AI304,0)</f>
        <v>0</v>
      </c>
      <c r="BP304" s="502" t="n">
        <f aca="false">IF($D304="是",AJ304-AK304,0)</f>
        <v>0</v>
      </c>
      <c r="BQ304" s="502" t="n">
        <f aca="false">IF($D304="是",AL304-AM304,0)</f>
        <v>0</v>
      </c>
      <c r="BR304" s="502" t="n">
        <f aca="false">IF($D304="是",AN304-AO304,0)</f>
        <v>0</v>
      </c>
      <c r="BS304" s="502" t="n">
        <f aca="false">IF($D304="是",AP304-AQ304,0)</f>
        <v>0</v>
      </c>
      <c r="BT304" s="512" t="n">
        <f aca="false">IF($D304="是",AR304-AS304,0)</f>
        <v>0</v>
      </c>
    </row>
    <row r="305" customFormat="false" ht="14.25" hidden="false" customHeight="false" outlineLevel="0" collapsed="false">
      <c r="A305" s="499"/>
      <c r="B305" s="500"/>
      <c r="C305" s="500"/>
      <c r="D305" s="501"/>
      <c r="E305" s="502" t="n">
        <f aca="false">IF($C$3="是",ROUND($A$3*G305/$B$3,2),ROUND($A$3*(G305-AT305)/$B$3,2))</f>
        <v>0</v>
      </c>
      <c r="F305" s="503"/>
      <c r="G305" s="504" t="n">
        <f aca="false">H305+AC305+AT305</f>
        <v>0</v>
      </c>
      <c r="H305" s="505" t="n">
        <f aca="false">SUMIF(I$12:AB$12,"总值",I305:AB305)</f>
        <v>0</v>
      </c>
      <c r="I305" s="506"/>
      <c r="J305" s="506"/>
      <c r="K305" s="506"/>
      <c r="L305" s="506"/>
      <c r="M305" s="506"/>
      <c r="N305" s="506"/>
      <c r="O305" s="506"/>
      <c r="P305" s="506"/>
      <c r="Q305" s="506"/>
      <c r="R305" s="506"/>
      <c r="S305" s="506"/>
      <c r="T305" s="506"/>
      <c r="U305" s="506"/>
      <c r="V305" s="506"/>
      <c r="W305" s="506"/>
      <c r="X305" s="506"/>
      <c r="Y305" s="506"/>
      <c r="Z305" s="506"/>
      <c r="AA305" s="506"/>
      <c r="AB305" s="506"/>
      <c r="AC305" s="502" t="n">
        <f aca="false">SUMIF(AD$12:AS$12,"总值",AD305:AS305)</f>
        <v>0</v>
      </c>
      <c r="AD305" s="507"/>
      <c r="AE305" s="507"/>
      <c r="AF305" s="507"/>
      <c r="AG305" s="507"/>
      <c r="AH305" s="507"/>
      <c r="AI305" s="507"/>
      <c r="AJ305" s="507"/>
      <c r="AK305" s="507"/>
      <c r="AL305" s="507"/>
      <c r="AM305" s="507"/>
      <c r="AN305" s="507"/>
      <c r="AO305" s="507"/>
      <c r="AP305" s="507"/>
      <c r="AQ305" s="507"/>
      <c r="AR305" s="507"/>
      <c r="AS305" s="507"/>
      <c r="AT305" s="508"/>
      <c r="AU305" s="509"/>
      <c r="AV305" s="510" t="n">
        <f aca="false">A305</f>
        <v>0</v>
      </c>
      <c r="AW305" s="510" t="n">
        <f aca="false">B305</f>
        <v>0</v>
      </c>
      <c r="AX305" s="510" t="n">
        <f aca="false">C305</f>
        <v>0</v>
      </c>
      <c r="AY305" s="511" t="n">
        <f aca="false">ROUND($AY$6*AZ305/$AZ$5,2)</f>
        <v>0</v>
      </c>
      <c r="AZ305" s="502" t="n">
        <f aca="false">BA305+BL305</f>
        <v>0</v>
      </c>
      <c r="BA305" s="502" t="n">
        <f aca="false">SUM(BB305:BK305)</f>
        <v>0</v>
      </c>
      <c r="BB305" s="502" t="n">
        <f aca="false">IF($D305="是",I305-J305,0)</f>
        <v>0</v>
      </c>
      <c r="BC305" s="502" t="n">
        <f aca="false">IF($D305="是",K305-L305,0)</f>
        <v>0</v>
      </c>
      <c r="BD305" s="502" t="n">
        <f aca="false">IF($D305="是",M305-N305,0)</f>
        <v>0</v>
      </c>
      <c r="BE305" s="502" t="n">
        <f aca="false">IF($D305="是",O305-P305,0)</f>
        <v>0</v>
      </c>
      <c r="BF305" s="502" t="n">
        <f aca="false">IF($D305="是",Q305-R305,0)</f>
        <v>0</v>
      </c>
      <c r="BG305" s="502" t="n">
        <f aca="false">IF($D305="是",S305-T305,0)</f>
        <v>0</v>
      </c>
      <c r="BH305" s="502" t="n">
        <f aca="false">IF($D305="是",U305-V305,0)</f>
        <v>0</v>
      </c>
      <c r="BI305" s="502" t="n">
        <f aca="false">IF($D305="是",W305-X305,0)</f>
        <v>0</v>
      </c>
      <c r="BJ305" s="502" t="n">
        <f aca="false">IF($D305="是",Y305-Z305,0)</f>
        <v>0</v>
      </c>
      <c r="BK305" s="502" t="n">
        <f aca="false">IF($D305="是",AA305-AB305,0)</f>
        <v>0</v>
      </c>
      <c r="BL305" s="502" t="n">
        <f aca="false">SUM(BM305:BT305)</f>
        <v>0</v>
      </c>
      <c r="BM305" s="502" t="n">
        <f aca="false">IF($D305="是",AD305-AE305,0)</f>
        <v>0</v>
      </c>
      <c r="BN305" s="502" t="n">
        <f aca="false">IF($D305="是",AF305-AG305,0)</f>
        <v>0</v>
      </c>
      <c r="BO305" s="502" t="n">
        <f aca="false">IF($D305="是",AH305-AI305,0)</f>
        <v>0</v>
      </c>
      <c r="BP305" s="502" t="n">
        <f aca="false">IF($D305="是",AJ305-AK305,0)</f>
        <v>0</v>
      </c>
      <c r="BQ305" s="502" t="n">
        <f aca="false">IF($D305="是",AL305-AM305,0)</f>
        <v>0</v>
      </c>
      <c r="BR305" s="502" t="n">
        <f aca="false">IF($D305="是",AN305-AO305,0)</f>
        <v>0</v>
      </c>
      <c r="BS305" s="502" t="n">
        <f aca="false">IF($D305="是",AP305-AQ305,0)</f>
        <v>0</v>
      </c>
      <c r="BT305" s="512" t="n">
        <f aca="false">IF($D305="是",AR305-AS305,0)</f>
        <v>0</v>
      </c>
    </row>
    <row r="306" customFormat="false" ht="14.25" hidden="false" customHeight="false" outlineLevel="0" collapsed="false">
      <c r="A306" s="499"/>
      <c r="B306" s="500"/>
      <c r="C306" s="500"/>
      <c r="D306" s="501"/>
      <c r="E306" s="502" t="n">
        <f aca="false">IF($C$3="是",ROUND($A$3*G306/$B$3,2),ROUND($A$3*(G306-AT306)/$B$3,2))</f>
        <v>0</v>
      </c>
      <c r="F306" s="503"/>
      <c r="G306" s="504" t="n">
        <f aca="false">H306+AC306+AT306</f>
        <v>0</v>
      </c>
      <c r="H306" s="505" t="n">
        <f aca="false">SUMIF(I$12:AB$12,"总值",I306:AB306)</f>
        <v>0</v>
      </c>
      <c r="I306" s="506"/>
      <c r="J306" s="506"/>
      <c r="K306" s="506"/>
      <c r="L306" s="506"/>
      <c r="M306" s="506"/>
      <c r="N306" s="506"/>
      <c r="O306" s="506"/>
      <c r="P306" s="506"/>
      <c r="Q306" s="506"/>
      <c r="R306" s="506"/>
      <c r="S306" s="506"/>
      <c r="T306" s="506"/>
      <c r="U306" s="506"/>
      <c r="V306" s="506"/>
      <c r="W306" s="506"/>
      <c r="X306" s="506"/>
      <c r="Y306" s="506"/>
      <c r="Z306" s="506"/>
      <c r="AA306" s="506"/>
      <c r="AB306" s="506"/>
      <c r="AC306" s="502" t="n">
        <f aca="false">SUMIF(AD$12:AS$12,"总值",AD306:AS306)</f>
        <v>0</v>
      </c>
      <c r="AD306" s="507"/>
      <c r="AE306" s="507"/>
      <c r="AF306" s="507"/>
      <c r="AG306" s="507"/>
      <c r="AH306" s="507"/>
      <c r="AI306" s="507"/>
      <c r="AJ306" s="507"/>
      <c r="AK306" s="507"/>
      <c r="AL306" s="507"/>
      <c r="AM306" s="507"/>
      <c r="AN306" s="507"/>
      <c r="AO306" s="507"/>
      <c r="AP306" s="507"/>
      <c r="AQ306" s="507"/>
      <c r="AR306" s="507"/>
      <c r="AS306" s="507"/>
      <c r="AT306" s="508"/>
      <c r="AU306" s="509"/>
      <c r="AV306" s="510" t="n">
        <f aca="false">A306</f>
        <v>0</v>
      </c>
      <c r="AW306" s="510" t="n">
        <f aca="false">B306</f>
        <v>0</v>
      </c>
      <c r="AX306" s="510" t="n">
        <f aca="false">C306</f>
        <v>0</v>
      </c>
      <c r="AY306" s="511" t="n">
        <f aca="false">ROUND($AY$6*AZ306/$AZ$5,2)</f>
        <v>0</v>
      </c>
      <c r="AZ306" s="502" t="n">
        <f aca="false">BA306+BL306</f>
        <v>0</v>
      </c>
      <c r="BA306" s="502" t="n">
        <f aca="false">SUM(BB306:BK306)</f>
        <v>0</v>
      </c>
      <c r="BB306" s="502" t="n">
        <f aca="false">IF($D306="是",I306-J306,0)</f>
        <v>0</v>
      </c>
      <c r="BC306" s="502" t="n">
        <f aca="false">IF($D306="是",K306-L306,0)</f>
        <v>0</v>
      </c>
      <c r="BD306" s="502" t="n">
        <f aca="false">IF($D306="是",M306-N306,0)</f>
        <v>0</v>
      </c>
      <c r="BE306" s="502" t="n">
        <f aca="false">IF($D306="是",O306-P306,0)</f>
        <v>0</v>
      </c>
      <c r="BF306" s="502" t="n">
        <f aca="false">IF($D306="是",Q306-R306,0)</f>
        <v>0</v>
      </c>
      <c r="BG306" s="502" t="n">
        <f aca="false">IF($D306="是",S306-T306,0)</f>
        <v>0</v>
      </c>
      <c r="BH306" s="502" t="n">
        <f aca="false">IF($D306="是",U306-V306,0)</f>
        <v>0</v>
      </c>
      <c r="BI306" s="502" t="n">
        <f aca="false">IF($D306="是",W306-X306,0)</f>
        <v>0</v>
      </c>
      <c r="BJ306" s="502" t="n">
        <f aca="false">IF($D306="是",Y306-Z306,0)</f>
        <v>0</v>
      </c>
      <c r="BK306" s="502" t="n">
        <f aca="false">IF($D306="是",AA306-AB306,0)</f>
        <v>0</v>
      </c>
      <c r="BL306" s="502" t="n">
        <f aca="false">SUM(BM306:BT306)</f>
        <v>0</v>
      </c>
      <c r="BM306" s="502" t="n">
        <f aca="false">IF($D306="是",AD306-AE306,0)</f>
        <v>0</v>
      </c>
      <c r="BN306" s="502" t="n">
        <f aca="false">IF($D306="是",AF306-AG306,0)</f>
        <v>0</v>
      </c>
      <c r="BO306" s="502" t="n">
        <f aca="false">IF($D306="是",AH306-AI306,0)</f>
        <v>0</v>
      </c>
      <c r="BP306" s="502" t="n">
        <f aca="false">IF($D306="是",AJ306-AK306,0)</f>
        <v>0</v>
      </c>
      <c r="BQ306" s="502" t="n">
        <f aca="false">IF($D306="是",AL306-AM306,0)</f>
        <v>0</v>
      </c>
      <c r="BR306" s="502" t="n">
        <f aca="false">IF($D306="是",AN306-AO306,0)</f>
        <v>0</v>
      </c>
      <c r="BS306" s="502" t="n">
        <f aca="false">IF($D306="是",AP306-AQ306,0)</f>
        <v>0</v>
      </c>
      <c r="BT306" s="512" t="n">
        <f aca="false">IF($D306="是",AR306-AS306,0)</f>
        <v>0</v>
      </c>
    </row>
    <row r="307" customFormat="false" ht="14.25" hidden="false" customHeight="false" outlineLevel="0" collapsed="false">
      <c r="A307" s="499"/>
      <c r="B307" s="500"/>
      <c r="C307" s="500"/>
      <c r="D307" s="501"/>
      <c r="E307" s="502" t="n">
        <f aca="false">IF($C$3="是",ROUND($A$3*G307/$B$3,2),ROUND($A$3*(G307-AT307)/$B$3,2))</f>
        <v>0</v>
      </c>
      <c r="F307" s="503"/>
      <c r="G307" s="504" t="n">
        <f aca="false">H307+AC307+AT307</f>
        <v>0</v>
      </c>
      <c r="H307" s="505" t="n">
        <f aca="false">SUMIF(I$12:AB$12,"总值",I307:AB307)</f>
        <v>0</v>
      </c>
      <c r="I307" s="506"/>
      <c r="J307" s="506"/>
      <c r="K307" s="506"/>
      <c r="L307" s="506"/>
      <c r="M307" s="506"/>
      <c r="N307" s="506"/>
      <c r="O307" s="506"/>
      <c r="P307" s="506"/>
      <c r="Q307" s="506"/>
      <c r="R307" s="506"/>
      <c r="S307" s="506"/>
      <c r="T307" s="506"/>
      <c r="U307" s="506"/>
      <c r="V307" s="506"/>
      <c r="W307" s="506"/>
      <c r="X307" s="506"/>
      <c r="Y307" s="506"/>
      <c r="Z307" s="506"/>
      <c r="AA307" s="506"/>
      <c r="AB307" s="506"/>
      <c r="AC307" s="502" t="n">
        <f aca="false">SUMIF(AD$12:AS$12,"总值",AD307:AS307)</f>
        <v>0</v>
      </c>
      <c r="AD307" s="507"/>
      <c r="AE307" s="507"/>
      <c r="AF307" s="507"/>
      <c r="AG307" s="507"/>
      <c r="AH307" s="507"/>
      <c r="AI307" s="507"/>
      <c r="AJ307" s="507"/>
      <c r="AK307" s="507"/>
      <c r="AL307" s="507"/>
      <c r="AM307" s="507"/>
      <c r="AN307" s="507"/>
      <c r="AO307" s="507"/>
      <c r="AP307" s="507"/>
      <c r="AQ307" s="507"/>
      <c r="AR307" s="507"/>
      <c r="AS307" s="507"/>
      <c r="AT307" s="508"/>
      <c r="AU307" s="509"/>
      <c r="AV307" s="510" t="n">
        <f aca="false">A307</f>
        <v>0</v>
      </c>
      <c r="AW307" s="510" t="n">
        <f aca="false">B307</f>
        <v>0</v>
      </c>
      <c r="AX307" s="510" t="n">
        <f aca="false">C307</f>
        <v>0</v>
      </c>
      <c r="AY307" s="511" t="n">
        <f aca="false">ROUND($AY$6*AZ307/$AZ$5,2)</f>
        <v>0</v>
      </c>
      <c r="AZ307" s="502" t="n">
        <f aca="false">BA307+BL307</f>
        <v>0</v>
      </c>
      <c r="BA307" s="502" t="n">
        <f aca="false">SUM(BB307:BK307)</f>
        <v>0</v>
      </c>
      <c r="BB307" s="502" t="n">
        <f aca="false">IF($D307="是",I307-J307,0)</f>
        <v>0</v>
      </c>
      <c r="BC307" s="502" t="n">
        <f aca="false">IF($D307="是",K307-L307,0)</f>
        <v>0</v>
      </c>
      <c r="BD307" s="502" t="n">
        <f aca="false">IF($D307="是",M307-N307,0)</f>
        <v>0</v>
      </c>
      <c r="BE307" s="502" t="n">
        <f aca="false">IF($D307="是",O307-P307,0)</f>
        <v>0</v>
      </c>
      <c r="BF307" s="502" t="n">
        <f aca="false">IF($D307="是",Q307-R307,0)</f>
        <v>0</v>
      </c>
      <c r="BG307" s="502" t="n">
        <f aca="false">IF($D307="是",S307-T307,0)</f>
        <v>0</v>
      </c>
      <c r="BH307" s="502" t="n">
        <f aca="false">IF($D307="是",U307-V307,0)</f>
        <v>0</v>
      </c>
      <c r="BI307" s="502" t="n">
        <f aca="false">IF($D307="是",W307-X307,0)</f>
        <v>0</v>
      </c>
      <c r="BJ307" s="502" t="n">
        <f aca="false">IF($D307="是",Y307-Z307,0)</f>
        <v>0</v>
      </c>
      <c r="BK307" s="502" t="n">
        <f aca="false">IF($D307="是",AA307-AB307,0)</f>
        <v>0</v>
      </c>
      <c r="BL307" s="502" t="n">
        <f aca="false">SUM(BM307:BT307)</f>
        <v>0</v>
      </c>
      <c r="BM307" s="502" t="n">
        <f aca="false">IF($D307="是",AD307-AE307,0)</f>
        <v>0</v>
      </c>
      <c r="BN307" s="502" t="n">
        <f aca="false">IF($D307="是",AF307-AG307,0)</f>
        <v>0</v>
      </c>
      <c r="BO307" s="502" t="n">
        <f aca="false">IF($D307="是",AH307-AI307,0)</f>
        <v>0</v>
      </c>
      <c r="BP307" s="502" t="n">
        <f aca="false">IF($D307="是",AJ307-AK307,0)</f>
        <v>0</v>
      </c>
      <c r="BQ307" s="502" t="n">
        <f aca="false">IF($D307="是",AL307-AM307,0)</f>
        <v>0</v>
      </c>
      <c r="BR307" s="502" t="n">
        <f aca="false">IF($D307="是",AN307-AO307,0)</f>
        <v>0</v>
      </c>
      <c r="BS307" s="502" t="n">
        <f aca="false">IF($D307="是",AP307-AQ307,0)</f>
        <v>0</v>
      </c>
      <c r="BT307" s="512" t="n">
        <f aca="false">IF($D307="是",AR307-AS307,0)</f>
        <v>0</v>
      </c>
    </row>
    <row r="308" customFormat="false" ht="14.25" hidden="false" customHeight="false" outlineLevel="0" collapsed="false">
      <c r="A308" s="499"/>
      <c r="B308" s="500"/>
      <c r="C308" s="500"/>
      <c r="D308" s="501"/>
      <c r="E308" s="502" t="n">
        <f aca="false">IF($C$3="是",ROUND($A$3*G308/$B$3,2),ROUND($A$3*(G308-AT308)/$B$3,2))</f>
        <v>0</v>
      </c>
      <c r="F308" s="503"/>
      <c r="G308" s="504" t="n">
        <f aca="false">H308+AC308+AT308</f>
        <v>0</v>
      </c>
      <c r="H308" s="505" t="n">
        <f aca="false">SUMIF(I$12:AB$12,"总值",I308:AB308)</f>
        <v>0</v>
      </c>
      <c r="I308" s="506"/>
      <c r="J308" s="506"/>
      <c r="K308" s="506"/>
      <c r="L308" s="506"/>
      <c r="M308" s="506"/>
      <c r="N308" s="506"/>
      <c r="O308" s="506"/>
      <c r="P308" s="506"/>
      <c r="Q308" s="506"/>
      <c r="R308" s="506"/>
      <c r="S308" s="506"/>
      <c r="T308" s="506"/>
      <c r="U308" s="506"/>
      <c r="V308" s="506"/>
      <c r="W308" s="506"/>
      <c r="X308" s="506"/>
      <c r="Y308" s="506"/>
      <c r="Z308" s="506"/>
      <c r="AA308" s="506"/>
      <c r="AB308" s="506"/>
      <c r="AC308" s="502" t="n">
        <f aca="false">SUMIF(AD$12:AS$12,"总值",AD308:AS308)</f>
        <v>0</v>
      </c>
      <c r="AD308" s="507"/>
      <c r="AE308" s="507"/>
      <c r="AF308" s="507"/>
      <c r="AG308" s="507"/>
      <c r="AH308" s="507"/>
      <c r="AI308" s="507"/>
      <c r="AJ308" s="507"/>
      <c r="AK308" s="507"/>
      <c r="AL308" s="507"/>
      <c r="AM308" s="507"/>
      <c r="AN308" s="507"/>
      <c r="AO308" s="507"/>
      <c r="AP308" s="507"/>
      <c r="AQ308" s="507"/>
      <c r="AR308" s="507"/>
      <c r="AS308" s="507"/>
      <c r="AT308" s="508"/>
      <c r="AU308" s="509"/>
      <c r="AV308" s="510" t="n">
        <f aca="false">A308</f>
        <v>0</v>
      </c>
      <c r="AW308" s="510" t="n">
        <f aca="false">B308</f>
        <v>0</v>
      </c>
      <c r="AX308" s="510" t="n">
        <f aca="false">C308</f>
        <v>0</v>
      </c>
      <c r="AY308" s="511" t="n">
        <f aca="false">ROUND($AY$6*AZ308/$AZ$5,2)</f>
        <v>0</v>
      </c>
      <c r="AZ308" s="502" t="n">
        <f aca="false">BA308+BL308</f>
        <v>0</v>
      </c>
      <c r="BA308" s="502" t="n">
        <f aca="false">SUM(BB308:BK308)</f>
        <v>0</v>
      </c>
      <c r="BB308" s="502" t="n">
        <f aca="false">IF($D308="是",I308-J308,0)</f>
        <v>0</v>
      </c>
      <c r="BC308" s="502" t="n">
        <f aca="false">IF($D308="是",K308-L308,0)</f>
        <v>0</v>
      </c>
      <c r="BD308" s="502" t="n">
        <f aca="false">IF($D308="是",M308-N308,0)</f>
        <v>0</v>
      </c>
      <c r="BE308" s="502" t="n">
        <f aca="false">IF($D308="是",O308-P308,0)</f>
        <v>0</v>
      </c>
      <c r="BF308" s="502" t="n">
        <f aca="false">IF($D308="是",Q308-R308,0)</f>
        <v>0</v>
      </c>
      <c r="BG308" s="502" t="n">
        <f aca="false">IF($D308="是",S308-T308,0)</f>
        <v>0</v>
      </c>
      <c r="BH308" s="502" t="n">
        <f aca="false">IF($D308="是",U308-V308,0)</f>
        <v>0</v>
      </c>
      <c r="BI308" s="502" t="n">
        <f aca="false">IF($D308="是",W308-X308,0)</f>
        <v>0</v>
      </c>
      <c r="BJ308" s="502" t="n">
        <f aca="false">IF($D308="是",Y308-Z308,0)</f>
        <v>0</v>
      </c>
      <c r="BK308" s="502" t="n">
        <f aca="false">IF($D308="是",AA308-AB308,0)</f>
        <v>0</v>
      </c>
      <c r="BL308" s="502" t="n">
        <f aca="false">SUM(BM308:BT308)</f>
        <v>0</v>
      </c>
      <c r="BM308" s="502" t="n">
        <f aca="false">IF($D308="是",AD308-AE308,0)</f>
        <v>0</v>
      </c>
      <c r="BN308" s="502" t="n">
        <f aca="false">IF($D308="是",AF308-AG308,0)</f>
        <v>0</v>
      </c>
      <c r="BO308" s="502" t="n">
        <f aca="false">IF($D308="是",AH308-AI308,0)</f>
        <v>0</v>
      </c>
      <c r="BP308" s="502" t="n">
        <f aca="false">IF($D308="是",AJ308-AK308,0)</f>
        <v>0</v>
      </c>
      <c r="BQ308" s="502" t="n">
        <f aca="false">IF($D308="是",AL308-AM308,0)</f>
        <v>0</v>
      </c>
      <c r="BR308" s="502" t="n">
        <f aca="false">IF($D308="是",AN308-AO308,0)</f>
        <v>0</v>
      </c>
      <c r="BS308" s="502" t="n">
        <f aca="false">IF($D308="是",AP308-AQ308,0)</f>
        <v>0</v>
      </c>
      <c r="BT308" s="512" t="n">
        <f aca="false">IF($D308="是",AR308-AS308,0)</f>
        <v>0</v>
      </c>
    </row>
    <row r="309" customFormat="false" ht="14.25" hidden="false" customHeight="false" outlineLevel="0" collapsed="false">
      <c r="A309" s="499"/>
      <c r="B309" s="500"/>
      <c r="C309" s="500"/>
      <c r="D309" s="501"/>
      <c r="E309" s="502" t="n">
        <f aca="false">IF($C$3="是",ROUND($A$3*G309/$B$3,2),ROUND($A$3*(G309-AT309)/$B$3,2))</f>
        <v>0</v>
      </c>
      <c r="F309" s="503"/>
      <c r="G309" s="504" t="n">
        <f aca="false">H309+AC309+AT309</f>
        <v>0</v>
      </c>
      <c r="H309" s="505" t="n">
        <f aca="false">SUMIF(I$12:AB$12,"总值",I309:AB309)</f>
        <v>0</v>
      </c>
      <c r="I309" s="506"/>
      <c r="J309" s="506"/>
      <c r="K309" s="506"/>
      <c r="L309" s="506"/>
      <c r="M309" s="506"/>
      <c r="N309" s="506"/>
      <c r="O309" s="506"/>
      <c r="P309" s="506"/>
      <c r="Q309" s="506"/>
      <c r="R309" s="506"/>
      <c r="S309" s="506"/>
      <c r="T309" s="506"/>
      <c r="U309" s="506"/>
      <c r="V309" s="506"/>
      <c r="W309" s="506"/>
      <c r="X309" s="506"/>
      <c r="Y309" s="506"/>
      <c r="Z309" s="506"/>
      <c r="AA309" s="506"/>
      <c r="AB309" s="506"/>
      <c r="AC309" s="502" t="n">
        <f aca="false">SUMIF(AD$12:AS$12,"总值",AD309:AS309)</f>
        <v>0</v>
      </c>
      <c r="AD309" s="507"/>
      <c r="AE309" s="507"/>
      <c r="AF309" s="507"/>
      <c r="AG309" s="507"/>
      <c r="AH309" s="507"/>
      <c r="AI309" s="507"/>
      <c r="AJ309" s="507"/>
      <c r="AK309" s="507"/>
      <c r="AL309" s="507"/>
      <c r="AM309" s="507"/>
      <c r="AN309" s="507"/>
      <c r="AO309" s="507"/>
      <c r="AP309" s="507"/>
      <c r="AQ309" s="507"/>
      <c r="AR309" s="507"/>
      <c r="AS309" s="507"/>
      <c r="AT309" s="508"/>
      <c r="AU309" s="509"/>
      <c r="AV309" s="510" t="n">
        <f aca="false">A309</f>
        <v>0</v>
      </c>
      <c r="AW309" s="510" t="n">
        <f aca="false">B309</f>
        <v>0</v>
      </c>
      <c r="AX309" s="510" t="n">
        <f aca="false">C309</f>
        <v>0</v>
      </c>
      <c r="AY309" s="511" t="n">
        <f aca="false">ROUND($AY$6*AZ309/$AZ$5,2)</f>
        <v>0</v>
      </c>
      <c r="AZ309" s="502" t="n">
        <f aca="false">BA309+BL309</f>
        <v>0</v>
      </c>
      <c r="BA309" s="502" t="n">
        <f aca="false">SUM(BB309:BK309)</f>
        <v>0</v>
      </c>
      <c r="BB309" s="502" t="n">
        <f aca="false">IF($D309="是",I309-J309,0)</f>
        <v>0</v>
      </c>
      <c r="BC309" s="502" t="n">
        <f aca="false">IF($D309="是",K309-L309,0)</f>
        <v>0</v>
      </c>
      <c r="BD309" s="502" t="n">
        <f aca="false">IF($D309="是",M309-N309,0)</f>
        <v>0</v>
      </c>
      <c r="BE309" s="502" t="n">
        <f aca="false">IF($D309="是",O309-P309,0)</f>
        <v>0</v>
      </c>
      <c r="BF309" s="502" t="n">
        <f aca="false">IF($D309="是",Q309-R309,0)</f>
        <v>0</v>
      </c>
      <c r="BG309" s="502" t="n">
        <f aca="false">IF($D309="是",S309-T309,0)</f>
        <v>0</v>
      </c>
      <c r="BH309" s="502" t="n">
        <f aca="false">IF($D309="是",U309-V309,0)</f>
        <v>0</v>
      </c>
      <c r="BI309" s="502" t="n">
        <f aca="false">IF($D309="是",W309-X309,0)</f>
        <v>0</v>
      </c>
      <c r="BJ309" s="502" t="n">
        <f aca="false">IF($D309="是",Y309-Z309,0)</f>
        <v>0</v>
      </c>
      <c r="BK309" s="502" t="n">
        <f aca="false">IF($D309="是",AA309-AB309,0)</f>
        <v>0</v>
      </c>
      <c r="BL309" s="502" t="n">
        <f aca="false">SUM(BM309:BT309)</f>
        <v>0</v>
      </c>
      <c r="BM309" s="502" t="n">
        <f aca="false">IF($D309="是",AD309-AE309,0)</f>
        <v>0</v>
      </c>
      <c r="BN309" s="502" t="n">
        <f aca="false">IF($D309="是",AF309-AG309,0)</f>
        <v>0</v>
      </c>
      <c r="BO309" s="502" t="n">
        <f aca="false">IF($D309="是",AH309-AI309,0)</f>
        <v>0</v>
      </c>
      <c r="BP309" s="502" t="n">
        <f aca="false">IF($D309="是",AJ309-AK309,0)</f>
        <v>0</v>
      </c>
      <c r="BQ309" s="502" t="n">
        <f aca="false">IF($D309="是",AL309-AM309,0)</f>
        <v>0</v>
      </c>
      <c r="BR309" s="502" t="n">
        <f aca="false">IF($D309="是",AN309-AO309,0)</f>
        <v>0</v>
      </c>
      <c r="BS309" s="502" t="n">
        <f aca="false">IF($D309="是",AP309-AQ309,0)</f>
        <v>0</v>
      </c>
      <c r="BT309" s="512" t="n">
        <f aca="false">IF($D309="是",AR309-AS309,0)</f>
        <v>0</v>
      </c>
    </row>
    <row r="310" customFormat="false" ht="14.25" hidden="false" customHeight="false" outlineLevel="0" collapsed="false">
      <c r="A310" s="499"/>
      <c r="B310" s="500"/>
      <c r="C310" s="500"/>
      <c r="D310" s="501"/>
      <c r="E310" s="502" t="n">
        <f aca="false">IF($C$3="是",ROUND($A$3*G310/$B$3,2),ROUND($A$3*(G310-AT310)/$B$3,2))</f>
        <v>0</v>
      </c>
      <c r="F310" s="503"/>
      <c r="G310" s="504" t="n">
        <f aca="false">H310+AC310+AT310</f>
        <v>0</v>
      </c>
      <c r="H310" s="505" t="n">
        <f aca="false">SUMIF(I$12:AB$12,"总值",I310:AB310)</f>
        <v>0</v>
      </c>
      <c r="I310" s="506"/>
      <c r="J310" s="506"/>
      <c r="K310" s="506"/>
      <c r="L310" s="506"/>
      <c r="M310" s="506"/>
      <c r="N310" s="506"/>
      <c r="O310" s="506"/>
      <c r="P310" s="506"/>
      <c r="Q310" s="506"/>
      <c r="R310" s="506"/>
      <c r="S310" s="506"/>
      <c r="T310" s="506"/>
      <c r="U310" s="506"/>
      <c r="V310" s="506"/>
      <c r="W310" s="506"/>
      <c r="X310" s="506"/>
      <c r="Y310" s="506"/>
      <c r="Z310" s="506"/>
      <c r="AA310" s="506"/>
      <c r="AB310" s="506"/>
      <c r="AC310" s="502" t="n">
        <f aca="false">SUMIF(AD$12:AS$12,"总值",AD310:AS310)</f>
        <v>0</v>
      </c>
      <c r="AD310" s="507"/>
      <c r="AE310" s="507"/>
      <c r="AF310" s="507"/>
      <c r="AG310" s="507"/>
      <c r="AH310" s="507"/>
      <c r="AI310" s="507"/>
      <c r="AJ310" s="507"/>
      <c r="AK310" s="507"/>
      <c r="AL310" s="507"/>
      <c r="AM310" s="507"/>
      <c r="AN310" s="507"/>
      <c r="AO310" s="507"/>
      <c r="AP310" s="507"/>
      <c r="AQ310" s="507"/>
      <c r="AR310" s="507"/>
      <c r="AS310" s="507"/>
      <c r="AT310" s="508"/>
      <c r="AU310" s="509"/>
      <c r="AV310" s="510" t="n">
        <f aca="false">A310</f>
        <v>0</v>
      </c>
      <c r="AW310" s="510" t="n">
        <f aca="false">B310</f>
        <v>0</v>
      </c>
      <c r="AX310" s="510" t="n">
        <f aca="false">C310</f>
        <v>0</v>
      </c>
      <c r="AY310" s="511" t="n">
        <f aca="false">ROUND($AY$6*AZ310/$AZ$5,2)</f>
        <v>0</v>
      </c>
      <c r="AZ310" s="502" t="n">
        <f aca="false">BA310+BL310</f>
        <v>0</v>
      </c>
      <c r="BA310" s="502" t="n">
        <f aca="false">SUM(BB310:BK310)</f>
        <v>0</v>
      </c>
      <c r="BB310" s="502" t="n">
        <f aca="false">IF($D310="是",I310-J310,0)</f>
        <v>0</v>
      </c>
      <c r="BC310" s="502" t="n">
        <f aca="false">IF($D310="是",K310-L310,0)</f>
        <v>0</v>
      </c>
      <c r="BD310" s="502" t="n">
        <f aca="false">IF($D310="是",M310-N310,0)</f>
        <v>0</v>
      </c>
      <c r="BE310" s="502" t="n">
        <f aca="false">IF($D310="是",O310-P310,0)</f>
        <v>0</v>
      </c>
      <c r="BF310" s="502" t="n">
        <f aca="false">IF($D310="是",Q310-R310,0)</f>
        <v>0</v>
      </c>
      <c r="BG310" s="502" t="n">
        <f aca="false">IF($D310="是",S310-T310,0)</f>
        <v>0</v>
      </c>
      <c r="BH310" s="502" t="n">
        <f aca="false">IF($D310="是",U310-V310,0)</f>
        <v>0</v>
      </c>
      <c r="BI310" s="502" t="n">
        <f aca="false">IF($D310="是",W310-X310,0)</f>
        <v>0</v>
      </c>
      <c r="BJ310" s="502" t="n">
        <f aca="false">IF($D310="是",Y310-Z310,0)</f>
        <v>0</v>
      </c>
      <c r="BK310" s="502" t="n">
        <f aca="false">IF($D310="是",AA310-AB310,0)</f>
        <v>0</v>
      </c>
      <c r="BL310" s="502" t="n">
        <f aca="false">SUM(BM310:BT310)</f>
        <v>0</v>
      </c>
      <c r="BM310" s="502" t="n">
        <f aca="false">IF($D310="是",AD310-AE310,0)</f>
        <v>0</v>
      </c>
      <c r="BN310" s="502" t="n">
        <f aca="false">IF($D310="是",AF310-AG310,0)</f>
        <v>0</v>
      </c>
      <c r="BO310" s="502" t="n">
        <f aca="false">IF($D310="是",AH310-AI310,0)</f>
        <v>0</v>
      </c>
      <c r="BP310" s="502" t="n">
        <f aca="false">IF($D310="是",AJ310-AK310,0)</f>
        <v>0</v>
      </c>
      <c r="BQ310" s="502" t="n">
        <f aca="false">IF($D310="是",AL310-AM310,0)</f>
        <v>0</v>
      </c>
      <c r="BR310" s="502" t="n">
        <f aca="false">IF($D310="是",AN310-AO310,0)</f>
        <v>0</v>
      </c>
      <c r="BS310" s="502" t="n">
        <f aca="false">IF($D310="是",AP310-AQ310,0)</f>
        <v>0</v>
      </c>
      <c r="BT310" s="512" t="n">
        <f aca="false">IF($D310="是",AR310-AS310,0)</f>
        <v>0</v>
      </c>
    </row>
    <row r="311" customFormat="false" ht="14.25" hidden="false" customHeight="false" outlineLevel="0" collapsed="false">
      <c r="A311" s="499"/>
      <c r="B311" s="500"/>
      <c r="C311" s="500"/>
      <c r="D311" s="501"/>
      <c r="E311" s="502" t="n">
        <f aca="false">IF($C$3="是",ROUND($A$3*G311/$B$3,2),ROUND($A$3*(G311-AT311)/$B$3,2))</f>
        <v>0</v>
      </c>
      <c r="F311" s="503"/>
      <c r="G311" s="504" t="n">
        <f aca="false">H311+AC311+AT311</f>
        <v>0</v>
      </c>
      <c r="H311" s="505" t="n">
        <f aca="false">SUMIF(I$12:AB$12,"总值",I311:AB311)</f>
        <v>0</v>
      </c>
      <c r="I311" s="506"/>
      <c r="J311" s="506"/>
      <c r="K311" s="506"/>
      <c r="L311" s="506"/>
      <c r="M311" s="506"/>
      <c r="N311" s="506"/>
      <c r="O311" s="506"/>
      <c r="P311" s="506"/>
      <c r="Q311" s="506"/>
      <c r="R311" s="506"/>
      <c r="S311" s="506"/>
      <c r="T311" s="506"/>
      <c r="U311" s="506"/>
      <c r="V311" s="506"/>
      <c r="W311" s="506"/>
      <c r="X311" s="506"/>
      <c r="Y311" s="506"/>
      <c r="Z311" s="506"/>
      <c r="AA311" s="506"/>
      <c r="AB311" s="506"/>
      <c r="AC311" s="502" t="n">
        <f aca="false">SUMIF(AD$12:AS$12,"总值",AD311:AS311)</f>
        <v>0</v>
      </c>
      <c r="AD311" s="507"/>
      <c r="AE311" s="507"/>
      <c r="AF311" s="507"/>
      <c r="AG311" s="507"/>
      <c r="AH311" s="507"/>
      <c r="AI311" s="507"/>
      <c r="AJ311" s="507"/>
      <c r="AK311" s="507"/>
      <c r="AL311" s="507"/>
      <c r="AM311" s="507"/>
      <c r="AN311" s="507"/>
      <c r="AO311" s="507"/>
      <c r="AP311" s="507"/>
      <c r="AQ311" s="507"/>
      <c r="AR311" s="507"/>
      <c r="AS311" s="507"/>
      <c r="AT311" s="508"/>
      <c r="AU311" s="509"/>
      <c r="AV311" s="510" t="n">
        <f aca="false">A311</f>
        <v>0</v>
      </c>
      <c r="AW311" s="510" t="n">
        <f aca="false">B311</f>
        <v>0</v>
      </c>
      <c r="AX311" s="510" t="n">
        <f aca="false">C311</f>
        <v>0</v>
      </c>
      <c r="AY311" s="511" t="n">
        <f aca="false">ROUND($AY$6*AZ311/$AZ$5,2)</f>
        <v>0</v>
      </c>
      <c r="AZ311" s="502" t="n">
        <f aca="false">BA311+BL311</f>
        <v>0</v>
      </c>
      <c r="BA311" s="502" t="n">
        <f aca="false">SUM(BB311:BK311)</f>
        <v>0</v>
      </c>
      <c r="BB311" s="502" t="n">
        <f aca="false">IF($D311="是",I311-J311,0)</f>
        <v>0</v>
      </c>
      <c r="BC311" s="502" t="n">
        <f aca="false">IF($D311="是",K311-L311,0)</f>
        <v>0</v>
      </c>
      <c r="BD311" s="502" t="n">
        <f aca="false">IF($D311="是",M311-N311,0)</f>
        <v>0</v>
      </c>
      <c r="BE311" s="502" t="n">
        <f aca="false">IF($D311="是",O311-P311,0)</f>
        <v>0</v>
      </c>
      <c r="BF311" s="502" t="n">
        <f aca="false">IF($D311="是",Q311-R311,0)</f>
        <v>0</v>
      </c>
      <c r="BG311" s="502" t="n">
        <f aca="false">IF($D311="是",S311-T311,0)</f>
        <v>0</v>
      </c>
      <c r="BH311" s="502" t="n">
        <f aca="false">IF($D311="是",U311-V311,0)</f>
        <v>0</v>
      </c>
      <c r="BI311" s="502" t="n">
        <f aca="false">IF($D311="是",W311-X311,0)</f>
        <v>0</v>
      </c>
      <c r="BJ311" s="502" t="n">
        <f aca="false">IF($D311="是",Y311-Z311,0)</f>
        <v>0</v>
      </c>
      <c r="BK311" s="502" t="n">
        <f aca="false">IF($D311="是",AA311-AB311,0)</f>
        <v>0</v>
      </c>
      <c r="BL311" s="502" t="n">
        <f aca="false">SUM(BM311:BT311)</f>
        <v>0</v>
      </c>
      <c r="BM311" s="502" t="n">
        <f aca="false">IF($D311="是",AD311-AE311,0)</f>
        <v>0</v>
      </c>
      <c r="BN311" s="502" t="n">
        <f aca="false">IF($D311="是",AF311-AG311,0)</f>
        <v>0</v>
      </c>
      <c r="BO311" s="502" t="n">
        <f aca="false">IF($D311="是",AH311-AI311,0)</f>
        <v>0</v>
      </c>
      <c r="BP311" s="502" t="n">
        <f aca="false">IF($D311="是",AJ311-AK311,0)</f>
        <v>0</v>
      </c>
      <c r="BQ311" s="502" t="n">
        <f aca="false">IF($D311="是",AL311-AM311,0)</f>
        <v>0</v>
      </c>
      <c r="BR311" s="502" t="n">
        <f aca="false">IF($D311="是",AN311-AO311,0)</f>
        <v>0</v>
      </c>
      <c r="BS311" s="502" t="n">
        <f aca="false">IF($D311="是",AP311-AQ311,0)</f>
        <v>0</v>
      </c>
      <c r="BT311" s="512" t="n">
        <f aca="false">IF($D311="是",AR311-AS311,0)</f>
        <v>0</v>
      </c>
    </row>
    <row r="312" customFormat="false" ht="14.25" hidden="false" customHeight="false" outlineLevel="0" collapsed="false">
      <c r="A312" s="499"/>
      <c r="B312" s="500"/>
      <c r="C312" s="500"/>
      <c r="D312" s="501"/>
      <c r="E312" s="502" t="n">
        <f aca="false">IF($C$3="是",ROUND($A$3*G312/$B$3,2),ROUND($A$3*(G312-AT312)/$B$3,2))</f>
        <v>0</v>
      </c>
      <c r="F312" s="503"/>
      <c r="G312" s="504" t="n">
        <f aca="false">H312+AC312+AT312</f>
        <v>0</v>
      </c>
      <c r="H312" s="505" t="n">
        <f aca="false">SUMIF(I$12:AB$12,"总值",I312:AB312)</f>
        <v>0</v>
      </c>
      <c r="I312" s="506"/>
      <c r="J312" s="506"/>
      <c r="K312" s="506"/>
      <c r="L312" s="506"/>
      <c r="M312" s="506"/>
      <c r="N312" s="506"/>
      <c r="O312" s="506"/>
      <c r="P312" s="506"/>
      <c r="Q312" s="506"/>
      <c r="R312" s="506"/>
      <c r="S312" s="506"/>
      <c r="T312" s="506"/>
      <c r="U312" s="506"/>
      <c r="V312" s="506"/>
      <c r="W312" s="506"/>
      <c r="X312" s="506"/>
      <c r="Y312" s="506"/>
      <c r="Z312" s="506"/>
      <c r="AA312" s="506"/>
      <c r="AB312" s="506"/>
      <c r="AC312" s="502" t="n">
        <f aca="false">SUMIF(AD$12:AS$12,"总值",AD312:AS312)</f>
        <v>0</v>
      </c>
      <c r="AD312" s="507"/>
      <c r="AE312" s="507"/>
      <c r="AF312" s="507"/>
      <c r="AG312" s="507"/>
      <c r="AH312" s="507"/>
      <c r="AI312" s="507"/>
      <c r="AJ312" s="507"/>
      <c r="AK312" s="507"/>
      <c r="AL312" s="507"/>
      <c r="AM312" s="507"/>
      <c r="AN312" s="507"/>
      <c r="AO312" s="507"/>
      <c r="AP312" s="507"/>
      <c r="AQ312" s="507"/>
      <c r="AR312" s="507"/>
      <c r="AS312" s="507"/>
      <c r="AT312" s="508"/>
      <c r="AU312" s="509"/>
      <c r="AV312" s="510" t="n">
        <f aca="false">A312</f>
        <v>0</v>
      </c>
      <c r="AW312" s="510" t="n">
        <f aca="false">B312</f>
        <v>0</v>
      </c>
      <c r="AX312" s="510" t="n">
        <f aca="false">C312</f>
        <v>0</v>
      </c>
      <c r="AY312" s="511" t="n">
        <f aca="false">ROUND($AY$6*AZ312/$AZ$5,2)</f>
        <v>0</v>
      </c>
      <c r="AZ312" s="502" t="n">
        <f aca="false">BA312+BL312</f>
        <v>0</v>
      </c>
      <c r="BA312" s="502" t="n">
        <f aca="false">SUM(BB312:BK312)</f>
        <v>0</v>
      </c>
      <c r="BB312" s="502" t="n">
        <f aca="false">IF($D312="是",I312-J312,0)</f>
        <v>0</v>
      </c>
      <c r="BC312" s="502" t="n">
        <f aca="false">IF($D312="是",K312-L312,0)</f>
        <v>0</v>
      </c>
      <c r="BD312" s="502" t="n">
        <f aca="false">IF($D312="是",M312-N312,0)</f>
        <v>0</v>
      </c>
      <c r="BE312" s="502" t="n">
        <f aca="false">IF($D312="是",O312-P312,0)</f>
        <v>0</v>
      </c>
      <c r="BF312" s="502" t="n">
        <f aca="false">IF($D312="是",Q312-R312,0)</f>
        <v>0</v>
      </c>
      <c r="BG312" s="502" t="n">
        <f aca="false">IF($D312="是",S312-T312,0)</f>
        <v>0</v>
      </c>
      <c r="BH312" s="502" t="n">
        <f aca="false">IF($D312="是",U312-V312,0)</f>
        <v>0</v>
      </c>
      <c r="BI312" s="502" t="n">
        <f aca="false">IF($D312="是",W312-X312,0)</f>
        <v>0</v>
      </c>
      <c r="BJ312" s="502" t="n">
        <f aca="false">IF($D312="是",Y312-Z312,0)</f>
        <v>0</v>
      </c>
      <c r="BK312" s="502" t="n">
        <f aca="false">IF($D312="是",AA312-AB312,0)</f>
        <v>0</v>
      </c>
      <c r="BL312" s="502" t="n">
        <f aca="false">SUM(BM312:BT312)</f>
        <v>0</v>
      </c>
      <c r="BM312" s="502" t="n">
        <f aca="false">IF($D312="是",AD312-AE312,0)</f>
        <v>0</v>
      </c>
      <c r="BN312" s="502" t="n">
        <f aca="false">IF($D312="是",AF312-AG312,0)</f>
        <v>0</v>
      </c>
      <c r="BO312" s="502" t="n">
        <f aca="false">IF($D312="是",AH312-AI312,0)</f>
        <v>0</v>
      </c>
      <c r="BP312" s="502" t="n">
        <f aca="false">IF($D312="是",AJ312-AK312,0)</f>
        <v>0</v>
      </c>
      <c r="BQ312" s="502" t="n">
        <f aca="false">IF($D312="是",AL312-AM312,0)</f>
        <v>0</v>
      </c>
      <c r="BR312" s="502" t="n">
        <f aca="false">IF($D312="是",AN312-AO312,0)</f>
        <v>0</v>
      </c>
      <c r="BS312" s="502" t="n">
        <f aca="false">IF($D312="是",AP312-AQ312,0)</f>
        <v>0</v>
      </c>
      <c r="BT312" s="512" t="n">
        <f aca="false">IF($D312="是",AR312-AS312,0)</f>
        <v>0</v>
      </c>
    </row>
    <row r="313" customFormat="false" ht="14.25" hidden="false" customHeight="false" outlineLevel="0" collapsed="false">
      <c r="A313" s="499"/>
      <c r="B313" s="500"/>
      <c r="C313" s="500"/>
      <c r="D313" s="501"/>
      <c r="E313" s="502" t="n">
        <f aca="false">IF($C$3="是",ROUND($A$3*G313/$B$3,2),ROUND($A$3*(G313-AT313)/$B$3,2))</f>
        <v>0</v>
      </c>
      <c r="F313" s="503"/>
      <c r="G313" s="504" t="n">
        <f aca="false">H313+AC313+AT313</f>
        <v>0</v>
      </c>
      <c r="H313" s="505" t="n">
        <f aca="false">SUMIF(I$12:AB$12,"总值",I313:AB313)</f>
        <v>0</v>
      </c>
      <c r="I313" s="506"/>
      <c r="J313" s="506"/>
      <c r="K313" s="506"/>
      <c r="L313" s="506"/>
      <c r="M313" s="506"/>
      <c r="N313" s="506"/>
      <c r="O313" s="506"/>
      <c r="P313" s="506"/>
      <c r="Q313" s="506"/>
      <c r="R313" s="506"/>
      <c r="S313" s="506"/>
      <c r="T313" s="506"/>
      <c r="U313" s="506"/>
      <c r="V313" s="506"/>
      <c r="W313" s="506"/>
      <c r="X313" s="506"/>
      <c r="Y313" s="506"/>
      <c r="Z313" s="506"/>
      <c r="AA313" s="506"/>
      <c r="AB313" s="506"/>
      <c r="AC313" s="502" t="n">
        <f aca="false">SUMIF(AD$12:AS$12,"总值",AD313:AS313)</f>
        <v>0</v>
      </c>
      <c r="AD313" s="507"/>
      <c r="AE313" s="507"/>
      <c r="AF313" s="507"/>
      <c r="AG313" s="507"/>
      <c r="AH313" s="507"/>
      <c r="AI313" s="507"/>
      <c r="AJ313" s="507"/>
      <c r="AK313" s="507"/>
      <c r="AL313" s="507"/>
      <c r="AM313" s="507"/>
      <c r="AN313" s="507"/>
      <c r="AO313" s="507"/>
      <c r="AP313" s="507"/>
      <c r="AQ313" s="507"/>
      <c r="AR313" s="507"/>
      <c r="AS313" s="507"/>
      <c r="AT313" s="508"/>
      <c r="AU313" s="509"/>
      <c r="AV313" s="510" t="n">
        <f aca="false">A313</f>
        <v>0</v>
      </c>
      <c r="AW313" s="510" t="n">
        <f aca="false">B313</f>
        <v>0</v>
      </c>
      <c r="AX313" s="510" t="n">
        <f aca="false">C313</f>
        <v>0</v>
      </c>
      <c r="AY313" s="511" t="n">
        <f aca="false">ROUND($AY$6*AZ313/$AZ$5,2)</f>
        <v>0</v>
      </c>
      <c r="AZ313" s="502" t="n">
        <f aca="false">BA313+BL313</f>
        <v>0</v>
      </c>
      <c r="BA313" s="502" t="n">
        <f aca="false">SUM(BB313:BK313)</f>
        <v>0</v>
      </c>
      <c r="BB313" s="502" t="n">
        <f aca="false">IF($D313="是",I313-J313,0)</f>
        <v>0</v>
      </c>
      <c r="BC313" s="502" t="n">
        <f aca="false">IF($D313="是",K313-L313,0)</f>
        <v>0</v>
      </c>
      <c r="BD313" s="502" t="n">
        <f aca="false">IF($D313="是",M313-N313,0)</f>
        <v>0</v>
      </c>
      <c r="BE313" s="502" t="n">
        <f aca="false">IF($D313="是",O313-P313,0)</f>
        <v>0</v>
      </c>
      <c r="BF313" s="502" t="n">
        <f aca="false">IF($D313="是",Q313-R313,0)</f>
        <v>0</v>
      </c>
      <c r="BG313" s="502" t="n">
        <f aca="false">IF($D313="是",S313-T313,0)</f>
        <v>0</v>
      </c>
      <c r="BH313" s="502" t="n">
        <f aca="false">IF($D313="是",U313-V313,0)</f>
        <v>0</v>
      </c>
      <c r="BI313" s="502" t="n">
        <f aca="false">IF($D313="是",W313-X313,0)</f>
        <v>0</v>
      </c>
      <c r="BJ313" s="502" t="n">
        <f aca="false">IF($D313="是",Y313-Z313,0)</f>
        <v>0</v>
      </c>
      <c r="BK313" s="502" t="n">
        <f aca="false">IF($D313="是",AA313-AB313,0)</f>
        <v>0</v>
      </c>
      <c r="BL313" s="502" t="n">
        <f aca="false">SUM(BM313:BT313)</f>
        <v>0</v>
      </c>
      <c r="BM313" s="502" t="n">
        <f aca="false">IF($D313="是",AD313-AE313,0)</f>
        <v>0</v>
      </c>
      <c r="BN313" s="502" t="n">
        <f aca="false">IF($D313="是",AF313-AG313,0)</f>
        <v>0</v>
      </c>
      <c r="BO313" s="502" t="n">
        <f aca="false">IF($D313="是",AH313-AI313,0)</f>
        <v>0</v>
      </c>
      <c r="BP313" s="502" t="n">
        <f aca="false">IF($D313="是",AJ313-AK313,0)</f>
        <v>0</v>
      </c>
      <c r="BQ313" s="502" t="n">
        <f aca="false">IF($D313="是",AL313-AM313,0)</f>
        <v>0</v>
      </c>
      <c r="BR313" s="502" t="n">
        <f aca="false">IF($D313="是",AN313-AO313,0)</f>
        <v>0</v>
      </c>
      <c r="BS313" s="502" t="n">
        <f aca="false">IF($D313="是",AP313-AQ313,0)</f>
        <v>0</v>
      </c>
      <c r="BT313" s="512" t="n">
        <f aca="false">IF($D313="是",AR313-AS313,0)</f>
        <v>0</v>
      </c>
    </row>
    <row r="314" customFormat="false" ht="14.25" hidden="false" customHeight="false" outlineLevel="0" collapsed="false">
      <c r="A314" s="499"/>
      <c r="B314" s="500"/>
      <c r="C314" s="500"/>
      <c r="D314" s="501"/>
      <c r="E314" s="502" t="n">
        <f aca="false">IF($C$3="是",ROUND($A$3*G314/$B$3,2),ROUND($A$3*(G314-AT314)/$B$3,2))</f>
        <v>0</v>
      </c>
      <c r="F314" s="503"/>
      <c r="G314" s="504" t="n">
        <f aca="false">H314+AC314+AT314</f>
        <v>0</v>
      </c>
      <c r="H314" s="505" t="n">
        <f aca="false">SUMIF(I$12:AB$12,"总值",I314:AB314)</f>
        <v>0</v>
      </c>
      <c r="I314" s="506"/>
      <c r="J314" s="506"/>
      <c r="K314" s="506"/>
      <c r="L314" s="506"/>
      <c r="M314" s="506"/>
      <c r="N314" s="506"/>
      <c r="O314" s="506"/>
      <c r="P314" s="506"/>
      <c r="Q314" s="506"/>
      <c r="R314" s="506"/>
      <c r="S314" s="506"/>
      <c r="T314" s="506"/>
      <c r="U314" s="506"/>
      <c r="V314" s="506"/>
      <c r="W314" s="506"/>
      <c r="X314" s="506"/>
      <c r="Y314" s="506"/>
      <c r="Z314" s="506"/>
      <c r="AA314" s="506"/>
      <c r="AB314" s="506"/>
      <c r="AC314" s="502" t="n">
        <f aca="false">SUMIF(AD$12:AS$12,"总值",AD314:AS314)</f>
        <v>0</v>
      </c>
      <c r="AD314" s="507"/>
      <c r="AE314" s="507"/>
      <c r="AF314" s="507"/>
      <c r="AG314" s="507"/>
      <c r="AH314" s="507"/>
      <c r="AI314" s="507"/>
      <c r="AJ314" s="507"/>
      <c r="AK314" s="507"/>
      <c r="AL314" s="507"/>
      <c r="AM314" s="507"/>
      <c r="AN314" s="507"/>
      <c r="AO314" s="507"/>
      <c r="AP314" s="507"/>
      <c r="AQ314" s="507"/>
      <c r="AR314" s="507"/>
      <c r="AS314" s="507"/>
      <c r="AT314" s="508"/>
      <c r="AU314" s="509"/>
      <c r="AV314" s="510" t="n">
        <f aca="false">A314</f>
        <v>0</v>
      </c>
      <c r="AW314" s="510" t="n">
        <f aca="false">B314</f>
        <v>0</v>
      </c>
      <c r="AX314" s="510" t="n">
        <f aca="false">C314</f>
        <v>0</v>
      </c>
      <c r="AY314" s="511" t="n">
        <f aca="false">ROUND($AY$6*AZ314/$AZ$5,2)</f>
        <v>0</v>
      </c>
      <c r="AZ314" s="502" t="n">
        <f aca="false">BA314+BL314</f>
        <v>0</v>
      </c>
      <c r="BA314" s="502" t="n">
        <f aca="false">SUM(BB314:BK314)</f>
        <v>0</v>
      </c>
      <c r="BB314" s="502" t="n">
        <f aca="false">IF($D314="是",I314-J314,0)</f>
        <v>0</v>
      </c>
      <c r="BC314" s="502" t="n">
        <f aca="false">IF($D314="是",K314-L314,0)</f>
        <v>0</v>
      </c>
      <c r="BD314" s="502" t="n">
        <f aca="false">IF($D314="是",M314-N314,0)</f>
        <v>0</v>
      </c>
      <c r="BE314" s="502" t="n">
        <f aca="false">IF($D314="是",O314-P314,0)</f>
        <v>0</v>
      </c>
      <c r="BF314" s="502" t="n">
        <f aca="false">IF($D314="是",Q314-R314,0)</f>
        <v>0</v>
      </c>
      <c r="BG314" s="502" t="n">
        <f aca="false">IF($D314="是",S314-T314,0)</f>
        <v>0</v>
      </c>
      <c r="BH314" s="502" t="n">
        <f aca="false">IF($D314="是",U314-V314,0)</f>
        <v>0</v>
      </c>
      <c r="BI314" s="502" t="n">
        <f aca="false">IF($D314="是",W314-X314,0)</f>
        <v>0</v>
      </c>
      <c r="BJ314" s="502" t="n">
        <f aca="false">IF($D314="是",Y314-Z314,0)</f>
        <v>0</v>
      </c>
      <c r="BK314" s="502" t="n">
        <f aca="false">IF($D314="是",AA314-AB314,0)</f>
        <v>0</v>
      </c>
      <c r="BL314" s="502" t="n">
        <f aca="false">SUM(BM314:BT314)</f>
        <v>0</v>
      </c>
      <c r="BM314" s="502" t="n">
        <f aca="false">IF($D314="是",AD314-AE314,0)</f>
        <v>0</v>
      </c>
      <c r="BN314" s="502" t="n">
        <f aca="false">IF($D314="是",AF314-AG314,0)</f>
        <v>0</v>
      </c>
      <c r="BO314" s="502" t="n">
        <f aca="false">IF($D314="是",AH314-AI314,0)</f>
        <v>0</v>
      </c>
      <c r="BP314" s="502" t="n">
        <f aca="false">IF($D314="是",AJ314-AK314,0)</f>
        <v>0</v>
      </c>
      <c r="BQ314" s="502" t="n">
        <f aca="false">IF($D314="是",AL314-AM314,0)</f>
        <v>0</v>
      </c>
      <c r="BR314" s="502" t="n">
        <f aca="false">IF($D314="是",AN314-AO314,0)</f>
        <v>0</v>
      </c>
      <c r="BS314" s="502" t="n">
        <f aca="false">IF($D314="是",AP314-AQ314,0)</f>
        <v>0</v>
      </c>
      <c r="BT314" s="512" t="n">
        <f aca="false">IF($D314="是",AR314-AS314,0)</f>
        <v>0</v>
      </c>
    </row>
    <row r="315" customFormat="false" ht="14.25" hidden="false" customHeight="false" outlineLevel="0" collapsed="false">
      <c r="A315" s="499"/>
      <c r="B315" s="500"/>
      <c r="C315" s="500"/>
      <c r="D315" s="501"/>
      <c r="E315" s="502" t="n">
        <f aca="false">IF($C$3="是",ROUND($A$3*G315/$B$3,2),ROUND($A$3*(G315-AT315)/$B$3,2))</f>
        <v>0</v>
      </c>
      <c r="F315" s="503"/>
      <c r="G315" s="504" t="n">
        <f aca="false">H315+AC315+AT315</f>
        <v>0</v>
      </c>
      <c r="H315" s="505" t="n">
        <f aca="false">SUMIF(I$12:AB$12,"总值",I315:AB315)</f>
        <v>0</v>
      </c>
      <c r="I315" s="506"/>
      <c r="J315" s="506"/>
      <c r="K315" s="506"/>
      <c r="L315" s="506"/>
      <c r="M315" s="506"/>
      <c r="N315" s="506"/>
      <c r="O315" s="506"/>
      <c r="P315" s="506"/>
      <c r="Q315" s="506"/>
      <c r="R315" s="506"/>
      <c r="S315" s="506"/>
      <c r="T315" s="506"/>
      <c r="U315" s="506"/>
      <c r="V315" s="506"/>
      <c r="W315" s="506"/>
      <c r="X315" s="506"/>
      <c r="Y315" s="506"/>
      <c r="Z315" s="506"/>
      <c r="AA315" s="506"/>
      <c r="AB315" s="506"/>
      <c r="AC315" s="502" t="n">
        <f aca="false">SUMIF(AD$12:AS$12,"总值",AD315:AS315)</f>
        <v>0</v>
      </c>
      <c r="AD315" s="507"/>
      <c r="AE315" s="507"/>
      <c r="AF315" s="507"/>
      <c r="AG315" s="507"/>
      <c r="AH315" s="507"/>
      <c r="AI315" s="507"/>
      <c r="AJ315" s="507"/>
      <c r="AK315" s="507"/>
      <c r="AL315" s="507"/>
      <c r="AM315" s="507"/>
      <c r="AN315" s="507"/>
      <c r="AO315" s="507"/>
      <c r="AP315" s="507"/>
      <c r="AQ315" s="507"/>
      <c r="AR315" s="507"/>
      <c r="AS315" s="507"/>
      <c r="AT315" s="508"/>
      <c r="AU315" s="509"/>
      <c r="AV315" s="510" t="n">
        <f aca="false">A315</f>
        <v>0</v>
      </c>
      <c r="AW315" s="510" t="n">
        <f aca="false">B315</f>
        <v>0</v>
      </c>
      <c r="AX315" s="510" t="n">
        <f aca="false">C315</f>
        <v>0</v>
      </c>
      <c r="AY315" s="511" t="n">
        <f aca="false">ROUND($AY$6*AZ315/$AZ$5,2)</f>
        <v>0</v>
      </c>
      <c r="AZ315" s="502" t="n">
        <f aca="false">BA315+BL315</f>
        <v>0</v>
      </c>
      <c r="BA315" s="502" t="n">
        <f aca="false">SUM(BB315:BK315)</f>
        <v>0</v>
      </c>
      <c r="BB315" s="502" t="n">
        <f aca="false">IF($D315="是",I315-J315,0)</f>
        <v>0</v>
      </c>
      <c r="BC315" s="502" t="n">
        <f aca="false">IF($D315="是",K315-L315,0)</f>
        <v>0</v>
      </c>
      <c r="BD315" s="502" t="n">
        <f aca="false">IF($D315="是",M315-N315,0)</f>
        <v>0</v>
      </c>
      <c r="BE315" s="502" t="n">
        <f aca="false">IF($D315="是",O315-P315,0)</f>
        <v>0</v>
      </c>
      <c r="BF315" s="502" t="n">
        <f aca="false">IF($D315="是",Q315-R315,0)</f>
        <v>0</v>
      </c>
      <c r="BG315" s="502" t="n">
        <f aca="false">IF($D315="是",S315-T315,0)</f>
        <v>0</v>
      </c>
      <c r="BH315" s="502" t="n">
        <f aca="false">IF($D315="是",U315-V315,0)</f>
        <v>0</v>
      </c>
      <c r="BI315" s="502" t="n">
        <f aca="false">IF($D315="是",W315-X315,0)</f>
        <v>0</v>
      </c>
      <c r="BJ315" s="502" t="n">
        <f aca="false">IF($D315="是",Y315-Z315,0)</f>
        <v>0</v>
      </c>
      <c r="BK315" s="502" t="n">
        <f aca="false">IF($D315="是",AA315-AB315,0)</f>
        <v>0</v>
      </c>
      <c r="BL315" s="502" t="n">
        <f aca="false">SUM(BM315:BT315)</f>
        <v>0</v>
      </c>
      <c r="BM315" s="502" t="n">
        <f aca="false">IF($D315="是",AD315-AE315,0)</f>
        <v>0</v>
      </c>
      <c r="BN315" s="502" t="n">
        <f aca="false">IF($D315="是",AF315-AG315,0)</f>
        <v>0</v>
      </c>
      <c r="BO315" s="502" t="n">
        <f aca="false">IF($D315="是",AH315-AI315,0)</f>
        <v>0</v>
      </c>
      <c r="BP315" s="502" t="n">
        <f aca="false">IF($D315="是",AJ315-AK315,0)</f>
        <v>0</v>
      </c>
      <c r="BQ315" s="502" t="n">
        <f aca="false">IF($D315="是",AL315-AM315,0)</f>
        <v>0</v>
      </c>
      <c r="BR315" s="502" t="n">
        <f aca="false">IF($D315="是",AN315-AO315,0)</f>
        <v>0</v>
      </c>
      <c r="BS315" s="502" t="n">
        <f aca="false">IF($D315="是",AP315-AQ315,0)</f>
        <v>0</v>
      </c>
      <c r="BT315" s="512" t="n">
        <f aca="false">IF($D315="是",AR315-AS315,0)</f>
        <v>0</v>
      </c>
    </row>
    <row r="316" customFormat="false" ht="14.25" hidden="false" customHeight="false" outlineLevel="0" collapsed="false">
      <c r="A316" s="499"/>
      <c r="B316" s="500"/>
      <c r="C316" s="500"/>
      <c r="D316" s="501"/>
      <c r="E316" s="502" t="n">
        <f aca="false">IF($C$3="是",ROUND($A$3*G316/$B$3,2),ROUND($A$3*(G316-AT316)/$B$3,2))</f>
        <v>0</v>
      </c>
      <c r="F316" s="503"/>
      <c r="G316" s="504" t="n">
        <f aca="false">H316+AC316+AT316</f>
        <v>0</v>
      </c>
      <c r="H316" s="505" t="n">
        <f aca="false">SUMIF(I$12:AB$12,"总值",I316:AB316)</f>
        <v>0</v>
      </c>
      <c r="I316" s="506"/>
      <c r="J316" s="506"/>
      <c r="K316" s="506"/>
      <c r="L316" s="506"/>
      <c r="M316" s="506"/>
      <c r="N316" s="506"/>
      <c r="O316" s="506"/>
      <c r="P316" s="506"/>
      <c r="Q316" s="506"/>
      <c r="R316" s="506"/>
      <c r="S316" s="506"/>
      <c r="T316" s="506"/>
      <c r="U316" s="506"/>
      <c r="V316" s="506"/>
      <c r="W316" s="506"/>
      <c r="X316" s="506"/>
      <c r="Y316" s="506"/>
      <c r="Z316" s="506"/>
      <c r="AA316" s="506"/>
      <c r="AB316" s="506"/>
      <c r="AC316" s="502" t="n">
        <f aca="false">SUMIF(AD$12:AS$12,"总值",AD316:AS316)</f>
        <v>0</v>
      </c>
      <c r="AD316" s="507"/>
      <c r="AE316" s="507"/>
      <c r="AF316" s="507"/>
      <c r="AG316" s="507"/>
      <c r="AH316" s="507"/>
      <c r="AI316" s="507"/>
      <c r="AJ316" s="507"/>
      <c r="AK316" s="507"/>
      <c r="AL316" s="507"/>
      <c r="AM316" s="507"/>
      <c r="AN316" s="507"/>
      <c r="AO316" s="507"/>
      <c r="AP316" s="507"/>
      <c r="AQ316" s="507"/>
      <c r="AR316" s="507"/>
      <c r="AS316" s="507"/>
      <c r="AT316" s="508"/>
      <c r="AU316" s="509"/>
      <c r="AV316" s="510" t="n">
        <f aca="false">A316</f>
        <v>0</v>
      </c>
      <c r="AW316" s="510" t="n">
        <f aca="false">B316</f>
        <v>0</v>
      </c>
      <c r="AX316" s="510" t="n">
        <f aca="false">C316</f>
        <v>0</v>
      </c>
      <c r="AY316" s="511" t="n">
        <f aca="false">ROUND($AY$6*AZ316/$AZ$5,2)</f>
        <v>0</v>
      </c>
      <c r="AZ316" s="502" t="n">
        <f aca="false">BA316+BL316</f>
        <v>0</v>
      </c>
      <c r="BA316" s="502" t="n">
        <f aca="false">SUM(BB316:BK316)</f>
        <v>0</v>
      </c>
      <c r="BB316" s="502" t="n">
        <f aca="false">IF($D316="是",I316-J316,0)</f>
        <v>0</v>
      </c>
      <c r="BC316" s="502" t="n">
        <f aca="false">IF($D316="是",K316-L316,0)</f>
        <v>0</v>
      </c>
      <c r="BD316" s="502" t="n">
        <f aca="false">IF($D316="是",M316-N316,0)</f>
        <v>0</v>
      </c>
      <c r="BE316" s="502" t="n">
        <f aca="false">IF($D316="是",O316-P316,0)</f>
        <v>0</v>
      </c>
      <c r="BF316" s="502" t="n">
        <f aca="false">IF($D316="是",Q316-R316,0)</f>
        <v>0</v>
      </c>
      <c r="BG316" s="502" t="n">
        <f aca="false">IF($D316="是",S316-T316,0)</f>
        <v>0</v>
      </c>
      <c r="BH316" s="502" t="n">
        <f aca="false">IF($D316="是",U316-V316,0)</f>
        <v>0</v>
      </c>
      <c r="BI316" s="502" t="n">
        <f aca="false">IF($D316="是",W316-X316,0)</f>
        <v>0</v>
      </c>
      <c r="BJ316" s="502" t="n">
        <f aca="false">IF($D316="是",Y316-Z316,0)</f>
        <v>0</v>
      </c>
      <c r="BK316" s="502" t="n">
        <f aca="false">IF($D316="是",AA316-AB316,0)</f>
        <v>0</v>
      </c>
      <c r="BL316" s="502" t="n">
        <f aca="false">SUM(BM316:BT316)</f>
        <v>0</v>
      </c>
      <c r="BM316" s="502" t="n">
        <f aca="false">IF($D316="是",AD316-AE316,0)</f>
        <v>0</v>
      </c>
      <c r="BN316" s="502" t="n">
        <f aca="false">IF($D316="是",AF316-AG316,0)</f>
        <v>0</v>
      </c>
      <c r="BO316" s="502" t="n">
        <f aca="false">IF($D316="是",AH316-AI316,0)</f>
        <v>0</v>
      </c>
      <c r="BP316" s="502" t="n">
        <f aca="false">IF($D316="是",AJ316-AK316,0)</f>
        <v>0</v>
      </c>
      <c r="BQ316" s="502" t="n">
        <f aca="false">IF($D316="是",AL316-AM316,0)</f>
        <v>0</v>
      </c>
      <c r="BR316" s="502" t="n">
        <f aca="false">IF($D316="是",AN316-AO316,0)</f>
        <v>0</v>
      </c>
      <c r="BS316" s="502" t="n">
        <f aca="false">IF($D316="是",AP316-AQ316,0)</f>
        <v>0</v>
      </c>
      <c r="BT316" s="512" t="n">
        <f aca="false">IF($D316="是",AR316-AS316,0)</f>
        <v>0</v>
      </c>
    </row>
    <row r="317" customFormat="false" ht="14.25" hidden="false" customHeight="false" outlineLevel="0" collapsed="false">
      <c r="A317" s="499"/>
      <c r="B317" s="500"/>
      <c r="C317" s="500"/>
      <c r="D317" s="501"/>
      <c r="E317" s="502" t="n">
        <f aca="false">IF($C$3="是",ROUND($A$3*G317/$B$3,2),ROUND($A$3*(G317-AT317)/$B$3,2))</f>
        <v>0</v>
      </c>
      <c r="F317" s="503"/>
      <c r="G317" s="504" t="n">
        <f aca="false">H317+AC317+AT317</f>
        <v>0</v>
      </c>
      <c r="H317" s="505" t="n">
        <f aca="false">SUMIF(I$12:AB$12,"总值",I317:AB317)</f>
        <v>0</v>
      </c>
      <c r="I317" s="506"/>
      <c r="J317" s="506"/>
      <c r="K317" s="506"/>
      <c r="L317" s="506"/>
      <c r="M317" s="506"/>
      <c r="N317" s="506"/>
      <c r="O317" s="506"/>
      <c r="P317" s="506"/>
      <c r="Q317" s="506"/>
      <c r="R317" s="506"/>
      <c r="S317" s="506"/>
      <c r="T317" s="506"/>
      <c r="U317" s="506"/>
      <c r="V317" s="506"/>
      <c r="W317" s="506"/>
      <c r="X317" s="506"/>
      <c r="Y317" s="506"/>
      <c r="Z317" s="506"/>
      <c r="AA317" s="506"/>
      <c r="AB317" s="506"/>
      <c r="AC317" s="502" t="n">
        <f aca="false">SUMIF(AD$12:AS$12,"总值",AD317:AS317)</f>
        <v>0</v>
      </c>
      <c r="AD317" s="507"/>
      <c r="AE317" s="507"/>
      <c r="AF317" s="507"/>
      <c r="AG317" s="507"/>
      <c r="AH317" s="507"/>
      <c r="AI317" s="507"/>
      <c r="AJ317" s="507"/>
      <c r="AK317" s="507"/>
      <c r="AL317" s="507"/>
      <c r="AM317" s="507"/>
      <c r="AN317" s="507"/>
      <c r="AO317" s="507"/>
      <c r="AP317" s="507"/>
      <c r="AQ317" s="507"/>
      <c r="AR317" s="507"/>
      <c r="AS317" s="507"/>
      <c r="AT317" s="508"/>
      <c r="AU317" s="509"/>
      <c r="AV317" s="510" t="n">
        <f aca="false">A317</f>
        <v>0</v>
      </c>
      <c r="AW317" s="510" t="n">
        <f aca="false">B317</f>
        <v>0</v>
      </c>
      <c r="AX317" s="510" t="n">
        <f aca="false">C317</f>
        <v>0</v>
      </c>
      <c r="AY317" s="511" t="n">
        <f aca="false">ROUND($AY$6*AZ317/$AZ$5,2)</f>
        <v>0</v>
      </c>
      <c r="AZ317" s="502" t="n">
        <f aca="false">BA317+BL317</f>
        <v>0</v>
      </c>
      <c r="BA317" s="502" t="n">
        <f aca="false">SUM(BB317:BK317)</f>
        <v>0</v>
      </c>
      <c r="BB317" s="502" t="n">
        <f aca="false">IF($D317="是",I317-J317,0)</f>
        <v>0</v>
      </c>
      <c r="BC317" s="502" t="n">
        <f aca="false">IF($D317="是",K317-L317,0)</f>
        <v>0</v>
      </c>
      <c r="BD317" s="502" t="n">
        <f aca="false">IF($D317="是",M317-N317,0)</f>
        <v>0</v>
      </c>
      <c r="BE317" s="502" t="n">
        <f aca="false">IF($D317="是",O317-P317,0)</f>
        <v>0</v>
      </c>
      <c r="BF317" s="502" t="n">
        <f aca="false">IF($D317="是",Q317-R317,0)</f>
        <v>0</v>
      </c>
      <c r="BG317" s="502" t="n">
        <f aca="false">IF($D317="是",S317-T317,0)</f>
        <v>0</v>
      </c>
      <c r="BH317" s="502" t="n">
        <f aca="false">IF($D317="是",U317-V317,0)</f>
        <v>0</v>
      </c>
      <c r="BI317" s="502" t="n">
        <f aca="false">IF($D317="是",W317-X317,0)</f>
        <v>0</v>
      </c>
      <c r="BJ317" s="502" t="n">
        <f aca="false">IF($D317="是",Y317-Z317,0)</f>
        <v>0</v>
      </c>
      <c r="BK317" s="502" t="n">
        <f aca="false">IF($D317="是",AA317-AB317,0)</f>
        <v>0</v>
      </c>
      <c r="BL317" s="502" t="n">
        <f aca="false">SUM(BM317:BT317)</f>
        <v>0</v>
      </c>
      <c r="BM317" s="502" t="n">
        <f aca="false">IF($D317="是",AD317-AE317,0)</f>
        <v>0</v>
      </c>
      <c r="BN317" s="502" t="n">
        <f aca="false">IF($D317="是",AF317-AG317,0)</f>
        <v>0</v>
      </c>
      <c r="BO317" s="502" t="n">
        <f aca="false">IF($D317="是",AH317-AI317,0)</f>
        <v>0</v>
      </c>
      <c r="BP317" s="502" t="n">
        <f aca="false">IF($D317="是",AJ317-AK317,0)</f>
        <v>0</v>
      </c>
      <c r="BQ317" s="502" t="n">
        <f aca="false">IF($D317="是",AL317-AM317,0)</f>
        <v>0</v>
      </c>
      <c r="BR317" s="502" t="n">
        <f aca="false">IF($D317="是",AN317-AO317,0)</f>
        <v>0</v>
      </c>
      <c r="BS317" s="502" t="n">
        <f aca="false">IF($D317="是",AP317-AQ317,0)</f>
        <v>0</v>
      </c>
      <c r="BT317" s="512" t="n">
        <f aca="false">IF($D317="是",AR317-AS317,0)</f>
        <v>0</v>
      </c>
    </row>
    <row r="318" customFormat="false" ht="14.25" hidden="false" customHeight="false" outlineLevel="0" collapsed="false">
      <c r="A318" s="499"/>
      <c r="B318" s="500"/>
      <c r="C318" s="500"/>
      <c r="D318" s="501"/>
      <c r="E318" s="502" t="n">
        <f aca="false">IF($C$3="是",ROUND($A$3*G318/$B$3,2),ROUND($A$3*(G318-AT318)/$B$3,2))</f>
        <v>0</v>
      </c>
      <c r="F318" s="503"/>
      <c r="G318" s="504" t="n">
        <f aca="false">H318+AC318+AT318</f>
        <v>0</v>
      </c>
      <c r="H318" s="505" t="n">
        <f aca="false">SUMIF(I$12:AB$12,"总值",I318:AB318)</f>
        <v>0</v>
      </c>
      <c r="I318" s="506"/>
      <c r="J318" s="506"/>
      <c r="K318" s="506"/>
      <c r="L318" s="506"/>
      <c r="M318" s="506"/>
      <c r="N318" s="506"/>
      <c r="O318" s="506"/>
      <c r="P318" s="506"/>
      <c r="Q318" s="506"/>
      <c r="R318" s="506"/>
      <c r="S318" s="506"/>
      <c r="T318" s="506"/>
      <c r="U318" s="506"/>
      <c r="V318" s="506"/>
      <c r="W318" s="506"/>
      <c r="X318" s="506"/>
      <c r="Y318" s="506"/>
      <c r="Z318" s="506"/>
      <c r="AA318" s="506"/>
      <c r="AB318" s="506"/>
      <c r="AC318" s="502" t="n">
        <f aca="false">SUMIF(AD$12:AS$12,"总值",AD318:AS318)</f>
        <v>0</v>
      </c>
      <c r="AD318" s="507"/>
      <c r="AE318" s="507"/>
      <c r="AF318" s="507"/>
      <c r="AG318" s="507"/>
      <c r="AH318" s="507"/>
      <c r="AI318" s="507"/>
      <c r="AJ318" s="507"/>
      <c r="AK318" s="507"/>
      <c r="AL318" s="507"/>
      <c r="AM318" s="507"/>
      <c r="AN318" s="507"/>
      <c r="AO318" s="507"/>
      <c r="AP318" s="507"/>
      <c r="AQ318" s="507"/>
      <c r="AR318" s="507"/>
      <c r="AS318" s="507"/>
      <c r="AT318" s="508"/>
      <c r="AU318" s="509"/>
      <c r="AV318" s="510" t="n">
        <f aca="false">A318</f>
        <v>0</v>
      </c>
      <c r="AW318" s="510" t="n">
        <f aca="false">B318</f>
        <v>0</v>
      </c>
      <c r="AX318" s="510" t="n">
        <f aca="false">C318</f>
        <v>0</v>
      </c>
      <c r="AY318" s="511" t="n">
        <f aca="false">ROUND($AY$6*AZ318/$AZ$5,2)</f>
        <v>0</v>
      </c>
      <c r="AZ318" s="502" t="n">
        <f aca="false">BA318+BL318</f>
        <v>0</v>
      </c>
      <c r="BA318" s="502" t="n">
        <f aca="false">SUM(BB318:BK318)</f>
        <v>0</v>
      </c>
      <c r="BB318" s="502" t="n">
        <f aca="false">IF($D318="是",I318-J318,0)</f>
        <v>0</v>
      </c>
      <c r="BC318" s="502" t="n">
        <f aca="false">IF($D318="是",K318-L318,0)</f>
        <v>0</v>
      </c>
      <c r="BD318" s="502" t="n">
        <f aca="false">IF($D318="是",M318-N318,0)</f>
        <v>0</v>
      </c>
      <c r="BE318" s="502" t="n">
        <f aca="false">IF($D318="是",O318-P318,0)</f>
        <v>0</v>
      </c>
      <c r="BF318" s="502" t="n">
        <f aca="false">IF($D318="是",Q318-R318,0)</f>
        <v>0</v>
      </c>
      <c r="BG318" s="502" t="n">
        <f aca="false">IF($D318="是",S318-T318,0)</f>
        <v>0</v>
      </c>
      <c r="BH318" s="502" t="n">
        <f aca="false">IF($D318="是",U318-V318,0)</f>
        <v>0</v>
      </c>
      <c r="BI318" s="502" t="n">
        <f aca="false">IF($D318="是",W318-X318,0)</f>
        <v>0</v>
      </c>
      <c r="BJ318" s="502" t="n">
        <f aca="false">IF($D318="是",Y318-Z318,0)</f>
        <v>0</v>
      </c>
      <c r="BK318" s="502" t="n">
        <f aca="false">IF($D318="是",AA318-AB318,0)</f>
        <v>0</v>
      </c>
      <c r="BL318" s="502" t="n">
        <f aca="false">SUM(BM318:BT318)</f>
        <v>0</v>
      </c>
      <c r="BM318" s="502" t="n">
        <f aca="false">IF($D318="是",AD318-AE318,0)</f>
        <v>0</v>
      </c>
      <c r="BN318" s="502" t="n">
        <f aca="false">IF($D318="是",AF318-AG318,0)</f>
        <v>0</v>
      </c>
      <c r="BO318" s="502" t="n">
        <f aca="false">IF($D318="是",AH318-AI318,0)</f>
        <v>0</v>
      </c>
      <c r="BP318" s="502" t="n">
        <f aca="false">IF($D318="是",AJ318-AK318,0)</f>
        <v>0</v>
      </c>
      <c r="BQ318" s="502" t="n">
        <f aca="false">IF($D318="是",AL318-AM318,0)</f>
        <v>0</v>
      </c>
      <c r="BR318" s="502" t="n">
        <f aca="false">IF($D318="是",AN318-AO318,0)</f>
        <v>0</v>
      </c>
      <c r="BS318" s="502" t="n">
        <f aca="false">IF($D318="是",AP318-AQ318,0)</f>
        <v>0</v>
      </c>
      <c r="BT318" s="512" t="n">
        <f aca="false">IF($D318="是",AR318-AS318,0)</f>
        <v>0</v>
      </c>
    </row>
    <row r="319" customFormat="false" ht="14.25" hidden="false" customHeight="false" outlineLevel="0" collapsed="false">
      <c r="A319" s="499"/>
      <c r="B319" s="500"/>
      <c r="C319" s="500"/>
      <c r="D319" s="501"/>
      <c r="E319" s="502" t="n">
        <f aca="false">IF($C$3="是",ROUND($A$3*G319/$B$3,2),ROUND($A$3*(G319-AT319)/$B$3,2))</f>
        <v>0</v>
      </c>
      <c r="F319" s="503"/>
      <c r="G319" s="504" t="n">
        <f aca="false">H319+AC319+AT319</f>
        <v>0</v>
      </c>
      <c r="H319" s="505" t="n">
        <f aca="false">SUMIF(I$12:AB$12,"总值",I319:AB319)</f>
        <v>0</v>
      </c>
      <c r="I319" s="506"/>
      <c r="J319" s="506"/>
      <c r="K319" s="506"/>
      <c r="L319" s="506"/>
      <c r="M319" s="506"/>
      <c r="N319" s="506"/>
      <c r="O319" s="506"/>
      <c r="P319" s="506"/>
      <c r="Q319" s="506"/>
      <c r="R319" s="506"/>
      <c r="S319" s="506"/>
      <c r="T319" s="506"/>
      <c r="U319" s="506"/>
      <c r="V319" s="506"/>
      <c r="W319" s="506"/>
      <c r="X319" s="506"/>
      <c r="Y319" s="506"/>
      <c r="Z319" s="506"/>
      <c r="AA319" s="506"/>
      <c r="AB319" s="506"/>
      <c r="AC319" s="502" t="n">
        <f aca="false">SUMIF(AD$12:AS$12,"总值",AD319:AS319)</f>
        <v>0</v>
      </c>
      <c r="AD319" s="507"/>
      <c r="AE319" s="507"/>
      <c r="AF319" s="507"/>
      <c r="AG319" s="507"/>
      <c r="AH319" s="507"/>
      <c r="AI319" s="507"/>
      <c r="AJ319" s="507"/>
      <c r="AK319" s="507"/>
      <c r="AL319" s="507"/>
      <c r="AM319" s="507"/>
      <c r="AN319" s="507"/>
      <c r="AO319" s="507"/>
      <c r="AP319" s="507"/>
      <c r="AQ319" s="507"/>
      <c r="AR319" s="507"/>
      <c r="AS319" s="507"/>
      <c r="AT319" s="508"/>
      <c r="AU319" s="509"/>
      <c r="AV319" s="510" t="n">
        <f aca="false">A319</f>
        <v>0</v>
      </c>
      <c r="AW319" s="510" t="n">
        <f aca="false">B319</f>
        <v>0</v>
      </c>
      <c r="AX319" s="510" t="n">
        <f aca="false">C319</f>
        <v>0</v>
      </c>
      <c r="AY319" s="511" t="n">
        <f aca="false">ROUND($AY$6*AZ319/$AZ$5,2)</f>
        <v>0</v>
      </c>
      <c r="AZ319" s="502" t="n">
        <f aca="false">BA319+BL319</f>
        <v>0</v>
      </c>
      <c r="BA319" s="502" t="n">
        <f aca="false">SUM(BB319:BK319)</f>
        <v>0</v>
      </c>
      <c r="BB319" s="502" t="n">
        <f aca="false">IF($D319="是",I319-J319,0)</f>
        <v>0</v>
      </c>
      <c r="BC319" s="502" t="n">
        <f aca="false">IF($D319="是",K319-L319,0)</f>
        <v>0</v>
      </c>
      <c r="BD319" s="502" t="n">
        <f aca="false">IF($D319="是",M319-N319,0)</f>
        <v>0</v>
      </c>
      <c r="BE319" s="502" t="n">
        <f aca="false">IF($D319="是",O319-P319,0)</f>
        <v>0</v>
      </c>
      <c r="BF319" s="502" t="n">
        <f aca="false">IF($D319="是",Q319-R319,0)</f>
        <v>0</v>
      </c>
      <c r="BG319" s="502" t="n">
        <f aca="false">IF($D319="是",S319-T319,0)</f>
        <v>0</v>
      </c>
      <c r="BH319" s="502" t="n">
        <f aca="false">IF($D319="是",U319-V319,0)</f>
        <v>0</v>
      </c>
      <c r="BI319" s="502" t="n">
        <f aca="false">IF($D319="是",W319-X319,0)</f>
        <v>0</v>
      </c>
      <c r="BJ319" s="502" t="n">
        <f aca="false">IF($D319="是",Y319-Z319,0)</f>
        <v>0</v>
      </c>
      <c r="BK319" s="502" t="n">
        <f aca="false">IF($D319="是",AA319-AB319,0)</f>
        <v>0</v>
      </c>
      <c r="BL319" s="502" t="n">
        <f aca="false">SUM(BM319:BT319)</f>
        <v>0</v>
      </c>
      <c r="BM319" s="502" t="n">
        <f aca="false">IF($D319="是",AD319-AE319,0)</f>
        <v>0</v>
      </c>
      <c r="BN319" s="502" t="n">
        <f aca="false">IF($D319="是",AF319-AG319,0)</f>
        <v>0</v>
      </c>
      <c r="BO319" s="502" t="n">
        <f aca="false">IF($D319="是",AH319-AI319,0)</f>
        <v>0</v>
      </c>
      <c r="BP319" s="502" t="n">
        <f aca="false">IF($D319="是",AJ319-AK319,0)</f>
        <v>0</v>
      </c>
      <c r="BQ319" s="502" t="n">
        <f aca="false">IF($D319="是",AL319-AM319,0)</f>
        <v>0</v>
      </c>
      <c r="BR319" s="502" t="n">
        <f aca="false">IF($D319="是",AN319-AO319,0)</f>
        <v>0</v>
      </c>
      <c r="BS319" s="502" t="n">
        <f aca="false">IF($D319="是",AP319-AQ319,0)</f>
        <v>0</v>
      </c>
      <c r="BT319" s="512" t="n">
        <f aca="false">IF($D319="是",AR319-AS319,0)</f>
        <v>0</v>
      </c>
    </row>
    <row r="320" customFormat="false" ht="14.25" hidden="false" customHeight="false" outlineLevel="0" collapsed="false">
      <c r="A320" s="499"/>
      <c r="B320" s="500"/>
      <c r="C320" s="500"/>
      <c r="D320" s="501"/>
      <c r="E320" s="502" t="n">
        <f aca="false">IF($C$3="是",ROUND($A$3*G320/$B$3,2),ROUND($A$3*(G320-AT320)/$B$3,2))</f>
        <v>0</v>
      </c>
      <c r="F320" s="503"/>
      <c r="G320" s="504" t="n">
        <f aca="false">H320+AC320+AT320</f>
        <v>0</v>
      </c>
      <c r="H320" s="505" t="n">
        <f aca="false">SUMIF(I$12:AB$12,"总值",I320:AB320)</f>
        <v>0</v>
      </c>
      <c r="I320" s="506"/>
      <c r="J320" s="506"/>
      <c r="K320" s="506"/>
      <c r="L320" s="506"/>
      <c r="M320" s="506"/>
      <c r="N320" s="506"/>
      <c r="O320" s="506"/>
      <c r="P320" s="506"/>
      <c r="Q320" s="506"/>
      <c r="R320" s="506"/>
      <c r="S320" s="506"/>
      <c r="T320" s="506"/>
      <c r="U320" s="506"/>
      <c r="V320" s="506"/>
      <c r="W320" s="506"/>
      <c r="X320" s="506"/>
      <c r="Y320" s="506"/>
      <c r="Z320" s="506"/>
      <c r="AA320" s="506"/>
      <c r="AB320" s="506"/>
      <c r="AC320" s="502" t="n">
        <f aca="false">SUMIF(AD$12:AS$12,"总值",AD320:AS320)</f>
        <v>0</v>
      </c>
      <c r="AD320" s="507"/>
      <c r="AE320" s="507"/>
      <c r="AF320" s="507"/>
      <c r="AG320" s="507"/>
      <c r="AH320" s="507"/>
      <c r="AI320" s="507"/>
      <c r="AJ320" s="507"/>
      <c r="AK320" s="507"/>
      <c r="AL320" s="507"/>
      <c r="AM320" s="507"/>
      <c r="AN320" s="507"/>
      <c r="AO320" s="507"/>
      <c r="AP320" s="507"/>
      <c r="AQ320" s="507"/>
      <c r="AR320" s="507"/>
      <c r="AS320" s="507"/>
      <c r="AT320" s="508"/>
      <c r="AU320" s="509"/>
      <c r="AV320" s="510" t="n">
        <f aca="false">A320</f>
        <v>0</v>
      </c>
      <c r="AW320" s="510" t="n">
        <f aca="false">B320</f>
        <v>0</v>
      </c>
      <c r="AX320" s="510" t="n">
        <f aca="false">C320</f>
        <v>0</v>
      </c>
      <c r="AY320" s="511" t="n">
        <f aca="false">ROUND($AY$6*AZ320/$AZ$5,2)</f>
        <v>0</v>
      </c>
      <c r="AZ320" s="502" t="n">
        <f aca="false">BA320+BL320</f>
        <v>0</v>
      </c>
      <c r="BA320" s="502" t="n">
        <f aca="false">SUM(BB320:BK320)</f>
        <v>0</v>
      </c>
      <c r="BB320" s="502" t="n">
        <f aca="false">IF($D320="是",I320-J320,0)</f>
        <v>0</v>
      </c>
      <c r="BC320" s="502" t="n">
        <f aca="false">IF($D320="是",K320-L320,0)</f>
        <v>0</v>
      </c>
      <c r="BD320" s="502" t="n">
        <f aca="false">IF($D320="是",M320-N320,0)</f>
        <v>0</v>
      </c>
      <c r="BE320" s="502" t="n">
        <f aca="false">IF($D320="是",O320-P320,0)</f>
        <v>0</v>
      </c>
      <c r="BF320" s="502" t="n">
        <f aca="false">IF($D320="是",Q320-R320,0)</f>
        <v>0</v>
      </c>
      <c r="BG320" s="502" t="n">
        <f aca="false">IF($D320="是",S320-T320,0)</f>
        <v>0</v>
      </c>
      <c r="BH320" s="502" t="n">
        <f aca="false">IF($D320="是",U320-V320,0)</f>
        <v>0</v>
      </c>
      <c r="BI320" s="502" t="n">
        <f aca="false">IF($D320="是",W320-X320,0)</f>
        <v>0</v>
      </c>
      <c r="BJ320" s="502" t="n">
        <f aca="false">IF($D320="是",Y320-Z320,0)</f>
        <v>0</v>
      </c>
      <c r="BK320" s="502" t="n">
        <f aca="false">IF($D320="是",AA320-AB320,0)</f>
        <v>0</v>
      </c>
      <c r="BL320" s="502" t="n">
        <f aca="false">SUM(BM320:BT320)</f>
        <v>0</v>
      </c>
      <c r="BM320" s="502" t="n">
        <f aca="false">IF($D320="是",AD320-AE320,0)</f>
        <v>0</v>
      </c>
      <c r="BN320" s="502" t="n">
        <f aca="false">IF($D320="是",AF320-AG320,0)</f>
        <v>0</v>
      </c>
      <c r="BO320" s="502" t="n">
        <f aca="false">IF($D320="是",AH320-AI320,0)</f>
        <v>0</v>
      </c>
      <c r="BP320" s="502" t="n">
        <f aca="false">IF($D320="是",AJ320-AK320,0)</f>
        <v>0</v>
      </c>
      <c r="BQ320" s="502" t="n">
        <f aca="false">IF($D320="是",AL320-AM320,0)</f>
        <v>0</v>
      </c>
      <c r="BR320" s="502" t="n">
        <f aca="false">IF($D320="是",AN320-AO320,0)</f>
        <v>0</v>
      </c>
      <c r="BS320" s="502" t="n">
        <f aca="false">IF($D320="是",AP320-AQ320,0)</f>
        <v>0</v>
      </c>
      <c r="BT320" s="512" t="n">
        <f aca="false">IF($D320="是",AR320-AS320,0)</f>
        <v>0</v>
      </c>
    </row>
    <row r="321" customFormat="false" ht="14.25" hidden="false" customHeight="false" outlineLevel="0" collapsed="false">
      <c r="A321" s="499"/>
      <c r="B321" s="500"/>
      <c r="C321" s="500"/>
      <c r="D321" s="501"/>
      <c r="E321" s="502" t="n">
        <f aca="false">IF($C$3="是",ROUND($A$3*G321/$B$3,2),ROUND($A$3*(G321-AT321)/$B$3,2))</f>
        <v>0</v>
      </c>
      <c r="F321" s="503"/>
      <c r="G321" s="504" t="n">
        <f aca="false">H321+AC321+AT321</f>
        <v>0</v>
      </c>
      <c r="H321" s="505" t="n">
        <f aca="false">SUMIF(I$12:AB$12,"总值",I321:AB321)</f>
        <v>0</v>
      </c>
      <c r="I321" s="506"/>
      <c r="J321" s="506"/>
      <c r="K321" s="506"/>
      <c r="L321" s="506"/>
      <c r="M321" s="506"/>
      <c r="N321" s="506"/>
      <c r="O321" s="506"/>
      <c r="P321" s="506"/>
      <c r="Q321" s="506"/>
      <c r="R321" s="506"/>
      <c r="S321" s="506"/>
      <c r="T321" s="506"/>
      <c r="U321" s="506"/>
      <c r="V321" s="506"/>
      <c r="W321" s="506"/>
      <c r="X321" s="506"/>
      <c r="Y321" s="506"/>
      <c r="Z321" s="506"/>
      <c r="AA321" s="506"/>
      <c r="AB321" s="506"/>
      <c r="AC321" s="502" t="n">
        <f aca="false">SUMIF(AD$12:AS$12,"总值",AD321:AS321)</f>
        <v>0</v>
      </c>
      <c r="AD321" s="507"/>
      <c r="AE321" s="507"/>
      <c r="AF321" s="507"/>
      <c r="AG321" s="507"/>
      <c r="AH321" s="507"/>
      <c r="AI321" s="507"/>
      <c r="AJ321" s="507"/>
      <c r="AK321" s="507"/>
      <c r="AL321" s="507"/>
      <c r="AM321" s="507"/>
      <c r="AN321" s="507"/>
      <c r="AO321" s="507"/>
      <c r="AP321" s="507"/>
      <c r="AQ321" s="507"/>
      <c r="AR321" s="507"/>
      <c r="AS321" s="507"/>
      <c r="AT321" s="508"/>
      <c r="AU321" s="509"/>
      <c r="AV321" s="510" t="n">
        <f aca="false">A321</f>
        <v>0</v>
      </c>
      <c r="AW321" s="510" t="n">
        <f aca="false">B321</f>
        <v>0</v>
      </c>
      <c r="AX321" s="510" t="n">
        <f aca="false">C321</f>
        <v>0</v>
      </c>
      <c r="AY321" s="511" t="n">
        <f aca="false">ROUND($AY$6*AZ321/$AZ$5,2)</f>
        <v>0</v>
      </c>
      <c r="AZ321" s="502" t="n">
        <f aca="false">BA321+BL321</f>
        <v>0</v>
      </c>
      <c r="BA321" s="502" t="n">
        <f aca="false">SUM(BB321:BK321)</f>
        <v>0</v>
      </c>
      <c r="BB321" s="502" t="n">
        <f aca="false">IF($D321="是",I321-J321,0)</f>
        <v>0</v>
      </c>
      <c r="BC321" s="502" t="n">
        <f aca="false">IF($D321="是",K321-L321,0)</f>
        <v>0</v>
      </c>
      <c r="BD321" s="502" t="n">
        <f aca="false">IF($D321="是",M321-N321,0)</f>
        <v>0</v>
      </c>
      <c r="BE321" s="502" t="n">
        <f aca="false">IF($D321="是",O321-P321,0)</f>
        <v>0</v>
      </c>
      <c r="BF321" s="502" t="n">
        <f aca="false">IF($D321="是",Q321-R321,0)</f>
        <v>0</v>
      </c>
      <c r="BG321" s="502" t="n">
        <f aca="false">IF($D321="是",S321-T321,0)</f>
        <v>0</v>
      </c>
      <c r="BH321" s="502" t="n">
        <f aca="false">IF($D321="是",U321-V321,0)</f>
        <v>0</v>
      </c>
      <c r="BI321" s="502" t="n">
        <f aca="false">IF($D321="是",W321-X321,0)</f>
        <v>0</v>
      </c>
      <c r="BJ321" s="502" t="n">
        <f aca="false">IF($D321="是",Y321-Z321,0)</f>
        <v>0</v>
      </c>
      <c r="BK321" s="502" t="n">
        <f aca="false">IF($D321="是",AA321-AB321,0)</f>
        <v>0</v>
      </c>
      <c r="BL321" s="502" t="n">
        <f aca="false">SUM(BM321:BT321)</f>
        <v>0</v>
      </c>
      <c r="BM321" s="502" t="n">
        <f aca="false">IF($D321="是",AD321-AE321,0)</f>
        <v>0</v>
      </c>
      <c r="BN321" s="502" t="n">
        <f aca="false">IF($D321="是",AF321-AG321,0)</f>
        <v>0</v>
      </c>
      <c r="BO321" s="502" t="n">
        <f aca="false">IF($D321="是",AH321-AI321,0)</f>
        <v>0</v>
      </c>
      <c r="BP321" s="502" t="n">
        <f aca="false">IF($D321="是",AJ321-AK321,0)</f>
        <v>0</v>
      </c>
      <c r="BQ321" s="502" t="n">
        <f aca="false">IF($D321="是",AL321-AM321,0)</f>
        <v>0</v>
      </c>
      <c r="BR321" s="502" t="n">
        <f aca="false">IF($D321="是",AN321-AO321,0)</f>
        <v>0</v>
      </c>
      <c r="BS321" s="502" t="n">
        <f aca="false">IF($D321="是",AP321-AQ321,0)</f>
        <v>0</v>
      </c>
      <c r="BT321" s="512" t="n">
        <f aca="false">IF($D321="是",AR321-AS321,0)</f>
        <v>0</v>
      </c>
    </row>
    <row r="322" customFormat="false" ht="14.25" hidden="false" customHeight="false" outlineLevel="0" collapsed="false">
      <c r="A322" s="499"/>
      <c r="B322" s="500"/>
      <c r="C322" s="500"/>
      <c r="D322" s="501"/>
      <c r="E322" s="502" t="n">
        <f aca="false">IF($C$3="是",ROUND($A$3*G322/$B$3,2),ROUND($A$3*(G322-AT322)/$B$3,2))</f>
        <v>0</v>
      </c>
      <c r="F322" s="503"/>
      <c r="G322" s="504" t="n">
        <f aca="false">H322+AC322+AT322</f>
        <v>0</v>
      </c>
      <c r="H322" s="505" t="n">
        <f aca="false">SUMIF(I$12:AB$12,"总值",I322:AB322)</f>
        <v>0</v>
      </c>
      <c r="I322" s="506"/>
      <c r="J322" s="506"/>
      <c r="K322" s="506"/>
      <c r="L322" s="506"/>
      <c r="M322" s="506"/>
      <c r="N322" s="506"/>
      <c r="O322" s="506"/>
      <c r="P322" s="506"/>
      <c r="Q322" s="506"/>
      <c r="R322" s="506"/>
      <c r="S322" s="506"/>
      <c r="T322" s="506"/>
      <c r="U322" s="506"/>
      <c r="V322" s="506"/>
      <c r="W322" s="506"/>
      <c r="X322" s="506"/>
      <c r="Y322" s="506"/>
      <c r="Z322" s="506"/>
      <c r="AA322" s="506"/>
      <c r="AB322" s="506"/>
      <c r="AC322" s="502" t="n">
        <f aca="false">SUMIF(AD$12:AS$12,"总值",AD322:AS322)</f>
        <v>0</v>
      </c>
      <c r="AD322" s="507"/>
      <c r="AE322" s="507"/>
      <c r="AF322" s="507"/>
      <c r="AG322" s="507"/>
      <c r="AH322" s="507"/>
      <c r="AI322" s="507"/>
      <c r="AJ322" s="507"/>
      <c r="AK322" s="507"/>
      <c r="AL322" s="507"/>
      <c r="AM322" s="507"/>
      <c r="AN322" s="507"/>
      <c r="AO322" s="507"/>
      <c r="AP322" s="507"/>
      <c r="AQ322" s="507"/>
      <c r="AR322" s="507"/>
      <c r="AS322" s="507"/>
      <c r="AT322" s="508"/>
      <c r="AU322" s="509"/>
      <c r="AV322" s="510" t="n">
        <f aca="false">A322</f>
        <v>0</v>
      </c>
      <c r="AW322" s="510" t="n">
        <f aca="false">B322</f>
        <v>0</v>
      </c>
      <c r="AX322" s="510" t="n">
        <f aca="false">C322</f>
        <v>0</v>
      </c>
      <c r="AY322" s="511" t="n">
        <f aca="false">ROUND($AY$6*AZ322/$AZ$5,2)</f>
        <v>0</v>
      </c>
      <c r="AZ322" s="502" t="n">
        <f aca="false">BA322+BL322</f>
        <v>0</v>
      </c>
      <c r="BA322" s="502" t="n">
        <f aca="false">SUM(BB322:BK322)</f>
        <v>0</v>
      </c>
      <c r="BB322" s="502" t="n">
        <f aca="false">IF($D322="是",I322-J322,0)</f>
        <v>0</v>
      </c>
      <c r="BC322" s="502" t="n">
        <f aca="false">IF($D322="是",K322-L322,0)</f>
        <v>0</v>
      </c>
      <c r="BD322" s="502" t="n">
        <f aca="false">IF($D322="是",M322-N322,0)</f>
        <v>0</v>
      </c>
      <c r="BE322" s="502" t="n">
        <f aca="false">IF($D322="是",O322-P322,0)</f>
        <v>0</v>
      </c>
      <c r="BF322" s="502" t="n">
        <f aca="false">IF($D322="是",Q322-R322,0)</f>
        <v>0</v>
      </c>
      <c r="BG322" s="502" t="n">
        <f aca="false">IF($D322="是",S322-T322,0)</f>
        <v>0</v>
      </c>
      <c r="BH322" s="502" t="n">
        <f aca="false">IF($D322="是",U322-V322,0)</f>
        <v>0</v>
      </c>
      <c r="BI322" s="502" t="n">
        <f aca="false">IF($D322="是",W322-X322,0)</f>
        <v>0</v>
      </c>
      <c r="BJ322" s="502" t="n">
        <f aca="false">IF($D322="是",Y322-Z322,0)</f>
        <v>0</v>
      </c>
      <c r="BK322" s="502" t="n">
        <f aca="false">IF($D322="是",AA322-AB322,0)</f>
        <v>0</v>
      </c>
      <c r="BL322" s="502" t="n">
        <f aca="false">SUM(BM322:BT322)</f>
        <v>0</v>
      </c>
      <c r="BM322" s="502" t="n">
        <f aca="false">IF($D322="是",AD322-AE322,0)</f>
        <v>0</v>
      </c>
      <c r="BN322" s="502" t="n">
        <f aca="false">IF($D322="是",AF322-AG322,0)</f>
        <v>0</v>
      </c>
      <c r="BO322" s="502" t="n">
        <f aca="false">IF($D322="是",AH322-AI322,0)</f>
        <v>0</v>
      </c>
      <c r="BP322" s="502" t="n">
        <f aca="false">IF($D322="是",AJ322-AK322,0)</f>
        <v>0</v>
      </c>
      <c r="BQ322" s="502" t="n">
        <f aca="false">IF($D322="是",AL322-AM322,0)</f>
        <v>0</v>
      </c>
      <c r="BR322" s="502" t="n">
        <f aca="false">IF($D322="是",AN322-AO322,0)</f>
        <v>0</v>
      </c>
      <c r="BS322" s="502" t="n">
        <f aca="false">IF($D322="是",AP322-AQ322,0)</f>
        <v>0</v>
      </c>
      <c r="BT322" s="512" t="n">
        <f aca="false">IF($D322="是",AR322-AS322,0)</f>
        <v>0</v>
      </c>
    </row>
    <row r="323" customFormat="false" ht="14.25" hidden="false" customHeight="false" outlineLevel="0" collapsed="false">
      <c r="A323" s="499"/>
      <c r="B323" s="500"/>
      <c r="C323" s="500"/>
      <c r="D323" s="501"/>
      <c r="E323" s="502" t="n">
        <f aca="false">IF($C$3="是",ROUND($A$3*G323/$B$3,2),ROUND($A$3*(G323-AT323)/$B$3,2))</f>
        <v>0</v>
      </c>
      <c r="F323" s="503"/>
      <c r="G323" s="504" t="n">
        <f aca="false">H323+AC323+AT323</f>
        <v>0</v>
      </c>
      <c r="H323" s="505" t="n">
        <f aca="false">SUMIF(I$12:AB$12,"总值",I323:AB323)</f>
        <v>0</v>
      </c>
      <c r="I323" s="506"/>
      <c r="J323" s="506"/>
      <c r="K323" s="506"/>
      <c r="L323" s="506"/>
      <c r="M323" s="506"/>
      <c r="N323" s="506"/>
      <c r="O323" s="506"/>
      <c r="P323" s="506"/>
      <c r="Q323" s="506"/>
      <c r="R323" s="506"/>
      <c r="S323" s="506"/>
      <c r="T323" s="506"/>
      <c r="U323" s="506"/>
      <c r="V323" s="506"/>
      <c r="W323" s="506"/>
      <c r="X323" s="506"/>
      <c r="Y323" s="506"/>
      <c r="Z323" s="506"/>
      <c r="AA323" s="506"/>
      <c r="AB323" s="506"/>
      <c r="AC323" s="502" t="n">
        <f aca="false">SUMIF(AD$12:AS$12,"总值",AD323:AS323)</f>
        <v>0</v>
      </c>
      <c r="AD323" s="507"/>
      <c r="AE323" s="507"/>
      <c r="AF323" s="507"/>
      <c r="AG323" s="507"/>
      <c r="AH323" s="507"/>
      <c r="AI323" s="507"/>
      <c r="AJ323" s="507"/>
      <c r="AK323" s="507"/>
      <c r="AL323" s="507"/>
      <c r="AM323" s="507"/>
      <c r="AN323" s="507"/>
      <c r="AO323" s="507"/>
      <c r="AP323" s="507"/>
      <c r="AQ323" s="507"/>
      <c r="AR323" s="507"/>
      <c r="AS323" s="507"/>
      <c r="AT323" s="508"/>
      <c r="AU323" s="509"/>
      <c r="AV323" s="510" t="n">
        <f aca="false">A323</f>
        <v>0</v>
      </c>
      <c r="AW323" s="510" t="n">
        <f aca="false">B323</f>
        <v>0</v>
      </c>
      <c r="AX323" s="510" t="n">
        <f aca="false">C323</f>
        <v>0</v>
      </c>
      <c r="AY323" s="511" t="n">
        <f aca="false">ROUND($AY$6*AZ323/$AZ$5,2)</f>
        <v>0</v>
      </c>
      <c r="AZ323" s="502" t="n">
        <f aca="false">BA323+BL323</f>
        <v>0</v>
      </c>
      <c r="BA323" s="502" t="n">
        <f aca="false">SUM(BB323:BK323)</f>
        <v>0</v>
      </c>
      <c r="BB323" s="502" t="n">
        <f aca="false">IF($D323="是",I323-J323,0)</f>
        <v>0</v>
      </c>
      <c r="BC323" s="502" t="n">
        <f aca="false">IF($D323="是",K323-L323,0)</f>
        <v>0</v>
      </c>
      <c r="BD323" s="502" t="n">
        <f aca="false">IF($D323="是",M323-N323,0)</f>
        <v>0</v>
      </c>
      <c r="BE323" s="502" t="n">
        <f aca="false">IF($D323="是",O323-P323,0)</f>
        <v>0</v>
      </c>
      <c r="BF323" s="502" t="n">
        <f aca="false">IF($D323="是",Q323-R323,0)</f>
        <v>0</v>
      </c>
      <c r="BG323" s="502" t="n">
        <f aca="false">IF($D323="是",S323-T323,0)</f>
        <v>0</v>
      </c>
      <c r="BH323" s="502" t="n">
        <f aca="false">IF($D323="是",U323-V323,0)</f>
        <v>0</v>
      </c>
      <c r="BI323" s="502" t="n">
        <f aca="false">IF($D323="是",W323-X323,0)</f>
        <v>0</v>
      </c>
      <c r="BJ323" s="502" t="n">
        <f aca="false">IF($D323="是",Y323-Z323,0)</f>
        <v>0</v>
      </c>
      <c r="BK323" s="502" t="n">
        <f aca="false">IF($D323="是",AA323-AB323,0)</f>
        <v>0</v>
      </c>
      <c r="BL323" s="502" t="n">
        <f aca="false">SUM(BM323:BT323)</f>
        <v>0</v>
      </c>
      <c r="BM323" s="502" t="n">
        <f aca="false">IF($D323="是",AD323-AE323,0)</f>
        <v>0</v>
      </c>
      <c r="BN323" s="502" t="n">
        <f aca="false">IF($D323="是",AF323-AG323,0)</f>
        <v>0</v>
      </c>
      <c r="BO323" s="502" t="n">
        <f aca="false">IF($D323="是",AH323-AI323,0)</f>
        <v>0</v>
      </c>
      <c r="BP323" s="502" t="n">
        <f aca="false">IF($D323="是",AJ323-AK323,0)</f>
        <v>0</v>
      </c>
      <c r="BQ323" s="502" t="n">
        <f aca="false">IF($D323="是",AL323-AM323,0)</f>
        <v>0</v>
      </c>
      <c r="BR323" s="502" t="n">
        <f aca="false">IF($D323="是",AN323-AO323,0)</f>
        <v>0</v>
      </c>
      <c r="BS323" s="502" t="n">
        <f aca="false">IF($D323="是",AP323-AQ323,0)</f>
        <v>0</v>
      </c>
      <c r="BT323" s="512" t="n">
        <f aca="false">IF($D323="是",AR323-AS323,0)</f>
        <v>0</v>
      </c>
    </row>
    <row r="324" customFormat="false" ht="14.25" hidden="false" customHeight="false" outlineLevel="0" collapsed="false">
      <c r="A324" s="499"/>
      <c r="B324" s="500"/>
      <c r="C324" s="500"/>
      <c r="D324" s="501"/>
      <c r="E324" s="502" t="n">
        <f aca="false">IF($C$3="是",ROUND($A$3*G324/$B$3,2),ROUND($A$3*(G324-AT324)/$B$3,2))</f>
        <v>0</v>
      </c>
      <c r="F324" s="503"/>
      <c r="G324" s="504" t="n">
        <f aca="false">H324+AC324+AT324</f>
        <v>0</v>
      </c>
      <c r="H324" s="505" t="n">
        <f aca="false">SUMIF(I$12:AB$12,"总值",I324:AB324)</f>
        <v>0</v>
      </c>
      <c r="I324" s="506"/>
      <c r="J324" s="506"/>
      <c r="K324" s="506"/>
      <c r="L324" s="506"/>
      <c r="M324" s="506"/>
      <c r="N324" s="506"/>
      <c r="O324" s="506"/>
      <c r="P324" s="506"/>
      <c r="Q324" s="506"/>
      <c r="R324" s="506"/>
      <c r="S324" s="506"/>
      <c r="T324" s="506"/>
      <c r="U324" s="506"/>
      <c r="V324" s="506"/>
      <c r="W324" s="506"/>
      <c r="X324" s="506"/>
      <c r="Y324" s="506"/>
      <c r="Z324" s="506"/>
      <c r="AA324" s="506"/>
      <c r="AB324" s="506"/>
      <c r="AC324" s="502" t="n">
        <f aca="false">SUMIF(AD$12:AS$12,"总值",AD324:AS324)</f>
        <v>0</v>
      </c>
      <c r="AD324" s="507"/>
      <c r="AE324" s="507"/>
      <c r="AF324" s="507"/>
      <c r="AG324" s="507"/>
      <c r="AH324" s="507"/>
      <c r="AI324" s="507"/>
      <c r="AJ324" s="507"/>
      <c r="AK324" s="507"/>
      <c r="AL324" s="507"/>
      <c r="AM324" s="507"/>
      <c r="AN324" s="507"/>
      <c r="AO324" s="507"/>
      <c r="AP324" s="507"/>
      <c r="AQ324" s="507"/>
      <c r="AR324" s="507"/>
      <c r="AS324" s="507"/>
      <c r="AT324" s="508"/>
      <c r="AU324" s="509"/>
      <c r="AV324" s="510" t="n">
        <f aca="false">A324</f>
        <v>0</v>
      </c>
      <c r="AW324" s="510" t="n">
        <f aca="false">B324</f>
        <v>0</v>
      </c>
      <c r="AX324" s="510" t="n">
        <f aca="false">C324</f>
        <v>0</v>
      </c>
      <c r="AY324" s="511" t="n">
        <f aca="false">ROUND($AY$6*AZ324/$AZ$5,2)</f>
        <v>0</v>
      </c>
      <c r="AZ324" s="502" t="n">
        <f aca="false">BA324+BL324</f>
        <v>0</v>
      </c>
      <c r="BA324" s="502" t="n">
        <f aca="false">SUM(BB324:BK324)</f>
        <v>0</v>
      </c>
      <c r="BB324" s="502" t="n">
        <f aca="false">IF($D324="是",I324-J324,0)</f>
        <v>0</v>
      </c>
      <c r="BC324" s="502" t="n">
        <f aca="false">IF($D324="是",K324-L324,0)</f>
        <v>0</v>
      </c>
      <c r="BD324" s="502" t="n">
        <f aca="false">IF($D324="是",M324-N324,0)</f>
        <v>0</v>
      </c>
      <c r="BE324" s="502" t="n">
        <f aca="false">IF($D324="是",O324-P324,0)</f>
        <v>0</v>
      </c>
      <c r="BF324" s="502" t="n">
        <f aca="false">IF($D324="是",Q324-R324,0)</f>
        <v>0</v>
      </c>
      <c r="BG324" s="502" t="n">
        <f aca="false">IF($D324="是",S324-T324,0)</f>
        <v>0</v>
      </c>
      <c r="BH324" s="502" t="n">
        <f aca="false">IF($D324="是",U324-V324,0)</f>
        <v>0</v>
      </c>
      <c r="BI324" s="502" t="n">
        <f aca="false">IF($D324="是",W324-X324,0)</f>
        <v>0</v>
      </c>
      <c r="BJ324" s="502" t="n">
        <f aca="false">IF($D324="是",Y324-Z324,0)</f>
        <v>0</v>
      </c>
      <c r="BK324" s="502" t="n">
        <f aca="false">IF($D324="是",AA324-AB324,0)</f>
        <v>0</v>
      </c>
      <c r="BL324" s="502" t="n">
        <f aca="false">SUM(BM324:BT324)</f>
        <v>0</v>
      </c>
      <c r="BM324" s="502" t="n">
        <f aca="false">IF($D324="是",AD324-AE324,0)</f>
        <v>0</v>
      </c>
      <c r="BN324" s="502" t="n">
        <f aca="false">IF($D324="是",AF324-AG324,0)</f>
        <v>0</v>
      </c>
      <c r="BO324" s="502" t="n">
        <f aca="false">IF($D324="是",AH324-AI324,0)</f>
        <v>0</v>
      </c>
      <c r="BP324" s="502" t="n">
        <f aca="false">IF($D324="是",AJ324-AK324,0)</f>
        <v>0</v>
      </c>
      <c r="BQ324" s="502" t="n">
        <f aca="false">IF($D324="是",AL324-AM324,0)</f>
        <v>0</v>
      </c>
      <c r="BR324" s="502" t="n">
        <f aca="false">IF($D324="是",AN324-AO324,0)</f>
        <v>0</v>
      </c>
      <c r="BS324" s="502" t="n">
        <f aca="false">IF($D324="是",AP324-AQ324,0)</f>
        <v>0</v>
      </c>
      <c r="BT324" s="512" t="n">
        <f aca="false">IF($D324="是",AR324-AS324,0)</f>
        <v>0</v>
      </c>
    </row>
    <row r="325" customFormat="false" ht="14.25" hidden="false" customHeight="false" outlineLevel="0" collapsed="false">
      <c r="A325" s="499"/>
      <c r="B325" s="500"/>
      <c r="C325" s="500"/>
      <c r="D325" s="501"/>
      <c r="E325" s="502" t="n">
        <f aca="false">IF($C$3="是",ROUND($A$3*G325/$B$3,2),ROUND($A$3*(G325-AT325)/$B$3,2))</f>
        <v>0</v>
      </c>
      <c r="F325" s="503"/>
      <c r="G325" s="504" t="n">
        <f aca="false">H325+AC325+AT325</f>
        <v>0</v>
      </c>
      <c r="H325" s="505" t="n">
        <f aca="false">SUMIF(I$12:AB$12,"总值",I325:AB325)</f>
        <v>0</v>
      </c>
      <c r="I325" s="506"/>
      <c r="J325" s="506"/>
      <c r="K325" s="506"/>
      <c r="L325" s="506"/>
      <c r="M325" s="506"/>
      <c r="N325" s="506"/>
      <c r="O325" s="506"/>
      <c r="P325" s="506"/>
      <c r="Q325" s="506"/>
      <c r="R325" s="506"/>
      <c r="S325" s="506"/>
      <c r="T325" s="506"/>
      <c r="U325" s="506"/>
      <c r="V325" s="506"/>
      <c r="W325" s="506"/>
      <c r="X325" s="506"/>
      <c r="Y325" s="506"/>
      <c r="Z325" s="506"/>
      <c r="AA325" s="506"/>
      <c r="AB325" s="506"/>
      <c r="AC325" s="502" t="n">
        <f aca="false">SUMIF(AD$12:AS$12,"总值",AD325:AS325)</f>
        <v>0</v>
      </c>
      <c r="AD325" s="507"/>
      <c r="AE325" s="507"/>
      <c r="AF325" s="507"/>
      <c r="AG325" s="507"/>
      <c r="AH325" s="507"/>
      <c r="AI325" s="507"/>
      <c r="AJ325" s="507"/>
      <c r="AK325" s="507"/>
      <c r="AL325" s="507"/>
      <c r="AM325" s="507"/>
      <c r="AN325" s="507"/>
      <c r="AO325" s="507"/>
      <c r="AP325" s="507"/>
      <c r="AQ325" s="507"/>
      <c r="AR325" s="507"/>
      <c r="AS325" s="507"/>
      <c r="AT325" s="508"/>
      <c r="AU325" s="509"/>
      <c r="AV325" s="510" t="n">
        <f aca="false">A325</f>
        <v>0</v>
      </c>
      <c r="AW325" s="510" t="n">
        <f aca="false">B325</f>
        <v>0</v>
      </c>
      <c r="AX325" s="510" t="n">
        <f aca="false">C325</f>
        <v>0</v>
      </c>
      <c r="AY325" s="511" t="n">
        <f aca="false">ROUND($AY$6*AZ325/$AZ$5,2)</f>
        <v>0</v>
      </c>
      <c r="AZ325" s="502" t="n">
        <f aca="false">BA325+BL325</f>
        <v>0</v>
      </c>
      <c r="BA325" s="502" t="n">
        <f aca="false">SUM(BB325:BK325)</f>
        <v>0</v>
      </c>
      <c r="BB325" s="502" t="n">
        <f aca="false">IF($D325="是",I325-J325,0)</f>
        <v>0</v>
      </c>
      <c r="BC325" s="502" t="n">
        <f aca="false">IF($D325="是",K325-L325,0)</f>
        <v>0</v>
      </c>
      <c r="BD325" s="502" t="n">
        <f aca="false">IF($D325="是",M325-N325,0)</f>
        <v>0</v>
      </c>
      <c r="BE325" s="502" t="n">
        <f aca="false">IF($D325="是",O325-P325,0)</f>
        <v>0</v>
      </c>
      <c r="BF325" s="502" t="n">
        <f aca="false">IF($D325="是",Q325-R325,0)</f>
        <v>0</v>
      </c>
      <c r="BG325" s="502" t="n">
        <f aca="false">IF($D325="是",S325-T325,0)</f>
        <v>0</v>
      </c>
      <c r="BH325" s="502" t="n">
        <f aca="false">IF($D325="是",U325-V325,0)</f>
        <v>0</v>
      </c>
      <c r="BI325" s="502" t="n">
        <f aca="false">IF($D325="是",W325-X325,0)</f>
        <v>0</v>
      </c>
      <c r="BJ325" s="502" t="n">
        <f aca="false">IF($D325="是",Y325-Z325,0)</f>
        <v>0</v>
      </c>
      <c r="BK325" s="502" t="n">
        <f aca="false">IF($D325="是",AA325-AB325,0)</f>
        <v>0</v>
      </c>
      <c r="BL325" s="502" t="n">
        <f aca="false">SUM(BM325:BT325)</f>
        <v>0</v>
      </c>
      <c r="BM325" s="502" t="n">
        <f aca="false">IF($D325="是",AD325-AE325,0)</f>
        <v>0</v>
      </c>
      <c r="BN325" s="502" t="n">
        <f aca="false">IF($D325="是",AF325-AG325,0)</f>
        <v>0</v>
      </c>
      <c r="BO325" s="502" t="n">
        <f aca="false">IF($D325="是",AH325-AI325,0)</f>
        <v>0</v>
      </c>
      <c r="BP325" s="502" t="n">
        <f aca="false">IF($D325="是",AJ325-AK325,0)</f>
        <v>0</v>
      </c>
      <c r="BQ325" s="502" t="n">
        <f aca="false">IF($D325="是",AL325-AM325,0)</f>
        <v>0</v>
      </c>
      <c r="BR325" s="502" t="n">
        <f aca="false">IF($D325="是",AN325-AO325,0)</f>
        <v>0</v>
      </c>
      <c r="BS325" s="502" t="n">
        <f aca="false">IF($D325="是",AP325-AQ325,0)</f>
        <v>0</v>
      </c>
      <c r="BT325" s="512" t="n">
        <f aca="false">IF($D325="是",AR325-AS325,0)</f>
        <v>0</v>
      </c>
    </row>
    <row r="326" customFormat="false" ht="14.25" hidden="false" customHeight="false" outlineLevel="0" collapsed="false">
      <c r="A326" s="499"/>
      <c r="B326" s="500"/>
      <c r="C326" s="500"/>
      <c r="D326" s="501"/>
      <c r="E326" s="502" t="n">
        <f aca="false">IF($C$3="是",ROUND($A$3*G326/$B$3,2),ROUND($A$3*(G326-AT326)/$B$3,2))</f>
        <v>0</v>
      </c>
      <c r="F326" s="503"/>
      <c r="G326" s="504" t="n">
        <f aca="false">H326+AC326+AT326</f>
        <v>0</v>
      </c>
      <c r="H326" s="505" t="n">
        <f aca="false">SUMIF(I$12:AB$12,"总值",I326:AB326)</f>
        <v>0</v>
      </c>
      <c r="I326" s="506"/>
      <c r="J326" s="506"/>
      <c r="K326" s="506"/>
      <c r="L326" s="506"/>
      <c r="M326" s="506"/>
      <c r="N326" s="506"/>
      <c r="O326" s="506"/>
      <c r="P326" s="506"/>
      <c r="Q326" s="506"/>
      <c r="R326" s="506"/>
      <c r="S326" s="506"/>
      <c r="T326" s="506"/>
      <c r="U326" s="506"/>
      <c r="V326" s="506"/>
      <c r="W326" s="506"/>
      <c r="X326" s="506"/>
      <c r="Y326" s="506"/>
      <c r="Z326" s="506"/>
      <c r="AA326" s="506"/>
      <c r="AB326" s="506"/>
      <c r="AC326" s="502" t="n">
        <f aca="false">SUMIF(AD$12:AS$12,"总值",AD326:AS326)</f>
        <v>0</v>
      </c>
      <c r="AD326" s="507"/>
      <c r="AE326" s="507"/>
      <c r="AF326" s="507"/>
      <c r="AG326" s="507"/>
      <c r="AH326" s="507"/>
      <c r="AI326" s="507"/>
      <c r="AJ326" s="507"/>
      <c r="AK326" s="507"/>
      <c r="AL326" s="507"/>
      <c r="AM326" s="507"/>
      <c r="AN326" s="507"/>
      <c r="AO326" s="507"/>
      <c r="AP326" s="507"/>
      <c r="AQ326" s="507"/>
      <c r="AR326" s="507"/>
      <c r="AS326" s="507"/>
      <c r="AT326" s="508"/>
      <c r="AU326" s="509"/>
      <c r="AV326" s="510" t="n">
        <f aca="false">A326</f>
        <v>0</v>
      </c>
      <c r="AW326" s="510" t="n">
        <f aca="false">B326</f>
        <v>0</v>
      </c>
      <c r="AX326" s="510" t="n">
        <f aca="false">C326</f>
        <v>0</v>
      </c>
      <c r="AY326" s="511" t="n">
        <f aca="false">ROUND($AY$6*AZ326/$AZ$5,2)</f>
        <v>0</v>
      </c>
      <c r="AZ326" s="502" t="n">
        <f aca="false">BA326+BL326</f>
        <v>0</v>
      </c>
      <c r="BA326" s="502" t="n">
        <f aca="false">SUM(BB326:BK326)</f>
        <v>0</v>
      </c>
      <c r="BB326" s="502" t="n">
        <f aca="false">IF($D326="是",I326-J326,0)</f>
        <v>0</v>
      </c>
      <c r="BC326" s="502" t="n">
        <f aca="false">IF($D326="是",K326-L326,0)</f>
        <v>0</v>
      </c>
      <c r="BD326" s="502" t="n">
        <f aca="false">IF($D326="是",M326-N326,0)</f>
        <v>0</v>
      </c>
      <c r="BE326" s="502" t="n">
        <f aca="false">IF($D326="是",O326-P326,0)</f>
        <v>0</v>
      </c>
      <c r="BF326" s="502" t="n">
        <f aca="false">IF($D326="是",Q326-R326,0)</f>
        <v>0</v>
      </c>
      <c r="BG326" s="502" t="n">
        <f aca="false">IF($D326="是",S326-T326,0)</f>
        <v>0</v>
      </c>
      <c r="BH326" s="502" t="n">
        <f aca="false">IF($D326="是",U326-V326,0)</f>
        <v>0</v>
      </c>
      <c r="BI326" s="502" t="n">
        <f aca="false">IF($D326="是",W326-X326,0)</f>
        <v>0</v>
      </c>
      <c r="BJ326" s="502" t="n">
        <f aca="false">IF($D326="是",Y326-Z326,0)</f>
        <v>0</v>
      </c>
      <c r="BK326" s="502" t="n">
        <f aca="false">IF($D326="是",AA326-AB326,0)</f>
        <v>0</v>
      </c>
      <c r="BL326" s="502" t="n">
        <f aca="false">SUM(BM326:BT326)</f>
        <v>0</v>
      </c>
      <c r="BM326" s="502" t="n">
        <f aca="false">IF($D326="是",AD326-AE326,0)</f>
        <v>0</v>
      </c>
      <c r="BN326" s="502" t="n">
        <f aca="false">IF($D326="是",AF326-AG326,0)</f>
        <v>0</v>
      </c>
      <c r="BO326" s="502" t="n">
        <f aca="false">IF($D326="是",AH326-AI326,0)</f>
        <v>0</v>
      </c>
      <c r="BP326" s="502" t="n">
        <f aca="false">IF($D326="是",AJ326-AK326,0)</f>
        <v>0</v>
      </c>
      <c r="BQ326" s="502" t="n">
        <f aca="false">IF($D326="是",AL326-AM326,0)</f>
        <v>0</v>
      </c>
      <c r="BR326" s="502" t="n">
        <f aca="false">IF($D326="是",AN326-AO326,0)</f>
        <v>0</v>
      </c>
      <c r="BS326" s="502" t="n">
        <f aca="false">IF($D326="是",AP326-AQ326,0)</f>
        <v>0</v>
      </c>
      <c r="BT326" s="512" t="n">
        <f aca="false">IF($D326="是",AR326-AS326,0)</f>
        <v>0</v>
      </c>
    </row>
    <row r="327" customFormat="false" ht="14.25" hidden="false" customHeight="false" outlineLevel="0" collapsed="false">
      <c r="A327" s="499"/>
      <c r="B327" s="500"/>
      <c r="C327" s="500"/>
      <c r="D327" s="501"/>
      <c r="E327" s="502" t="n">
        <f aca="false">IF($C$3="是",ROUND($A$3*G327/$B$3,2),ROUND($A$3*(G327-AT327)/$B$3,2))</f>
        <v>0</v>
      </c>
      <c r="F327" s="503"/>
      <c r="G327" s="504" t="n">
        <f aca="false">H327+AC327+AT327</f>
        <v>0</v>
      </c>
      <c r="H327" s="505" t="n">
        <f aca="false">SUMIF(I$12:AB$12,"总值",I327:AB327)</f>
        <v>0</v>
      </c>
      <c r="I327" s="506"/>
      <c r="J327" s="506"/>
      <c r="K327" s="506"/>
      <c r="L327" s="506"/>
      <c r="M327" s="506"/>
      <c r="N327" s="506"/>
      <c r="O327" s="506"/>
      <c r="P327" s="506"/>
      <c r="Q327" s="506"/>
      <c r="R327" s="506"/>
      <c r="S327" s="506"/>
      <c r="T327" s="506"/>
      <c r="U327" s="506"/>
      <c r="V327" s="506"/>
      <c r="W327" s="506"/>
      <c r="X327" s="506"/>
      <c r="Y327" s="506"/>
      <c r="Z327" s="506"/>
      <c r="AA327" s="506"/>
      <c r="AB327" s="506"/>
      <c r="AC327" s="502" t="n">
        <f aca="false">SUMIF(AD$12:AS$12,"总值",AD327:AS327)</f>
        <v>0</v>
      </c>
      <c r="AD327" s="507"/>
      <c r="AE327" s="507"/>
      <c r="AF327" s="507"/>
      <c r="AG327" s="507"/>
      <c r="AH327" s="507"/>
      <c r="AI327" s="507"/>
      <c r="AJ327" s="507"/>
      <c r="AK327" s="507"/>
      <c r="AL327" s="507"/>
      <c r="AM327" s="507"/>
      <c r="AN327" s="507"/>
      <c r="AO327" s="507"/>
      <c r="AP327" s="507"/>
      <c r="AQ327" s="507"/>
      <c r="AR327" s="507"/>
      <c r="AS327" s="507"/>
      <c r="AT327" s="508"/>
      <c r="AU327" s="509"/>
      <c r="AV327" s="510" t="n">
        <f aca="false">A327</f>
        <v>0</v>
      </c>
      <c r="AW327" s="510" t="n">
        <f aca="false">B327</f>
        <v>0</v>
      </c>
      <c r="AX327" s="510" t="n">
        <f aca="false">C327</f>
        <v>0</v>
      </c>
      <c r="AY327" s="511" t="n">
        <f aca="false">ROUND($AY$6*AZ327/$AZ$5,2)</f>
        <v>0</v>
      </c>
      <c r="AZ327" s="502" t="n">
        <f aca="false">BA327+BL327</f>
        <v>0</v>
      </c>
      <c r="BA327" s="502" t="n">
        <f aca="false">SUM(BB327:BK327)</f>
        <v>0</v>
      </c>
      <c r="BB327" s="502" t="n">
        <f aca="false">IF($D327="是",I327-J327,0)</f>
        <v>0</v>
      </c>
      <c r="BC327" s="502" t="n">
        <f aca="false">IF($D327="是",K327-L327,0)</f>
        <v>0</v>
      </c>
      <c r="BD327" s="502" t="n">
        <f aca="false">IF($D327="是",M327-N327,0)</f>
        <v>0</v>
      </c>
      <c r="BE327" s="502" t="n">
        <f aca="false">IF($D327="是",O327-P327,0)</f>
        <v>0</v>
      </c>
      <c r="BF327" s="502" t="n">
        <f aca="false">IF($D327="是",Q327-R327,0)</f>
        <v>0</v>
      </c>
      <c r="BG327" s="502" t="n">
        <f aca="false">IF($D327="是",S327-T327,0)</f>
        <v>0</v>
      </c>
      <c r="BH327" s="502" t="n">
        <f aca="false">IF($D327="是",U327-V327,0)</f>
        <v>0</v>
      </c>
      <c r="BI327" s="502" t="n">
        <f aca="false">IF($D327="是",W327-X327,0)</f>
        <v>0</v>
      </c>
      <c r="BJ327" s="502" t="n">
        <f aca="false">IF($D327="是",Y327-Z327,0)</f>
        <v>0</v>
      </c>
      <c r="BK327" s="502" t="n">
        <f aca="false">IF($D327="是",AA327-AB327,0)</f>
        <v>0</v>
      </c>
      <c r="BL327" s="502" t="n">
        <f aca="false">SUM(BM327:BT327)</f>
        <v>0</v>
      </c>
      <c r="BM327" s="502" t="n">
        <f aca="false">IF($D327="是",AD327-AE327,0)</f>
        <v>0</v>
      </c>
      <c r="BN327" s="502" t="n">
        <f aca="false">IF($D327="是",AF327-AG327,0)</f>
        <v>0</v>
      </c>
      <c r="BO327" s="502" t="n">
        <f aca="false">IF($D327="是",AH327-AI327,0)</f>
        <v>0</v>
      </c>
      <c r="BP327" s="502" t="n">
        <f aca="false">IF($D327="是",AJ327-AK327,0)</f>
        <v>0</v>
      </c>
      <c r="BQ327" s="502" t="n">
        <f aca="false">IF($D327="是",AL327-AM327,0)</f>
        <v>0</v>
      </c>
      <c r="BR327" s="502" t="n">
        <f aca="false">IF($D327="是",AN327-AO327,0)</f>
        <v>0</v>
      </c>
      <c r="BS327" s="502" t="n">
        <f aca="false">IF($D327="是",AP327-AQ327,0)</f>
        <v>0</v>
      </c>
      <c r="BT327" s="512" t="n">
        <f aca="false">IF($D327="是",AR327-AS327,0)</f>
        <v>0</v>
      </c>
    </row>
    <row r="328" customFormat="false" ht="14.25" hidden="false" customHeight="false" outlineLevel="0" collapsed="false">
      <c r="A328" s="499"/>
      <c r="B328" s="500"/>
      <c r="C328" s="500"/>
      <c r="D328" s="501"/>
      <c r="E328" s="502" t="n">
        <f aca="false">IF($C$3="是",ROUND($A$3*G328/$B$3,2),ROUND($A$3*(G328-AT328)/$B$3,2))</f>
        <v>0</v>
      </c>
      <c r="F328" s="503"/>
      <c r="G328" s="504" t="n">
        <f aca="false">H328+AC328+AT328</f>
        <v>0</v>
      </c>
      <c r="H328" s="505" t="n">
        <f aca="false">SUMIF(I$12:AB$12,"总值",I328:AB328)</f>
        <v>0</v>
      </c>
      <c r="I328" s="506"/>
      <c r="J328" s="506"/>
      <c r="K328" s="506"/>
      <c r="L328" s="506"/>
      <c r="M328" s="506"/>
      <c r="N328" s="506"/>
      <c r="O328" s="506"/>
      <c r="P328" s="506"/>
      <c r="Q328" s="506"/>
      <c r="R328" s="506"/>
      <c r="S328" s="506"/>
      <c r="T328" s="506"/>
      <c r="U328" s="506"/>
      <c r="V328" s="506"/>
      <c r="W328" s="506"/>
      <c r="X328" s="506"/>
      <c r="Y328" s="506"/>
      <c r="Z328" s="506"/>
      <c r="AA328" s="506"/>
      <c r="AB328" s="506"/>
      <c r="AC328" s="502" t="n">
        <f aca="false">SUMIF(AD$12:AS$12,"总值",AD328:AS328)</f>
        <v>0</v>
      </c>
      <c r="AD328" s="507"/>
      <c r="AE328" s="507"/>
      <c r="AF328" s="507"/>
      <c r="AG328" s="507"/>
      <c r="AH328" s="507"/>
      <c r="AI328" s="507"/>
      <c r="AJ328" s="507"/>
      <c r="AK328" s="507"/>
      <c r="AL328" s="507"/>
      <c r="AM328" s="507"/>
      <c r="AN328" s="507"/>
      <c r="AO328" s="507"/>
      <c r="AP328" s="507"/>
      <c r="AQ328" s="507"/>
      <c r="AR328" s="507"/>
      <c r="AS328" s="507"/>
      <c r="AT328" s="508"/>
      <c r="AU328" s="509"/>
      <c r="AV328" s="510" t="n">
        <f aca="false">A328</f>
        <v>0</v>
      </c>
      <c r="AW328" s="510" t="n">
        <f aca="false">B328</f>
        <v>0</v>
      </c>
      <c r="AX328" s="510" t="n">
        <f aca="false">C328</f>
        <v>0</v>
      </c>
      <c r="AY328" s="511" t="n">
        <f aca="false">ROUND($AY$6*AZ328/$AZ$5,2)</f>
        <v>0</v>
      </c>
      <c r="AZ328" s="502" t="n">
        <f aca="false">BA328+BL328</f>
        <v>0</v>
      </c>
      <c r="BA328" s="502" t="n">
        <f aca="false">SUM(BB328:BK328)</f>
        <v>0</v>
      </c>
      <c r="BB328" s="502" t="n">
        <f aca="false">IF($D328="是",I328-J328,0)</f>
        <v>0</v>
      </c>
      <c r="BC328" s="502" t="n">
        <f aca="false">IF($D328="是",K328-L328,0)</f>
        <v>0</v>
      </c>
      <c r="BD328" s="502" t="n">
        <f aca="false">IF($D328="是",M328-N328,0)</f>
        <v>0</v>
      </c>
      <c r="BE328" s="502" t="n">
        <f aca="false">IF($D328="是",O328-P328,0)</f>
        <v>0</v>
      </c>
      <c r="BF328" s="502" t="n">
        <f aca="false">IF($D328="是",Q328-R328,0)</f>
        <v>0</v>
      </c>
      <c r="BG328" s="502" t="n">
        <f aca="false">IF($D328="是",S328-T328,0)</f>
        <v>0</v>
      </c>
      <c r="BH328" s="502" t="n">
        <f aca="false">IF($D328="是",U328-V328,0)</f>
        <v>0</v>
      </c>
      <c r="BI328" s="502" t="n">
        <f aca="false">IF($D328="是",W328-X328,0)</f>
        <v>0</v>
      </c>
      <c r="BJ328" s="502" t="n">
        <f aca="false">IF($D328="是",Y328-Z328,0)</f>
        <v>0</v>
      </c>
      <c r="BK328" s="502" t="n">
        <f aca="false">IF($D328="是",AA328-AB328,0)</f>
        <v>0</v>
      </c>
      <c r="BL328" s="502" t="n">
        <f aca="false">SUM(BM328:BT328)</f>
        <v>0</v>
      </c>
      <c r="BM328" s="502" t="n">
        <f aca="false">IF($D328="是",AD328-AE328,0)</f>
        <v>0</v>
      </c>
      <c r="BN328" s="502" t="n">
        <f aca="false">IF($D328="是",AF328-AG328,0)</f>
        <v>0</v>
      </c>
      <c r="BO328" s="502" t="n">
        <f aca="false">IF($D328="是",AH328-AI328,0)</f>
        <v>0</v>
      </c>
      <c r="BP328" s="502" t="n">
        <f aca="false">IF($D328="是",AJ328-AK328,0)</f>
        <v>0</v>
      </c>
      <c r="BQ328" s="502" t="n">
        <f aca="false">IF($D328="是",AL328-AM328,0)</f>
        <v>0</v>
      </c>
      <c r="BR328" s="502" t="n">
        <f aca="false">IF($D328="是",AN328-AO328,0)</f>
        <v>0</v>
      </c>
      <c r="BS328" s="502" t="n">
        <f aca="false">IF($D328="是",AP328-AQ328,0)</f>
        <v>0</v>
      </c>
      <c r="BT328" s="512" t="n">
        <f aca="false">IF($D328="是",AR328-AS328,0)</f>
        <v>0</v>
      </c>
    </row>
    <row r="329" customFormat="false" ht="14.25" hidden="false" customHeight="false" outlineLevel="0" collapsed="false">
      <c r="A329" s="499"/>
      <c r="B329" s="500"/>
      <c r="C329" s="500"/>
      <c r="D329" s="501"/>
      <c r="E329" s="502" t="n">
        <f aca="false">IF($C$3="是",ROUND($A$3*G329/$B$3,2),ROUND($A$3*(G329-AT329)/$B$3,2))</f>
        <v>0</v>
      </c>
      <c r="F329" s="503"/>
      <c r="G329" s="504" t="n">
        <f aca="false">H329+AC329+AT329</f>
        <v>0</v>
      </c>
      <c r="H329" s="505" t="n">
        <f aca="false">SUMIF(I$12:AB$12,"总值",I329:AB329)</f>
        <v>0</v>
      </c>
      <c r="I329" s="506"/>
      <c r="J329" s="506"/>
      <c r="K329" s="506"/>
      <c r="L329" s="506"/>
      <c r="M329" s="506"/>
      <c r="N329" s="506"/>
      <c r="O329" s="506"/>
      <c r="P329" s="506"/>
      <c r="Q329" s="506"/>
      <c r="R329" s="506"/>
      <c r="S329" s="506"/>
      <c r="T329" s="506"/>
      <c r="U329" s="506"/>
      <c r="V329" s="506"/>
      <c r="W329" s="506"/>
      <c r="X329" s="506"/>
      <c r="Y329" s="506"/>
      <c r="Z329" s="506"/>
      <c r="AA329" s="506"/>
      <c r="AB329" s="506"/>
      <c r="AC329" s="502" t="n">
        <f aca="false">SUMIF(AD$12:AS$12,"总值",AD329:AS329)</f>
        <v>0</v>
      </c>
      <c r="AD329" s="507"/>
      <c r="AE329" s="507"/>
      <c r="AF329" s="507"/>
      <c r="AG329" s="507"/>
      <c r="AH329" s="507"/>
      <c r="AI329" s="507"/>
      <c r="AJ329" s="507"/>
      <c r="AK329" s="507"/>
      <c r="AL329" s="507"/>
      <c r="AM329" s="507"/>
      <c r="AN329" s="507"/>
      <c r="AO329" s="507"/>
      <c r="AP329" s="507"/>
      <c r="AQ329" s="507"/>
      <c r="AR329" s="507"/>
      <c r="AS329" s="507"/>
      <c r="AT329" s="508"/>
      <c r="AU329" s="509"/>
      <c r="AV329" s="510" t="n">
        <f aca="false">A329</f>
        <v>0</v>
      </c>
      <c r="AW329" s="510" t="n">
        <f aca="false">B329</f>
        <v>0</v>
      </c>
      <c r="AX329" s="510" t="n">
        <f aca="false">C329</f>
        <v>0</v>
      </c>
      <c r="AY329" s="511" t="n">
        <f aca="false">ROUND($AY$6*AZ329/$AZ$5,2)</f>
        <v>0</v>
      </c>
      <c r="AZ329" s="502" t="n">
        <f aca="false">BA329+BL329</f>
        <v>0</v>
      </c>
      <c r="BA329" s="502" t="n">
        <f aca="false">SUM(BB329:BK329)</f>
        <v>0</v>
      </c>
      <c r="BB329" s="502" t="n">
        <f aca="false">IF($D329="是",I329-J329,0)</f>
        <v>0</v>
      </c>
      <c r="BC329" s="502" t="n">
        <f aca="false">IF($D329="是",K329-L329,0)</f>
        <v>0</v>
      </c>
      <c r="BD329" s="502" t="n">
        <f aca="false">IF($D329="是",M329-N329,0)</f>
        <v>0</v>
      </c>
      <c r="BE329" s="502" t="n">
        <f aca="false">IF($D329="是",O329-P329,0)</f>
        <v>0</v>
      </c>
      <c r="BF329" s="502" t="n">
        <f aca="false">IF($D329="是",Q329-R329,0)</f>
        <v>0</v>
      </c>
      <c r="BG329" s="502" t="n">
        <f aca="false">IF($D329="是",S329-T329,0)</f>
        <v>0</v>
      </c>
      <c r="BH329" s="502" t="n">
        <f aca="false">IF($D329="是",U329-V329,0)</f>
        <v>0</v>
      </c>
      <c r="BI329" s="502" t="n">
        <f aca="false">IF($D329="是",W329-X329,0)</f>
        <v>0</v>
      </c>
      <c r="BJ329" s="502" t="n">
        <f aca="false">IF($D329="是",Y329-Z329,0)</f>
        <v>0</v>
      </c>
      <c r="BK329" s="502" t="n">
        <f aca="false">IF($D329="是",AA329-AB329,0)</f>
        <v>0</v>
      </c>
      <c r="BL329" s="502" t="n">
        <f aca="false">SUM(BM329:BT329)</f>
        <v>0</v>
      </c>
      <c r="BM329" s="502" t="n">
        <f aca="false">IF($D329="是",AD329-AE329,0)</f>
        <v>0</v>
      </c>
      <c r="BN329" s="502" t="n">
        <f aca="false">IF($D329="是",AF329-AG329,0)</f>
        <v>0</v>
      </c>
      <c r="BO329" s="502" t="n">
        <f aca="false">IF($D329="是",AH329-AI329,0)</f>
        <v>0</v>
      </c>
      <c r="BP329" s="502" t="n">
        <f aca="false">IF($D329="是",AJ329-AK329,0)</f>
        <v>0</v>
      </c>
      <c r="BQ329" s="502" t="n">
        <f aca="false">IF($D329="是",AL329-AM329,0)</f>
        <v>0</v>
      </c>
      <c r="BR329" s="502" t="n">
        <f aca="false">IF($D329="是",AN329-AO329,0)</f>
        <v>0</v>
      </c>
      <c r="BS329" s="502" t="n">
        <f aca="false">IF($D329="是",AP329-AQ329,0)</f>
        <v>0</v>
      </c>
      <c r="BT329" s="512" t="n">
        <f aca="false">IF($D329="是",AR329-AS329,0)</f>
        <v>0</v>
      </c>
    </row>
    <row r="330" customFormat="false" ht="14.25" hidden="false" customHeight="false" outlineLevel="0" collapsed="false">
      <c r="A330" s="499"/>
      <c r="B330" s="500"/>
      <c r="C330" s="500"/>
      <c r="D330" s="501"/>
      <c r="E330" s="502" t="n">
        <f aca="false">IF($C$3="是",ROUND($A$3*G330/$B$3,2),ROUND($A$3*(G330-AT330)/$B$3,2))</f>
        <v>0</v>
      </c>
      <c r="F330" s="503"/>
      <c r="G330" s="504" t="n">
        <f aca="false">H330+AC330+AT330</f>
        <v>0</v>
      </c>
      <c r="H330" s="505" t="n">
        <f aca="false">SUMIF(I$12:AB$12,"总值",I330:AB330)</f>
        <v>0</v>
      </c>
      <c r="I330" s="506"/>
      <c r="J330" s="506"/>
      <c r="K330" s="506"/>
      <c r="L330" s="506"/>
      <c r="M330" s="506"/>
      <c r="N330" s="506"/>
      <c r="O330" s="506"/>
      <c r="P330" s="506"/>
      <c r="Q330" s="506"/>
      <c r="R330" s="506"/>
      <c r="S330" s="506"/>
      <c r="T330" s="506"/>
      <c r="U330" s="506"/>
      <c r="V330" s="506"/>
      <c r="W330" s="506"/>
      <c r="X330" s="506"/>
      <c r="Y330" s="506"/>
      <c r="Z330" s="506"/>
      <c r="AA330" s="506"/>
      <c r="AB330" s="506"/>
      <c r="AC330" s="502" t="n">
        <f aca="false">SUMIF(AD$12:AS$12,"总值",AD330:AS330)</f>
        <v>0</v>
      </c>
      <c r="AD330" s="507"/>
      <c r="AE330" s="507"/>
      <c r="AF330" s="507"/>
      <c r="AG330" s="507"/>
      <c r="AH330" s="507"/>
      <c r="AI330" s="507"/>
      <c r="AJ330" s="507"/>
      <c r="AK330" s="507"/>
      <c r="AL330" s="507"/>
      <c r="AM330" s="507"/>
      <c r="AN330" s="507"/>
      <c r="AO330" s="507"/>
      <c r="AP330" s="507"/>
      <c r="AQ330" s="507"/>
      <c r="AR330" s="507"/>
      <c r="AS330" s="507"/>
      <c r="AT330" s="508"/>
      <c r="AU330" s="509"/>
      <c r="AV330" s="510" t="n">
        <f aca="false">A330</f>
        <v>0</v>
      </c>
      <c r="AW330" s="510" t="n">
        <f aca="false">B330</f>
        <v>0</v>
      </c>
      <c r="AX330" s="510" t="n">
        <f aca="false">C330</f>
        <v>0</v>
      </c>
      <c r="AY330" s="511" t="n">
        <f aca="false">ROUND($AY$6*AZ330/$AZ$5,2)</f>
        <v>0</v>
      </c>
      <c r="AZ330" s="502" t="n">
        <f aca="false">BA330+BL330</f>
        <v>0</v>
      </c>
      <c r="BA330" s="502" t="n">
        <f aca="false">SUM(BB330:BK330)</f>
        <v>0</v>
      </c>
      <c r="BB330" s="502" t="n">
        <f aca="false">IF($D330="是",I330-J330,0)</f>
        <v>0</v>
      </c>
      <c r="BC330" s="502" t="n">
        <f aca="false">IF($D330="是",K330-L330,0)</f>
        <v>0</v>
      </c>
      <c r="BD330" s="502" t="n">
        <f aca="false">IF($D330="是",M330-N330,0)</f>
        <v>0</v>
      </c>
      <c r="BE330" s="502" t="n">
        <f aca="false">IF($D330="是",O330-P330,0)</f>
        <v>0</v>
      </c>
      <c r="BF330" s="502" t="n">
        <f aca="false">IF($D330="是",Q330-R330,0)</f>
        <v>0</v>
      </c>
      <c r="BG330" s="502" t="n">
        <f aca="false">IF($D330="是",S330-T330,0)</f>
        <v>0</v>
      </c>
      <c r="BH330" s="502" t="n">
        <f aca="false">IF($D330="是",U330-V330,0)</f>
        <v>0</v>
      </c>
      <c r="BI330" s="502" t="n">
        <f aca="false">IF($D330="是",W330-X330,0)</f>
        <v>0</v>
      </c>
      <c r="BJ330" s="502" t="n">
        <f aca="false">IF($D330="是",Y330-Z330,0)</f>
        <v>0</v>
      </c>
      <c r="BK330" s="502" t="n">
        <f aca="false">IF($D330="是",AA330-AB330,0)</f>
        <v>0</v>
      </c>
      <c r="BL330" s="502" t="n">
        <f aca="false">SUM(BM330:BT330)</f>
        <v>0</v>
      </c>
      <c r="BM330" s="502" t="n">
        <f aca="false">IF($D330="是",AD330-AE330,0)</f>
        <v>0</v>
      </c>
      <c r="BN330" s="502" t="n">
        <f aca="false">IF($D330="是",AF330-AG330,0)</f>
        <v>0</v>
      </c>
      <c r="BO330" s="502" t="n">
        <f aca="false">IF($D330="是",AH330-AI330,0)</f>
        <v>0</v>
      </c>
      <c r="BP330" s="502" t="n">
        <f aca="false">IF($D330="是",AJ330-AK330,0)</f>
        <v>0</v>
      </c>
      <c r="BQ330" s="502" t="n">
        <f aca="false">IF($D330="是",AL330-AM330,0)</f>
        <v>0</v>
      </c>
      <c r="BR330" s="502" t="n">
        <f aca="false">IF($D330="是",AN330-AO330,0)</f>
        <v>0</v>
      </c>
      <c r="BS330" s="502" t="n">
        <f aca="false">IF($D330="是",AP330-AQ330,0)</f>
        <v>0</v>
      </c>
      <c r="BT330" s="512" t="n">
        <f aca="false">IF($D330="是",AR330-AS330,0)</f>
        <v>0</v>
      </c>
    </row>
    <row r="331" customFormat="false" ht="14.25" hidden="false" customHeight="false" outlineLevel="0" collapsed="false">
      <c r="A331" s="499"/>
      <c r="B331" s="500"/>
      <c r="C331" s="500"/>
      <c r="D331" s="501"/>
      <c r="E331" s="502" t="n">
        <f aca="false">IF($C$3="是",ROUND($A$3*G331/$B$3,2),ROUND($A$3*(G331-AT331)/$B$3,2))</f>
        <v>0</v>
      </c>
      <c r="F331" s="503"/>
      <c r="G331" s="504" t="n">
        <f aca="false">H331+AC331+AT331</f>
        <v>0</v>
      </c>
      <c r="H331" s="505" t="n">
        <f aca="false">SUMIF(I$12:AB$12,"总值",I331:AB331)</f>
        <v>0</v>
      </c>
      <c r="I331" s="506"/>
      <c r="J331" s="506"/>
      <c r="K331" s="506"/>
      <c r="L331" s="506"/>
      <c r="M331" s="506"/>
      <c r="N331" s="506"/>
      <c r="O331" s="506"/>
      <c r="P331" s="506"/>
      <c r="Q331" s="506"/>
      <c r="R331" s="506"/>
      <c r="S331" s="506"/>
      <c r="T331" s="506"/>
      <c r="U331" s="506"/>
      <c r="V331" s="506"/>
      <c r="W331" s="506"/>
      <c r="X331" s="506"/>
      <c r="Y331" s="506"/>
      <c r="Z331" s="506"/>
      <c r="AA331" s="506"/>
      <c r="AB331" s="506"/>
      <c r="AC331" s="502" t="n">
        <f aca="false">SUMIF(AD$12:AS$12,"总值",AD331:AS331)</f>
        <v>0</v>
      </c>
      <c r="AD331" s="507"/>
      <c r="AE331" s="507"/>
      <c r="AF331" s="507"/>
      <c r="AG331" s="507"/>
      <c r="AH331" s="507"/>
      <c r="AI331" s="507"/>
      <c r="AJ331" s="507"/>
      <c r="AK331" s="507"/>
      <c r="AL331" s="507"/>
      <c r="AM331" s="507"/>
      <c r="AN331" s="507"/>
      <c r="AO331" s="507"/>
      <c r="AP331" s="507"/>
      <c r="AQ331" s="507"/>
      <c r="AR331" s="507"/>
      <c r="AS331" s="507"/>
      <c r="AT331" s="508"/>
      <c r="AU331" s="509"/>
      <c r="AV331" s="510" t="n">
        <f aca="false">A331</f>
        <v>0</v>
      </c>
      <c r="AW331" s="510" t="n">
        <f aca="false">B331</f>
        <v>0</v>
      </c>
      <c r="AX331" s="510" t="n">
        <f aca="false">C331</f>
        <v>0</v>
      </c>
      <c r="AY331" s="511" t="n">
        <f aca="false">ROUND($AY$6*AZ331/$AZ$5,2)</f>
        <v>0</v>
      </c>
      <c r="AZ331" s="502" t="n">
        <f aca="false">BA331+BL331</f>
        <v>0</v>
      </c>
      <c r="BA331" s="502" t="n">
        <f aca="false">SUM(BB331:BK331)</f>
        <v>0</v>
      </c>
      <c r="BB331" s="502" t="n">
        <f aca="false">IF($D331="是",I331-J331,0)</f>
        <v>0</v>
      </c>
      <c r="BC331" s="502" t="n">
        <f aca="false">IF($D331="是",K331-L331,0)</f>
        <v>0</v>
      </c>
      <c r="BD331" s="502" t="n">
        <f aca="false">IF($D331="是",M331-N331,0)</f>
        <v>0</v>
      </c>
      <c r="BE331" s="502" t="n">
        <f aca="false">IF($D331="是",O331-P331,0)</f>
        <v>0</v>
      </c>
      <c r="BF331" s="502" t="n">
        <f aca="false">IF($D331="是",Q331-R331,0)</f>
        <v>0</v>
      </c>
      <c r="BG331" s="502" t="n">
        <f aca="false">IF($D331="是",S331-T331,0)</f>
        <v>0</v>
      </c>
      <c r="BH331" s="502" t="n">
        <f aca="false">IF($D331="是",U331-V331,0)</f>
        <v>0</v>
      </c>
      <c r="BI331" s="502" t="n">
        <f aca="false">IF($D331="是",W331-X331,0)</f>
        <v>0</v>
      </c>
      <c r="BJ331" s="502" t="n">
        <f aca="false">IF($D331="是",Y331-Z331,0)</f>
        <v>0</v>
      </c>
      <c r="BK331" s="502" t="n">
        <f aca="false">IF($D331="是",AA331-AB331,0)</f>
        <v>0</v>
      </c>
      <c r="BL331" s="502" t="n">
        <f aca="false">SUM(BM331:BT331)</f>
        <v>0</v>
      </c>
      <c r="BM331" s="502" t="n">
        <f aca="false">IF($D331="是",AD331-AE331,0)</f>
        <v>0</v>
      </c>
      <c r="BN331" s="502" t="n">
        <f aca="false">IF($D331="是",AF331-AG331,0)</f>
        <v>0</v>
      </c>
      <c r="BO331" s="502" t="n">
        <f aca="false">IF($D331="是",AH331-AI331,0)</f>
        <v>0</v>
      </c>
      <c r="BP331" s="502" t="n">
        <f aca="false">IF($D331="是",AJ331-AK331,0)</f>
        <v>0</v>
      </c>
      <c r="BQ331" s="502" t="n">
        <f aca="false">IF($D331="是",AL331-AM331,0)</f>
        <v>0</v>
      </c>
      <c r="BR331" s="502" t="n">
        <f aca="false">IF($D331="是",AN331-AO331,0)</f>
        <v>0</v>
      </c>
      <c r="BS331" s="502" t="n">
        <f aca="false">IF($D331="是",AP331-AQ331,0)</f>
        <v>0</v>
      </c>
      <c r="BT331" s="512" t="n">
        <f aca="false">IF($D331="是",AR331-AS331,0)</f>
        <v>0</v>
      </c>
    </row>
    <row r="332" customFormat="false" ht="14.25" hidden="false" customHeight="false" outlineLevel="0" collapsed="false">
      <c r="A332" s="499"/>
      <c r="B332" s="500"/>
      <c r="C332" s="500"/>
      <c r="D332" s="501"/>
      <c r="E332" s="502" t="n">
        <f aca="false">IF($C$3="是",ROUND($A$3*G332/$B$3,2),ROUND($A$3*(G332-AT332)/$B$3,2))</f>
        <v>0</v>
      </c>
      <c r="F332" s="503"/>
      <c r="G332" s="504" t="n">
        <f aca="false">H332+AC332+AT332</f>
        <v>0</v>
      </c>
      <c r="H332" s="505" t="n">
        <f aca="false">SUMIF(I$12:AB$12,"总值",I332:AB332)</f>
        <v>0</v>
      </c>
      <c r="I332" s="506"/>
      <c r="J332" s="506"/>
      <c r="K332" s="506"/>
      <c r="L332" s="506"/>
      <c r="M332" s="506"/>
      <c r="N332" s="506"/>
      <c r="O332" s="506"/>
      <c r="P332" s="506"/>
      <c r="Q332" s="506"/>
      <c r="R332" s="506"/>
      <c r="S332" s="506"/>
      <c r="T332" s="506"/>
      <c r="U332" s="506"/>
      <c r="V332" s="506"/>
      <c r="W332" s="506"/>
      <c r="X332" s="506"/>
      <c r="Y332" s="506"/>
      <c r="Z332" s="506"/>
      <c r="AA332" s="506"/>
      <c r="AB332" s="506"/>
      <c r="AC332" s="502" t="n">
        <f aca="false">SUMIF(AD$12:AS$12,"总值",AD332:AS332)</f>
        <v>0</v>
      </c>
      <c r="AD332" s="507"/>
      <c r="AE332" s="507"/>
      <c r="AF332" s="507"/>
      <c r="AG332" s="507"/>
      <c r="AH332" s="507"/>
      <c r="AI332" s="507"/>
      <c r="AJ332" s="507"/>
      <c r="AK332" s="507"/>
      <c r="AL332" s="507"/>
      <c r="AM332" s="507"/>
      <c r="AN332" s="507"/>
      <c r="AO332" s="507"/>
      <c r="AP332" s="507"/>
      <c r="AQ332" s="507"/>
      <c r="AR332" s="507"/>
      <c r="AS332" s="507"/>
      <c r="AT332" s="508"/>
      <c r="AU332" s="509"/>
      <c r="AV332" s="510" t="n">
        <f aca="false">A332</f>
        <v>0</v>
      </c>
      <c r="AW332" s="510" t="n">
        <f aca="false">B332</f>
        <v>0</v>
      </c>
      <c r="AX332" s="510" t="n">
        <f aca="false">C332</f>
        <v>0</v>
      </c>
      <c r="AY332" s="511" t="n">
        <f aca="false">ROUND($AY$6*AZ332/$AZ$5,2)</f>
        <v>0</v>
      </c>
      <c r="AZ332" s="502" t="n">
        <f aca="false">BA332+BL332</f>
        <v>0</v>
      </c>
      <c r="BA332" s="502" t="n">
        <f aca="false">SUM(BB332:BK332)</f>
        <v>0</v>
      </c>
      <c r="BB332" s="502" t="n">
        <f aca="false">IF($D332="是",I332-J332,0)</f>
        <v>0</v>
      </c>
      <c r="BC332" s="502" t="n">
        <f aca="false">IF($D332="是",K332-L332,0)</f>
        <v>0</v>
      </c>
      <c r="BD332" s="502" t="n">
        <f aca="false">IF($D332="是",M332-N332,0)</f>
        <v>0</v>
      </c>
      <c r="BE332" s="502" t="n">
        <f aca="false">IF($D332="是",O332-P332,0)</f>
        <v>0</v>
      </c>
      <c r="BF332" s="502" t="n">
        <f aca="false">IF($D332="是",Q332-R332,0)</f>
        <v>0</v>
      </c>
      <c r="BG332" s="502" t="n">
        <f aca="false">IF($D332="是",S332-T332,0)</f>
        <v>0</v>
      </c>
      <c r="BH332" s="502" t="n">
        <f aca="false">IF($D332="是",U332-V332,0)</f>
        <v>0</v>
      </c>
      <c r="BI332" s="502" t="n">
        <f aca="false">IF($D332="是",W332-X332,0)</f>
        <v>0</v>
      </c>
      <c r="BJ332" s="502" t="n">
        <f aca="false">IF($D332="是",Y332-Z332,0)</f>
        <v>0</v>
      </c>
      <c r="BK332" s="502" t="n">
        <f aca="false">IF($D332="是",AA332-AB332,0)</f>
        <v>0</v>
      </c>
      <c r="BL332" s="502" t="n">
        <f aca="false">SUM(BM332:BT332)</f>
        <v>0</v>
      </c>
      <c r="BM332" s="502" t="n">
        <f aca="false">IF($D332="是",AD332-AE332,0)</f>
        <v>0</v>
      </c>
      <c r="BN332" s="502" t="n">
        <f aca="false">IF($D332="是",AF332-AG332,0)</f>
        <v>0</v>
      </c>
      <c r="BO332" s="502" t="n">
        <f aca="false">IF($D332="是",AH332-AI332,0)</f>
        <v>0</v>
      </c>
      <c r="BP332" s="502" t="n">
        <f aca="false">IF($D332="是",AJ332-AK332,0)</f>
        <v>0</v>
      </c>
      <c r="BQ332" s="502" t="n">
        <f aca="false">IF($D332="是",AL332-AM332,0)</f>
        <v>0</v>
      </c>
      <c r="BR332" s="502" t="n">
        <f aca="false">IF($D332="是",AN332-AO332,0)</f>
        <v>0</v>
      </c>
      <c r="BS332" s="502" t="n">
        <f aca="false">IF($D332="是",AP332-AQ332,0)</f>
        <v>0</v>
      </c>
      <c r="BT332" s="512" t="n">
        <f aca="false">IF($D332="是",AR332-AS332,0)</f>
        <v>0</v>
      </c>
    </row>
    <row r="333" customFormat="false" ht="14.25" hidden="false" customHeight="false" outlineLevel="0" collapsed="false">
      <c r="A333" s="499"/>
      <c r="B333" s="500"/>
      <c r="C333" s="500"/>
      <c r="D333" s="501"/>
      <c r="E333" s="502" t="n">
        <f aca="false">IF($C$3="是",ROUND($A$3*G333/$B$3,2),ROUND($A$3*(G333-AT333)/$B$3,2))</f>
        <v>0</v>
      </c>
      <c r="F333" s="503"/>
      <c r="G333" s="504" t="n">
        <f aca="false">H333+AC333+AT333</f>
        <v>0</v>
      </c>
      <c r="H333" s="505" t="n">
        <f aca="false">SUMIF(I$12:AB$12,"总值",I333:AB333)</f>
        <v>0</v>
      </c>
      <c r="I333" s="506"/>
      <c r="J333" s="506"/>
      <c r="K333" s="506"/>
      <c r="L333" s="506"/>
      <c r="M333" s="506"/>
      <c r="N333" s="506"/>
      <c r="O333" s="506"/>
      <c r="P333" s="506"/>
      <c r="Q333" s="506"/>
      <c r="R333" s="506"/>
      <c r="S333" s="506"/>
      <c r="T333" s="506"/>
      <c r="U333" s="506"/>
      <c r="V333" s="506"/>
      <c r="W333" s="506"/>
      <c r="X333" s="506"/>
      <c r="Y333" s="506"/>
      <c r="Z333" s="506"/>
      <c r="AA333" s="506"/>
      <c r="AB333" s="506"/>
      <c r="AC333" s="502" t="n">
        <f aca="false">SUMIF(AD$12:AS$12,"总值",AD333:AS333)</f>
        <v>0</v>
      </c>
      <c r="AD333" s="507"/>
      <c r="AE333" s="507"/>
      <c r="AF333" s="507"/>
      <c r="AG333" s="507"/>
      <c r="AH333" s="507"/>
      <c r="AI333" s="507"/>
      <c r="AJ333" s="507"/>
      <c r="AK333" s="507"/>
      <c r="AL333" s="507"/>
      <c r="AM333" s="507"/>
      <c r="AN333" s="507"/>
      <c r="AO333" s="507"/>
      <c r="AP333" s="507"/>
      <c r="AQ333" s="507"/>
      <c r="AR333" s="507"/>
      <c r="AS333" s="507"/>
      <c r="AT333" s="508"/>
      <c r="AU333" s="509"/>
      <c r="AV333" s="510" t="n">
        <f aca="false">A333</f>
        <v>0</v>
      </c>
      <c r="AW333" s="510" t="n">
        <f aca="false">B333</f>
        <v>0</v>
      </c>
      <c r="AX333" s="510" t="n">
        <f aca="false">C333</f>
        <v>0</v>
      </c>
      <c r="AY333" s="511" t="n">
        <f aca="false">ROUND($AY$6*AZ333/$AZ$5,2)</f>
        <v>0</v>
      </c>
      <c r="AZ333" s="502" t="n">
        <f aca="false">BA333+BL333</f>
        <v>0</v>
      </c>
      <c r="BA333" s="502" t="n">
        <f aca="false">SUM(BB333:BK333)</f>
        <v>0</v>
      </c>
      <c r="BB333" s="502" t="n">
        <f aca="false">IF($D333="是",I333-J333,0)</f>
        <v>0</v>
      </c>
      <c r="BC333" s="502" t="n">
        <f aca="false">IF($D333="是",K333-L333,0)</f>
        <v>0</v>
      </c>
      <c r="BD333" s="502" t="n">
        <f aca="false">IF($D333="是",M333-N333,0)</f>
        <v>0</v>
      </c>
      <c r="BE333" s="502" t="n">
        <f aca="false">IF($D333="是",O333-P333,0)</f>
        <v>0</v>
      </c>
      <c r="BF333" s="502" t="n">
        <f aca="false">IF($D333="是",Q333-R333,0)</f>
        <v>0</v>
      </c>
      <c r="BG333" s="502" t="n">
        <f aca="false">IF($D333="是",S333-T333,0)</f>
        <v>0</v>
      </c>
      <c r="BH333" s="502" t="n">
        <f aca="false">IF($D333="是",U333-V333,0)</f>
        <v>0</v>
      </c>
      <c r="BI333" s="502" t="n">
        <f aca="false">IF($D333="是",W333-X333,0)</f>
        <v>0</v>
      </c>
      <c r="BJ333" s="502" t="n">
        <f aca="false">IF($D333="是",Y333-Z333,0)</f>
        <v>0</v>
      </c>
      <c r="BK333" s="502" t="n">
        <f aca="false">IF($D333="是",AA333-AB333,0)</f>
        <v>0</v>
      </c>
      <c r="BL333" s="502" t="n">
        <f aca="false">SUM(BM333:BT333)</f>
        <v>0</v>
      </c>
      <c r="BM333" s="502" t="n">
        <f aca="false">IF($D333="是",AD333-AE333,0)</f>
        <v>0</v>
      </c>
      <c r="BN333" s="502" t="n">
        <f aca="false">IF($D333="是",AF333-AG333,0)</f>
        <v>0</v>
      </c>
      <c r="BO333" s="502" t="n">
        <f aca="false">IF($D333="是",AH333-AI333,0)</f>
        <v>0</v>
      </c>
      <c r="BP333" s="502" t="n">
        <f aca="false">IF($D333="是",AJ333-AK333,0)</f>
        <v>0</v>
      </c>
      <c r="BQ333" s="502" t="n">
        <f aca="false">IF($D333="是",AL333-AM333,0)</f>
        <v>0</v>
      </c>
      <c r="BR333" s="502" t="n">
        <f aca="false">IF($D333="是",AN333-AO333,0)</f>
        <v>0</v>
      </c>
      <c r="BS333" s="502" t="n">
        <f aca="false">IF($D333="是",AP333-AQ333,0)</f>
        <v>0</v>
      </c>
      <c r="BT333" s="512" t="n">
        <f aca="false">IF($D333="是",AR333-AS333,0)</f>
        <v>0</v>
      </c>
    </row>
    <row r="334" customFormat="false" ht="14.25" hidden="false" customHeight="false" outlineLevel="0" collapsed="false">
      <c r="A334" s="499"/>
      <c r="B334" s="500"/>
      <c r="C334" s="500"/>
      <c r="D334" s="501"/>
      <c r="E334" s="502" t="n">
        <f aca="false">IF($C$3="是",ROUND($A$3*G334/$B$3,2),ROUND($A$3*(G334-AT334)/$B$3,2))</f>
        <v>0</v>
      </c>
      <c r="F334" s="503"/>
      <c r="G334" s="504" t="n">
        <f aca="false">H334+AC334+AT334</f>
        <v>0</v>
      </c>
      <c r="H334" s="505" t="n">
        <f aca="false">SUMIF(I$12:AB$12,"总值",I334:AB334)</f>
        <v>0</v>
      </c>
      <c r="I334" s="506"/>
      <c r="J334" s="506"/>
      <c r="K334" s="506"/>
      <c r="L334" s="506"/>
      <c r="M334" s="506"/>
      <c r="N334" s="506"/>
      <c r="O334" s="506"/>
      <c r="P334" s="506"/>
      <c r="Q334" s="506"/>
      <c r="R334" s="506"/>
      <c r="S334" s="506"/>
      <c r="T334" s="506"/>
      <c r="U334" s="506"/>
      <c r="V334" s="506"/>
      <c r="W334" s="506"/>
      <c r="X334" s="506"/>
      <c r="Y334" s="506"/>
      <c r="Z334" s="506"/>
      <c r="AA334" s="506"/>
      <c r="AB334" s="506"/>
      <c r="AC334" s="502" t="n">
        <f aca="false">SUMIF(AD$12:AS$12,"总值",AD334:AS334)</f>
        <v>0</v>
      </c>
      <c r="AD334" s="507"/>
      <c r="AE334" s="507"/>
      <c r="AF334" s="507"/>
      <c r="AG334" s="507"/>
      <c r="AH334" s="507"/>
      <c r="AI334" s="507"/>
      <c r="AJ334" s="507"/>
      <c r="AK334" s="507"/>
      <c r="AL334" s="507"/>
      <c r="AM334" s="507"/>
      <c r="AN334" s="507"/>
      <c r="AO334" s="507"/>
      <c r="AP334" s="507"/>
      <c r="AQ334" s="507"/>
      <c r="AR334" s="507"/>
      <c r="AS334" s="507"/>
      <c r="AT334" s="508"/>
      <c r="AU334" s="509"/>
      <c r="AV334" s="510" t="n">
        <f aca="false">A334</f>
        <v>0</v>
      </c>
      <c r="AW334" s="510" t="n">
        <f aca="false">B334</f>
        <v>0</v>
      </c>
      <c r="AX334" s="510" t="n">
        <f aca="false">C334</f>
        <v>0</v>
      </c>
      <c r="AY334" s="511" t="n">
        <f aca="false">ROUND($AY$6*AZ334/$AZ$5,2)</f>
        <v>0</v>
      </c>
      <c r="AZ334" s="502" t="n">
        <f aca="false">BA334+BL334</f>
        <v>0</v>
      </c>
      <c r="BA334" s="502" t="n">
        <f aca="false">SUM(BB334:BK334)</f>
        <v>0</v>
      </c>
      <c r="BB334" s="502" t="n">
        <f aca="false">IF($D334="是",I334-J334,0)</f>
        <v>0</v>
      </c>
      <c r="BC334" s="502" t="n">
        <f aca="false">IF($D334="是",K334-L334,0)</f>
        <v>0</v>
      </c>
      <c r="BD334" s="502" t="n">
        <f aca="false">IF($D334="是",M334-N334,0)</f>
        <v>0</v>
      </c>
      <c r="BE334" s="502" t="n">
        <f aca="false">IF($D334="是",O334-P334,0)</f>
        <v>0</v>
      </c>
      <c r="BF334" s="502" t="n">
        <f aca="false">IF($D334="是",Q334-R334,0)</f>
        <v>0</v>
      </c>
      <c r="BG334" s="502" t="n">
        <f aca="false">IF($D334="是",S334-T334,0)</f>
        <v>0</v>
      </c>
      <c r="BH334" s="502" t="n">
        <f aca="false">IF($D334="是",U334-V334,0)</f>
        <v>0</v>
      </c>
      <c r="BI334" s="502" t="n">
        <f aca="false">IF($D334="是",W334-X334,0)</f>
        <v>0</v>
      </c>
      <c r="BJ334" s="502" t="n">
        <f aca="false">IF($D334="是",Y334-Z334,0)</f>
        <v>0</v>
      </c>
      <c r="BK334" s="502" t="n">
        <f aca="false">IF($D334="是",AA334-AB334,0)</f>
        <v>0</v>
      </c>
      <c r="BL334" s="502" t="n">
        <f aca="false">SUM(BM334:BT334)</f>
        <v>0</v>
      </c>
      <c r="BM334" s="502" t="n">
        <f aca="false">IF($D334="是",AD334-AE334,0)</f>
        <v>0</v>
      </c>
      <c r="BN334" s="502" t="n">
        <f aca="false">IF($D334="是",AF334-AG334,0)</f>
        <v>0</v>
      </c>
      <c r="BO334" s="502" t="n">
        <f aca="false">IF($D334="是",AH334-AI334,0)</f>
        <v>0</v>
      </c>
      <c r="BP334" s="502" t="n">
        <f aca="false">IF($D334="是",AJ334-AK334,0)</f>
        <v>0</v>
      </c>
      <c r="BQ334" s="502" t="n">
        <f aca="false">IF($D334="是",AL334-AM334,0)</f>
        <v>0</v>
      </c>
      <c r="BR334" s="502" t="n">
        <f aca="false">IF($D334="是",AN334-AO334,0)</f>
        <v>0</v>
      </c>
      <c r="BS334" s="502" t="n">
        <f aca="false">IF($D334="是",AP334-AQ334,0)</f>
        <v>0</v>
      </c>
      <c r="BT334" s="512" t="n">
        <f aca="false">IF($D334="是",AR334-AS334,0)</f>
        <v>0</v>
      </c>
    </row>
    <row r="335" customFormat="false" ht="14.25" hidden="false" customHeight="false" outlineLevel="0" collapsed="false">
      <c r="A335" s="499"/>
      <c r="B335" s="500"/>
      <c r="C335" s="500"/>
      <c r="D335" s="501"/>
      <c r="E335" s="502" t="n">
        <f aca="false">IF($C$3="是",ROUND($A$3*G335/$B$3,2),ROUND($A$3*(G335-AT335)/$B$3,2))</f>
        <v>0</v>
      </c>
      <c r="F335" s="503"/>
      <c r="G335" s="504" t="n">
        <f aca="false">H335+AC335+AT335</f>
        <v>0</v>
      </c>
      <c r="H335" s="505" t="n">
        <f aca="false">SUMIF(I$12:AB$12,"总值",I335:AB335)</f>
        <v>0</v>
      </c>
      <c r="I335" s="506"/>
      <c r="J335" s="506"/>
      <c r="K335" s="506"/>
      <c r="L335" s="506"/>
      <c r="M335" s="506"/>
      <c r="N335" s="506"/>
      <c r="O335" s="506"/>
      <c r="P335" s="506"/>
      <c r="Q335" s="506"/>
      <c r="R335" s="506"/>
      <c r="S335" s="506"/>
      <c r="T335" s="506"/>
      <c r="U335" s="506"/>
      <c r="V335" s="506"/>
      <c r="W335" s="506"/>
      <c r="X335" s="506"/>
      <c r="Y335" s="506"/>
      <c r="Z335" s="506"/>
      <c r="AA335" s="506"/>
      <c r="AB335" s="506"/>
      <c r="AC335" s="502" t="n">
        <f aca="false">SUMIF(AD$12:AS$12,"总值",AD335:AS335)</f>
        <v>0</v>
      </c>
      <c r="AD335" s="507"/>
      <c r="AE335" s="507"/>
      <c r="AF335" s="507"/>
      <c r="AG335" s="507"/>
      <c r="AH335" s="507"/>
      <c r="AI335" s="507"/>
      <c r="AJ335" s="507"/>
      <c r="AK335" s="507"/>
      <c r="AL335" s="507"/>
      <c r="AM335" s="507"/>
      <c r="AN335" s="507"/>
      <c r="AO335" s="507"/>
      <c r="AP335" s="507"/>
      <c r="AQ335" s="507"/>
      <c r="AR335" s="507"/>
      <c r="AS335" s="507"/>
      <c r="AT335" s="508"/>
      <c r="AU335" s="509"/>
      <c r="AV335" s="510" t="n">
        <f aca="false">A335</f>
        <v>0</v>
      </c>
      <c r="AW335" s="510" t="n">
        <f aca="false">B335</f>
        <v>0</v>
      </c>
      <c r="AX335" s="510" t="n">
        <f aca="false">C335</f>
        <v>0</v>
      </c>
      <c r="AY335" s="511" t="n">
        <f aca="false">ROUND($AY$6*AZ335/$AZ$5,2)</f>
        <v>0</v>
      </c>
      <c r="AZ335" s="502" t="n">
        <f aca="false">BA335+BL335</f>
        <v>0</v>
      </c>
      <c r="BA335" s="502" t="n">
        <f aca="false">SUM(BB335:BK335)</f>
        <v>0</v>
      </c>
      <c r="BB335" s="502" t="n">
        <f aca="false">IF($D335="是",I335-J335,0)</f>
        <v>0</v>
      </c>
      <c r="BC335" s="502" t="n">
        <f aca="false">IF($D335="是",K335-L335,0)</f>
        <v>0</v>
      </c>
      <c r="BD335" s="502" t="n">
        <f aca="false">IF($D335="是",M335-N335,0)</f>
        <v>0</v>
      </c>
      <c r="BE335" s="502" t="n">
        <f aca="false">IF($D335="是",O335-P335,0)</f>
        <v>0</v>
      </c>
      <c r="BF335" s="502" t="n">
        <f aca="false">IF($D335="是",Q335-R335,0)</f>
        <v>0</v>
      </c>
      <c r="BG335" s="502" t="n">
        <f aca="false">IF($D335="是",S335-T335,0)</f>
        <v>0</v>
      </c>
      <c r="BH335" s="502" t="n">
        <f aca="false">IF($D335="是",U335-V335,0)</f>
        <v>0</v>
      </c>
      <c r="BI335" s="502" t="n">
        <f aca="false">IF($D335="是",W335-X335,0)</f>
        <v>0</v>
      </c>
      <c r="BJ335" s="502" t="n">
        <f aca="false">IF($D335="是",Y335-Z335,0)</f>
        <v>0</v>
      </c>
      <c r="BK335" s="502" t="n">
        <f aca="false">IF($D335="是",AA335-AB335,0)</f>
        <v>0</v>
      </c>
      <c r="BL335" s="502" t="n">
        <f aca="false">SUM(BM335:BT335)</f>
        <v>0</v>
      </c>
      <c r="BM335" s="502" t="n">
        <f aca="false">IF($D335="是",AD335-AE335,0)</f>
        <v>0</v>
      </c>
      <c r="BN335" s="502" t="n">
        <f aca="false">IF($D335="是",AF335-AG335,0)</f>
        <v>0</v>
      </c>
      <c r="BO335" s="502" t="n">
        <f aca="false">IF($D335="是",AH335-AI335,0)</f>
        <v>0</v>
      </c>
      <c r="BP335" s="502" t="n">
        <f aca="false">IF($D335="是",AJ335-AK335,0)</f>
        <v>0</v>
      </c>
      <c r="BQ335" s="502" t="n">
        <f aca="false">IF($D335="是",AL335-AM335,0)</f>
        <v>0</v>
      </c>
      <c r="BR335" s="502" t="n">
        <f aca="false">IF($D335="是",AN335-AO335,0)</f>
        <v>0</v>
      </c>
      <c r="BS335" s="502" t="n">
        <f aca="false">IF($D335="是",AP335-AQ335,0)</f>
        <v>0</v>
      </c>
      <c r="BT335" s="512" t="n">
        <f aca="false">IF($D335="是",AR335-AS335,0)</f>
        <v>0</v>
      </c>
    </row>
    <row r="336" customFormat="false" ht="14.25" hidden="false" customHeight="false" outlineLevel="0" collapsed="false">
      <c r="A336" s="499"/>
      <c r="B336" s="500"/>
      <c r="C336" s="500"/>
      <c r="D336" s="501"/>
      <c r="E336" s="502" t="n">
        <f aca="false">IF($C$3="是",ROUND($A$3*G336/$B$3,2),ROUND($A$3*(G336-AT336)/$B$3,2))</f>
        <v>0</v>
      </c>
      <c r="F336" s="503"/>
      <c r="G336" s="504" t="n">
        <f aca="false">H336+AC336+AT336</f>
        <v>0</v>
      </c>
      <c r="H336" s="505" t="n">
        <f aca="false">SUMIF(I$12:AB$12,"总值",I336:AB336)</f>
        <v>0</v>
      </c>
      <c r="I336" s="506"/>
      <c r="J336" s="506"/>
      <c r="K336" s="506"/>
      <c r="L336" s="506"/>
      <c r="M336" s="506"/>
      <c r="N336" s="506"/>
      <c r="O336" s="506"/>
      <c r="P336" s="506"/>
      <c r="Q336" s="506"/>
      <c r="R336" s="506"/>
      <c r="S336" s="506"/>
      <c r="T336" s="506"/>
      <c r="U336" s="506"/>
      <c r="V336" s="506"/>
      <c r="W336" s="506"/>
      <c r="X336" s="506"/>
      <c r="Y336" s="506"/>
      <c r="Z336" s="506"/>
      <c r="AA336" s="506"/>
      <c r="AB336" s="506"/>
      <c r="AC336" s="502" t="n">
        <f aca="false">SUMIF(AD$12:AS$12,"总值",AD336:AS336)</f>
        <v>0</v>
      </c>
      <c r="AD336" s="507"/>
      <c r="AE336" s="507"/>
      <c r="AF336" s="507"/>
      <c r="AG336" s="507"/>
      <c r="AH336" s="507"/>
      <c r="AI336" s="507"/>
      <c r="AJ336" s="507"/>
      <c r="AK336" s="507"/>
      <c r="AL336" s="507"/>
      <c r="AM336" s="507"/>
      <c r="AN336" s="507"/>
      <c r="AO336" s="507"/>
      <c r="AP336" s="507"/>
      <c r="AQ336" s="507"/>
      <c r="AR336" s="507"/>
      <c r="AS336" s="507"/>
      <c r="AT336" s="508"/>
      <c r="AU336" s="509"/>
      <c r="AV336" s="510" t="n">
        <f aca="false">A336</f>
        <v>0</v>
      </c>
      <c r="AW336" s="510" t="n">
        <f aca="false">B336</f>
        <v>0</v>
      </c>
      <c r="AX336" s="510" t="n">
        <f aca="false">C336</f>
        <v>0</v>
      </c>
      <c r="AY336" s="511" t="n">
        <f aca="false">ROUND($AY$6*AZ336/$AZ$5,2)</f>
        <v>0</v>
      </c>
      <c r="AZ336" s="502" t="n">
        <f aca="false">BA336+BL336</f>
        <v>0</v>
      </c>
      <c r="BA336" s="502" t="n">
        <f aca="false">SUM(BB336:BK336)</f>
        <v>0</v>
      </c>
      <c r="BB336" s="502" t="n">
        <f aca="false">IF($D336="是",I336-J336,0)</f>
        <v>0</v>
      </c>
      <c r="BC336" s="502" t="n">
        <f aca="false">IF($D336="是",K336-L336,0)</f>
        <v>0</v>
      </c>
      <c r="BD336" s="502" t="n">
        <f aca="false">IF($D336="是",M336-N336,0)</f>
        <v>0</v>
      </c>
      <c r="BE336" s="502" t="n">
        <f aca="false">IF($D336="是",O336-P336,0)</f>
        <v>0</v>
      </c>
      <c r="BF336" s="502" t="n">
        <f aca="false">IF($D336="是",Q336-R336,0)</f>
        <v>0</v>
      </c>
      <c r="BG336" s="502" t="n">
        <f aca="false">IF($D336="是",S336-T336,0)</f>
        <v>0</v>
      </c>
      <c r="BH336" s="502" t="n">
        <f aca="false">IF($D336="是",U336-V336,0)</f>
        <v>0</v>
      </c>
      <c r="BI336" s="502" t="n">
        <f aca="false">IF($D336="是",W336-X336,0)</f>
        <v>0</v>
      </c>
      <c r="BJ336" s="502" t="n">
        <f aca="false">IF($D336="是",Y336-Z336,0)</f>
        <v>0</v>
      </c>
      <c r="BK336" s="502" t="n">
        <f aca="false">IF($D336="是",AA336-AB336,0)</f>
        <v>0</v>
      </c>
      <c r="BL336" s="502" t="n">
        <f aca="false">SUM(BM336:BT336)</f>
        <v>0</v>
      </c>
      <c r="BM336" s="502" t="n">
        <f aca="false">IF($D336="是",AD336-AE336,0)</f>
        <v>0</v>
      </c>
      <c r="BN336" s="502" t="n">
        <f aca="false">IF($D336="是",AF336-AG336,0)</f>
        <v>0</v>
      </c>
      <c r="BO336" s="502" t="n">
        <f aca="false">IF($D336="是",AH336-AI336,0)</f>
        <v>0</v>
      </c>
      <c r="BP336" s="502" t="n">
        <f aca="false">IF($D336="是",AJ336-AK336,0)</f>
        <v>0</v>
      </c>
      <c r="BQ336" s="502" t="n">
        <f aca="false">IF($D336="是",AL336-AM336,0)</f>
        <v>0</v>
      </c>
      <c r="BR336" s="502" t="n">
        <f aca="false">IF($D336="是",AN336-AO336,0)</f>
        <v>0</v>
      </c>
      <c r="BS336" s="502" t="n">
        <f aca="false">IF($D336="是",AP336-AQ336,0)</f>
        <v>0</v>
      </c>
      <c r="BT336" s="512" t="n">
        <f aca="false">IF($D336="是",AR336-AS336,0)</f>
        <v>0</v>
      </c>
    </row>
    <row r="337" customFormat="false" ht="14.25" hidden="false" customHeight="false" outlineLevel="0" collapsed="false">
      <c r="A337" s="499"/>
      <c r="B337" s="500"/>
      <c r="C337" s="500"/>
      <c r="D337" s="501"/>
      <c r="E337" s="502" t="n">
        <f aca="false">IF($C$3="是",ROUND($A$3*G337/$B$3,2),ROUND($A$3*(G337-AT337)/$B$3,2))</f>
        <v>0</v>
      </c>
      <c r="F337" s="503"/>
      <c r="G337" s="504" t="n">
        <f aca="false">H337+AC337+AT337</f>
        <v>0</v>
      </c>
      <c r="H337" s="505" t="n">
        <f aca="false">SUMIF(I$12:AB$12,"总值",I337:AB337)</f>
        <v>0</v>
      </c>
      <c r="I337" s="506"/>
      <c r="J337" s="506"/>
      <c r="K337" s="506"/>
      <c r="L337" s="506"/>
      <c r="M337" s="506"/>
      <c r="N337" s="506"/>
      <c r="O337" s="506"/>
      <c r="P337" s="506"/>
      <c r="Q337" s="506"/>
      <c r="R337" s="506"/>
      <c r="S337" s="506"/>
      <c r="T337" s="506"/>
      <c r="U337" s="506"/>
      <c r="V337" s="506"/>
      <c r="W337" s="506"/>
      <c r="X337" s="506"/>
      <c r="Y337" s="506"/>
      <c r="Z337" s="506"/>
      <c r="AA337" s="506"/>
      <c r="AB337" s="506"/>
      <c r="AC337" s="502" t="n">
        <f aca="false">SUMIF(AD$12:AS$12,"总值",AD337:AS337)</f>
        <v>0</v>
      </c>
      <c r="AD337" s="507"/>
      <c r="AE337" s="507"/>
      <c r="AF337" s="507"/>
      <c r="AG337" s="507"/>
      <c r="AH337" s="507"/>
      <c r="AI337" s="507"/>
      <c r="AJ337" s="507"/>
      <c r="AK337" s="507"/>
      <c r="AL337" s="507"/>
      <c r="AM337" s="507"/>
      <c r="AN337" s="507"/>
      <c r="AO337" s="507"/>
      <c r="AP337" s="507"/>
      <c r="AQ337" s="507"/>
      <c r="AR337" s="507"/>
      <c r="AS337" s="507"/>
      <c r="AT337" s="508"/>
      <c r="AU337" s="509"/>
      <c r="AV337" s="510" t="n">
        <f aca="false">A337</f>
        <v>0</v>
      </c>
      <c r="AW337" s="510" t="n">
        <f aca="false">B337</f>
        <v>0</v>
      </c>
      <c r="AX337" s="510" t="n">
        <f aca="false">C337</f>
        <v>0</v>
      </c>
      <c r="AY337" s="511" t="n">
        <f aca="false">ROUND($AY$6*AZ337/$AZ$5,2)</f>
        <v>0</v>
      </c>
      <c r="AZ337" s="502" t="n">
        <f aca="false">BA337+BL337</f>
        <v>0</v>
      </c>
      <c r="BA337" s="502" t="n">
        <f aca="false">SUM(BB337:BK337)</f>
        <v>0</v>
      </c>
      <c r="BB337" s="502" t="n">
        <f aca="false">IF($D337="是",I337-J337,0)</f>
        <v>0</v>
      </c>
      <c r="BC337" s="502" t="n">
        <f aca="false">IF($D337="是",K337-L337,0)</f>
        <v>0</v>
      </c>
      <c r="BD337" s="502" t="n">
        <f aca="false">IF($D337="是",M337-N337,0)</f>
        <v>0</v>
      </c>
      <c r="BE337" s="502" t="n">
        <f aca="false">IF($D337="是",O337-P337,0)</f>
        <v>0</v>
      </c>
      <c r="BF337" s="502" t="n">
        <f aca="false">IF($D337="是",Q337-R337,0)</f>
        <v>0</v>
      </c>
      <c r="BG337" s="502" t="n">
        <f aca="false">IF($D337="是",S337-T337,0)</f>
        <v>0</v>
      </c>
      <c r="BH337" s="502" t="n">
        <f aca="false">IF($D337="是",U337-V337,0)</f>
        <v>0</v>
      </c>
      <c r="BI337" s="502" t="n">
        <f aca="false">IF($D337="是",W337-X337,0)</f>
        <v>0</v>
      </c>
      <c r="BJ337" s="502" t="n">
        <f aca="false">IF($D337="是",Y337-Z337,0)</f>
        <v>0</v>
      </c>
      <c r="BK337" s="502" t="n">
        <f aca="false">IF($D337="是",AA337-AB337,0)</f>
        <v>0</v>
      </c>
      <c r="BL337" s="502" t="n">
        <f aca="false">SUM(BM337:BT337)</f>
        <v>0</v>
      </c>
      <c r="BM337" s="502" t="n">
        <f aca="false">IF($D337="是",AD337-AE337,0)</f>
        <v>0</v>
      </c>
      <c r="BN337" s="502" t="n">
        <f aca="false">IF($D337="是",AF337-AG337,0)</f>
        <v>0</v>
      </c>
      <c r="BO337" s="502" t="n">
        <f aca="false">IF($D337="是",AH337-AI337,0)</f>
        <v>0</v>
      </c>
      <c r="BP337" s="502" t="n">
        <f aca="false">IF($D337="是",AJ337-AK337,0)</f>
        <v>0</v>
      </c>
      <c r="BQ337" s="502" t="n">
        <f aca="false">IF($D337="是",AL337-AM337,0)</f>
        <v>0</v>
      </c>
      <c r="BR337" s="502" t="n">
        <f aca="false">IF($D337="是",AN337-AO337,0)</f>
        <v>0</v>
      </c>
      <c r="BS337" s="502" t="n">
        <f aca="false">IF($D337="是",AP337-AQ337,0)</f>
        <v>0</v>
      </c>
      <c r="BT337" s="512" t="n">
        <f aca="false">IF($D337="是",AR337-AS337,0)</f>
        <v>0</v>
      </c>
    </row>
    <row r="338" customFormat="false" ht="14.25" hidden="false" customHeight="false" outlineLevel="0" collapsed="false">
      <c r="A338" s="499"/>
      <c r="B338" s="500"/>
      <c r="C338" s="500"/>
      <c r="D338" s="501"/>
      <c r="E338" s="502" t="n">
        <f aca="false">IF($C$3="是",ROUND($A$3*G338/$B$3,2),ROUND($A$3*(G338-AT338)/$B$3,2))</f>
        <v>0</v>
      </c>
      <c r="F338" s="503"/>
      <c r="G338" s="504" t="n">
        <f aca="false">H338+AC338+AT338</f>
        <v>0</v>
      </c>
      <c r="H338" s="505" t="n">
        <f aca="false">SUMIF(I$12:AB$12,"总值",I338:AB338)</f>
        <v>0</v>
      </c>
      <c r="I338" s="506"/>
      <c r="J338" s="506"/>
      <c r="K338" s="506"/>
      <c r="L338" s="506"/>
      <c r="M338" s="506"/>
      <c r="N338" s="506"/>
      <c r="O338" s="506"/>
      <c r="P338" s="506"/>
      <c r="Q338" s="506"/>
      <c r="R338" s="506"/>
      <c r="S338" s="506"/>
      <c r="T338" s="506"/>
      <c r="U338" s="506"/>
      <c r="V338" s="506"/>
      <c r="W338" s="506"/>
      <c r="X338" s="506"/>
      <c r="Y338" s="506"/>
      <c r="Z338" s="506"/>
      <c r="AA338" s="506"/>
      <c r="AB338" s="506"/>
      <c r="AC338" s="502" t="n">
        <f aca="false">SUMIF(AD$12:AS$12,"总值",AD338:AS338)</f>
        <v>0</v>
      </c>
      <c r="AD338" s="507"/>
      <c r="AE338" s="507"/>
      <c r="AF338" s="507"/>
      <c r="AG338" s="507"/>
      <c r="AH338" s="507"/>
      <c r="AI338" s="507"/>
      <c r="AJ338" s="507"/>
      <c r="AK338" s="507"/>
      <c r="AL338" s="507"/>
      <c r="AM338" s="507"/>
      <c r="AN338" s="507"/>
      <c r="AO338" s="507"/>
      <c r="AP338" s="507"/>
      <c r="AQ338" s="507"/>
      <c r="AR338" s="507"/>
      <c r="AS338" s="507"/>
      <c r="AT338" s="508"/>
      <c r="AU338" s="509"/>
      <c r="AV338" s="510" t="n">
        <f aca="false">A338</f>
        <v>0</v>
      </c>
      <c r="AW338" s="510" t="n">
        <f aca="false">B338</f>
        <v>0</v>
      </c>
      <c r="AX338" s="510" t="n">
        <f aca="false">C338</f>
        <v>0</v>
      </c>
      <c r="AY338" s="511" t="n">
        <f aca="false">ROUND($AY$6*AZ338/$AZ$5,2)</f>
        <v>0</v>
      </c>
      <c r="AZ338" s="502" t="n">
        <f aca="false">BA338+BL338</f>
        <v>0</v>
      </c>
      <c r="BA338" s="502" t="n">
        <f aca="false">SUM(BB338:BK338)</f>
        <v>0</v>
      </c>
      <c r="BB338" s="502" t="n">
        <f aca="false">IF($D338="是",I338-J338,0)</f>
        <v>0</v>
      </c>
      <c r="BC338" s="502" t="n">
        <f aca="false">IF($D338="是",K338-L338,0)</f>
        <v>0</v>
      </c>
      <c r="BD338" s="502" t="n">
        <f aca="false">IF($D338="是",M338-N338,0)</f>
        <v>0</v>
      </c>
      <c r="BE338" s="502" t="n">
        <f aca="false">IF($D338="是",O338-P338,0)</f>
        <v>0</v>
      </c>
      <c r="BF338" s="502" t="n">
        <f aca="false">IF($D338="是",Q338-R338,0)</f>
        <v>0</v>
      </c>
      <c r="BG338" s="502" t="n">
        <f aca="false">IF($D338="是",S338-T338,0)</f>
        <v>0</v>
      </c>
      <c r="BH338" s="502" t="n">
        <f aca="false">IF($D338="是",U338-V338,0)</f>
        <v>0</v>
      </c>
      <c r="BI338" s="502" t="n">
        <f aca="false">IF($D338="是",W338-X338,0)</f>
        <v>0</v>
      </c>
      <c r="BJ338" s="502" t="n">
        <f aca="false">IF($D338="是",Y338-Z338,0)</f>
        <v>0</v>
      </c>
      <c r="BK338" s="502" t="n">
        <f aca="false">IF($D338="是",AA338-AB338,0)</f>
        <v>0</v>
      </c>
      <c r="BL338" s="502" t="n">
        <f aca="false">SUM(BM338:BT338)</f>
        <v>0</v>
      </c>
      <c r="BM338" s="502" t="n">
        <f aca="false">IF($D338="是",AD338-AE338,0)</f>
        <v>0</v>
      </c>
      <c r="BN338" s="502" t="n">
        <f aca="false">IF($D338="是",AF338-AG338,0)</f>
        <v>0</v>
      </c>
      <c r="BO338" s="502" t="n">
        <f aca="false">IF($D338="是",AH338-AI338,0)</f>
        <v>0</v>
      </c>
      <c r="BP338" s="502" t="n">
        <f aca="false">IF($D338="是",AJ338-AK338,0)</f>
        <v>0</v>
      </c>
      <c r="BQ338" s="502" t="n">
        <f aca="false">IF($D338="是",AL338-AM338,0)</f>
        <v>0</v>
      </c>
      <c r="BR338" s="502" t="n">
        <f aca="false">IF($D338="是",AN338-AO338,0)</f>
        <v>0</v>
      </c>
      <c r="BS338" s="502" t="n">
        <f aca="false">IF($D338="是",AP338-AQ338,0)</f>
        <v>0</v>
      </c>
      <c r="BT338" s="512" t="n">
        <f aca="false">IF($D338="是",AR338-AS338,0)</f>
        <v>0</v>
      </c>
    </row>
    <row r="339" customFormat="false" ht="14.25" hidden="false" customHeight="false" outlineLevel="0" collapsed="false">
      <c r="A339" s="499"/>
      <c r="B339" s="500"/>
      <c r="C339" s="500"/>
      <c r="D339" s="501"/>
      <c r="E339" s="502" t="n">
        <f aca="false">IF($C$3="是",ROUND($A$3*G339/$B$3,2),ROUND($A$3*(G339-AT339)/$B$3,2))</f>
        <v>0</v>
      </c>
      <c r="F339" s="503"/>
      <c r="G339" s="504" t="n">
        <f aca="false">H339+AC339+AT339</f>
        <v>0</v>
      </c>
      <c r="H339" s="505" t="n">
        <f aca="false">SUMIF(I$12:AB$12,"总值",I339:AB339)</f>
        <v>0</v>
      </c>
      <c r="I339" s="506"/>
      <c r="J339" s="506"/>
      <c r="K339" s="506"/>
      <c r="L339" s="506"/>
      <c r="M339" s="506"/>
      <c r="N339" s="506"/>
      <c r="O339" s="506"/>
      <c r="P339" s="506"/>
      <c r="Q339" s="506"/>
      <c r="R339" s="506"/>
      <c r="S339" s="506"/>
      <c r="T339" s="506"/>
      <c r="U339" s="506"/>
      <c r="V339" s="506"/>
      <c r="W339" s="506"/>
      <c r="X339" s="506"/>
      <c r="Y339" s="506"/>
      <c r="Z339" s="506"/>
      <c r="AA339" s="506"/>
      <c r="AB339" s="506"/>
      <c r="AC339" s="502" t="n">
        <f aca="false">SUMIF(AD$12:AS$12,"总值",AD339:AS339)</f>
        <v>0</v>
      </c>
      <c r="AD339" s="507"/>
      <c r="AE339" s="507"/>
      <c r="AF339" s="507"/>
      <c r="AG339" s="507"/>
      <c r="AH339" s="507"/>
      <c r="AI339" s="507"/>
      <c r="AJ339" s="507"/>
      <c r="AK339" s="507"/>
      <c r="AL339" s="507"/>
      <c r="AM339" s="507"/>
      <c r="AN339" s="507"/>
      <c r="AO339" s="507"/>
      <c r="AP339" s="507"/>
      <c r="AQ339" s="507"/>
      <c r="AR339" s="507"/>
      <c r="AS339" s="507"/>
      <c r="AT339" s="508"/>
      <c r="AU339" s="509"/>
      <c r="AV339" s="510" t="n">
        <f aca="false">A339</f>
        <v>0</v>
      </c>
      <c r="AW339" s="510" t="n">
        <f aca="false">B339</f>
        <v>0</v>
      </c>
      <c r="AX339" s="510" t="n">
        <f aca="false">C339</f>
        <v>0</v>
      </c>
      <c r="AY339" s="511" t="n">
        <f aca="false">ROUND($AY$6*AZ339/$AZ$5,2)</f>
        <v>0</v>
      </c>
      <c r="AZ339" s="502" t="n">
        <f aca="false">BA339+BL339</f>
        <v>0</v>
      </c>
      <c r="BA339" s="502" t="n">
        <f aca="false">SUM(BB339:BK339)</f>
        <v>0</v>
      </c>
      <c r="BB339" s="502" t="n">
        <f aca="false">IF($D339="是",I339-J339,0)</f>
        <v>0</v>
      </c>
      <c r="BC339" s="502" t="n">
        <f aca="false">IF($D339="是",K339-L339,0)</f>
        <v>0</v>
      </c>
      <c r="BD339" s="502" t="n">
        <f aca="false">IF($D339="是",M339-N339,0)</f>
        <v>0</v>
      </c>
      <c r="BE339" s="502" t="n">
        <f aca="false">IF($D339="是",O339-P339,0)</f>
        <v>0</v>
      </c>
      <c r="BF339" s="502" t="n">
        <f aca="false">IF($D339="是",Q339-R339,0)</f>
        <v>0</v>
      </c>
      <c r="BG339" s="502" t="n">
        <f aca="false">IF($D339="是",S339-T339,0)</f>
        <v>0</v>
      </c>
      <c r="BH339" s="502" t="n">
        <f aca="false">IF($D339="是",U339-V339,0)</f>
        <v>0</v>
      </c>
      <c r="BI339" s="502" t="n">
        <f aca="false">IF($D339="是",W339-X339,0)</f>
        <v>0</v>
      </c>
      <c r="BJ339" s="502" t="n">
        <f aca="false">IF($D339="是",Y339-Z339,0)</f>
        <v>0</v>
      </c>
      <c r="BK339" s="502" t="n">
        <f aca="false">IF($D339="是",AA339-AB339,0)</f>
        <v>0</v>
      </c>
      <c r="BL339" s="502" t="n">
        <f aca="false">SUM(BM339:BT339)</f>
        <v>0</v>
      </c>
      <c r="BM339" s="502" t="n">
        <f aca="false">IF($D339="是",AD339-AE339,0)</f>
        <v>0</v>
      </c>
      <c r="BN339" s="502" t="n">
        <f aca="false">IF($D339="是",AF339-AG339,0)</f>
        <v>0</v>
      </c>
      <c r="BO339" s="502" t="n">
        <f aca="false">IF($D339="是",AH339-AI339,0)</f>
        <v>0</v>
      </c>
      <c r="BP339" s="502" t="n">
        <f aca="false">IF($D339="是",AJ339-AK339,0)</f>
        <v>0</v>
      </c>
      <c r="BQ339" s="502" t="n">
        <f aca="false">IF($D339="是",AL339-AM339,0)</f>
        <v>0</v>
      </c>
      <c r="BR339" s="502" t="n">
        <f aca="false">IF($D339="是",AN339-AO339,0)</f>
        <v>0</v>
      </c>
      <c r="BS339" s="502" t="n">
        <f aca="false">IF($D339="是",AP339-AQ339,0)</f>
        <v>0</v>
      </c>
      <c r="BT339" s="512" t="n">
        <f aca="false">IF($D339="是",AR339-AS339,0)</f>
        <v>0</v>
      </c>
    </row>
    <row r="340" customFormat="false" ht="14.25" hidden="false" customHeight="false" outlineLevel="0" collapsed="false">
      <c r="A340" s="499"/>
      <c r="B340" s="500"/>
      <c r="C340" s="500"/>
      <c r="D340" s="501"/>
      <c r="E340" s="502" t="n">
        <f aca="false">IF($C$3="是",ROUND($A$3*G340/$B$3,2),ROUND($A$3*(G340-AT340)/$B$3,2))</f>
        <v>0</v>
      </c>
      <c r="F340" s="503"/>
      <c r="G340" s="504" t="n">
        <f aca="false">H340+AC340+AT340</f>
        <v>0</v>
      </c>
      <c r="H340" s="505" t="n">
        <f aca="false">SUMIF(I$12:AB$12,"总值",I340:AB340)</f>
        <v>0</v>
      </c>
      <c r="I340" s="506"/>
      <c r="J340" s="506"/>
      <c r="K340" s="506"/>
      <c r="L340" s="506"/>
      <c r="M340" s="506"/>
      <c r="N340" s="506"/>
      <c r="O340" s="506"/>
      <c r="P340" s="506"/>
      <c r="Q340" s="506"/>
      <c r="R340" s="506"/>
      <c r="S340" s="506"/>
      <c r="T340" s="506"/>
      <c r="U340" s="506"/>
      <c r="V340" s="506"/>
      <c r="W340" s="506"/>
      <c r="X340" s="506"/>
      <c r="Y340" s="506"/>
      <c r="Z340" s="506"/>
      <c r="AA340" s="506"/>
      <c r="AB340" s="506"/>
      <c r="AC340" s="502" t="n">
        <f aca="false">SUMIF(AD$12:AS$12,"总值",AD340:AS340)</f>
        <v>0</v>
      </c>
      <c r="AD340" s="507"/>
      <c r="AE340" s="507"/>
      <c r="AF340" s="507"/>
      <c r="AG340" s="507"/>
      <c r="AH340" s="507"/>
      <c r="AI340" s="507"/>
      <c r="AJ340" s="507"/>
      <c r="AK340" s="507"/>
      <c r="AL340" s="507"/>
      <c r="AM340" s="507"/>
      <c r="AN340" s="507"/>
      <c r="AO340" s="507"/>
      <c r="AP340" s="507"/>
      <c r="AQ340" s="507"/>
      <c r="AR340" s="507"/>
      <c r="AS340" s="507"/>
      <c r="AT340" s="508"/>
      <c r="AU340" s="509"/>
      <c r="AV340" s="510" t="n">
        <f aca="false">A340</f>
        <v>0</v>
      </c>
      <c r="AW340" s="510" t="n">
        <f aca="false">B340</f>
        <v>0</v>
      </c>
      <c r="AX340" s="510" t="n">
        <f aca="false">C340</f>
        <v>0</v>
      </c>
      <c r="AY340" s="511" t="n">
        <f aca="false">ROUND($AY$6*AZ340/$AZ$5,2)</f>
        <v>0</v>
      </c>
      <c r="AZ340" s="502" t="n">
        <f aca="false">BA340+BL340</f>
        <v>0</v>
      </c>
      <c r="BA340" s="502" t="n">
        <f aca="false">SUM(BB340:BK340)</f>
        <v>0</v>
      </c>
      <c r="BB340" s="502" t="n">
        <f aca="false">IF($D340="是",I340-J340,0)</f>
        <v>0</v>
      </c>
      <c r="BC340" s="502" t="n">
        <f aca="false">IF($D340="是",K340-L340,0)</f>
        <v>0</v>
      </c>
      <c r="BD340" s="502" t="n">
        <f aca="false">IF($D340="是",M340-N340,0)</f>
        <v>0</v>
      </c>
      <c r="BE340" s="502" t="n">
        <f aca="false">IF($D340="是",O340-P340,0)</f>
        <v>0</v>
      </c>
      <c r="BF340" s="502" t="n">
        <f aca="false">IF($D340="是",Q340-R340,0)</f>
        <v>0</v>
      </c>
      <c r="BG340" s="502" t="n">
        <f aca="false">IF($D340="是",S340-T340,0)</f>
        <v>0</v>
      </c>
      <c r="BH340" s="502" t="n">
        <f aca="false">IF($D340="是",U340-V340,0)</f>
        <v>0</v>
      </c>
      <c r="BI340" s="502" t="n">
        <f aca="false">IF($D340="是",W340-X340,0)</f>
        <v>0</v>
      </c>
      <c r="BJ340" s="502" t="n">
        <f aca="false">IF($D340="是",Y340-Z340,0)</f>
        <v>0</v>
      </c>
      <c r="BK340" s="502" t="n">
        <f aca="false">IF($D340="是",AA340-AB340,0)</f>
        <v>0</v>
      </c>
      <c r="BL340" s="502" t="n">
        <f aca="false">SUM(BM340:BT340)</f>
        <v>0</v>
      </c>
      <c r="BM340" s="502" t="n">
        <f aca="false">IF($D340="是",AD340-AE340,0)</f>
        <v>0</v>
      </c>
      <c r="BN340" s="502" t="n">
        <f aca="false">IF($D340="是",AF340-AG340,0)</f>
        <v>0</v>
      </c>
      <c r="BO340" s="502" t="n">
        <f aca="false">IF($D340="是",AH340-AI340,0)</f>
        <v>0</v>
      </c>
      <c r="BP340" s="502" t="n">
        <f aca="false">IF($D340="是",AJ340-AK340,0)</f>
        <v>0</v>
      </c>
      <c r="BQ340" s="502" t="n">
        <f aca="false">IF($D340="是",AL340-AM340,0)</f>
        <v>0</v>
      </c>
      <c r="BR340" s="502" t="n">
        <f aca="false">IF($D340="是",AN340-AO340,0)</f>
        <v>0</v>
      </c>
      <c r="BS340" s="502" t="n">
        <f aca="false">IF($D340="是",AP340-AQ340,0)</f>
        <v>0</v>
      </c>
      <c r="BT340" s="512" t="n">
        <f aca="false">IF($D340="是",AR340-AS340,0)</f>
        <v>0</v>
      </c>
    </row>
    <row r="341" customFormat="false" ht="14.25" hidden="false" customHeight="false" outlineLevel="0" collapsed="false">
      <c r="A341" s="499"/>
      <c r="B341" s="500"/>
      <c r="C341" s="500"/>
      <c r="D341" s="501"/>
      <c r="E341" s="502" t="n">
        <f aca="false">IF($C$3="是",ROUND($A$3*G341/$B$3,2),ROUND($A$3*(G341-AT341)/$B$3,2))</f>
        <v>0</v>
      </c>
      <c r="F341" s="503"/>
      <c r="G341" s="504" t="n">
        <f aca="false">H341+AC341+AT341</f>
        <v>0</v>
      </c>
      <c r="H341" s="505" t="n">
        <f aca="false">SUMIF(I$12:AB$12,"总值",I341:AB341)</f>
        <v>0</v>
      </c>
      <c r="I341" s="506"/>
      <c r="J341" s="506"/>
      <c r="K341" s="506"/>
      <c r="L341" s="506"/>
      <c r="M341" s="506"/>
      <c r="N341" s="506"/>
      <c r="O341" s="506"/>
      <c r="P341" s="506"/>
      <c r="Q341" s="506"/>
      <c r="R341" s="506"/>
      <c r="S341" s="506"/>
      <c r="T341" s="506"/>
      <c r="U341" s="506"/>
      <c r="V341" s="506"/>
      <c r="W341" s="506"/>
      <c r="X341" s="506"/>
      <c r="Y341" s="506"/>
      <c r="Z341" s="506"/>
      <c r="AA341" s="506"/>
      <c r="AB341" s="506"/>
      <c r="AC341" s="502" t="n">
        <f aca="false">SUMIF(AD$12:AS$12,"总值",AD341:AS341)</f>
        <v>0</v>
      </c>
      <c r="AD341" s="507"/>
      <c r="AE341" s="507"/>
      <c r="AF341" s="507"/>
      <c r="AG341" s="507"/>
      <c r="AH341" s="507"/>
      <c r="AI341" s="507"/>
      <c r="AJ341" s="507"/>
      <c r="AK341" s="507"/>
      <c r="AL341" s="507"/>
      <c r="AM341" s="507"/>
      <c r="AN341" s="507"/>
      <c r="AO341" s="507"/>
      <c r="AP341" s="507"/>
      <c r="AQ341" s="507"/>
      <c r="AR341" s="507"/>
      <c r="AS341" s="507"/>
      <c r="AT341" s="508"/>
      <c r="AU341" s="509"/>
      <c r="AV341" s="510" t="n">
        <f aca="false">A341</f>
        <v>0</v>
      </c>
      <c r="AW341" s="510" t="n">
        <f aca="false">B341</f>
        <v>0</v>
      </c>
      <c r="AX341" s="510" t="n">
        <f aca="false">C341</f>
        <v>0</v>
      </c>
      <c r="AY341" s="511" t="n">
        <f aca="false">ROUND($AY$6*AZ341/$AZ$5,2)</f>
        <v>0</v>
      </c>
      <c r="AZ341" s="502" t="n">
        <f aca="false">BA341+BL341</f>
        <v>0</v>
      </c>
      <c r="BA341" s="502" t="n">
        <f aca="false">SUM(BB341:BK341)</f>
        <v>0</v>
      </c>
      <c r="BB341" s="502" t="n">
        <f aca="false">IF($D341="是",I341-J341,0)</f>
        <v>0</v>
      </c>
      <c r="BC341" s="502" t="n">
        <f aca="false">IF($D341="是",K341-L341,0)</f>
        <v>0</v>
      </c>
      <c r="BD341" s="502" t="n">
        <f aca="false">IF($D341="是",M341-N341,0)</f>
        <v>0</v>
      </c>
      <c r="BE341" s="502" t="n">
        <f aca="false">IF($D341="是",O341-P341,0)</f>
        <v>0</v>
      </c>
      <c r="BF341" s="502" t="n">
        <f aca="false">IF($D341="是",Q341-R341,0)</f>
        <v>0</v>
      </c>
      <c r="BG341" s="502" t="n">
        <f aca="false">IF($D341="是",S341-T341,0)</f>
        <v>0</v>
      </c>
      <c r="BH341" s="502" t="n">
        <f aca="false">IF($D341="是",U341-V341,0)</f>
        <v>0</v>
      </c>
      <c r="BI341" s="502" t="n">
        <f aca="false">IF($D341="是",W341-X341,0)</f>
        <v>0</v>
      </c>
      <c r="BJ341" s="502" t="n">
        <f aca="false">IF($D341="是",Y341-Z341,0)</f>
        <v>0</v>
      </c>
      <c r="BK341" s="502" t="n">
        <f aca="false">IF($D341="是",AA341-AB341,0)</f>
        <v>0</v>
      </c>
      <c r="BL341" s="502" t="n">
        <f aca="false">SUM(BM341:BT341)</f>
        <v>0</v>
      </c>
      <c r="BM341" s="502" t="n">
        <f aca="false">IF($D341="是",AD341-AE341,0)</f>
        <v>0</v>
      </c>
      <c r="BN341" s="502" t="n">
        <f aca="false">IF($D341="是",AF341-AG341,0)</f>
        <v>0</v>
      </c>
      <c r="BO341" s="502" t="n">
        <f aca="false">IF($D341="是",AH341-AI341,0)</f>
        <v>0</v>
      </c>
      <c r="BP341" s="502" t="n">
        <f aca="false">IF($D341="是",AJ341-AK341,0)</f>
        <v>0</v>
      </c>
      <c r="BQ341" s="502" t="n">
        <f aca="false">IF($D341="是",AL341-AM341,0)</f>
        <v>0</v>
      </c>
      <c r="BR341" s="502" t="n">
        <f aca="false">IF($D341="是",AN341-AO341,0)</f>
        <v>0</v>
      </c>
      <c r="BS341" s="502" t="n">
        <f aca="false">IF($D341="是",AP341-AQ341,0)</f>
        <v>0</v>
      </c>
      <c r="BT341" s="512" t="n">
        <f aca="false">IF($D341="是",AR341-AS341,0)</f>
        <v>0</v>
      </c>
    </row>
    <row r="342" customFormat="false" ht="14.25" hidden="false" customHeight="false" outlineLevel="0" collapsed="false">
      <c r="A342" s="499"/>
      <c r="B342" s="500"/>
      <c r="C342" s="500"/>
      <c r="D342" s="501"/>
      <c r="E342" s="502" t="n">
        <f aca="false">IF($C$3="是",ROUND($A$3*G342/$B$3,2),ROUND($A$3*(G342-AT342)/$B$3,2))</f>
        <v>0</v>
      </c>
      <c r="F342" s="503"/>
      <c r="G342" s="504" t="n">
        <f aca="false">H342+AC342+AT342</f>
        <v>0</v>
      </c>
      <c r="H342" s="505" t="n">
        <f aca="false">SUMIF(I$12:AB$12,"总值",I342:AB342)</f>
        <v>0</v>
      </c>
      <c r="I342" s="506"/>
      <c r="J342" s="506"/>
      <c r="K342" s="506"/>
      <c r="L342" s="506"/>
      <c r="M342" s="506"/>
      <c r="N342" s="506"/>
      <c r="O342" s="506"/>
      <c r="P342" s="506"/>
      <c r="Q342" s="506"/>
      <c r="R342" s="506"/>
      <c r="S342" s="506"/>
      <c r="T342" s="506"/>
      <c r="U342" s="506"/>
      <c r="V342" s="506"/>
      <c r="W342" s="506"/>
      <c r="X342" s="506"/>
      <c r="Y342" s="506"/>
      <c r="Z342" s="506"/>
      <c r="AA342" s="506"/>
      <c r="AB342" s="506"/>
      <c r="AC342" s="502" t="n">
        <f aca="false">SUMIF(AD$12:AS$12,"总值",AD342:AS342)</f>
        <v>0</v>
      </c>
      <c r="AD342" s="507"/>
      <c r="AE342" s="507"/>
      <c r="AF342" s="507"/>
      <c r="AG342" s="507"/>
      <c r="AH342" s="507"/>
      <c r="AI342" s="507"/>
      <c r="AJ342" s="507"/>
      <c r="AK342" s="507"/>
      <c r="AL342" s="507"/>
      <c r="AM342" s="507"/>
      <c r="AN342" s="507"/>
      <c r="AO342" s="507"/>
      <c r="AP342" s="507"/>
      <c r="AQ342" s="507"/>
      <c r="AR342" s="507"/>
      <c r="AS342" s="507"/>
      <c r="AT342" s="508"/>
      <c r="AU342" s="509"/>
      <c r="AV342" s="510" t="n">
        <f aca="false">A342</f>
        <v>0</v>
      </c>
      <c r="AW342" s="510" t="n">
        <f aca="false">B342</f>
        <v>0</v>
      </c>
      <c r="AX342" s="510" t="n">
        <f aca="false">C342</f>
        <v>0</v>
      </c>
      <c r="AY342" s="511" t="n">
        <f aca="false">ROUND($AY$6*AZ342/$AZ$5,2)</f>
        <v>0</v>
      </c>
      <c r="AZ342" s="502" t="n">
        <f aca="false">BA342+BL342</f>
        <v>0</v>
      </c>
      <c r="BA342" s="502" t="n">
        <f aca="false">SUM(BB342:BK342)</f>
        <v>0</v>
      </c>
      <c r="BB342" s="502" t="n">
        <f aca="false">IF($D342="是",I342-J342,0)</f>
        <v>0</v>
      </c>
      <c r="BC342" s="502" t="n">
        <f aca="false">IF($D342="是",K342-L342,0)</f>
        <v>0</v>
      </c>
      <c r="BD342" s="502" t="n">
        <f aca="false">IF($D342="是",M342-N342,0)</f>
        <v>0</v>
      </c>
      <c r="BE342" s="502" t="n">
        <f aca="false">IF($D342="是",O342-P342,0)</f>
        <v>0</v>
      </c>
      <c r="BF342" s="502" t="n">
        <f aca="false">IF($D342="是",Q342-R342,0)</f>
        <v>0</v>
      </c>
      <c r="BG342" s="502" t="n">
        <f aca="false">IF($D342="是",S342-T342,0)</f>
        <v>0</v>
      </c>
      <c r="BH342" s="502" t="n">
        <f aca="false">IF($D342="是",U342-V342,0)</f>
        <v>0</v>
      </c>
      <c r="BI342" s="502" t="n">
        <f aca="false">IF($D342="是",W342-X342,0)</f>
        <v>0</v>
      </c>
      <c r="BJ342" s="502" t="n">
        <f aca="false">IF($D342="是",Y342-Z342,0)</f>
        <v>0</v>
      </c>
      <c r="BK342" s="502" t="n">
        <f aca="false">IF($D342="是",AA342-AB342,0)</f>
        <v>0</v>
      </c>
      <c r="BL342" s="502" t="n">
        <f aca="false">SUM(BM342:BT342)</f>
        <v>0</v>
      </c>
      <c r="BM342" s="502" t="n">
        <f aca="false">IF($D342="是",AD342-AE342,0)</f>
        <v>0</v>
      </c>
      <c r="BN342" s="502" t="n">
        <f aca="false">IF($D342="是",AF342-AG342,0)</f>
        <v>0</v>
      </c>
      <c r="BO342" s="502" t="n">
        <f aca="false">IF($D342="是",AH342-AI342,0)</f>
        <v>0</v>
      </c>
      <c r="BP342" s="502" t="n">
        <f aca="false">IF($D342="是",AJ342-AK342,0)</f>
        <v>0</v>
      </c>
      <c r="BQ342" s="502" t="n">
        <f aca="false">IF($D342="是",AL342-AM342,0)</f>
        <v>0</v>
      </c>
      <c r="BR342" s="502" t="n">
        <f aca="false">IF($D342="是",AN342-AO342,0)</f>
        <v>0</v>
      </c>
      <c r="BS342" s="502" t="n">
        <f aca="false">IF($D342="是",AP342-AQ342,0)</f>
        <v>0</v>
      </c>
      <c r="BT342" s="512" t="n">
        <f aca="false">IF($D342="是",AR342-AS342,0)</f>
        <v>0</v>
      </c>
    </row>
    <row r="343" customFormat="false" ht="14.25" hidden="false" customHeight="false" outlineLevel="0" collapsed="false">
      <c r="A343" s="499"/>
      <c r="B343" s="500"/>
      <c r="C343" s="500"/>
      <c r="D343" s="501"/>
      <c r="E343" s="502" t="n">
        <f aca="false">IF($C$3="是",ROUND($A$3*G343/$B$3,2),ROUND($A$3*(G343-AT343)/$B$3,2))</f>
        <v>0</v>
      </c>
      <c r="F343" s="503"/>
      <c r="G343" s="504" t="n">
        <f aca="false">H343+AC343+AT343</f>
        <v>0</v>
      </c>
      <c r="H343" s="505" t="n">
        <f aca="false">SUMIF(I$12:AB$12,"总值",I343:AB343)</f>
        <v>0</v>
      </c>
      <c r="I343" s="506"/>
      <c r="J343" s="506"/>
      <c r="K343" s="506"/>
      <c r="L343" s="506"/>
      <c r="M343" s="506"/>
      <c r="N343" s="506"/>
      <c r="O343" s="506"/>
      <c r="P343" s="506"/>
      <c r="Q343" s="506"/>
      <c r="R343" s="506"/>
      <c r="S343" s="506"/>
      <c r="T343" s="506"/>
      <c r="U343" s="506"/>
      <c r="V343" s="506"/>
      <c r="W343" s="506"/>
      <c r="X343" s="506"/>
      <c r="Y343" s="506"/>
      <c r="Z343" s="506"/>
      <c r="AA343" s="506"/>
      <c r="AB343" s="506"/>
      <c r="AC343" s="502" t="n">
        <f aca="false">SUMIF(AD$12:AS$12,"总值",AD343:AS343)</f>
        <v>0</v>
      </c>
      <c r="AD343" s="507"/>
      <c r="AE343" s="507"/>
      <c r="AF343" s="507"/>
      <c r="AG343" s="507"/>
      <c r="AH343" s="507"/>
      <c r="AI343" s="507"/>
      <c r="AJ343" s="507"/>
      <c r="AK343" s="507"/>
      <c r="AL343" s="507"/>
      <c r="AM343" s="507"/>
      <c r="AN343" s="507"/>
      <c r="AO343" s="507"/>
      <c r="AP343" s="507"/>
      <c r="AQ343" s="507"/>
      <c r="AR343" s="507"/>
      <c r="AS343" s="507"/>
      <c r="AT343" s="508"/>
      <c r="AU343" s="509"/>
      <c r="AV343" s="510" t="n">
        <f aca="false">A343</f>
        <v>0</v>
      </c>
      <c r="AW343" s="510" t="n">
        <f aca="false">B343</f>
        <v>0</v>
      </c>
      <c r="AX343" s="510" t="n">
        <f aca="false">C343</f>
        <v>0</v>
      </c>
      <c r="AY343" s="511" t="n">
        <f aca="false">ROUND($AY$6*AZ343/$AZ$5,2)</f>
        <v>0</v>
      </c>
      <c r="AZ343" s="502" t="n">
        <f aca="false">BA343+BL343</f>
        <v>0</v>
      </c>
      <c r="BA343" s="502" t="n">
        <f aca="false">SUM(BB343:BK343)</f>
        <v>0</v>
      </c>
      <c r="BB343" s="502" t="n">
        <f aca="false">IF($D343="是",I343-J343,0)</f>
        <v>0</v>
      </c>
      <c r="BC343" s="502" t="n">
        <f aca="false">IF($D343="是",K343-L343,0)</f>
        <v>0</v>
      </c>
      <c r="BD343" s="502" t="n">
        <f aca="false">IF($D343="是",M343-N343,0)</f>
        <v>0</v>
      </c>
      <c r="BE343" s="502" t="n">
        <f aca="false">IF($D343="是",O343-P343,0)</f>
        <v>0</v>
      </c>
      <c r="BF343" s="502" t="n">
        <f aca="false">IF($D343="是",Q343-R343,0)</f>
        <v>0</v>
      </c>
      <c r="BG343" s="502" t="n">
        <f aca="false">IF($D343="是",S343-T343,0)</f>
        <v>0</v>
      </c>
      <c r="BH343" s="502" t="n">
        <f aca="false">IF($D343="是",U343-V343,0)</f>
        <v>0</v>
      </c>
      <c r="BI343" s="502" t="n">
        <f aca="false">IF($D343="是",W343-X343,0)</f>
        <v>0</v>
      </c>
      <c r="BJ343" s="502" t="n">
        <f aca="false">IF($D343="是",Y343-Z343,0)</f>
        <v>0</v>
      </c>
      <c r="BK343" s="502" t="n">
        <f aca="false">IF($D343="是",AA343-AB343,0)</f>
        <v>0</v>
      </c>
      <c r="BL343" s="502" t="n">
        <f aca="false">SUM(BM343:BT343)</f>
        <v>0</v>
      </c>
      <c r="BM343" s="502" t="n">
        <f aca="false">IF($D343="是",AD343-AE343,0)</f>
        <v>0</v>
      </c>
      <c r="BN343" s="502" t="n">
        <f aca="false">IF($D343="是",AF343-AG343,0)</f>
        <v>0</v>
      </c>
      <c r="BO343" s="502" t="n">
        <f aca="false">IF($D343="是",AH343-AI343,0)</f>
        <v>0</v>
      </c>
      <c r="BP343" s="502" t="n">
        <f aca="false">IF($D343="是",AJ343-AK343,0)</f>
        <v>0</v>
      </c>
      <c r="BQ343" s="502" t="n">
        <f aca="false">IF($D343="是",AL343-AM343,0)</f>
        <v>0</v>
      </c>
      <c r="BR343" s="502" t="n">
        <f aca="false">IF($D343="是",AN343-AO343,0)</f>
        <v>0</v>
      </c>
      <c r="BS343" s="502" t="n">
        <f aca="false">IF($D343="是",AP343-AQ343,0)</f>
        <v>0</v>
      </c>
      <c r="BT343" s="512" t="n">
        <f aca="false">IF($D343="是",AR343-AS343,0)</f>
        <v>0</v>
      </c>
    </row>
    <row r="344" customFormat="false" ht="14.25" hidden="false" customHeight="false" outlineLevel="0" collapsed="false">
      <c r="A344" s="499"/>
      <c r="B344" s="500"/>
      <c r="C344" s="500"/>
      <c r="D344" s="501"/>
      <c r="E344" s="502" t="n">
        <f aca="false">IF($C$3="是",ROUND($A$3*G344/$B$3,2),ROUND($A$3*(G344-AT344)/$B$3,2))</f>
        <v>0</v>
      </c>
      <c r="F344" s="503"/>
      <c r="G344" s="504" t="n">
        <f aca="false">H344+AC344+AT344</f>
        <v>0</v>
      </c>
      <c r="H344" s="505" t="n">
        <f aca="false">SUMIF(I$12:AB$12,"总值",I344:AB344)</f>
        <v>0</v>
      </c>
      <c r="I344" s="506"/>
      <c r="J344" s="506"/>
      <c r="K344" s="506"/>
      <c r="L344" s="506"/>
      <c r="M344" s="506"/>
      <c r="N344" s="506"/>
      <c r="O344" s="506"/>
      <c r="P344" s="506"/>
      <c r="Q344" s="506"/>
      <c r="R344" s="506"/>
      <c r="S344" s="506"/>
      <c r="T344" s="506"/>
      <c r="U344" s="506"/>
      <c r="V344" s="506"/>
      <c r="W344" s="506"/>
      <c r="X344" s="506"/>
      <c r="Y344" s="506"/>
      <c r="Z344" s="506"/>
      <c r="AA344" s="506"/>
      <c r="AB344" s="506"/>
      <c r="AC344" s="502" t="n">
        <f aca="false">SUMIF(AD$12:AS$12,"总值",AD344:AS344)</f>
        <v>0</v>
      </c>
      <c r="AD344" s="507"/>
      <c r="AE344" s="507"/>
      <c r="AF344" s="507"/>
      <c r="AG344" s="507"/>
      <c r="AH344" s="507"/>
      <c r="AI344" s="507"/>
      <c r="AJ344" s="507"/>
      <c r="AK344" s="507"/>
      <c r="AL344" s="507"/>
      <c r="AM344" s="507"/>
      <c r="AN344" s="507"/>
      <c r="AO344" s="507"/>
      <c r="AP344" s="507"/>
      <c r="AQ344" s="507"/>
      <c r="AR344" s="507"/>
      <c r="AS344" s="507"/>
      <c r="AT344" s="508"/>
      <c r="AU344" s="509"/>
      <c r="AV344" s="510" t="n">
        <f aca="false">A344</f>
        <v>0</v>
      </c>
      <c r="AW344" s="510" t="n">
        <f aca="false">B344</f>
        <v>0</v>
      </c>
      <c r="AX344" s="510" t="n">
        <f aca="false">C344</f>
        <v>0</v>
      </c>
      <c r="AY344" s="511" t="n">
        <f aca="false">ROUND($AY$6*AZ344/$AZ$5,2)</f>
        <v>0</v>
      </c>
      <c r="AZ344" s="502" t="n">
        <f aca="false">BA344+BL344</f>
        <v>0</v>
      </c>
      <c r="BA344" s="502" t="n">
        <f aca="false">SUM(BB344:BK344)</f>
        <v>0</v>
      </c>
      <c r="BB344" s="502" t="n">
        <f aca="false">IF($D344="是",I344-J344,0)</f>
        <v>0</v>
      </c>
      <c r="BC344" s="502" t="n">
        <f aca="false">IF($D344="是",K344-L344,0)</f>
        <v>0</v>
      </c>
      <c r="BD344" s="502" t="n">
        <f aca="false">IF($D344="是",M344-N344,0)</f>
        <v>0</v>
      </c>
      <c r="BE344" s="502" t="n">
        <f aca="false">IF($D344="是",O344-P344,0)</f>
        <v>0</v>
      </c>
      <c r="BF344" s="502" t="n">
        <f aca="false">IF($D344="是",Q344-R344,0)</f>
        <v>0</v>
      </c>
      <c r="BG344" s="502" t="n">
        <f aca="false">IF($D344="是",S344-T344,0)</f>
        <v>0</v>
      </c>
      <c r="BH344" s="502" t="n">
        <f aca="false">IF($D344="是",U344-V344,0)</f>
        <v>0</v>
      </c>
      <c r="BI344" s="502" t="n">
        <f aca="false">IF($D344="是",W344-X344,0)</f>
        <v>0</v>
      </c>
      <c r="BJ344" s="502" t="n">
        <f aca="false">IF($D344="是",Y344-Z344,0)</f>
        <v>0</v>
      </c>
      <c r="BK344" s="502" t="n">
        <f aca="false">IF($D344="是",AA344-AB344,0)</f>
        <v>0</v>
      </c>
      <c r="BL344" s="502" t="n">
        <f aca="false">SUM(BM344:BT344)</f>
        <v>0</v>
      </c>
      <c r="BM344" s="502" t="n">
        <f aca="false">IF($D344="是",AD344-AE344,0)</f>
        <v>0</v>
      </c>
      <c r="BN344" s="502" t="n">
        <f aca="false">IF($D344="是",AF344-AG344,0)</f>
        <v>0</v>
      </c>
      <c r="BO344" s="502" t="n">
        <f aca="false">IF($D344="是",AH344-AI344,0)</f>
        <v>0</v>
      </c>
      <c r="BP344" s="502" t="n">
        <f aca="false">IF($D344="是",AJ344-AK344,0)</f>
        <v>0</v>
      </c>
      <c r="BQ344" s="502" t="n">
        <f aca="false">IF($D344="是",AL344-AM344,0)</f>
        <v>0</v>
      </c>
      <c r="BR344" s="502" t="n">
        <f aca="false">IF($D344="是",AN344-AO344,0)</f>
        <v>0</v>
      </c>
      <c r="BS344" s="502" t="n">
        <f aca="false">IF($D344="是",AP344-AQ344,0)</f>
        <v>0</v>
      </c>
      <c r="BT344" s="512" t="n">
        <f aca="false">IF($D344="是",AR344-AS344,0)</f>
        <v>0</v>
      </c>
    </row>
    <row r="345" customFormat="false" ht="14.25" hidden="false" customHeight="false" outlineLevel="0" collapsed="false">
      <c r="A345" s="499"/>
      <c r="B345" s="500"/>
      <c r="C345" s="500"/>
      <c r="D345" s="501"/>
      <c r="E345" s="502" t="n">
        <f aca="false">IF($C$3="是",ROUND($A$3*G345/$B$3,2),ROUND($A$3*(G345-AT345)/$B$3,2))</f>
        <v>0</v>
      </c>
      <c r="F345" s="503"/>
      <c r="G345" s="504" t="n">
        <f aca="false">H345+AC345+AT345</f>
        <v>0</v>
      </c>
      <c r="H345" s="505" t="n">
        <f aca="false">SUMIF(I$12:AB$12,"总值",I345:AB345)</f>
        <v>0</v>
      </c>
      <c r="I345" s="506"/>
      <c r="J345" s="506"/>
      <c r="K345" s="506"/>
      <c r="L345" s="506"/>
      <c r="M345" s="506"/>
      <c r="N345" s="506"/>
      <c r="O345" s="506"/>
      <c r="P345" s="506"/>
      <c r="Q345" s="506"/>
      <c r="R345" s="506"/>
      <c r="S345" s="506"/>
      <c r="T345" s="506"/>
      <c r="U345" s="506"/>
      <c r="V345" s="506"/>
      <c r="W345" s="506"/>
      <c r="X345" s="506"/>
      <c r="Y345" s="506"/>
      <c r="Z345" s="506"/>
      <c r="AA345" s="506"/>
      <c r="AB345" s="506"/>
      <c r="AC345" s="502" t="n">
        <f aca="false">SUMIF(AD$12:AS$12,"总值",AD345:AS345)</f>
        <v>0</v>
      </c>
      <c r="AD345" s="507"/>
      <c r="AE345" s="507"/>
      <c r="AF345" s="507"/>
      <c r="AG345" s="507"/>
      <c r="AH345" s="507"/>
      <c r="AI345" s="507"/>
      <c r="AJ345" s="507"/>
      <c r="AK345" s="507"/>
      <c r="AL345" s="507"/>
      <c r="AM345" s="507"/>
      <c r="AN345" s="507"/>
      <c r="AO345" s="507"/>
      <c r="AP345" s="507"/>
      <c r="AQ345" s="507"/>
      <c r="AR345" s="507"/>
      <c r="AS345" s="507"/>
      <c r="AT345" s="508"/>
      <c r="AU345" s="509"/>
      <c r="AV345" s="510" t="n">
        <f aca="false">A345</f>
        <v>0</v>
      </c>
      <c r="AW345" s="510" t="n">
        <f aca="false">B345</f>
        <v>0</v>
      </c>
      <c r="AX345" s="510" t="n">
        <f aca="false">C345</f>
        <v>0</v>
      </c>
      <c r="AY345" s="511" t="n">
        <f aca="false">ROUND($AY$6*AZ345/$AZ$5,2)</f>
        <v>0</v>
      </c>
      <c r="AZ345" s="502" t="n">
        <f aca="false">BA345+BL345</f>
        <v>0</v>
      </c>
      <c r="BA345" s="502" t="n">
        <f aca="false">SUM(BB345:BK345)</f>
        <v>0</v>
      </c>
      <c r="BB345" s="502" t="n">
        <f aca="false">IF($D345="是",I345-J345,0)</f>
        <v>0</v>
      </c>
      <c r="BC345" s="502" t="n">
        <f aca="false">IF($D345="是",K345-L345,0)</f>
        <v>0</v>
      </c>
      <c r="BD345" s="502" t="n">
        <f aca="false">IF($D345="是",M345-N345,0)</f>
        <v>0</v>
      </c>
      <c r="BE345" s="502" t="n">
        <f aca="false">IF($D345="是",O345-P345,0)</f>
        <v>0</v>
      </c>
      <c r="BF345" s="502" t="n">
        <f aca="false">IF($D345="是",Q345-R345,0)</f>
        <v>0</v>
      </c>
      <c r="BG345" s="502" t="n">
        <f aca="false">IF($D345="是",S345-T345,0)</f>
        <v>0</v>
      </c>
      <c r="BH345" s="502" t="n">
        <f aca="false">IF($D345="是",U345-V345,0)</f>
        <v>0</v>
      </c>
      <c r="BI345" s="502" t="n">
        <f aca="false">IF($D345="是",W345-X345,0)</f>
        <v>0</v>
      </c>
      <c r="BJ345" s="502" t="n">
        <f aca="false">IF($D345="是",Y345-Z345,0)</f>
        <v>0</v>
      </c>
      <c r="BK345" s="502" t="n">
        <f aca="false">IF($D345="是",AA345-AB345,0)</f>
        <v>0</v>
      </c>
      <c r="BL345" s="502" t="n">
        <f aca="false">SUM(BM345:BT345)</f>
        <v>0</v>
      </c>
      <c r="BM345" s="502" t="n">
        <f aca="false">IF($D345="是",AD345-AE345,0)</f>
        <v>0</v>
      </c>
      <c r="BN345" s="502" t="n">
        <f aca="false">IF($D345="是",AF345-AG345,0)</f>
        <v>0</v>
      </c>
      <c r="BO345" s="502" t="n">
        <f aca="false">IF($D345="是",AH345-AI345,0)</f>
        <v>0</v>
      </c>
      <c r="BP345" s="502" t="n">
        <f aca="false">IF($D345="是",AJ345-AK345,0)</f>
        <v>0</v>
      </c>
      <c r="BQ345" s="502" t="n">
        <f aca="false">IF($D345="是",AL345-AM345,0)</f>
        <v>0</v>
      </c>
      <c r="BR345" s="502" t="n">
        <f aca="false">IF($D345="是",AN345-AO345,0)</f>
        <v>0</v>
      </c>
      <c r="BS345" s="502" t="n">
        <f aca="false">IF($D345="是",AP345-AQ345,0)</f>
        <v>0</v>
      </c>
      <c r="BT345" s="512" t="n">
        <f aca="false">IF($D345="是",AR345-AS345,0)</f>
        <v>0</v>
      </c>
    </row>
    <row r="346" customFormat="false" ht="14.25" hidden="false" customHeight="false" outlineLevel="0" collapsed="false">
      <c r="A346" s="499"/>
      <c r="B346" s="500"/>
      <c r="C346" s="500"/>
      <c r="D346" s="501"/>
      <c r="E346" s="502" t="n">
        <f aca="false">IF($C$3="是",ROUND($A$3*G346/$B$3,2),ROUND($A$3*(G346-AT346)/$B$3,2))</f>
        <v>0</v>
      </c>
      <c r="F346" s="503"/>
      <c r="G346" s="504" t="n">
        <f aca="false">H346+AC346+AT346</f>
        <v>0</v>
      </c>
      <c r="H346" s="505" t="n">
        <f aca="false">SUMIF(I$12:AB$12,"总值",I346:AB346)</f>
        <v>0</v>
      </c>
      <c r="I346" s="506"/>
      <c r="J346" s="506"/>
      <c r="K346" s="506"/>
      <c r="L346" s="506"/>
      <c r="M346" s="506"/>
      <c r="N346" s="506"/>
      <c r="O346" s="506"/>
      <c r="P346" s="506"/>
      <c r="Q346" s="506"/>
      <c r="R346" s="506"/>
      <c r="S346" s="506"/>
      <c r="T346" s="506"/>
      <c r="U346" s="506"/>
      <c r="V346" s="506"/>
      <c r="W346" s="506"/>
      <c r="X346" s="506"/>
      <c r="Y346" s="506"/>
      <c r="Z346" s="506"/>
      <c r="AA346" s="506"/>
      <c r="AB346" s="506"/>
      <c r="AC346" s="502" t="n">
        <f aca="false">SUMIF(AD$12:AS$12,"总值",AD346:AS346)</f>
        <v>0</v>
      </c>
      <c r="AD346" s="507"/>
      <c r="AE346" s="507"/>
      <c r="AF346" s="507"/>
      <c r="AG346" s="507"/>
      <c r="AH346" s="507"/>
      <c r="AI346" s="507"/>
      <c r="AJ346" s="507"/>
      <c r="AK346" s="507"/>
      <c r="AL346" s="507"/>
      <c r="AM346" s="507"/>
      <c r="AN346" s="507"/>
      <c r="AO346" s="507"/>
      <c r="AP346" s="507"/>
      <c r="AQ346" s="507"/>
      <c r="AR346" s="507"/>
      <c r="AS346" s="507"/>
      <c r="AT346" s="508"/>
      <c r="AU346" s="509"/>
      <c r="AV346" s="510" t="n">
        <f aca="false">A346</f>
        <v>0</v>
      </c>
      <c r="AW346" s="510" t="n">
        <f aca="false">B346</f>
        <v>0</v>
      </c>
      <c r="AX346" s="510" t="n">
        <f aca="false">C346</f>
        <v>0</v>
      </c>
      <c r="AY346" s="511" t="n">
        <f aca="false">ROUND($AY$6*AZ346/$AZ$5,2)</f>
        <v>0</v>
      </c>
      <c r="AZ346" s="502" t="n">
        <f aca="false">BA346+BL346</f>
        <v>0</v>
      </c>
      <c r="BA346" s="502" t="n">
        <f aca="false">SUM(BB346:BK346)</f>
        <v>0</v>
      </c>
      <c r="BB346" s="502" t="n">
        <f aca="false">IF($D346="是",I346-J346,0)</f>
        <v>0</v>
      </c>
      <c r="BC346" s="502" t="n">
        <f aca="false">IF($D346="是",K346-L346,0)</f>
        <v>0</v>
      </c>
      <c r="BD346" s="502" t="n">
        <f aca="false">IF($D346="是",M346-N346,0)</f>
        <v>0</v>
      </c>
      <c r="BE346" s="502" t="n">
        <f aca="false">IF($D346="是",O346-P346,0)</f>
        <v>0</v>
      </c>
      <c r="BF346" s="502" t="n">
        <f aca="false">IF($D346="是",Q346-R346,0)</f>
        <v>0</v>
      </c>
      <c r="BG346" s="502" t="n">
        <f aca="false">IF($D346="是",S346-T346,0)</f>
        <v>0</v>
      </c>
      <c r="BH346" s="502" t="n">
        <f aca="false">IF($D346="是",U346-V346,0)</f>
        <v>0</v>
      </c>
      <c r="BI346" s="502" t="n">
        <f aca="false">IF($D346="是",W346-X346,0)</f>
        <v>0</v>
      </c>
      <c r="BJ346" s="502" t="n">
        <f aca="false">IF($D346="是",Y346-Z346,0)</f>
        <v>0</v>
      </c>
      <c r="BK346" s="502" t="n">
        <f aca="false">IF($D346="是",AA346-AB346,0)</f>
        <v>0</v>
      </c>
      <c r="BL346" s="502" t="n">
        <f aca="false">SUM(BM346:BT346)</f>
        <v>0</v>
      </c>
      <c r="BM346" s="502" t="n">
        <f aca="false">IF($D346="是",AD346-AE346,0)</f>
        <v>0</v>
      </c>
      <c r="BN346" s="502" t="n">
        <f aca="false">IF($D346="是",AF346-AG346,0)</f>
        <v>0</v>
      </c>
      <c r="BO346" s="502" t="n">
        <f aca="false">IF($D346="是",AH346-AI346,0)</f>
        <v>0</v>
      </c>
      <c r="BP346" s="502" t="n">
        <f aca="false">IF($D346="是",AJ346-AK346,0)</f>
        <v>0</v>
      </c>
      <c r="BQ346" s="502" t="n">
        <f aca="false">IF($D346="是",AL346-AM346,0)</f>
        <v>0</v>
      </c>
      <c r="BR346" s="502" t="n">
        <f aca="false">IF($D346="是",AN346-AO346,0)</f>
        <v>0</v>
      </c>
      <c r="BS346" s="502" t="n">
        <f aca="false">IF($D346="是",AP346-AQ346,0)</f>
        <v>0</v>
      </c>
      <c r="BT346" s="512" t="n">
        <f aca="false">IF($D346="是",AR346-AS346,0)</f>
        <v>0</v>
      </c>
    </row>
    <row r="347" customFormat="false" ht="14.25" hidden="false" customHeight="false" outlineLevel="0" collapsed="false">
      <c r="A347" s="499"/>
      <c r="B347" s="500"/>
      <c r="C347" s="500"/>
      <c r="D347" s="501"/>
      <c r="E347" s="502" t="n">
        <f aca="false">IF($C$3="是",ROUND($A$3*G347/$B$3,2),ROUND($A$3*(G347-AT347)/$B$3,2))</f>
        <v>0</v>
      </c>
      <c r="F347" s="503"/>
      <c r="G347" s="504" t="n">
        <f aca="false">H347+AC347+AT347</f>
        <v>0</v>
      </c>
      <c r="H347" s="505" t="n">
        <f aca="false">SUMIF(I$12:AB$12,"总值",I347:AB347)</f>
        <v>0</v>
      </c>
      <c r="I347" s="506"/>
      <c r="J347" s="506"/>
      <c r="K347" s="506"/>
      <c r="L347" s="506"/>
      <c r="M347" s="506"/>
      <c r="N347" s="506"/>
      <c r="O347" s="506"/>
      <c r="P347" s="506"/>
      <c r="Q347" s="506"/>
      <c r="R347" s="506"/>
      <c r="S347" s="506"/>
      <c r="T347" s="506"/>
      <c r="U347" s="506"/>
      <c r="V347" s="506"/>
      <c r="W347" s="506"/>
      <c r="X347" s="506"/>
      <c r="Y347" s="506"/>
      <c r="Z347" s="506"/>
      <c r="AA347" s="506"/>
      <c r="AB347" s="506"/>
      <c r="AC347" s="502" t="n">
        <f aca="false">SUMIF(AD$12:AS$12,"总值",AD347:AS347)</f>
        <v>0</v>
      </c>
      <c r="AD347" s="507"/>
      <c r="AE347" s="507"/>
      <c r="AF347" s="507"/>
      <c r="AG347" s="507"/>
      <c r="AH347" s="507"/>
      <c r="AI347" s="507"/>
      <c r="AJ347" s="507"/>
      <c r="AK347" s="507"/>
      <c r="AL347" s="507"/>
      <c r="AM347" s="507"/>
      <c r="AN347" s="507"/>
      <c r="AO347" s="507"/>
      <c r="AP347" s="507"/>
      <c r="AQ347" s="507"/>
      <c r="AR347" s="507"/>
      <c r="AS347" s="507"/>
      <c r="AT347" s="508"/>
      <c r="AU347" s="509"/>
      <c r="AV347" s="510" t="n">
        <f aca="false">A347</f>
        <v>0</v>
      </c>
      <c r="AW347" s="510" t="n">
        <f aca="false">B347</f>
        <v>0</v>
      </c>
      <c r="AX347" s="510" t="n">
        <f aca="false">C347</f>
        <v>0</v>
      </c>
      <c r="AY347" s="511" t="n">
        <f aca="false">ROUND($AY$6*AZ347/$AZ$5,2)</f>
        <v>0</v>
      </c>
      <c r="AZ347" s="502" t="n">
        <f aca="false">BA347+BL347</f>
        <v>0</v>
      </c>
      <c r="BA347" s="502" t="n">
        <f aca="false">SUM(BB347:BK347)</f>
        <v>0</v>
      </c>
      <c r="BB347" s="502" t="n">
        <f aca="false">IF($D347="是",I347-J347,0)</f>
        <v>0</v>
      </c>
      <c r="BC347" s="502" t="n">
        <f aca="false">IF($D347="是",K347-L347,0)</f>
        <v>0</v>
      </c>
      <c r="BD347" s="502" t="n">
        <f aca="false">IF($D347="是",M347-N347,0)</f>
        <v>0</v>
      </c>
      <c r="BE347" s="502" t="n">
        <f aca="false">IF($D347="是",O347-P347,0)</f>
        <v>0</v>
      </c>
      <c r="BF347" s="502" t="n">
        <f aca="false">IF($D347="是",Q347-R347,0)</f>
        <v>0</v>
      </c>
      <c r="BG347" s="502" t="n">
        <f aca="false">IF($D347="是",S347-T347,0)</f>
        <v>0</v>
      </c>
      <c r="BH347" s="502" t="n">
        <f aca="false">IF($D347="是",U347-V347,0)</f>
        <v>0</v>
      </c>
      <c r="BI347" s="502" t="n">
        <f aca="false">IF($D347="是",W347-X347,0)</f>
        <v>0</v>
      </c>
      <c r="BJ347" s="502" t="n">
        <f aca="false">IF($D347="是",Y347-Z347,0)</f>
        <v>0</v>
      </c>
      <c r="BK347" s="502" t="n">
        <f aca="false">IF($D347="是",AA347-AB347,0)</f>
        <v>0</v>
      </c>
      <c r="BL347" s="502" t="n">
        <f aca="false">SUM(BM347:BT347)</f>
        <v>0</v>
      </c>
      <c r="BM347" s="502" t="n">
        <f aca="false">IF($D347="是",AD347-AE347,0)</f>
        <v>0</v>
      </c>
      <c r="BN347" s="502" t="n">
        <f aca="false">IF($D347="是",AF347-AG347,0)</f>
        <v>0</v>
      </c>
      <c r="BO347" s="502" t="n">
        <f aca="false">IF($D347="是",AH347-AI347,0)</f>
        <v>0</v>
      </c>
      <c r="BP347" s="502" t="n">
        <f aca="false">IF($D347="是",AJ347-AK347,0)</f>
        <v>0</v>
      </c>
      <c r="BQ347" s="502" t="n">
        <f aca="false">IF($D347="是",AL347-AM347,0)</f>
        <v>0</v>
      </c>
      <c r="BR347" s="502" t="n">
        <f aca="false">IF($D347="是",AN347-AO347,0)</f>
        <v>0</v>
      </c>
      <c r="BS347" s="502" t="n">
        <f aca="false">IF($D347="是",AP347-AQ347,0)</f>
        <v>0</v>
      </c>
      <c r="BT347" s="512" t="n">
        <f aca="false">IF($D347="是",AR347-AS347,0)</f>
        <v>0</v>
      </c>
    </row>
    <row r="348" customFormat="false" ht="14.25" hidden="false" customHeight="false" outlineLevel="0" collapsed="false">
      <c r="A348" s="499"/>
      <c r="B348" s="500"/>
      <c r="C348" s="500"/>
      <c r="D348" s="501"/>
      <c r="E348" s="502" t="n">
        <f aca="false">IF($C$3="是",ROUND($A$3*G348/$B$3,2),ROUND($A$3*(G348-AT348)/$B$3,2))</f>
        <v>0</v>
      </c>
      <c r="F348" s="503"/>
      <c r="G348" s="504" t="n">
        <f aca="false">H348+AC348+AT348</f>
        <v>0</v>
      </c>
      <c r="H348" s="505" t="n">
        <f aca="false">SUMIF(I$12:AB$12,"总值",I348:AB348)</f>
        <v>0</v>
      </c>
      <c r="I348" s="506"/>
      <c r="J348" s="506"/>
      <c r="K348" s="506"/>
      <c r="L348" s="506"/>
      <c r="M348" s="506"/>
      <c r="N348" s="506"/>
      <c r="O348" s="506"/>
      <c r="P348" s="506"/>
      <c r="Q348" s="506"/>
      <c r="R348" s="506"/>
      <c r="S348" s="506"/>
      <c r="T348" s="506"/>
      <c r="U348" s="506"/>
      <c r="V348" s="506"/>
      <c r="W348" s="506"/>
      <c r="X348" s="506"/>
      <c r="Y348" s="506"/>
      <c r="Z348" s="506"/>
      <c r="AA348" s="506"/>
      <c r="AB348" s="506"/>
      <c r="AC348" s="502" t="n">
        <f aca="false">SUMIF(AD$12:AS$12,"总值",AD348:AS348)</f>
        <v>0</v>
      </c>
      <c r="AD348" s="507"/>
      <c r="AE348" s="507"/>
      <c r="AF348" s="507"/>
      <c r="AG348" s="507"/>
      <c r="AH348" s="507"/>
      <c r="AI348" s="507"/>
      <c r="AJ348" s="507"/>
      <c r="AK348" s="507"/>
      <c r="AL348" s="507"/>
      <c r="AM348" s="507"/>
      <c r="AN348" s="507"/>
      <c r="AO348" s="507"/>
      <c r="AP348" s="507"/>
      <c r="AQ348" s="507"/>
      <c r="AR348" s="507"/>
      <c r="AS348" s="507"/>
      <c r="AT348" s="508"/>
      <c r="AU348" s="509"/>
      <c r="AV348" s="510" t="n">
        <f aca="false">A348</f>
        <v>0</v>
      </c>
      <c r="AW348" s="510" t="n">
        <f aca="false">B348</f>
        <v>0</v>
      </c>
      <c r="AX348" s="510" t="n">
        <f aca="false">C348</f>
        <v>0</v>
      </c>
      <c r="AY348" s="511" t="n">
        <f aca="false">ROUND($AY$6*AZ348/$AZ$5,2)</f>
        <v>0</v>
      </c>
      <c r="AZ348" s="502" t="n">
        <f aca="false">BA348+BL348</f>
        <v>0</v>
      </c>
      <c r="BA348" s="502" t="n">
        <f aca="false">SUM(BB348:BK348)</f>
        <v>0</v>
      </c>
      <c r="BB348" s="502" t="n">
        <f aca="false">IF($D348="是",I348-J348,0)</f>
        <v>0</v>
      </c>
      <c r="BC348" s="502" t="n">
        <f aca="false">IF($D348="是",K348-L348,0)</f>
        <v>0</v>
      </c>
      <c r="BD348" s="502" t="n">
        <f aca="false">IF($D348="是",M348-N348,0)</f>
        <v>0</v>
      </c>
      <c r="BE348" s="502" t="n">
        <f aca="false">IF($D348="是",O348-P348,0)</f>
        <v>0</v>
      </c>
      <c r="BF348" s="502" t="n">
        <f aca="false">IF($D348="是",Q348-R348,0)</f>
        <v>0</v>
      </c>
      <c r="BG348" s="502" t="n">
        <f aca="false">IF($D348="是",S348-T348,0)</f>
        <v>0</v>
      </c>
      <c r="BH348" s="502" t="n">
        <f aca="false">IF($D348="是",U348-V348,0)</f>
        <v>0</v>
      </c>
      <c r="BI348" s="502" t="n">
        <f aca="false">IF($D348="是",W348-X348,0)</f>
        <v>0</v>
      </c>
      <c r="BJ348" s="502" t="n">
        <f aca="false">IF($D348="是",Y348-Z348,0)</f>
        <v>0</v>
      </c>
      <c r="BK348" s="502" t="n">
        <f aca="false">IF($D348="是",AA348-AB348,0)</f>
        <v>0</v>
      </c>
      <c r="BL348" s="502" t="n">
        <f aca="false">SUM(BM348:BT348)</f>
        <v>0</v>
      </c>
      <c r="BM348" s="502" t="n">
        <f aca="false">IF($D348="是",AD348-AE348,0)</f>
        <v>0</v>
      </c>
      <c r="BN348" s="502" t="n">
        <f aca="false">IF($D348="是",AF348-AG348,0)</f>
        <v>0</v>
      </c>
      <c r="BO348" s="502" t="n">
        <f aca="false">IF($D348="是",AH348-AI348,0)</f>
        <v>0</v>
      </c>
      <c r="BP348" s="502" t="n">
        <f aca="false">IF($D348="是",AJ348-AK348,0)</f>
        <v>0</v>
      </c>
      <c r="BQ348" s="502" t="n">
        <f aca="false">IF($D348="是",AL348-AM348,0)</f>
        <v>0</v>
      </c>
      <c r="BR348" s="502" t="n">
        <f aca="false">IF($D348="是",AN348-AO348,0)</f>
        <v>0</v>
      </c>
      <c r="BS348" s="502" t="n">
        <f aca="false">IF($D348="是",AP348-AQ348,0)</f>
        <v>0</v>
      </c>
      <c r="BT348" s="512" t="n">
        <f aca="false">IF($D348="是",AR348-AS348,0)</f>
        <v>0</v>
      </c>
    </row>
    <row r="349" customFormat="false" ht="14.25" hidden="false" customHeight="false" outlineLevel="0" collapsed="false">
      <c r="A349" s="499"/>
      <c r="B349" s="500"/>
      <c r="C349" s="500"/>
      <c r="D349" s="501"/>
      <c r="E349" s="502" t="n">
        <f aca="false">IF($C$3="是",ROUND($A$3*G349/$B$3,2),ROUND($A$3*(G349-AT349)/$B$3,2))</f>
        <v>0</v>
      </c>
      <c r="F349" s="503"/>
      <c r="G349" s="504" t="n">
        <f aca="false">H349+AC349+AT349</f>
        <v>0</v>
      </c>
      <c r="H349" s="505" t="n">
        <f aca="false">SUMIF(I$12:AB$12,"总值",I349:AB349)</f>
        <v>0</v>
      </c>
      <c r="I349" s="506"/>
      <c r="J349" s="506"/>
      <c r="K349" s="506"/>
      <c r="L349" s="506"/>
      <c r="M349" s="506"/>
      <c r="N349" s="506"/>
      <c r="O349" s="506"/>
      <c r="P349" s="506"/>
      <c r="Q349" s="506"/>
      <c r="R349" s="506"/>
      <c r="S349" s="506"/>
      <c r="T349" s="506"/>
      <c r="U349" s="506"/>
      <c r="V349" s="506"/>
      <c r="W349" s="506"/>
      <c r="X349" s="506"/>
      <c r="Y349" s="506"/>
      <c r="Z349" s="506"/>
      <c r="AA349" s="506"/>
      <c r="AB349" s="506"/>
      <c r="AC349" s="502" t="n">
        <f aca="false">SUMIF(AD$12:AS$12,"总值",AD349:AS349)</f>
        <v>0</v>
      </c>
      <c r="AD349" s="507"/>
      <c r="AE349" s="507"/>
      <c r="AF349" s="507"/>
      <c r="AG349" s="507"/>
      <c r="AH349" s="507"/>
      <c r="AI349" s="507"/>
      <c r="AJ349" s="507"/>
      <c r="AK349" s="507"/>
      <c r="AL349" s="507"/>
      <c r="AM349" s="507"/>
      <c r="AN349" s="507"/>
      <c r="AO349" s="507"/>
      <c r="AP349" s="507"/>
      <c r="AQ349" s="507"/>
      <c r="AR349" s="507"/>
      <c r="AS349" s="507"/>
      <c r="AT349" s="508"/>
      <c r="AU349" s="509"/>
      <c r="AV349" s="510" t="n">
        <f aca="false">A349</f>
        <v>0</v>
      </c>
      <c r="AW349" s="510" t="n">
        <f aca="false">B349</f>
        <v>0</v>
      </c>
      <c r="AX349" s="510" t="n">
        <f aca="false">C349</f>
        <v>0</v>
      </c>
      <c r="AY349" s="511" t="n">
        <f aca="false">ROUND($AY$6*AZ349/$AZ$5,2)</f>
        <v>0</v>
      </c>
      <c r="AZ349" s="502" t="n">
        <f aca="false">BA349+BL349</f>
        <v>0</v>
      </c>
      <c r="BA349" s="502" t="n">
        <f aca="false">SUM(BB349:BK349)</f>
        <v>0</v>
      </c>
      <c r="BB349" s="502" t="n">
        <f aca="false">IF($D349="是",I349-J349,0)</f>
        <v>0</v>
      </c>
      <c r="BC349" s="502" t="n">
        <f aca="false">IF($D349="是",K349-L349,0)</f>
        <v>0</v>
      </c>
      <c r="BD349" s="502" t="n">
        <f aca="false">IF($D349="是",M349-N349,0)</f>
        <v>0</v>
      </c>
      <c r="BE349" s="502" t="n">
        <f aca="false">IF($D349="是",O349-P349,0)</f>
        <v>0</v>
      </c>
      <c r="BF349" s="502" t="n">
        <f aca="false">IF($D349="是",Q349-R349,0)</f>
        <v>0</v>
      </c>
      <c r="BG349" s="502" t="n">
        <f aca="false">IF($D349="是",S349-T349,0)</f>
        <v>0</v>
      </c>
      <c r="BH349" s="502" t="n">
        <f aca="false">IF($D349="是",U349-V349,0)</f>
        <v>0</v>
      </c>
      <c r="BI349" s="502" t="n">
        <f aca="false">IF($D349="是",W349-X349,0)</f>
        <v>0</v>
      </c>
      <c r="BJ349" s="502" t="n">
        <f aca="false">IF($D349="是",Y349-Z349,0)</f>
        <v>0</v>
      </c>
      <c r="BK349" s="502" t="n">
        <f aca="false">IF($D349="是",AA349-AB349,0)</f>
        <v>0</v>
      </c>
      <c r="BL349" s="502" t="n">
        <f aca="false">SUM(BM349:BT349)</f>
        <v>0</v>
      </c>
      <c r="BM349" s="502" t="n">
        <f aca="false">IF($D349="是",AD349-AE349,0)</f>
        <v>0</v>
      </c>
      <c r="BN349" s="502" t="n">
        <f aca="false">IF($D349="是",AF349-AG349,0)</f>
        <v>0</v>
      </c>
      <c r="BO349" s="502" t="n">
        <f aca="false">IF($D349="是",AH349-AI349,0)</f>
        <v>0</v>
      </c>
      <c r="BP349" s="502" t="n">
        <f aca="false">IF($D349="是",AJ349-AK349,0)</f>
        <v>0</v>
      </c>
      <c r="BQ349" s="502" t="n">
        <f aca="false">IF($D349="是",AL349-AM349,0)</f>
        <v>0</v>
      </c>
      <c r="BR349" s="502" t="n">
        <f aca="false">IF($D349="是",AN349-AO349,0)</f>
        <v>0</v>
      </c>
      <c r="BS349" s="502" t="n">
        <f aca="false">IF($D349="是",AP349-AQ349,0)</f>
        <v>0</v>
      </c>
      <c r="BT349" s="512" t="n">
        <f aca="false">IF($D349="是",AR349-AS349,0)</f>
        <v>0</v>
      </c>
    </row>
    <row r="350" customFormat="false" ht="14.25" hidden="false" customHeight="false" outlineLevel="0" collapsed="false">
      <c r="A350" s="499"/>
      <c r="B350" s="500"/>
      <c r="C350" s="500"/>
      <c r="D350" s="501"/>
      <c r="E350" s="502" t="n">
        <f aca="false">IF($C$3="是",ROUND($A$3*G350/$B$3,2),ROUND($A$3*(G350-AT350)/$B$3,2))</f>
        <v>0</v>
      </c>
      <c r="F350" s="503"/>
      <c r="G350" s="504" t="n">
        <f aca="false">H350+AC350+AT350</f>
        <v>0</v>
      </c>
      <c r="H350" s="505" t="n">
        <f aca="false">SUMIF(I$12:AB$12,"总值",I350:AB350)</f>
        <v>0</v>
      </c>
      <c r="I350" s="506"/>
      <c r="J350" s="506"/>
      <c r="K350" s="506"/>
      <c r="L350" s="506"/>
      <c r="M350" s="506"/>
      <c r="N350" s="506"/>
      <c r="O350" s="506"/>
      <c r="P350" s="506"/>
      <c r="Q350" s="506"/>
      <c r="R350" s="506"/>
      <c r="S350" s="506"/>
      <c r="T350" s="506"/>
      <c r="U350" s="506"/>
      <c r="V350" s="506"/>
      <c r="W350" s="506"/>
      <c r="X350" s="506"/>
      <c r="Y350" s="506"/>
      <c r="Z350" s="506"/>
      <c r="AA350" s="506"/>
      <c r="AB350" s="506"/>
      <c r="AC350" s="502" t="n">
        <f aca="false">SUMIF(AD$12:AS$12,"总值",AD350:AS350)</f>
        <v>0</v>
      </c>
      <c r="AD350" s="507"/>
      <c r="AE350" s="507"/>
      <c r="AF350" s="507"/>
      <c r="AG350" s="507"/>
      <c r="AH350" s="507"/>
      <c r="AI350" s="507"/>
      <c r="AJ350" s="507"/>
      <c r="AK350" s="507"/>
      <c r="AL350" s="507"/>
      <c r="AM350" s="507"/>
      <c r="AN350" s="507"/>
      <c r="AO350" s="507"/>
      <c r="AP350" s="507"/>
      <c r="AQ350" s="507"/>
      <c r="AR350" s="507"/>
      <c r="AS350" s="507"/>
      <c r="AT350" s="508"/>
      <c r="AU350" s="509"/>
      <c r="AV350" s="510" t="n">
        <f aca="false">A350</f>
        <v>0</v>
      </c>
      <c r="AW350" s="510" t="n">
        <f aca="false">B350</f>
        <v>0</v>
      </c>
      <c r="AX350" s="510" t="n">
        <f aca="false">C350</f>
        <v>0</v>
      </c>
      <c r="AY350" s="511" t="n">
        <f aca="false">ROUND($AY$6*AZ350/$AZ$5,2)</f>
        <v>0</v>
      </c>
      <c r="AZ350" s="502" t="n">
        <f aca="false">BA350+BL350</f>
        <v>0</v>
      </c>
      <c r="BA350" s="502" t="n">
        <f aca="false">SUM(BB350:BK350)</f>
        <v>0</v>
      </c>
      <c r="BB350" s="502" t="n">
        <f aca="false">IF($D350="是",I350-J350,0)</f>
        <v>0</v>
      </c>
      <c r="BC350" s="502" t="n">
        <f aca="false">IF($D350="是",K350-L350,0)</f>
        <v>0</v>
      </c>
      <c r="BD350" s="502" t="n">
        <f aca="false">IF($D350="是",M350-N350,0)</f>
        <v>0</v>
      </c>
      <c r="BE350" s="502" t="n">
        <f aca="false">IF($D350="是",O350-P350,0)</f>
        <v>0</v>
      </c>
      <c r="BF350" s="502" t="n">
        <f aca="false">IF($D350="是",Q350-R350,0)</f>
        <v>0</v>
      </c>
      <c r="BG350" s="502" t="n">
        <f aca="false">IF($D350="是",S350-T350,0)</f>
        <v>0</v>
      </c>
      <c r="BH350" s="502" t="n">
        <f aca="false">IF($D350="是",U350-V350,0)</f>
        <v>0</v>
      </c>
      <c r="BI350" s="502" t="n">
        <f aca="false">IF($D350="是",W350-X350,0)</f>
        <v>0</v>
      </c>
      <c r="BJ350" s="502" t="n">
        <f aca="false">IF($D350="是",Y350-Z350,0)</f>
        <v>0</v>
      </c>
      <c r="BK350" s="502" t="n">
        <f aca="false">IF($D350="是",AA350-AB350,0)</f>
        <v>0</v>
      </c>
      <c r="BL350" s="502" t="n">
        <f aca="false">SUM(BM350:BT350)</f>
        <v>0</v>
      </c>
      <c r="BM350" s="502" t="n">
        <f aca="false">IF($D350="是",AD350-AE350,0)</f>
        <v>0</v>
      </c>
      <c r="BN350" s="502" t="n">
        <f aca="false">IF($D350="是",AF350-AG350,0)</f>
        <v>0</v>
      </c>
      <c r="BO350" s="502" t="n">
        <f aca="false">IF($D350="是",AH350-AI350,0)</f>
        <v>0</v>
      </c>
      <c r="BP350" s="502" t="n">
        <f aca="false">IF($D350="是",AJ350-AK350,0)</f>
        <v>0</v>
      </c>
      <c r="BQ350" s="502" t="n">
        <f aca="false">IF($D350="是",AL350-AM350,0)</f>
        <v>0</v>
      </c>
      <c r="BR350" s="502" t="n">
        <f aca="false">IF($D350="是",AN350-AO350,0)</f>
        <v>0</v>
      </c>
      <c r="BS350" s="502" t="n">
        <f aca="false">IF($D350="是",AP350-AQ350,0)</f>
        <v>0</v>
      </c>
      <c r="BT350" s="512" t="n">
        <f aca="false">IF($D350="是",AR350-AS350,0)</f>
        <v>0</v>
      </c>
    </row>
    <row r="351" customFormat="false" ht="14.25" hidden="false" customHeight="false" outlineLevel="0" collapsed="false">
      <c r="A351" s="499"/>
      <c r="B351" s="500"/>
      <c r="C351" s="500"/>
      <c r="D351" s="501"/>
      <c r="E351" s="502" t="n">
        <f aca="false">IF($C$3="是",ROUND($A$3*G351/$B$3,2),ROUND($A$3*(G351-AT351)/$B$3,2))</f>
        <v>0</v>
      </c>
      <c r="F351" s="503"/>
      <c r="G351" s="504" t="n">
        <f aca="false">H351+AC351+AT351</f>
        <v>0</v>
      </c>
      <c r="H351" s="505" t="n">
        <f aca="false">SUMIF(I$12:AB$12,"总值",I351:AB351)</f>
        <v>0</v>
      </c>
      <c r="I351" s="506"/>
      <c r="J351" s="506"/>
      <c r="K351" s="506"/>
      <c r="L351" s="506"/>
      <c r="M351" s="506"/>
      <c r="N351" s="506"/>
      <c r="O351" s="506"/>
      <c r="P351" s="506"/>
      <c r="Q351" s="506"/>
      <c r="R351" s="506"/>
      <c r="S351" s="506"/>
      <c r="T351" s="506"/>
      <c r="U351" s="506"/>
      <c r="V351" s="506"/>
      <c r="W351" s="506"/>
      <c r="X351" s="506"/>
      <c r="Y351" s="506"/>
      <c r="Z351" s="506"/>
      <c r="AA351" s="506"/>
      <c r="AB351" s="506"/>
      <c r="AC351" s="502" t="n">
        <f aca="false">SUMIF(AD$12:AS$12,"总值",AD351:AS351)</f>
        <v>0</v>
      </c>
      <c r="AD351" s="507"/>
      <c r="AE351" s="507"/>
      <c r="AF351" s="507"/>
      <c r="AG351" s="507"/>
      <c r="AH351" s="507"/>
      <c r="AI351" s="507"/>
      <c r="AJ351" s="507"/>
      <c r="AK351" s="507"/>
      <c r="AL351" s="507"/>
      <c r="AM351" s="507"/>
      <c r="AN351" s="507"/>
      <c r="AO351" s="507"/>
      <c r="AP351" s="507"/>
      <c r="AQ351" s="507"/>
      <c r="AR351" s="507"/>
      <c r="AS351" s="507"/>
      <c r="AT351" s="508"/>
      <c r="AU351" s="509"/>
      <c r="AV351" s="510" t="n">
        <f aca="false">A351</f>
        <v>0</v>
      </c>
      <c r="AW351" s="510" t="n">
        <f aca="false">B351</f>
        <v>0</v>
      </c>
      <c r="AX351" s="510" t="n">
        <f aca="false">C351</f>
        <v>0</v>
      </c>
      <c r="AY351" s="511" t="n">
        <f aca="false">ROUND($AY$6*AZ351/$AZ$5,2)</f>
        <v>0</v>
      </c>
      <c r="AZ351" s="502" t="n">
        <f aca="false">BA351+BL351</f>
        <v>0</v>
      </c>
      <c r="BA351" s="502" t="n">
        <f aca="false">SUM(BB351:BK351)</f>
        <v>0</v>
      </c>
      <c r="BB351" s="502" t="n">
        <f aca="false">IF($D351="是",I351-J351,0)</f>
        <v>0</v>
      </c>
      <c r="BC351" s="502" t="n">
        <f aca="false">IF($D351="是",K351-L351,0)</f>
        <v>0</v>
      </c>
      <c r="BD351" s="502" t="n">
        <f aca="false">IF($D351="是",M351-N351,0)</f>
        <v>0</v>
      </c>
      <c r="BE351" s="502" t="n">
        <f aca="false">IF($D351="是",O351-P351,0)</f>
        <v>0</v>
      </c>
      <c r="BF351" s="502" t="n">
        <f aca="false">IF($D351="是",Q351-R351,0)</f>
        <v>0</v>
      </c>
      <c r="BG351" s="502" t="n">
        <f aca="false">IF($D351="是",S351-T351,0)</f>
        <v>0</v>
      </c>
      <c r="BH351" s="502" t="n">
        <f aca="false">IF($D351="是",U351-V351,0)</f>
        <v>0</v>
      </c>
      <c r="BI351" s="502" t="n">
        <f aca="false">IF($D351="是",W351-X351,0)</f>
        <v>0</v>
      </c>
      <c r="BJ351" s="502" t="n">
        <f aca="false">IF($D351="是",Y351-Z351,0)</f>
        <v>0</v>
      </c>
      <c r="BK351" s="502" t="n">
        <f aca="false">IF($D351="是",AA351-AB351,0)</f>
        <v>0</v>
      </c>
      <c r="BL351" s="502" t="n">
        <f aca="false">SUM(BM351:BT351)</f>
        <v>0</v>
      </c>
      <c r="BM351" s="502" t="n">
        <f aca="false">IF($D351="是",AD351-AE351,0)</f>
        <v>0</v>
      </c>
      <c r="BN351" s="502" t="n">
        <f aca="false">IF($D351="是",AF351-AG351,0)</f>
        <v>0</v>
      </c>
      <c r="BO351" s="502" t="n">
        <f aca="false">IF($D351="是",AH351-AI351,0)</f>
        <v>0</v>
      </c>
      <c r="BP351" s="502" t="n">
        <f aca="false">IF($D351="是",AJ351-AK351,0)</f>
        <v>0</v>
      </c>
      <c r="BQ351" s="502" t="n">
        <f aca="false">IF($D351="是",AL351-AM351,0)</f>
        <v>0</v>
      </c>
      <c r="BR351" s="502" t="n">
        <f aca="false">IF($D351="是",AN351-AO351,0)</f>
        <v>0</v>
      </c>
      <c r="BS351" s="502" t="n">
        <f aca="false">IF($D351="是",AP351-AQ351,0)</f>
        <v>0</v>
      </c>
      <c r="BT351" s="512" t="n">
        <f aca="false">IF($D351="是",AR351-AS351,0)</f>
        <v>0</v>
      </c>
    </row>
    <row r="352" customFormat="false" ht="14.25" hidden="false" customHeight="false" outlineLevel="0" collapsed="false">
      <c r="A352" s="499"/>
      <c r="B352" s="500"/>
      <c r="C352" s="500"/>
      <c r="D352" s="501"/>
      <c r="E352" s="502" t="n">
        <f aca="false">IF($C$3="是",ROUND($A$3*G352/$B$3,2),ROUND($A$3*(G352-AT352)/$B$3,2))</f>
        <v>0</v>
      </c>
      <c r="F352" s="503"/>
      <c r="G352" s="504" t="n">
        <f aca="false">H352+AC352+AT352</f>
        <v>0</v>
      </c>
      <c r="H352" s="505" t="n">
        <f aca="false">SUMIF(I$12:AB$12,"总值",I352:AB352)</f>
        <v>0</v>
      </c>
      <c r="I352" s="506"/>
      <c r="J352" s="506"/>
      <c r="K352" s="506"/>
      <c r="L352" s="506"/>
      <c r="M352" s="506"/>
      <c r="N352" s="506"/>
      <c r="O352" s="506"/>
      <c r="P352" s="506"/>
      <c r="Q352" s="506"/>
      <c r="R352" s="506"/>
      <c r="S352" s="506"/>
      <c r="T352" s="506"/>
      <c r="U352" s="506"/>
      <c r="V352" s="506"/>
      <c r="W352" s="506"/>
      <c r="X352" s="506"/>
      <c r="Y352" s="506"/>
      <c r="Z352" s="506"/>
      <c r="AA352" s="506"/>
      <c r="AB352" s="506"/>
      <c r="AC352" s="502" t="n">
        <f aca="false">SUMIF(AD$12:AS$12,"总值",AD352:AS352)</f>
        <v>0</v>
      </c>
      <c r="AD352" s="507"/>
      <c r="AE352" s="507"/>
      <c r="AF352" s="507"/>
      <c r="AG352" s="507"/>
      <c r="AH352" s="507"/>
      <c r="AI352" s="507"/>
      <c r="AJ352" s="507"/>
      <c r="AK352" s="507"/>
      <c r="AL352" s="507"/>
      <c r="AM352" s="507"/>
      <c r="AN352" s="507"/>
      <c r="AO352" s="507"/>
      <c r="AP352" s="507"/>
      <c r="AQ352" s="507"/>
      <c r="AR352" s="507"/>
      <c r="AS352" s="507"/>
      <c r="AT352" s="508"/>
      <c r="AU352" s="509"/>
      <c r="AV352" s="510" t="n">
        <f aca="false">A352</f>
        <v>0</v>
      </c>
      <c r="AW352" s="510" t="n">
        <f aca="false">B352</f>
        <v>0</v>
      </c>
      <c r="AX352" s="510" t="n">
        <f aca="false">C352</f>
        <v>0</v>
      </c>
      <c r="AY352" s="511" t="n">
        <f aca="false">ROUND($AY$6*AZ352/$AZ$5,2)</f>
        <v>0</v>
      </c>
      <c r="AZ352" s="502" t="n">
        <f aca="false">BA352+BL352</f>
        <v>0</v>
      </c>
      <c r="BA352" s="502" t="n">
        <f aca="false">SUM(BB352:BK352)</f>
        <v>0</v>
      </c>
      <c r="BB352" s="502" t="n">
        <f aca="false">IF($D352="是",I352-J352,0)</f>
        <v>0</v>
      </c>
      <c r="BC352" s="502" t="n">
        <f aca="false">IF($D352="是",K352-L352,0)</f>
        <v>0</v>
      </c>
      <c r="BD352" s="502" t="n">
        <f aca="false">IF($D352="是",M352-N352,0)</f>
        <v>0</v>
      </c>
      <c r="BE352" s="502" t="n">
        <f aca="false">IF($D352="是",O352-P352,0)</f>
        <v>0</v>
      </c>
      <c r="BF352" s="502" t="n">
        <f aca="false">IF($D352="是",Q352-R352,0)</f>
        <v>0</v>
      </c>
      <c r="BG352" s="502" t="n">
        <f aca="false">IF($D352="是",S352-T352,0)</f>
        <v>0</v>
      </c>
      <c r="BH352" s="502" t="n">
        <f aca="false">IF($D352="是",U352-V352,0)</f>
        <v>0</v>
      </c>
      <c r="BI352" s="502" t="n">
        <f aca="false">IF($D352="是",W352-X352,0)</f>
        <v>0</v>
      </c>
      <c r="BJ352" s="502" t="n">
        <f aca="false">IF($D352="是",Y352-Z352,0)</f>
        <v>0</v>
      </c>
      <c r="BK352" s="502" t="n">
        <f aca="false">IF($D352="是",AA352-AB352,0)</f>
        <v>0</v>
      </c>
      <c r="BL352" s="502" t="n">
        <f aca="false">SUM(BM352:BT352)</f>
        <v>0</v>
      </c>
      <c r="BM352" s="502" t="n">
        <f aca="false">IF($D352="是",AD352-AE352,0)</f>
        <v>0</v>
      </c>
      <c r="BN352" s="502" t="n">
        <f aca="false">IF($D352="是",AF352-AG352,0)</f>
        <v>0</v>
      </c>
      <c r="BO352" s="502" t="n">
        <f aca="false">IF($D352="是",AH352-AI352,0)</f>
        <v>0</v>
      </c>
      <c r="BP352" s="502" t="n">
        <f aca="false">IF($D352="是",AJ352-AK352,0)</f>
        <v>0</v>
      </c>
      <c r="BQ352" s="502" t="n">
        <f aca="false">IF($D352="是",AL352-AM352,0)</f>
        <v>0</v>
      </c>
      <c r="BR352" s="502" t="n">
        <f aca="false">IF($D352="是",AN352-AO352,0)</f>
        <v>0</v>
      </c>
      <c r="BS352" s="502" t="n">
        <f aca="false">IF($D352="是",AP352-AQ352,0)</f>
        <v>0</v>
      </c>
      <c r="BT352" s="512" t="n">
        <f aca="false">IF($D352="是",AR352-AS352,0)</f>
        <v>0</v>
      </c>
    </row>
    <row r="353" customFormat="false" ht="14.25" hidden="false" customHeight="false" outlineLevel="0" collapsed="false">
      <c r="A353" s="499"/>
      <c r="B353" s="500"/>
      <c r="C353" s="500"/>
      <c r="D353" s="501"/>
      <c r="E353" s="502" t="n">
        <f aca="false">IF($C$3="是",ROUND($A$3*G353/$B$3,2),ROUND($A$3*(G353-AT353)/$B$3,2))</f>
        <v>0</v>
      </c>
      <c r="F353" s="503"/>
      <c r="G353" s="504" t="n">
        <f aca="false">H353+AC353+AT353</f>
        <v>0</v>
      </c>
      <c r="H353" s="505" t="n">
        <f aca="false">SUMIF(I$12:AB$12,"总值",I353:AB353)</f>
        <v>0</v>
      </c>
      <c r="I353" s="506"/>
      <c r="J353" s="506"/>
      <c r="K353" s="506"/>
      <c r="L353" s="506"/>
      <c r="M353" s="506"/>
      <c r="N353" s="506"/>
      <c r="O353" s="506"/>
      <c r="P353" s="506"/>
      <c r="Q353" s="506"/>
      <c r="R353" s="506"/>
      <c r="S353" s="506"/>
      <c r="T353" s="506"/>
      <c r="U353" s="506"/>
      <c r="V353" s="506"/>
      <c r="W353" s="506"/>
      <c r="X353" s="506"/>
      <c r="Y353" s="506"/>
      <c r="Z353" s="506"/>
      <c r="AA353" s="506"/>
      <c r="AB353" s="506"/>
      <c r="AC353" s="502" t="n">
        <f aca="false">SUMIF(AD$12:AS$12,"总值",AD353:AS353)</f>
        <v>0</v>
      </c>
      <c r="AD353" s="507"/>
      <c r="AE353" s="507"/>
      <c r="AF353" s="507"/>
      <c r="AG353" s="507"/>
      <c r="AH353" s="507"/>
      <c r="AI353" s="507"/>
      <c r="AJ353" s="507"/>
      <c r="AK353" s="507"/>
      <c r="AL353" s="507"/>
      <c r="AM353" s="507"/>
      <c r="AN353" s="507"/>
      <c r="AO353" s="507"/>
      <c r="AP353" s="507"/>
      <c r="AQ353" s="507"/>
      <c r="AR353" s="507"/>
      <c r="AS353" s="507"/>
      <c r="AT353" s="508"/>
      <c r="AU353" s="509"/>
      <c r="AV353" s="510" t="n">
        <f aca="false">A353</f>
        <v>0</v>
      </c>
      <c r="AW353" s="510" t="n">
        <f aca="false">B353</f>
        <v>0</v>
      </c>
      <c r="AX353" s="510" t="n">
        <f aca="false">C353</f>
        <v>0</v>
      </c>
      <c r="AY353" s="511" t="n">
        <f aca="false">ROUND($AY$6*AZ353/$AZ$5,2)</f>
        <v>0</v>
      </c>
      <c r="AZ353" s="502" t="n">
        <f aca="false">BA353+BL353</f>
        <v>0</v>
      </c>
      <c r="BA353" s="502" t="n">
        <f aca="false">SUM(BB353:BK353)</f>
        <v>0</v>
      </c>
      <c r="BB353" s="502" t="n">
        <f aca="false">IF($D353="是",I353-J353,0)</f>
        <v>0</v>
      </c>
      <c r="BC353" s="502" t="n">
        <f aca="false">IF($D353="是",K353-L353,0)</f>
        <v>0</v>
      </c>
      <c r="BD353" s="502" t="n">
        <f aca="false">IF($D353="是",M353-N353,0)</f>
        <v>0</v>
      </c>
      <c r="BE353" s="502" t="n">
        <f aca="false">IF($D353="是",O353-P353,0)</f>
        <v>0</v>
      </c>
      <c r="BF353" s="502" t="n">
        <f aca="false">IF($D353="是",Q353-R353,0)</f>
        <v>0</v>
      </c>
      <c r="BG353" s="502" t="n">
        <f aca="false">IF($D353="是",S353-T353,0)</f>
        <v>0</v>
      </c>
      <c r="BH353" s="502" t="n">
        <f aca="false">IF($D353="是",U353-V353,0)</f>
        <v>0</v>
      </c>
      <c r="BI353" s="502" t="n">
        <f aca="false">IF($D353="是",W353-X353,0)</f>
        <v>0</v>
      </c>
      <c r="BJ353" s="502" t="n">
        <f aca="false">IF($D353="是",Y353-Z353,0)</f>
        <v>0</v>
      </c>
      <c r="BK353" s="502" t="n">
        <f aca="false">IF($D353="是",AA353-AB353,0)</f>
        <v>0</v>
      </c>
      <c r="BL353" s="502" t="n">
        <f aca="false">SUM(BM353:BT353)</f>
        <v>0</v>
      </c>
      <c r="BM353" s="502" t="n">
        <f aca="false">IF($D353="是",AD353-AE353,0)</f>
        <v>0</v>
      </c>
      <c r="BN353" s="502" t="n">
        <f aca="false">IF($D353="是",AF353-AG353,0)</f>
        <v>0</v>
      </c>
      <c r="BO353" s="502" t="n">
        <f aca="false">IF($D353="是",AH353-AI353,0)</f>
        <v>0</v>
      </c>
      <c r="BP353" s="502" t="n">
        <f aca="false">IF($D353="是",AJ353-AK353,0)</f>
        <v>0</v>
      </c>
      <c r="BQ353" s="502" t="n">
        <f aca="false">IF($D353="是",AL353-AM353,0)</f>
        <v>0</v>
      </c>
      <c r="BR353" s="502" t="n">
        <f aca="false">IF($D353="是",AN353-AO353,0)</f>
        <v>0</v>
      </c>
      <c r="BS353" s="502" t="n">
        <f aca="false">IF($D353="是",AP353-AQ353,0)</f>
        <v>0</v>
      </c>
      <c r="BT353" s="512" t="n">
        <f aca="false">IF($D353="是",AR353-AS353,0)</f>
        <v>0</v>
      </c>
    </row>
    <row r="354" customFormat="false" ht="14.25" hidden="false" customHeight="false" outlineLevel="0" collapsed="false">
      <c r="A354" s="499"/>
      <c r="B354" s="500"/>
      <c r="C354" s="500"/>
      <c r="D354" s="501"/>
      <c r="E354" s="502" t="n">
        <f aca="false">IF($C$3="是",ROUND($A$3*G354/$B$3,2),ROUND($A$3*(G354-AT354)/$B$3,2))</f>
        <v>0</v>
      </c>
      <c r="F354" s="503"/>
      <c r="G354" s="504" t="n">
        <f aca="false">H354+AC354+AT354</f>
        <v>0</v>
      </c>
      <c r="H354" s="505" t="n">
        <f aca="false">SUMIF(I$12:AB$12,"总值",I354:AB354)</f>
        <v>0</v>
      </c>
      <c r="I354" s="506"/>
      <c r="J354" s="506"/>
      <c r="K354" s="506"/>
      <c r="L354" s="506"/>
      <c r="M354" s="506"/>
      <c r="N354" s="506"/>
      <c r="O354" s="506"/>
      <c r="P354" s="506"/>
      <c r="Q354" s="506"/>
      <c r="R354" s="506"/>
      <c r="S354" s="506"/>
      <c r="T354" s="506"/>
      <c r="U354" s="506"/>
      <c r="V354" s="506"/>
      <c r="W354" s="506"/>
      <c r="X354" s="506"/>
      <c r="Y354" s="506"/>
      <c r="Z354" s="506"/>
      <c r="AA354" s="506"/>
      <c r="AB354" s="506"/>
      <c r="AC354" s="502" t="n">
        <f aca="false">SUMIF(AD$12:AS$12,"总值",AD354:AS354)</f>
        <v>0</v>
      </c>
      <c r="AD354" s="507"/>
      <c r="AE354" s="507"/>
      <c r="AF354" s="507"/>
      <c r="AG354" s="507"/>
      <c r="AH354" s="507"/>
      <c r="AI354" s="507"/>
      <c r="AJ354" s="507"/>
      <c r="AK354" s="507"/>
      <c r="AL354" s="507"/>
      <c r="AM354" s="507"/>
      <c r="AN354" s="507"/>
      <c r="AO354" s="507"/>
      <c r="AP354" s="507"/>
      <c r="AQ354" s="507"/>
      <c r="AR354" s="507"/>
      <c r="AS354" s="507"/>
      <c r="AT354" s="508"/>
      <c r="AU354" s="509"/>
      <c r="AV354" s="510" t="n">
        <f aca="false">A354</f>
        <v>0</v>
      </c>
      <c r="AW354" s="510" t="n">
        <f aca="false">B354</f>
        <v>0</v>
      </c>
      <c r="AX354" s="510" t="n">
        <f aca="false">C354</f>
        <v>0</v>
      </c>
      <c r="AY354" s="511" t="n">
        <f aca="false">ROUND($AY$6*AZ354/$AZ$5,2)</f>
        <v>0</v>
      </c>
      <c r="AZ354" s="502" t="n">
        <f aca="false">BA354+BL354</f>
        <v>0</v>
      </c>
      <c r="BA354" s="502" t="n">
        <f aca="false">SUM(BB354:BK354)</f>
        <v>0</v>
      </c>
      <c r="BB354" s="502" t="n">
        <f aca="false">IF($D354="是",I354-J354,0)</f>
        <v>0</v>
      </c>
      <c r="BC354" s="502" t="n">
        <f aca="false">IF($D354="是",K354-L354,0)</f>
        <v>0</v>
      </c>
      <c r="BD354" s="502" t="n">
        <f aca="false">IF($D354="是",M354-N354,0)</f>
        <v>0</v>
      </c>
      <c r="BE354" s="502" t="n">
        <f aca="false">IF($D354="是",O354-P354,0)</f>
        <v>0</v>
      </c>
      <c r="BF354" s="502" t="n">
        <f aca="false">IF($D354="是",Q354-R354,0)</f>
        <v>0</v>
      </c>
      <c r="BG354" s="502" t="n">
        <f aca="false">IF($D354="是",S354-T354,0)</f>
        <v>0</v>
      </c>
      <c r="BH354" s="502" t="n">
        <f aca="false">IF($D354="是",U354-V354,0)</f>
        <v>0</v>
      </c>
      <c r="BI354" s="502" t="n">
        <f aca="false">IF($D354="是",W354-X354,0)</f>
        <v>0</v>
      </c>
      <c r="BJ354" s="502" t="n">
        <f aca="false">IF($D354="是",Y354-Z354,0)</f>
        <v>0</v>
      </c>
      <c r="BK354" s="502" t="n">
        <f aca="false">IF($D354="是",AA354-AB354,0)</f>
        <v>0</v>
      </c>
      <c r="BL354" s="502" t="n">
        <f aca="false">SUM(BM354:BT354)</f>
        <v>0</v>
      </c>
      <c r="BM354" s="502" t="n">
        <f aca="false">IF($D354="是",AD354-AE354,0)</f>
        <v>0</v>
      </c>
      <c r="BN354" s="502" t="n">
        <f aca="false">IF($D354="是",AF354-AG354,0)</f>
        <v>0</v>
      </c>
      <c r="BO354" s="502" t="n">
        <f aca="false">IF($D354="是",AH354-AI354,0)</f>
        <v>0</v>
      </c>
      <c r="BP354" s="502" t="n">
        <f aca="false">IF($D354="是",AJ354-AK354,0)</f>
        <v>0</v>
      </c>
      <c r="BQ354" s="502" t="n">
        <f aca="false">IF($D354="是",AL354-AM354,0)</f>
        <v>0</v>
      </c>
      <c r="BR354" s="502" t="n">
        <f aca="false">IF($D354="是",AN354-AO354,0)</f>
        <v>0</v>
      </c>
      <c r="BS354" s="502" t="n">
        <f aca="false">IF($D354="是",AP354-AQ354,0)</f>
        <v>0</v>
      </c>
      <c r="BT354" s="512" t="n">
        <f aca="false">IF($D354="是",AR354-AS354,0)</f>
        <v>0</v>
      </c>
    </row>
    <row r="355" customFormat="false" ht="14.25" hidden="false" customHeight="false" outlineLevel="0" collapsed="false">
      <c r="A355" s="499"/>
      <c r="B355" s="500"/>
      <c r="C355" s="500"/>
      <c r="D355" s="501"/>
      <c r="E355" s="502" t="n">
        <f aca="false">IF($C$3="是",ROUND($A$3*G355/$B$3,2),ROUND($A$3*(G355-AT355)/$B$3,2))</f>
        <v>0</v>
      </c>
      <c r="F355" s="503"/>
      <c r="G355" s="504" t="n">
        <f aca="false">H355+AC355+AT355</f>
        <v>0</v>
      </c>
      <c r="H355" s="505" t="n">
        <f aca="false">SUMIF(I$12:AB$12,"总值",I355:AB355)</f>
        <v>0</v>
      </c>
      <c r="I355" s="506"/>
      <c r="J355" s="506"/>
      <c r="K355" s="506"/>
      <c r="L355" s="506"/>
      <c r="M355" s="506"/>
      <c r="N355" s="506"/>
      <c r="O355" s="506"/>
      <c r="P355" s="506"/>
      <c r="Q355" s="506"/>
      <c r="R355" s="506"/>
      <c r="S355" s="506"/>
      <c r="T355" s="506"/>
      <c r="U355" s="506"/>
      <c r="V355" s="506"/>
      <c r="W355" s="506"/>
      <c r="X355" s="506"/>
      <c r="Y355" s="506"/>
      <c r="Z355" s="506"/>
      <c r="AA355" s="506"/>
      <c r="AB355" s="506"/>
      <c r="AC355" s="502" t="n">
        <f aca="false">SUMIF(AD$12:AS$12,"总值",AD355:AS355)</f>
        <v>0</v>
      </c>
      <c r="AD355" s="507"/>
      <c r="AE355" s="507"/>
      <c r="AF355" s="507"/>
      <c r="AG355" s="507"/>
      <c r="AH355" s="507"/>
      <c r="AI355" s="507"/>
      <c r="AJ355" s="507"/>
      <c r="AK355" s="507"/>
      <c r="AL355" s="507"/>
      <c r="AM355" s="507"/>
      <c r="AN355" s="507"/>
      <c r="AO355" s="507"/>
      <c r="AP355" s="507"/>
      <c r="AQ355" s="507"/>
      <c r="AR355" s="507"/>
      <c r="AS355" s="507"/>
      <c r="AT355" s="508"/>
      <c r="AU355" s="509"/>
      <c r="AV355" s="510" t="n">
        <f aca="false">A355</f>
        <v>0</v>
      </c>
      <c r="AW355" s="510" t="n">
        <f aca="false">B355</f>
        <v>0</v>
      </c>
      <c r="AX355" s="510" t="n">
        <f aca="false">C355</f>
        <v>0</v>
      </c>
      <c r="AY355" s="511" t="n">
        <f aca="false">ROUND($AY$6*AZ355/$AZ$5,2)</f>
        <v>0</v>
      </c>
      <c r="AZ355" s="502" t="n">
        <f aca="false">BA355+BL355</f>
        <v>0</v>
      </c>
      <c r="BA355" s="502" t="n">
        <f aca="false">SUM(BB355:BK355)</f>
        <v>0</v>
      </c>
      <c r="BB355" s="502" t="n">
        <f aca="false">IF($D355="是",I355-J355,0)</f>
        <v>0</v>
      </c>
      <c r="BC355" s="502" t="n">
        <f aca="false">IF($D355="是",K355-L355,0)</f>
        <v>0</v>
      </c>
      <c r="BD355" s="502" t="n">
        <f aca="false">IF($D355="是",M355-N355,0)</f>
        <v>0</v>
      </c>
      <c r="BE355" s="502" t="n">
        <f aca="false">IF($D355="是",O355-P355,0)</f>
        <v>0</v>
      </c>
      <c r="BF355" s="502" t="n">
        <f aca="false">IF($D355="是",Q355-R355,0)</f>
        <v>0</v>
      </c>
      <c r="BG355" s="502" t="n">
        <f aca="false">IF($D355="是",S355-T355,0)</f>
        <v>0</v>
      </c>
      <c r="BH355" s="502" t="n">
        <f aca="false">IF($D355="是",U355-V355,0)</f>
        <v>0</v>
      </c>
      <c r="BI355" s="502" t="n">
        <f aca="false">IF($D355="是",W355-X355,0)</f>
        <v>0</v>
      </c>
      <c r="BJ355" s="502" t="n">
        <f aca="false">IF($D355="是",Y355-Z355,0)</f>
        <v>0</v>
      </c>
      <c r="BK355" s="502" t="n">
        <f aca="false">IF($D355="是",AA355-AB355,0)</f>
        <v>0</v>
      </c>
      <c r="BL355" s="502" t="n">
        <f aca="false">SUM(BM355:BT355)</f>
        <v>0</v>
      </c>
      <c r="BM355" s="502" t="n">
        <f aca="false">IF($D355="是",AD355-AE355,0)</f>
        <v>0</v>
      </c>
      <c r="BN355" s="502" t="n">
        <f aca="false">IF($D355="是",AF355-AG355,0)</f>
        <v>0</v>
      </c>
      <c r="BO355" s="502" t="n">
        <f aca="false">IF($D355="是",AH355-AI355,0)</f>
        <v>0</v>
      </c>
      <c r="BP355" s="502" t="n">
        <f aca="false">IF($D355="是",AJ355-AK355,0)</f>
        <v>0</v>
      </c>
      <c r="BQ355" s="502" t="n">
        <f aca="false">IF($D355="是",AL355-AM355,0)</f>
        <v>0</v>
      </c>
      <c r="BR355" s="502" t="n">
        <f aca="false">IF($D355="是",AN355-AO355,0)</f>
        <v>0</v>
      </c>
      <c r="BS355" s="502" t="n">
        <f aca="false">IF($D355="是",AP355-AQ355,0)</f>
        <v>0</v>
      </c>
      <c r="BT355" s="512" t="n">
        <f aca="false">IF($D355="是",AR355-AS355,0)</f>
        <v>0</v>
      </c>
    </row>
    <row r="356" customFormat="false" ht="14.25" hidden="false" customHeight="false" outlineLevel="0" collapsed="false">
      <c r="A356" s="499"/>
      <c r="B356" s="500"/>
      <c r="C356" s="500"/>
      <c r="D356" s="501"/>
      <c r="E356" s="502" t="n">
        <f aca="false">IF($C$3="是",ROUND($A$3*G356/$B$3,2),ROUND($A$3*(G356-AT356)/$B$3,2))</f>
        <v>0</v>
      </c>
      <c r="F356" s="503"/>
      <c r="G356" s="504" t="n">
        <f aca="false">H356+AC356+AT356</f>
        <v>0</v>
      </c>
      <c r="H356" s="505" t="n">
        <f aca="false">SUMIF(I$12:AB$12,"总值",I356:AB356)</f>
        <v>0</v>
      </c>
      <c r="I356" s="506"/>
      <c r="J356" s="506"/>
      <c r="K356" s="506"/>
      <c r="L356" s="506"/>
      <c r="M356" s="506"/>
      <c r="N356" s="506"/>
      <c r="O356" s="506"/>
      <c r="P356" s="506"/>
      <c r="Q356" s="506"/>
      <c r="R356" s="506"/>
      <c r="S356" s="506"/>
      <c r="T356" s="506"/>
      <c r="U356" s="506"/>
      <c r="V356" s="506"/>
      <c r="W356" s="506"/>
      <c r="X356" s="506"/>
      <c r="Y356" s="506"/>
      <c r="Z356" s="506"/>
      <c r="AA356" s="506"/>
      <c r="AB356" s="506"/>
      <c r="AC356" s="502" t="n">
        <f aca="false">SUMIF(AD$12:AS$12,"总值",AD356:AS356)</f>
        <v>0</v>
      </c>
      <c r="AD356" s="507"/>
      <c r="AE356" s="507"/>
      <c r="AF356" s="507"/>
      <c r="AG356" s="507"/>
      <c r="AH356" s="507"/>
      <c r="AI356" s="507"/>
      <c r="AJ356" s="507"/>
      <c r="AK356" s="507"/>
      <c r="AL356" s="507"/>
      <c r="AM356" s="507"/>
      <c r="AN356" s="507"/>
      <c r="AO356" s="507"/>
      <c r="AP356" s="507"/>
      <c r="AQ356" s="507"/>
      <c r="AR356" s="507"/>
      <c r="AS356" s="507"/>
      <c r="AT356" s="508"/>
      <c r="AU356" s="509"/>
      <c r="AV356" s="510" t="n">
        <f aca="false">A356</f>
        <v>0</v>
      </c>
      <c r="AW356" s="510" t="n">
        <f aca="false">B356</f>
        <v>0</v>
      </c>
      <c r="AX356" s="510" t="n">
        <f aca="false">C356</f>
        <v>0</v>
      </c>
      <c r="AY356" s="511" t="n">
        <f aca="false">ROUND($AY$6*AZ356/$AZ$5,2)</f>
        <v>0</v>
      </c>
      <c r="AZ356" s="502" t="n">
        <f aca="false">BA356+BL356</f>
        <v>0</v>
      </c>
      <c r="BA356" s="502" t="n">
        <f aca="false">SUM(BB356:BK356)</f>
        <v>0</v>
      </c>
      <c r="BB356" s="502" t="n">
        <f aca="false">IF($D356="是",I356-J356,0)</f>
        <v>0</v>
      </c>
      <c r="BC356" s="502" t="n">
        <f aca="false">IF($D356="是",K356-L356,0)</f>
        <v>0</v>
      </c>
      <c r="BD356" s="502" t="n">
        <f aca="false">IF($D356="是",M356-N356,0)</f>
        <v>0</v>
      </c>
      <c r="BE356" s="502" t="n">
        <f aca="false">IF($D356="是",O356-P356,0)</f>
        <v>0</v>
      </c>
      <c r="BF356" s="502" t="n">
        <f aca="false">IF($D356="是",Q356-R356,0)</f>
        <v>0</v>
      </c>
      <c r="BG356" s="502" t="n">
        <f aca="false">IF($D356="是",S356-T356,0)</f>
        <v>0</v>
      </c>
      <c r="BH356" s="502" t="n">
        <f aca="false">IF($D356="是",U356-V356,0)</f>
        <v>0</v>
      </c>
      <c r="BI356" s="502" t="n">
        <f aca="false">IF($D356="是",W356-X356,0)</f>
        <v>0</v>
      </c>
      <c r="BJ356" s="502" t="n">
        <f aca="false">IF($D356="是",Y356-Z356,0)</f>
        <v>0</v>
      </c>
      <c r="BK356" s="502" t="n">
        <f aca="false">IF($D356="是",AA356-AB356,0)</f>
        <v>0</v>
      </c>
      <c r="BL356" s="502" t="n">
        <f aca="false">SUM(BM356:BT356)</f>
        <v>0</v>
      </c>
      <c r="BM356" s="502" t="n">
        <f aca="false">IF($D356="是",AD356-AE356,0)</f>
        <v>0</v>
      </c>
      <c r="BN356" s="502" t="n">
        <f aca="false">IF($D356="是",AF356-AG356,0)</f>
        <v>0</v>
      </c>
      <c r="BO356" s="502" t="n">
        <f aca="false">IF($D356="是",AH356-AI356,0)</f>
        <v>0</v>
      </c>
      <c r="BP356" s="502" t="n">
        <f aca="false">IF($D356="是",AJ356-AK356,0)</f>
        <v>0</v>
      </c>
      <c r="BQ356" s="502" t="n">
        <f aca="false">IF($D356="是",AL356-AM356,0)</f>
        <v>0</v>
      </c>
      <c r="BR356" s="502" t="n">
        <f aca="false">IF($D356="是",AN356-AO356,0)</f>
        <v>0</v>
      </c>
      <c r="BS356" s="502" t="n">
        <f aca="false">IF($D356="是",AP356-AQ356,0)</f>
        <v>0</v>
      </c>
      <c r="BT356" s="512" t="n">
        <f aca="false">IF($D356="是",AR356-AS356,0)</f>
        <v>0</v>
      </c>
    </row>
    <row r="357" customFormat="false" ht="14.25" hidden="false" customHeight="false" outlineLevel="0" collapsed="false">
      <c r="A357" s="499"/>
      <c r="B357" s="500"/>
      <c r="C357" s="500"/>
      <c r="D357" s="501"/>
      <c r="E357" s="502" t="n">
        <f aca="false">IF($C$3="是",ROUND($A$3*G357/$B$3,2),ROUND($A$3*(G357-AT357)/$B$3,2))</f>
        <v>0</v>
      </c>
      <c r="F357" s="503"/>
      <c r="G357" s="504" t="n">
        <f aca="false">H357+AC357+AT357</f>
        <v>0</v>
      </c>
      <c r="H357" s="505" t="n">
        <f aca="false">SUMIF(I$12:AB$12,"总值",I357:AB357)</f>
        <v>0</v>
      </c>
      <c r="I357" s="506"/>
      <c r="J357" s="506"/>
      <c r="K357" s="506"/>
      <c r="L357" s="506"/>
      <c r="M357" s="506"/>
      <c r="N357" s="506"/>
      <c r="O357" s="506"/>
      <c r="P357" s="506"/>
      <c r="Q357" s="506"/>
      <c r="R357" s="506"/>
      <c r="S357" s="506"/>
      <c r="T357" s="506"/>
      <c r="U357" s="506"/>
      <c r="V357" s="506"/>
      <c r="W357" s="506"/>
      <c r="X357" s="506"/>
      <c r="Y357" s="506"/>
      <c r="Z357" s="506"/>
      <c r="AA357" s="506"/>
      <c r="AB357" s="506"/>
      <c r="AC357" s="502" t="n">
        <f aca="false">SUMIF(AD$12:AS$12,"总值",AD357:AS357)</f>
        <v>0</v>
      </c>
      <c r="AD357" s="507"/>
      <c r="AE357" s="507"/>
      <c r="AF357" s="507"/>
      <c r="AG357" s="507"/>
      <c r="AH357" s="507"/>
      <c r="AI357" s="507"/>
      <c r="AJ357" s="507"/>
      <c r="AK357" s="507"/>
      <c r="AL357" s="507"/>
      <c r="AM357" s="507"/>
      <c r="AN357" s="507"/>
      <c r="AO357" s="507"/>
      <c r="AP357" s="507"/>
      <c r="AQ357" s="507"/>
      <c r="AR357" s="507"/>
      <c r="AS357" s="507"/>
      <c r="AT357" s="508"/>
      <c r="AU357" s="509"/>
      <c r="AV357" s="510" t="n">
        <f aca="false">A357</f>
        <v>0</v>
      </c>
      <c r="AW357" s="510" t="n">
        <f aca="false">B357</f>
        <v>0</v>
      </c>
      <c r="AX357" s="510" t="n">
        <f aca="false">C357</f>
        <v>0</v>
      </c>
      <c r="AY357" s="511" t="n">
        <f aca="false">ROUND($AY$6*AZ357/$AZ$5,2)</f>
        <v>0</v>
      </c>
      <c r="AZ357" s="502" t="n">
        <f aca="false">BA357+BL357</f>
        <v>0</v>
      </c>
      <c r="BA357" s="502" t="n">
        <f aca="false">SUM(BB357:BK357)</f>
        <v>0</v>
      </c>
      <c r="BB357" s="502" t="n">
        <f aca="false">IF($D357="是",I357-J357,0)</f>
        <v>0</v>
      </c>
      <c r="BC357" s="502" t="n">
        <f aca="false">IF($D357="是",K357-L357,0)</f>
        <v>0</v>
      </c>
      <c r="BD357" s="502" t="n">
        <f aca="false">IF($D357="是",M357-N357,0)</f>
        <v>0</v>
      </c>
      <c r="BE357" s="502" t="n">
        <f aca="false">IF($D357="是",O357-P357,0)</f>
        <v>0</v>
      </c>
      <c r="BF357" s="502" t="n">
        <f aca="false">IF($D357="是",Q357-R357,0)</f>
        <v>0</v>
      </c>
      <c r="BG357" s="502" t="n">
        <f aca="false">IF($D357="是",S357-T357,0)</f>
        <v>0</v>
      </c>
      <c r="BH357" s="502" t="n">
        <f aca="false">IF($D357="是",U357-V357,0)</f>
        <v>0</v>
      </c>
      <c r="BI357" s="502" t="n">
        <f aca="false">IF($D357="是",W357-X357,0)</f>
        <v>0</v>
      </c>
      <c r="BJ357" s="502" t="n">
        <f aca="false">IF($D357="是",Y357-Z357,0)</f>
        <v>0</v>
      </c>
      <c r="BK357" s="502" t="n">
        <f aca="false">IF($D357="是",AA357-AB357,0)</f>
        <v>0</v>
      </c>
      <c r="BL357" s="502" t="n">
        <f aca="false">SUM(BM357:BT357)</f>
        <v>0</v>
      </c>
      <c r="BM357" s="502" t="n">
        <f aca="false">IF($D357="是",AD357-AE357,0)</f>
        <v>0</v>
      </c>
      <c r="BN357" s="502" t="n">
        <f aca="false">IF($D357="是",AF357-AG357,0)</f>
        <v>0</v>
      </c>
      <c r="BO357" s="502" t="n">
        <f aca="false">IF($D357="是",AH357-AI357,0)</f>
        <v>0</v>
      </c>
      <c r="BP357" s="502" t="n">
        <f aca="false">IF($D357="是",AJ357-AK357,0)</f>
        <v>0</v>
      </c>
      <c r="BQ357" s="502" t="n">
        <f aca="false">IF($D357="是",AL357-AM357,0)</f>
        <v>0</v>
      </c>
      <c r="BR357" s="502" t="n">
        <f aca="false">IF($D357="是",AN357-AO357,0)</f>
        <v>0</v>
      </c>
      <c r="BS357" s="502" t="n">
        <f aca="false">IF($D357="是",AP357-AQ357,0)</f>
        <v>0</v>
      </c>
      <c r="BT357" s="512" t="n">
        <f aca="false">IF($D357="是",AR357-AS357,0)</f>
        <v>0</v>
      </c>
    </row>
    <row r="358" customFormat="false" ht="14.25" hidden="false" customHeight="false" outlineLevel="0" collapsed="false">
      <c r="A358" s="499"/>
      <c r="B358" s="500"/>
      <c r="C358" s="500"/>
      <c r="D358" s="501"/>
      <c r="E358" s="502" t="n">
        <f aca="false">IF($C$3="是",ROUND($A$3*G358/$B$3,2),ROUND($A$3*(G358-AT358)/$B$3,2))</f>
        <v>0</v>
      </c>
      <c r="F358" s="503"/>
      <c r="G358" s="504" t="n">
        <f aca="false">H358+AC358+AT358</f>
        <v>0</v>
      </c>
      <c r="H358" s="505" t="n">
        <f aca="false">SUMIF(I$12:AB$12,"总值",I358:AB358)</f>
        <v>0</v>
      </c>
      <c r="I358" s="506"/>
      <c r="J358" s="506"/>
      <c r="K358" s="506"/>
      <c r="L358" s="506"/>
      <c r="M358" s="506"/>
      <c r="N358" s="506"/>
      <c r="O358" s="506"/>
      <c r="P358" s="506"/>
      <c r="Q358" s="506"/>
      <c r="R358" s="506"/>
      <c r="S358" s="506"/>
      <c r="T358" s="506"/>
      <c r="U358" s="506"/>
      <c r="V358" s="506"/>
      <c r="W358" s="506"/>
      <c r="X358" s="506"/>
      <c r="Y358" s="506"/>
      <c r="Z358" s="506"/>
      <c r="AA358" s="506"/>
      <c r="AB358" s="506"/>
      <c r="AC358" s="502" t="n">
        <f aca="false">SUMIF(AD$12:AS$12,"总值",AD358:AS358)</f>
        <v>0</v>
      </c>
      <c r="AD358" s="507"/>
      <c r="AE358" s="507"/>
      <c r="AF358" s="507"/>
      <c r="AG358" s="507"/>
      <c r="AH358" s="507"/>
      <c r="AI358" s="507"/>
      <c r="AJ358" s="507"/>
      <c r="AK358" s="507"/>
      <c r="AL358" s="507"/>
      <c r="AM358" s="507"/>
      <c r="AN358" s="507"/>
      <c r="AO358" s="507"/>
      <c r="AP358" s="507"/>
      <c r="AQ358" s="507"/>
      <c r="AR358" s="507"/>
      <c r="AS358" s="507"/>
      <c r="AT358" s="508"/>
      <c r="AU358" s="509"/>
      <c r="AV358" s="510" t="n">
        <f aca="false">A358</f>
        <v>0</v>
      </c>
      <c r="AW358" s="510" t="n">
        <f aca="false">B358</f>
        <v>0</v>
      </c>
      <c r="AX358" s="510" t="n">
        <f aca="false">C358</f>
        <v>0</v>
      </c>
      <c r="AY358" s="511" t="n">
        <f aca="false">ROUND($AY$6*AZ358/$AZ$5,2)</f>
        <v>0</v>
      </c>
      <c r="AZ358" s="502" t="n">
        <f aca="false">BA358+BL358</f>
        <v>0</v>
      </c>
      <c r="BA358" s="502" t="n">
        <f aca="false">SUM(BB358:BK358)</f>
        <v>0</v>
      </c>
      <c r="BB358" s="502" t="n">
        <f aca="false">IF($D358="是",I358-J358,0)</f>
        <v>0</v>
      </c>
      <c r="BC358" s="502" t="n">
        <f aca="false">IF($D358="是",K358-L358,0)</f>
        <v>0</v>
      </c>
      <c r="BD358" s="502" t="n">
        <f aca="false">IF($D358="是",M358-N358,0)</f>
        <v>0</v>
      </c>
      <c r="BE358" s="502" t="n">
        <f aca="false">IF($D358="是",O358-P358,0)</f>
        <v>0</v>
      </c>
      <c r="BF358" s="502" t="n">
        <f aca="false">IF($D358="是",Q358-R358,0)</f>
        <v>0</v>
      </c>
      <c r="BG358" s="502" t="n">
        <f aca="false">IF($D358="是",S358-T358,0)</f>
        <v>0</v>
      </c>
      <c r="BH358" s="502" t="n">
        <f aca="false">IF($D358="是",U358-V358,0)</f>
        <v>0</v>
      </c>
      <c r="BI358" s="502" t="n">
        <f aca="false">IF($D358="是",W358-X358,0)</f>
        <v>0</v>
      </c>
      <c r="BJ358" s="502" t="n">
        <f aca="false">IF($D358="是",Y358-Z358,0)</f>
        <v>0</v>
      </c>
      <c r="BK358" s="502" t="n">
        <f aca="false">IF($D358="是",AA358-AB358,0)</f>
        <v>0</v>
      </c>
      <c r="BL358" s="502" t="n">
        <f aca="false">SUM(BM358:BT358)</f>
        <v>0</v>
      </c>
      <c r="BM358" s="502" t="n">
        <f aca="false">IF($D358="是",AD358-AE358,0)</f>
        <v>0</v>
      </c>
      <c r="BN358" s="502" t="n">
        <f aca="false">IF($D358="是",AF358-AG358,0)</f>
        <v>0</v>
      </c>
      <c r="BO358" s="502" t="n">
        <f aca="false">IF($D358="是",AH358-AI358,0)</f>
        <v>0</v>
      </c>
      <c r="BP358" s="502" t="n">
        <f aca="false">IF($D358="是",AJ358-AK358,0)</f>
        <v>0</v>
      </c>
      <c r="BQ358" s="502" t="n">
        <f aca="false">IF($D358="是",AL358-AM358,0)</f>
        <v>0</v>
      </c>
      <c r="BR358" s="502" t="n">
        <f aca="false">IF($D358="是",AN358-AO358,0)</f>
        <v>0</v>
      </c>
      <c r="BS358" s="502" t="n">
        <f aca="false">IF($D358="是",AP358-AQ358,0)</f>
        <v>0</v>
      </c>
      <c r="BT358" s="512" t="n">
        <f aca="false">IF($D358="是",AR358-AS358,0)</f>
        <v>0</v>
      </c>
    </row>
    <row r="359" customFormat="false" ht="14.25" hidden="false" customHeight="false" outlineLevel="0" collapsed="false">
      <c r="A359" s="499"/>
      <c r="B359" s="500"/>
      <c r="C359" s="500"/>
      <c r="D359" s="501"/>
      <c r="E359" s="502" t="n">
        <f aca="false">IF($C$3="是",ROUND($A$3*G359/$B$3,2),ROUND($A$3*(G359-AT359)/$B$3,2))</f>
        <v>0</v>
      </c>
      <c r="F359" s="503"/>
      <c r="G359" s="504" t="n">
        <f aca="false">H359+AC359+AT359</f>
        <v>0</v>
      </c>
      <c r="H359" s="505" t="n">
        <f aca="false">SUMIF(I$12:AB$12,"总值",I359:AB359)</f>
        <v>0</v>
      </c>
      <c r="I359" s="506"/>
      <c r="J359" s="506"/>
      <c r="K359" s="506"/>
      <c r="L359" s="506"/>
      <c r="M359" s="506"/>
      <c r="N359" s="506"/>
      <c r="O359" s="506"/>
      <c r="P359" s="506"/>
      <c r="Q359" s="506"/>
      <c r="R359" s="506"/>
      <c r="S359" s="506"/>
      <c r="T359" s="506"/>
      <c r="U359" s="506"/>
      <c r="V359" s="506"/>
      <c r="W359" s="506"/>
      <c r="X359" s="506"/>
      <c r="Y359" s="506"/>
      <c r="Z359" s="506"/>
      <c r="AA359" s="506"/>
      <c r="AB359" s="506"/>
      <c r="AC359" s="502" t="n">
        <f aca="false">SUMIF(AD$12:AS$12,"总值",AD359:AS359)</f>
        <v>0</v>
      </c>
      <c r="AD359" s="507"/>
      <c r="AE359" s="507"/>
      <c r="AF359" s="507"/>
      <c r="AG359" s="507"/>
      <c r="AH359" s="507"/>
      <c r="AI359" s="507"/>
      <c r="AJ359" s="507"/>
      <c r="AK359" s="507"/>
      <c r="AL359" s="507"/>
      <c r="AM359" s="507"/>
      <c r="AN359" s="507"/>
      <c r="AO359" s="507"/>
      <c r="AP359" s="507"/>
      <c r="AQ359" s="507"/>
      <c r="AR359" s="507"/>
      <c r="AS359" s="507"/>
      <c r="AT359" s="508"/>
      <c r="AU359" s="509"/>
      <c r="AV359" s="510" t="n">
        <f aca="false">A359</f>
        <v>0</v>
      </c>
      <c r="AW359" s="510" t="n">
        <f aca="false">B359</f>
        <v>0</v>
      </c>
      <c r="AX359" s="510" t="n">
        <f aca="false">C359</f>
        <v>0</v>
      </c>
      <c r="AY359" s="511" t="n">
        <f aca="false">ROUND($AY$6*AZ359/$AZ$5,2)</f>
        <v>0</v>
      </c>
      <c r="AZ359" s="502" t="n">
        <f aca="false">BA359+BL359</f>
        <v>0</v>
      </c>
      <c r="BA359" s="502" t="n">
        <f aca="false">SUM(BB359:BK359)</f>
        <v>0</v>
      </c>
      <c r="BB359" s="502" t="n">
        <f aca="false">IF($D359="是",I359-J359,0)</f>
        <v>0</v>
      </c>
      <c r="BC359" s="502" t="n">
        <f aca="false">IF($D359="是",K359-L359,0)</f>
        <v>0</v>
      </c>
      <c r="BD359" s="502" t="n">
        <f aca="false">IF($D359="是",M359-N359,0)</f>
        <v>0</v>
      </c>
      <c r="BE359" s="502" t="n">
        <f aca="false">IF($D359="是",O359-P359,0)</f>
        <v>0</v>
      </c>
      <c r="BF359" s="502" t="n">
        <f aca="false">IF($D359="是",Q359-R359,0)</f>
        <v>0</v>
      </c>
      <c r="BG359" s="502" t="n">
        <f aca="false">IF($D359="是",S359-T359,0)</f>
        <v>0</v>
      </c>
      <c r="BH359" s="502" t="n">
        <f aca="false">IF($D359="是",U359-V359,0)</f>
        <v>0</v>
      </c>
      <c r="BI359" s="502" t="n">
        <f aca="false">IF($D359="是",W359-X359,0)</f>
        <v>0</v>
      </c>
      <c r="BJ359" s="502" t="n">
        <f aca="false">IF($D359="是",Y359-Z359,0)</f>
        <v>0</v>
      </c>
      <c r="BK359" s="502" t="n">
        <f aca="false">IF($D359="是",AA359-AB359,0)</f>
        <v>0</v>
      </c>
      <c r="BL359" s="502" t="n">
        <f aca="false">SUM(BM359:BT359)</f>
        <v>0</v>
      </c>
      <c r="BM359" s="502" t="n">
        <f aca="false">IF($D359="是",AD359-AE359,0)</f>
        <v>0</v>
      </c>
      <c r="BN359" s="502" t="n">
        <f aca="false">IF($D359="是",AF359-AG359,0)</f>
        <v>0</v>
      </c>
      <c r="BO359" s="502" t="n">
        <f aca="false">IF($D359="是",AH359-AI359,0)</f>
        <v>0</v>
      </c>
      <c r="BP359" s="502" t="n">
        <f aca="false">IF($D359="是",AJ359-AK359,0)</f>
        <v>0</v>
      </c>
      <c r="BQ359" s="502" t="n">
        <f aca="false">IF($D359="是",AL359-AM359,0)</f>
        <v>0</v>
      </c>
      <c r="BR359" s="502" t="n">
        <f aca="false">IF($D359="是",AN359-AO359,0)</f>
        <v>0</v>
      </c>
      <c r="BS359" s="502" t="n">
        <f aca="false">IF($D359="是",AP359-AQ359,0)</f>
        <v>0</v>
      </c>
      <c r="BT359" s="512" t="n">
        <f aca="false">IF($D359="是",AR359-AS359,0)</f>
        <v>0</v>
      </c>
    </row>
    <row r="360" customFormat="false" ht="14.25" hidden="false" customHeight="false" outlineLevel="0" collapsed="false">
      <c r="A360" s="499"/>
      <c r="B360" s="500"/>
      <c r="C360" s="500"/>
      <c r="D360" s="501"/>
      <c r="E360" s="502" t="n">
        <f aca="false">IF($C$3="是",ROUND($A$3*G360/$B$3,2),ROUND($A$3*(G360-AT360)/$B$3,2))</f>
        <v>0</v>
      </c>
      <c r="F360" s="503"/>
      <c r="G360" s="504" t="n">
        <f aca="false">H360+AC360+AT360</f>
        <v>0</v>
      </c>
      <c r="H360" s="505" t="n">
        <f aca="false">SUMIF(I$12:AB$12,"总值",I360:AB360)</f>
        <v>0</v>
      </c>
      <c r="I360" s="506"/>
      <c r="J360" s="506"/>
      <c r="K360" s="506"/>
      <c r="L360" s="506"/>
      <c r="M360" s="506"/>
      <c r="N360" s="506"/>
      <c r="O360" s="506"/>
      <c r="P360" s="506"/>
      <c r="Q360" s="506"/>
      <c r="R360" s="506"/>
      <c r="S360" s="506"/>
      <c r="T360" s="506"/>
      <c r="U360" s="506"/>
      <c r="V360" s="506"/>
      <c r="W360" s="506"/>
      <c r="X360" s="506"/>
      <c r="Y360" s="506"/>
      <c r="Z360" s="506"/>
      <c r="AA360" s="506"/>
      <c r="AB360" s="506"/>
      <c r="AC360" s="502" t="n">
        <f aca="false">SUMIF(AD$12:AS$12,"总值",AD360:AS360)</f>
        <v>0</v>
      </c>
      <c r="AD360" s="507"/>
      <c r="AE360" s="507"/>
      <c r="AF360" s="507"/>
      <c r="AG360" s="507"/>
      <c r="AH360" s="507"/>
      <c r="AI360" s="507"/>
      <c r="AJ360" s="507"/>
      <c r="AK360" s="507"/>
      <c r="AL360" s="507"/>
      <c r="AM360" s="507"/>
      <c r="AN360" s="507"/>
      <c r="AO360" s="507"/>
      <c r="AP360" s="507"/>
      <c r="AQ360" s="507"/>
      <c r="AR360" s="507"/>
      <c r="AS360" s="507"/>
      <c r="AT360" s="508"/>
      <c r="AU360" s="509"/>
      <c r="AV360" s="510" t="n">
        <f aca="false">A360</f>
        <v>0</v>
      </c>
      <c r="AW360" s="510" t="n">
        <f aca="false">B360</f>
        <v>0</v>
      </c>
      <c r="AX360" s="510" t="n">
        <f aca="false">C360</f>
        <v>0</v>
      </c>
      <c r="AY360" s="511" t="n">
        <f aca="false">ROUND($AY$6*AZ360/$AZ$5,2)</f>
        <v>0</v>
      </c>
      <c r="AZ360" s="502" t="n">
        <f aca="false">BA360+BL360</f>
        <v>0</v>
      </c>
      <c r="BA360" s="502" t="n">
        <f aca="false">SUM(BB360:BK360)</f>
        <v>0</v>
      </c>
      <c r="BB360" s="502" t="n">
        <f aca="false">IF($D360="是",I360-J360,0)</f>
        <v>0</v>
      </c>
      <c r="BC360" s="502" t="n">
        <f aca="false">IF($D360="是",K360-L360,0)</f>
        <v>0</v>
      </c>
      <c r="BD360" s="502" t="n">
        <f aca="false">IF($D360="是",M360-N360,0)</f>
        <v>0</v>
      </c>
      <c r="BE360" s="502" t="n">
        <f aca="false">IF($D360="是",O360-P360,0)</f>
        <v>0</v>
      </c>
      <c r="BF360" s="502" t="n">
        <f aca="false">IF($D360="是",Q360-R360,0)</f>
        <v>0</v>
      </c>
      <c r="BG360" s="502" t="n">
        <f aca="false">IF($D360="是",S360-T360,0)</f>
        <v>0</v>
      </c>
      <c r="BH360" s="502" t="n">
        <f aca="false">IF($D360="是",U360-V360,0)</f>
        <v>0</v>
      </c>
      <c r="BI360" s="502" t="n">
        <f aca="false">IF($D360="是",W360-X360,0)</f>
        <v>0</v>
      </c>
      <c r="BJ360" s="502" t="n">
        <f aca="false">IF($D360="是",Y360-Z360,0)</f>
        <v>0</v>
      </c>
      <c r="BK360" s="502" t="n">
        <f aca="false">IF($D360="是",AA360-AB360,0)</f>
        <v>0</v>
      </c>
      <c r="BL360" s="502" t="n">
        <f aca="false">SUM(BM360:BT360)</f>
        <v>0</v>
      </c>
      <c r="BM360" s="502" t="n">
        <f aca="false">IF($D360="是",AD360-AE360,0)</f>
        <v>0</v>
      </c>
      <c r="BN360" s="502" t="n">
        <f aca="false">IF($D360="是",AF360-AG360,0)</f>
        <v>0</v>
      </c>
      <c r="BO360" s="502" t="n">
        <f aca="false">IF($D360="是",AH360-AI360,0)</f>
        <v>0</v>
      </c>
      <c r="BP360" s="502" t="n">
        <f aca="false">IF($D360="是",AJ360-AK360,0)</f>
        <v>0</v>
      </c>
      <c r="BQ360" s="502" t="n">
        <f aca="false">IF($D360="是",AL360-AM360,0)</f>
        <v>0</v>
      </c>
      <c r="BR360" s="502" t="n">
        <f aca="false">IF($D360="是",AN360-AO360,0)</f>
        <v>0</v>
      </c>
      <c r="BS360" s="502" t="n">
        <f aca="false">IF($D360="是",AP360-AQ360,0)</f>
        <v>0</v>
      </c>
      <c r="BT360" s="512" t="n">
        <f aca="false">IF($D360="是",AR360-AS360,0)</f>
        <v>0</v>
      </c>
    </row>
    <row r="361" customFormat="false" ht="14.25" hidden="false" customHeight="false" outlineLevel="0" collapsed="false">
      <c r="A361" s="499"/>
      <c r="B361" s="500"/>
      <c r="C361" s="500"/>
      <c r="D361" s="501"/>
      <c r="E361" s="502" t="n">
        <f aca="false">IF($C$3="是",ROUND($A$3*G361/$B$3,2),ROUND($A$3*(G361-AT361)/$B$3,2))</f>
        <v>0</v>
      </c>
      <c r="F361" s="503"/>
      <c r="G361" s="504" t="n">
        <f aca="false">H361+AC361+AT361</f>
        <v>0</v>
      </c>
      <c r="H361" s="505" t="n">
        <f aca="false">SUMIF(I$12:AB$12,"总值",I361:AB361)</f>
        <v>0</v>
      </c>
      <c r="I361" s="506"/>
      <c r="J361" s="506"/>
      <c r="K361" s="506"/>
      <c r="L361" s="506"/>
      <c r="M361" s="506"/>
      <c r="N361" s="506"/>
      <c r="O361" s="506"/>
      <c r="P361" s="506"/>
      <c r="Q361" s="506"/>
      <c r="R361" s="506"/>
      <c r="S361" s="506"/>
      <c r="T361" s="506"/>
      <c r="U361" s="506"/>
      <c r="V361" s="506"/>
      <c r="W361" s="506"/>
      <c r="X361" s="506"/>
      <c r="Y361" s="506"/>
      <c r="Z361" s="506"/>
      <c r="AA361" s="506"/>
      <c r="AB361" s="506"/>
      <c r="AC361" s="502" t="n">
        <f aca="false">SUMIF(AD$12:AS$12,"总值",AD361:AS361)</f>
        <v>0</v>
      </c>
      <c r="AD361" s="507"/>
      <c r="AE361" s="507"/>
      <c r="AF361" s="507"/>
      <c r="AG361" s="507"/>
      <c r="AH361" s="507"/>
      <c r="AI361" s="507"/>
      <c r="AJ361" s="507"/>
      <c r="AK361" s="507"/>
      <c r="AL361" s="507"/>
      <c r="AM361" s="507"/>
      <c r="AN361" s="507"/>
      <c r="AO361" s="507"/>
      <c r="AP361" s="507"/>
      <c r="AQ361" s="507"/>
      <c r="AR361" s="507"/>
      <c r="AS361" s="507"/>
      <c r="AT361" s="508"/>
      <c r="AU361" s="509"/>
      <c r="AV361" s="510" t="n">
        <f aca="false">A361</f>
        <v>0</v>
      </c>
      <c r="AW361" s="510" t="n">
        <f aca="false">B361</f>
        <v>0</v>
      </c>
      <c r="AX361" s="510" t="n">
        <f aca="false">C361</f>
        <v>0</v>
      </c>
      <c r="AY361" s="511" t="n">
        <f aca="false">ROUND($AY$6*AZ361/$AZ$5,2)</f>
        <v>0</v>
      </c>
      <c r="AZ361" s="502" t="n">
        <f aca="false">BA361+BL361</f>
        <v>0</v>
      </c>
      <c r="BA361" s="502" t="n">
        <f aca="false">SUM(BB361:BK361)</f>
        <v>0</v>
      </c>
      <c r="BB361" s="502" t="n">
        <f aca="false">IF($D361="是",I361-J361,0)</f>
        <v>0</v>
      </c>
      <c r="BC361" s="502" t="n">
        <f aca="false">IF($D361="是",K361-L361,0)</f>
        <v>0</v>
      </c>
      <c r="BD361" s="502" t="n">
        <f aca="false">IF($D361="是",M361-N361,0)</f>
        <v>0</v>
      </c>
      <c r="BE361" s="502" t="n">
        <f aca="false">IF($D361="是",O361-P361,0)</f>
        <v>0</v>
      </c>
      <c r="BF361" s="502" t="n">
        <f aca="false">IF($D361="是",Q361-R361,0)</f>
        <v>0</v>
      </c>
      <c r="BG361" s="502" t="n">
        <f aca="false">IF($D361="是",S361-T361,0)</f>
        <v>0</v>
      </c>
      <c r="BH361" s="502" t="n">
        <f aca="false">IF($D361="是",U361-V361,0)</f>
        <v>0</v>
      </c>
      <c r="BI361" s="502" t="n">
        <f aca="false">IF($D361="是",W361-X361,0)</f>
        <v>0</v>
      </c>
      <c r="BJ361" s="502" t="n">
        <f aca="false">IF($D361="是",Y361-Z361,0)</f>
        <v>0</v>
      </c>
      <c r="BK361" s="502" t="n">
        <f aca="false">IF($D361="是",AA361-AB361,0)</f>
        <v>0</v>
      </c>
      <c r="BL361" s="502" t="n">
        <f aca="false">SUM(BM361:BT361)</f>
        <v>0</v>
      </c>
      <c r="BM361" s="502" t="n">
        <f aca="false">IF($D361="是",AD361-AE361,0)</f>
        <v>0</v>
      </c>
      <c r="BN361" s="502" t="n">
        <f aca="false">IF($D361="是",AF361-AG361,0)</f>
        <v>0</v>
      </c>
      <c r="BO361" s="502" t="n">
        <f aca="false">IF($D361="是",AH361-AI361,0)</f>
        <v>0</v>
      </c>
      <c r="BP361" s="502" t="n">
        <f aca="false">IF($D361="是",AJ361-AK361,0)</f>
        <v>0</v>
      </c>
      <c r="BQ361" s="502" t="n">
        <f aca="false">IF($D361="是",AL361-AM361,0)</f>
        <v>0</v>
      </c>
      <c r="BR361" s="502" t="n">
        <f aca="false">IF($D361="是",AN361-AO361,0)</f>
        <v>0</v>
      </c>
      <c r="BS361" s="502" t="n">
        <f aca="false">IF($D361="是",AP361-AQ361,0)</f>
        <v>0</v>
      </c>
      <c r="BT361" s="512" t="n">
        <f aca="false">IF($D361="是",AR361-AS361,0)</f>
        <v>0</v>
      </c>
    </row>
    <row r="362" customFormat="false" ht="14.25" hidden="false" customHeight="false" outlineLevel="0" collapsed="false">
      <c r="A362" s="499"/>
      <c r="B362" s="500"/>
      <c r="C362" s="500"/>
      <c r="D362" s="501"/>
      <c r="E362" s="502" t="n">
        <f aca="false">IF($C$3="是",ROUND($A$3*G362/$B$3,2),ROUND($A$3*(G362-AT362)/$B$3,2))</f>
        <v>0</v>
      </c>
      <c r="F362" s="503"/>
      <c r="G362" s="504" t="n">
        <f aca="false">H362+AC362+AT362</f>
        <v>0</v>
      </c>
      <c r="H362" s="505" t="n">
        <f aca="false">SUMIF(I$12:AB$12,"总值",I362:AB362)</f>
        <v>0</v>
      </c>
      <c r="I362" s="506"/>
      <c r="J362" s="506"/>
      <c r="K362" s="506"/>
      <c r="L362" s="506"/>
      <c r="M362" s="506"/>
      <c r="N362" s="506"/>
      <c r="O362" s="506"/>
      <c r="P362" s="506"/>
      <c r="Q362" s="506"/>
      <c r="R362" s="506"/>
      <c r="S362" s="506"/>
      <c r="T362" s="506"/>
      <c r="U362" s="506"/>
      <c r="V362" s="506"/>
      <c r="W362" s="506"/>
      <c r="X362" s="506"/>
      <c r="Y362" s="506"/>
      <c r="Z362" s="506"/>
      <c r="AA362" s="506"/>
      <c r="AB362" s="506"/>
      <c r="AC362" s="502" t="n">
        <f aca="false">SUMIF(AD$12:AS$12,"总值",AD362:AS362)</f>
        <v>0</v>
      </c>
      <c r="AD362" s="507"/>
      <c r="AE362" s="507"/>
      <c r="AF362" s="507"/>
      <c r="AG362" s="507"/>
      <c r="AH362" s="507"/>
      <c r="AI362" s="507"/>
      <c r="AJ362" s="507"/>
      <c r="AK362" s="507"/>
      <c r="AL362" s="507"/>
      <c r="AM362" s="507"/>
      <c r="AN362" s="507"/>
      <c r="AO362" s="507"/>
      <c r="AP362" s="507"/>
      <c r="AQ362" s="507"/>
      <c r="AR362" s="507"/>
      <c r="AS362" s="507"/>
      <c r="AT362" s="508"/>
      <c r="AU362" s="509"/>
      <c r="AV362" s="510" t="n">
        <f aca="false">A362</f>
        <v>0</v>
      </c>
      <c r="AW362" s="510" t="n">
        <f aca="false">B362</f>
        <v>0</v>
      </c>
      <c r="AX362" s="510" t="n">
        <f aca="false">C362</f>
        <v>0</v>
      </c>
      <c r="AY362" s="511" t="n">
        <f aca="false">ROUND($AY$6*AZ362/$AZ$5,2)</f>
        <v>0</v>
      </c>
      <c r="AZ362" s="502" t="n">
        <f aca="false">BA362+BL362</f>
        <v>0</v>
      </c>
      <c r="BA362" s="502" t="n">
        <f aca="false">SUM(BB362:BK362)</f>
        <v>0</v>
      </c>
      <c r="BB362" s="502" t="n">
        <f aca="false">IF($D362="是",I362-J362,0)</f>
        <v>0</v>
      </c>
      <c r="BC362" s="502" t="n">
        <f aca="false">IF($D362="是",K362-L362,0)</f>
        <v>0</v>
      </c>
      <c r="BD362" s="502" t="n">
        <f aca="false">IF($D362="是",M362-N362,0)</f>
        <v>0</v>
      </c>
      <c r="BE362" s="502" t="n">
        <f aca="false">IF($D362="是",O362-P362,0)</f>
        <v>0</v>
      </c>
      <c r="BF362" s="502" t="n">
        <f aca="false">IF($D362="是",Q362-R362,0)</f>
        <v>0</v>
      </c>
      <c r="BG362" s="502" t="n">
        <f aca="false">IF($D362="是",S362-T362,0)</f>
        <v>0</v>
      </c>
      <c r="BH362" s="502" t="n">
        <f aca="false">IF($D362="是",U362-V362,0)</f>
        <v>0</v>
      </c>
      <c r="BI362" s="502" t="n">
        <f aca="false">IF($D362="是",W362-X362,0)</f>
        <v>0</v>
      </c>
      <c r="BJ362" s="502" t="n">
        <f aca="false">IF($D362="是",Y362-Z362,0)</f>
        <v>0</v>
      </c>
      <c r="BK362" s="502" t="n">
        <f aca="false">IF($D362="是",AA362-AB362,0)</f>
        <v>0</v>
      </c>
      <c r="BL362" s="502" t="n">
        <f aca="false">SUM(BM362:BT362)</f>
        <v>0</v>
      </c>
      <c r="BM362" s="502" t="n">
        <f aca="false">IF($D362="是",AD362-AE362,0)</f>
        <v>0</v>
      </c>
      <c r="BN362" s="502" t="n">
        <f aca="false">IF($D362="是",AF362-AG362,0)</f>
        <v>0</v>
      </c>
      <c r="BO362" s="502" t="n">
        <f aca="false">IF($D362="是",AH362-AI362,0)</f>
        <v>0</v>
      </c>
      <c r="BP362" s="502" t="n">
        <f aca="false">IF($D362="是",AJ362-AK362,0)</f>
        <v>0</v>
      </c>
      <c r="BQ362" s="502" t="n">
        <f aca="false">IF($D362="是",AL362-AM362,0)</f>
        <v>0</v>
      </c>
      <c r="BR362" s="502" t="n">
        <f aca="false">IF($D362="是",AN362-AO362,0)</f>
        <v>0</v>
      </c>
      <c r="BS362" s="502" t="n">
        <f aca="false">IF($D362="是",AP362-AQ362,0)</f>
        <v>0</v>
      </c>
      <c r="BT362" s="512" t="n">
        <f aca="false">IF($D362="是",AR362-AS362,0)</f>
        <v>0</v>
      </c>
    </row>
    <row r="363" customFormat="false" ht="14.25" hidden="false" customHeight="false" outlineLevel="0" collapsed="false">
      <c r="A363" s="499"/>
      <c r="B363" s="500"/>
      <c r="C363" s="500"/>
      <c r="D363" s="501"/>
      <c r="E363" s="502" t="n">
        <f aca="false">IF($C$3="是",ROUND($A$3*G363/$B$3,2),ROUND($A$3*(G363-AT363)/$B$3,2))</f>
        <v>0</v>
      </c>
      <c r="F363" s="503"/>
      <c r="G363" s="504" t="n">
        <f aca="false">H363+AC363+AT363</f>
        <v>0</v>
      </c>
      <c r="H363" s="505" t="n">
        <f aca="false">SUMIF(I$12:AB$12,"总值",I363:AB363)</f>
        <v>0</v>
      </c>
      <c r="I363" s="506"/>
      <c r="J363" s="506"/>
      <c r="K363" s="506"/>
      <c r="L363" s="506"/>
      <c r="M363" s="506"/>
      <c r="N363" s="506"/>
      <c r="O363" s="506"/>
      <c r="P363" s="506"/>
      <c r="Q363" s="506"/>
      <c r="R363" s="506"/>
      <c r="S363" s="506"/>
      <c r="T363" s="506"/>
      <c r="U363" s="506"/>
      <c r="V363" s="506"/>
      <c r="W363" s="506"/>
      <c r="X363" s="506"/>
      <c r="Y363" s="506"/>
      <c r="Z363" s="506"/>
      <c r="AA363" s="506"/>
      <c r="AB363" s="506"/>
      <c r="AC363" s="502" t="n">
        <f aca="false">SUMIF(AD$12:AS$12,"总值",AD363:AS363)</f>
        <v>0</v>
      </c>
      <c r="AD363" s="507"/>
      <c r="AE363" s="507"/>
      <c r="AF363" s="507"/>
      <c r="AG363" s="507"/>
      <c r="AH363" s="507"/>
      <c r="AI363" s="507"/>
      <c r="AJ363" s="507"/>
      <c r="AK363" s="507"/>
      <c r="AL363" s="507"/>
      <c r="AM363" s="507"/>
      <c r="AN363" s="507"/>
      <c r="AO363" s="507"/>
      <c r="AP363" s="507"/>
      <c r="AQ363" s="507"/>
      <c r="AR363" s="507"/>
      <c r="AS363" s="507"/>
      <c r="AT363" s="508"/>
      <c r="AU363" s="509"/>
      <c r="AV363" s="510" t="n">
        <f aca="false">A363</f>
        <v>0</v>
      </c>
      <c r="AW363" s="510" t="n">
        <f aca="false">B363</f>
        <v>0</v>
      </c>
      <c r="AX363" s="510" t="n">
        <f aca="false">C363</f>
        <v>0</v>
      </c>
      <c r="AY363" s="511" t="n">
        <f aca="false">ROUND($AY$6*AZ363/$AZ$5,2)</f>
        <v>0</v>
      </c>
      <c r="AZ363" s="502" t="n">
        <f aca="false">BA363+BL363</f>
        <v>0</v>
      </c>
      <c r="BA363" s="502" t="n">
        <f aca="false">SUM(BB363:BK363)</f>
        <v>0</v>
      </c>
      <c r="BB363" s="502" t="n">
        <f aca="false">IF($D363="是",I363-J363,0)</f>
        <v>0</v>
      </c>
      <c r="BC363" s="502" t="n">
        <f aca="false">IF($D363="是",K363-L363,0)</f>
        <v>0</v>
      </c>
      <c r="BD363" s="502" t="n">
        <f aca="false">IF($D363="是",M363-N363,0)</f>
        <v>0</v>
      </c>
      <c r="BE363" s="502" t="n">
        <f aca="false">IF($D363="是",O363-P363,0)</f>
        <v>0</v>
      </c>
      <c r="BF363" s="502" t="n">
        <f aca="false">IF($D363="是",Q363-R363,0)</f>
        <v>0</v>
      </c>
      <c r="BG363" s="502" t="n">
        <f aca="false">IF($D363="是",S363-T363,0)</f>
        <v>0</v>
      </c>
      <c r="BH363" s="502" t="n">
        <f aca="false">IF($D363="是",U363-V363,0)</f>
        <v>0</v>
      </c>
      <c r="BI363" s="502" t="n">
        <f aca="false">IF($D363="是",W363-X363,0)</f>
        <v>0</v>
      </c>
      <c r="BJ363" s="502" t="n">
        <f aca="false">IF($D363="是",Y363-Z363,0)</f>
        <v>0</v>
      </c>
      <c r="BK363" s="502" t="n">
        <f aca="false">IF($D363="是",AA363-AB363,0)</f>
        <v>0</v>
      </c>
      <c r="BL363" s="502" t="n">
        <f aca="false">SUM(BM363:BT363)</f>
        <v>0</v>
      </c>
      <c r="BM363" s="502" t="n">
        <f aca="false">IF($D363="是",AD363-AE363,0)</f>
        <v>0</v>
      </c>
      <c r="BN363" s="502" t="n">
        <f aca="false">IF($D363="是",AF363-AG363,0)</f>
        <v>0</v>
      </c>
      <c r="BO363" s="502" t="n">
        <f aca="false">IF($D363="是",AH363-AI363,0)</f>
        <v>0</v>
      </c>
      <c r="BP363" s="502" t="n">
        <f aca="false">IF($D363="是",AJ363-AK363,0)</f>
        <v>0</v>
      </c>
      <c r="BQ363" s="502" t="n">
        <f aca="false">IF($D363="是",AL363-AM363,0)</f>
        <v>0</v>
      </c>
      <c r="BR363" s="502" t="n">
        <f aca="false">IF($D363="是",AN363-AO363,0)</f>
        <v>0</v>
      </c>
      <c r="BS363" s="502" t="n">
        <f aca="false">IF($D363="是",AP363-AQ363,0)</f>
        <v>0</v>
      </c>
      <c r="BT363" s="512" t="n">
        <f aca="false">IF($D363="是",AR363-AS363,0)</f>
        <v>0</v>
      </c>
    </row>
    <row r="364" customFormat="false" ht="14.25" hidden="false" customHeight="false" outlineLevel="0" collapsed="false">
      <c r="A364" s="499"/>
      <c r="B364" s="500"/>
      <c r="C364" s="500"/>
      <c r="D364" s="501"/>
      <c r="E364" s="502" t="n">
        <f aca="false">IF($C$3="是",ROUND($A$3*G364/$B$3,2),ROUND($A$3*(G364-AT364)/$B$3,2))</f>
        <v>0</v>
      </c>
      <c r="F364" s="503"/>
      <c r="G364" s="504" t="n">
        <f aca="false">H364+AC364+AT364</f>
        <v>0</v>
      </c>
      <c r="H364" s="505" t="n">
        <f aca="false">SUMIF(I$12:AB$12,"总值",I364:AB364)</f>
        <v>0</v>
      </c>
      <c r="I364" s="506"/>
      <c r="J364" s="506"/>
      <c r="K364" s="506"/>
      <c r="L364" s="506"/>
      <c r="M364" s="506"/>
      <c r="N364" s="506"/>
      <c r="O364" s="506"/>
      <c r="P364" s="506"/>
      <c r="Q364" s="506"/>
      <c r="R364" s="506"/>
      <c r="S364" s="506"/>
      <c r="T364" s="506"/>
      <c r="U364" s="506"/>
      <c r="V364" s="506"/>
      <c r="W364" s="506"/>
      <c r="X364" s="506"/>
      <c r="Y364" s="506"/>
      <c r="Z364" s="506"/>
      <c r="AA364" s="506"/>
      <c r="AB364" s="506"/>
      <c r="AC364" s="502" t="n">
        <f aca="false">SUMIF(AD$12:AS$12,"总值",AD364:AS364)</f>
        <v>0</v>
      </c>
      <c r="AD364" s="507"/>
      <c r="AE364" s="507"/>
      <c r="AF364" s="507"/>
      <c r="AG364" s="507"/>
      <c r="AH364" s="507"/>
      <c r="AI364" s="507"/>
      <c r="AJ364" s="507"/>
      <c r="AK364" s="507"/>
      <c r="AL364" s="507"/>
      <c r="AM364" s="507"/>
      <c r="AN364" s="507"/>
      <c r="AO364" s="507"/>
      <c r="AP364" s="507"/>
      <c r="AQ364" s="507"/>
      <c r="AR364" s="507"/>
      <c r="AS364" s="507"/>
      <c r="AT364" s="508"/>
      <c r="AU364" s="509"/>
      <c r="AV364" s="510" t="n">
        <f aca="false">A364</f>
        <v>0</v>
      </c>
      <c r="AW364" s="510" t="n">
        <f aca="false">B364</f>
        <v>0</v>
      </c>
      <c r="AX364" s="510" t="n">
        <f aca="false">C364</f>
        <v>0</v>
      </c>
      <c r="AY364" s="511" t="n">
        <f aca="false">ROUND($AY$6*AZ364/$AZ$5,2)</f>
        <v>0</v>
      </c>
      <c r="AZ364" s="502" t="n">
        <f aca="false">BA364+BL364</f>
        <v>0</v>
      </c>
      <c r="BA364" s="502" t="n">
        <f aca="false">SUM(BB364:BK364)</f>
        <v>0</v>
      </c>
      <c r="BB364" s="502" t="n">
        <f aca="false">IF($D364="是",I364-J364,0)</f>
        <v>0</v>
      </c>
      <c r="BC364" s="502" t="n">
        <f aca="false">IF($D364="是",K364-L364,0)</f>
        <v>0</v>
      </c>
      <c r="BD364" s="502" t="n">
        <f aca="false">IF($D364="是",M364-N364,0)</f>
        <v>0</v>
      </c>
      <c r="BE364" s="502" t="n">
        <f aca="false">IF($D364="是",O364-P364,0)</f>
        <v>0</v>
      </c>
      <c r="BF364" s="502" t="n">
        <f aca="false">IF($D364="是",Q364-R364,0)</f>
        <v>0</v>
      </c>
      <c r="BG364" s="502" t="n">
        <f aca="false">IF($D364="是",S364-T364,0)</f>
        <v>0</v>
      </c>
      <c r="BH364" s="502" t="n">
        <f aca="false">IF($D364="是",U364-V364,0)</f>
        <v>0</v>
      </c>
      <c r="BI364" s="502" t="n">
        <f aca="false">IF($D364="是",W364-X364,0)</f>
        <v>0</v>
      </c>
      <c r="BJ364" s="502" t="n">
        <f aca="false">IF($D364="是",Y364-Z364,0)</f>
        <v>0</v>
      </c>
      <c r="BK364" s="502" t="n">
        <f aca="false">IF($D364="是",AA364-AB364,0)</f>
        <v>0</v>
      </c>
      <c r="BL364" s="502" t="n">
        <f aca="false">SUM(BM364:BT364)</f>
        <v>0</v>
      </c>
      <c r="BM364" s="502" t="n">
        <f aca="false">IF($D364="是",AD364-AE364,0)</f>
        <v>0</v>
      </c>
      <c r="BN364" s="502" t="n">
        <f aca="false">IF($D364="是",AF364-AG364,0)</f>
        <v>0</v>
      </c>
      <c r="BO364" s="502" t="n">
        <f aca="false">IF($D364="是",AH364-AI364,0)</f>
        <v>0</v>
      </c>
      <c r="BP364" s="502" t="n">
        <f aca="false">IF($D364="是",AJ364-AK364,0)</f>
        <v>0</v>
      </c>
      <c r="BQ364" s="502" t="n">
        <f aca="false">IF($D364="是",AL364-AM364,0)</f>
        <v>0</v>
      </c>
      <c r="BR364" s="502" t="n">
        <f aca="false">IF($D364="是",AN364-AO364,0)</f>
        <v>0</v>
      </c>
      <c r="BS364" s="502" t="n">
        <f aca="false">IF($D364="是",AP364-AQ364,0)</f>
        <v>0</v>
      </c>
      <c r="BT364" s="512" t="n">
        <f aca="false">IF($D364="是",AR364-AS364,0)</f>
        <v>0</v>
      </c>
    </row>
    <row r="365" customFormat="false" ht="14.25" hidden="false" customHeight="false" outlineLevel="0" collapsed="false">
      <c r="A365" s="499"/>
      <c r="B365" s="500"/>
      <c r="C365" s="500"/>
      <c r="D365" s="501"/>
      <c r="E365" s="502" t="n">
        <f aca="false">IF($C$3="是",ROUND($A$3*G365/$B$3,2),ROUND($A$3*(G365-AT365)/$B$3,2))</f>
        <v>0</v>
      </c>
      <c r="F365" s="503"/>
      <c r="G365" s="504" t="n">
        <f aca="false">H365+AC365+AT365</f>
        <v>0</v>
      </c>
      <c r="H365" s="505" t="n">
        <f aca="false">SUMIF(I$12:AB$12,"总值",I365:AB365)</f>
        <v>0</v>
      </c>
      <c r="I365" s="506"/>
      <c r="J365" s="506"/>
      <c r="K365" s="506"/>
      <c r="L365" s="506"/>
      <c r="M365" s="506"/>
      <c r="N365" s="506"/>
      <c r="O365" s="506"/>
      <c r="P365" s="506"/>
      <c r="Q365" s="506"/>
      <c r="R365" s="506"/>
      <c r="S365" s="506"/>
      <c r="T365" s="506"/>
      <c r="U365" s="506"/>
      <c r="V365" s="506"/>
      <c r="W365" s="506"/>
      <c r="X365" s="506"/>
      <c r="Y365" s="506"/>
      <c r="Z365" s="506"/>
      <c r="AA365" s="506"/>
      <c r="AB365" s="506"/>
      <c r="AC365" s="502" t="n">
        <f aca="false">SUMIF(AD$12:AS$12,"总值",AD365:AS365)</f>
        <v>0</v>
      </c>
      <c r="AD365" s="507"/>
      <c r="AE365" s="507"/>
      <c r="AF365" s="507"/>
      <c r="AG365" s="507"/>
      <c r="AH365" s="507"/>
      <c r="AI365" s="507"/>
      <c r="AJ365" s="507"/>
      <c r="AK365" s="507"/>
      <c r="AL365" s="507"/>
      <c r="AM365" s="507"/>
      <c r="AN365" s="507"/>
      <c r="AO365" s="507"/>
      <c r="AP365" s="507"/>
      <c r="AQ365" s="507"/>
      <c r="AR365" s="507"/>
      <c r="AS365" s="507"/>
      <c r="AT365" s="508"/>
      <c r="AU365" s="509"/>
      <c r="AV365" s="510" t="n">
        <f aca="false">A365</f>
        <v>0</v>
      </c>
      <c r="AW365" s="510" t="n">
        <f aca="false">B365</f>
        <v>0</v>
      </c>
      <c r="AX365" s="510" t="n">
        <f aca="false">C365</f>
        <v>0</v>
      </c>
      <c r="AY365" s="511" t="n">
        <f aca="false">ROUND($AY$6*AZ365/$AZ$5,2)</f>
        <v>0</v>
      </c>
      <c r="AZ365" s="502" t="n">
        <f aca="false">BA365+BL365</f>
        <v>0</v>
      </c>
      <c r="BA365" s="502" t="n">
        <f aca="false">SUM(BB365:BK365)</f>
        <v>0</v>
      </c>
      <c r="BB365" s="502" t="n">
        <f aca="false">IF($D365="是",I365-J365,0)</f>
        <v>0</v>
      </c>
      <c r="BC365" s="502" t="n">
        <f aca="false">IF($D365="是",K365-L365,0)</f>
        <v>0</v>
      </c>
      <c r="BD365" s="502" t="n">
        <f aca="false">IF($D365="是",M365-N365,0)</f>
        <v>0</v>
      </c>
      <c r="BE365" s="502" t="n">
        <f aca="false">IF($D365="是",O365-P365,0)</f>
        <v>0</v>
      </c>
      <c r="BF365" s="502" t="n">
        <f aca="false">IF($D365="是",Q365-R365,0)</f>
        <v>0</v>
      </c>
      <c r="BG365" s="502" t="n">
        <f aca="false">IF($D365="是",S365-T365,0)</f>
        <v>0</v>
      </c>
      <c r="BH365" s="502" t="n">
        <f aca="false">IF($D365="是",U365-V365,0)</f>
        <v>0</v>
      </c>
      <c r="BI365" s="502" t="n">
        <f aca="false">IF($D365="是",W365-X365,0)</f>
        <v>0</v>
      </c>
      <c r="BJ365" s="502" t="n">
        <f aca="false">IF($D365="是",Y365-Z365,0)</f>
        <v>0</v>
      </c>
      <c r="BK365" s="502" t="n">
        <f aca="false">IF($D365="是",AA365-AB365,0)</f>
        <v>0</v>
      </c>
      <c r="BL365" s="502" t="n">
        <f aca="false">SUM(BM365:BT365)</f>
        <v>0</v>
      </c>
      <c r="BM365" s="502" t="n">
        <f aca="false">IF($D365="是",AD365-AE365,0)</f>
        <v>0</v>
      </c>
      <c r="BN365" s="502" t="n">
        <f aca="false">IF($D365="是",AF365-AG365,0)</f>
        <v>0</v>
      </c>
      <c r="BO365" s="502" t="n">
        <f aca="false">IF($D365="是",AH365-AI365,0)</f>
        <v>0</v>
      </c>
      <c r="BP365" s="502" t="n">
        <f aca="false">IF($D365="是",AJ365-AK365,0)</f>
        <v>0</v>
      </c>
      <c r="BQ365" s="502" t="n">
        <f aca="false">IF($D365="是",AL365-AM365,0)</f>
        <v>0</v>
      </c>
      <c r="BR365" s="502" t="n">
        <f aca="false">IF($D365="是",AN365-AO365,0)</f>
        <v>0</v>
      </c>
      <c r="BS365" s="502" t="n">
        <f aca="false">IF($D365="是",AP365-AQ365,0)</f>
        <v>0</v>
      </c>
      <c r="BT365" s="512" t="n">
        <f aca="false">IF($D365="是",AR365-AS365,0)</f>
        <v>0</v>
      </c>
    </row>
    <row r="366" customFormat="false" ht="14.25" hidden="false" customHeight="false" outlineLevel="0" collapsed="false">
      <c r="A366" s="499"/>
      <c r="B366" s="500"/>
      <c r="C366" s="500"/>
      <c r="D366" s="501"/>
      <c r="E366" s="502" t="n">
        <f aca="false">IF($C$3="是",ROUND($A$3*G366/$B$3,2),ROUND($A$3*(G366-AT366)/$B$3,2))</f>
        <v>0</v>
      </c>
      <c r="F366" s="503"/>
      <c r="G366" s="504" t="n">
        <f aca="false">H366+AC366+AT366</f>
        <v>0</v>
      </c>
      <c r="H366" s="505" t="n">
        <f aca="false">SUMIF(I$12:AB$12,"总值",I366:AB366)</f>
        <v>0</v>
      </c>
      <c r="I366" s="506"/>
      <c r="J366" s="506"/>
      <c r="K366" s="506"/>
      <c r="L366" s="506"/>
      <c r="M366" s="506"/>
      <c r="N366" s="506"/>
      <c r="O366" s="506"/>
      <c r="P366" s="506"/>
      <c r="Q366" s="506"/>
      <c r="R366" s="506"/>
      <c r="S366" s="506"/>
      <c r="T366" s="506"/>
      <c r="U366" s="506"/>
      <c r="V366" s="506"/>
      <c r="W366" s="506"/>
      <c r="X366" s="506"/>
      <c r="Y366" s="506"/>
      <c r="Z366" s="506"/>
      <c r="AA366" s="506"/>
      <c r="AB366" s="506"/>
      <c r="AC366" s="502" t="n">
        <f aca="false">SUMIF(AD$12:AS$12,"总值",AD366:AS366)</f>
        <v>0</v>
      </c>
      <c r="AD366" s="507"/>
      <c r="AE366" s="507"/>
      <c r="AF366" s="507"/>
      <c r="AG366" s="507"/>
      <c r="AH366" s="507"/>
      <c r="AI366" s="507"/>
      <c r="AJ366" s="507"/>
      <c r="AK366" s="507"/>
      <c r="AL366" s="507"/>
      <c r="AM366" s="507"/>
      <c r="AN366" s="507"/>
      <c r="AO366" s="507"/>
      <c r="AP366" s="507"/>
      <c r="AQ366" s="507"/>
      <c r="AR366" s="507"/>
      <c r="AS366" s="507"/>
      <c r="AT366" s="508"/>
      <c r="AU366" s="509"/>
      <c r="AV366" s="510" t="n">
        <f aca="false">A366</f>
        <v>0</v>
      </c>
      <c r="AW366" s="510" t="n">
        <f aca="false">B366</f>
        <v>0</v>
      </c>
      <c r="AX366" s="510" t="n">
        <f aca="false">C366</f>
        <v>0</v>
      </c>
      <c r="AY366" s="511" t="n">
        <f aca="false">ROUND($AY$6*AZ366/$AZ$5,2)</f>
        <v>0</v>
      </c>
      <c r="AZ366" s="502" t="n">
        <f aca="false">BA366+BL366</f>
        <v>0</v>
      </c>
      <c r="BA366" s="502" t="n">
        <f aca="false">SUM(BB366:BK366)</f>
        <v>0</v>
      </c>
      <c r="BB366" s="502" t="n">
        <f aca="false">IF($D366="是",I366-J366,0)</f>
        <v>0</v>
      </c>
      <c r="BC366" s="502" t="n">
        <f aca="false">IF($D366="是",K366-L366,0)</f>
        <v>0</v>
      </c>
      <c r="BD366" s="502" t="n">
        <f aca="false">IF($D366="是",M366-N366,0)</f>
        <v>0</v>
      </c>
      <c r="BE366" s="502" t="n">
        <f aca="false">IF($D366="是",O366-P366,0)</f>
        <v>0</v>
      </c>
      <c r="BF366" s="502" t="n">
        <f aca="false">IF($D366="是",Q366-R366,0)</f>
        <v>0</v>
      </c>
      <c r="BG366" s="502" t="n">
        <f aca="false">IF($D366="是",S366-T366,0)</f>
        <v>0</v>
      </c>
      <c r="BH366" s="502" t="n">
        <f aca="false">IF($D366="是",U366-V366,0)</f>
        <v>0</v>
      </c>
      <c r="BI366" s="502" t="n">
        <f aca="false">IF($D366="是",W366-X366,0)</f>
        <v>0</v>
      </c>
      <c r="BJ366" s="502" t="n">
        <f aca="false">IF($D366="是",Y366-Z366,0)</f>
        <v>0</v>
      </c>
      <c r="BK366" s="502" t="n">
        <f aca="false">IF($D366="是",AA366-AB366,0)</f>
        <v>0</v>
      </c>
      <c r="BL366" s="502" t="n">
        <f aca="false">SUM(BM366:BT366)</f>
        <v>0</v>
      </c>
      <c r="BM366" s="502" t="n">
        <f aca="false">IF($D366="是",AD366-AE366,0)</f>
        <v>0</v>
      </c>
      <c r="BN366" s="502" t="n">
        <f aca="false">IF($D366="是",AF366-AG366,0)</f>
        <v>0</v>
      </c>
      <c r="BO366" s="502" t="n">
        <f aca="false">IF($D366="是",AH366-AI366,0)</f>
        <v>0</v>
      </c>
      <c r="BP366" s="502" t="n">
        <f aca="false">IF($D366="是",AJ366-AK366,0)</f>
        <v>0</v>
      </c>
      <c r="BQ366" s="502" t="n">
        <f aca="false">IF($D366="是",AL366-AM366,0)</f>
        <v>0</v>
      </c>
      <c r="BR366" s="502" t="n">
        <f aca="false">IF($D366="是",AN366-AO366,0)</f>
        <v>0</v>
      </c>
      <c r="BS366" s="502" t="n">
        <f aca="false">IF($D366="是",AP366-AQ366,0)</f>
        <v>0</v>
      </c>
      <c r="BT366" s="512" t="n">
        <f aca="false">IF($D366="是",AR366-AS366,0)</f>
        <v>0</v>
      </c>
    </row>
    <row r="367" customFormat="false" ht="14.25" hidden="false" customHeight="false" outlineLevel="0" collapsed="false">
      <c r="A367" s="499"/>
      <c r="B367" s="500"/>
      <c r="C367" s="500"/>
      <c r="D367" s="501"/>
      <c r="E367" s="502" t="n">
        <f aca="false">IF($C$3="是",ROUND($A$3*G367/$B$3,2),ROUND($A$3*(G367-AT367)/$B$3,2))</f>
        <v>0</v>
      </c>
      <c r="F367" s="503"/>
      <c r="G367" s="504" t="n">
        <f aca="false">H367+AC367+AT367</f>
        <v>0</v>
      </c>
      <c r="H367" s="505" t="n">
        <f aca="false">SUMIF(I$12:AB$12,"总值",I367:AB367)</f>
        <v>0</v>
      </c>
      <c r="I367" s="506"/>
      <c r="J367" s="506"/>
      <c r="K367" s="506"/>
      <c r="L367" s="506"/>
      <c r="M367" s="506"/>
      <c r="N367" s="506"/>
      <c r="O367" s="506"/>
      <c r="P367" s="506"/>
      <c r="Q367" s="506"/>
      <c r="R367" s="506"/>
      <c r="S367" s="506"/>
      <c r="T367" s="506"/>
      <c r="U367" s="506"/>
      <c r="V367" s="506"/>
      <c r="W367" s="506"/>
      <c r="X367" s="506"/>
      <c r="Y367" s="506"/>
      <c r="Z367" s="506"/>
      <c r="AA367" s="506"/>
      <c r="AB367" s="506"/>
      <c r="AC367" s="502" t="n">
        <f aca="false">SUMIF(AD$12:AS$12,"总值",AD367:AS367)</f>
        <v>0</v>
      </c>
      <c r="AD367" s="507"/>
      <c r="AE367" s="507"/>
      <c r="AF367" s="507"/>
      <c r="AG367" s="507"/>
      <c r="AH367" s="507"/>
      <c r="AI367" s="507"/>
      <c r="AJ367" s="507"/>
      <c r="AK367" s="507"/>
      <c r="AL367" s="507"/>
      <c r="AM367" s="507"/>
      <c r="AN367" s="507"/>
      <c r="AO367" s="507"/>
      <c r="AP367" s="507"/>
      <c r="AQ367" s="507"/>
      <c r="AR367" s="507"/>
      <c r="AS367" s="507"/>
      <c r="AT367" s="508"/>
      <c r="AU367" s="509"/>
      <c r="AV367" s="510" t="n">
        <f aca="false">A367</f>
        <v>0</v>
      </c>
      <c r="AW367" s="510" t="n">
        <f aca="false">B367</f>
        <v>0</v>
      </c>
      <c r="AX367" s="510" t="n">
        <f aca="false">C367</f>
        <v>0</v>
      </c>
      <c r="AY367" s="511" t="n">
        <f aca="false">ROUND($AY$6*AZ367/$AZ$5,2)</f>
        <v>0</v>
      </c>
      <c r="AZ367" s="502" t="n">
        <f aca="false">BA367+BL367</f>
        <v>0</v>
      </c>
      <c r="BA367" s="502" t="n">
        <f aca="false">SUM(BB367:BK367)</f>
        <v>0</v>
      </c>
      <c r="BB367" s="502" t="n">
        <f aca="false">IF($D367="是",I367-J367,0)</f>
        <v>0</v>
      </c>
      <c r="BC367" s="502" t="n">
        <f aca="false">IF($D367="是",K367-L367,0)</f>
        <v>0</v>
      </c>
      <c r="BD367" s="502" t="n">
        <f aca="false">IF($D367="是",M367-N367,0)</f>
        <v>0</v>
      </c>
      <c r="BE367" s="502" t="n">
        <f aca="false">IF($D367="是",O367-P367,0)</f>
        <v>0</v>
      </c>
      <c r="BF367" s="502" t="n">
        <f aca="false">IF($D367="是",Q367-R367,0)</f>
        <v>0</v>
      </c>
      <c r="BG367" s="502" t="n">
        <f aca="false">IF($D367="是",S367-T367,0)</f>
        <v>0</v>
      </c>
      <c r="BH367" s="502" t="n">
        <f aca="false">IF($D367="是",U367-V367,0)</f>
        <v>0</v>
      </c>
      <c r="BI367" s="502" t="n">
        <f aca="false">IF($D367="是",W367-X367,0)</f>
        <v>0</v>
      </c>
      <c r="BJ367" s="502" t="n">
        <f aca="false">IF($D367="是",Y367-Z367,0)</f>
        <v>0</v>
      </c>
      <c r="BK367" s="502" t="n">
        <f aca="false">IF($D367="是",AA367-AB367,0)</f>
        <v>0</v>
      </c>
      <c r="BL367" s="502" t="n">
        <f aca="false">SUM(BM367:BT367)</f>
        <v>0</v>
      </c>
      <c r="BM367" s="502" t="n">
        <f aca="false">IF($D367="是",AD367-AE367,0)</f>
        <v>0</v>
      </c>
      <c r="BN367" s="502" t="n">
        <f aca="false">IF($D367="是",AF367-AG367,0)</f>
        <v>0</v>
      </c>
      <c r="BO367" s="502" t="n">
        <f aca="false">IF($D367="是",AH367-AI367,0)</f>
        <v>0</v>
      </c>
      <c r="BP367" s="502" t="n">
        <f aca="false">IF($D367="是",AJ367-AK367,0)</f>
        <v>0</v>
      </c>
      <c r="BQ367" s="502" t="n">
        <f aca="false">IF($D367="是",AL367-AM367,0)</f>
        <v>0</v>
      </c>
      <c r="BR367" s="502" t="n">
        <f aca="false">IF($D367="是",AN367-AO367,0)</f>
        <v>0</v>
      </c>
      <c r="BS367" s="502" t="n">
        <f aca="false">IF($D367="是",AP367-AQ367,0)</f>
        <v>0</v>
      </c>
      <c r="BT367" s="512" t="n">
        <f aca="false">IF($D367="是",AR367-AS367,0)</f>
        <v>0</v>
      </c>
    </row>
    <row r="368" customFormat="false" ht="14.25" hidden="false" customHeight="false" outlineLevel="0" collapsed="false">
      <c r="A368" s="499"/>
      <c r="B368" s="500"/>
      <c r="C368" s="500"/>
      <c r="D368" s="501"/>
      <c r="E368" s="502" t="n">
        <f aca="false">IF($C$3="是",ROUND($A$3*G368/$B$3,2),ROUND($A$3*(G368-AT368)/$B$3,2))</f>
        <v>0</v>
      </c>
      <c r="F368" s="503"/>
      <c r="G368" s="504" t="n">
        <f aca="false">H368+AC368+AT368</f>
        <v>0</v>
      </c>
      <c r="H368" s="505" t="n">
        <f aca="false">SUMIF(I$12:AB$12,"总值",I368:AB368)</f>
        <v>0</v>
      </c>
      <c r="I368" s="506"/>
      <c r="J368" s="506"/>
      <c r="K368" s="506"/>
      <c r="L368" s="506"/>
      <c r="M368" s="506"/>
      <c r="N368" s="506"/>
      <c r="O368" s="506"/>
      <c r="P368" s="506"/>
      <c r="Q368" s="506"/>
      <c r="R368" s="506"/>
      <c r="S368" s="506"/>
      <c r="T368" s="506"/>
      <c r="U368" s="506"/>
      <c r="V368" s="506"/>
      <c r="W368" s="506"/>
      <c r="X368" s="506"/>
      <c r="Y368" s="506"/>
      <c r="Z368" s="506"/>
      <c r="AA368" s="506"/>
      <c r="AB368" s="506"/>
      <c r="AC368" s="502" t="n">
        <f aca="false">SUMIF(AD$12:AS$12,"总值",AD368:AS368)</f>
        <v>0</v>
      </c>
      <c r="AD368" s="507"/>
      <c r="AE368" s="507"/>
      <c r="AF368" s="507"/>
      <c r="AG368" s="507"/>
      <c r="AH368" s="507"/>
      <c r="AI368" s="507"/>
      <c r="AJ368" s="507"/>
      <c r="AK368" s="507"/>
      <c r="AL368" s="507"/>
      <c r="AM368" s="507"/>
      <c r="AN368" s="507"/>
      <c r="AO368" s="507"/>
      <c r="AP368" s="507"/>
      <c r="AQ368" s="507"/>
      <c r="AR368" s="507"/>
      <c r="AS368" s="507"/>
      <c r="AT368" s="508"/>
      <c r="AU368" s="509"/>
      <c r="AV368" s="510" t="n">
        <f aca="false">A368</f>
        <v>0</v>
      </c>
      <c r="AW368" s="510" t="n">
        <f aca="false">B368</f>
        <v>0</v>
      </c>
      <c r="AX368" s="510" t="n">
        <f aca="false">C368</f>
        <v>0</v>
      </c>
      <c r="AY368" s="511" t="n">
        <f aca="false">ROUND($AY$6*AZ368/$AZ$5,2)</f>
        <v>0</v>
      </c>
      <c r="AZ368" s="502" t="n">
        <f aca="false">BA368+BL368</f>
        <v>0</v>
      </c>
      <c r="BA368" s="502" t="n">
        <f aca="false">SUM(BB368:BK368)</f>
        <v>0</v>
      </c>
      <c r="BB368" s="502" t="n">
        <f aca="false">IF($D368="是",I368-J368,0)</f>
        <v>0</v>
      </c>
      <c r="BC368" s="502" t="n">
        <f aca="false">IF($D368="是",K368-L368,0)</f>
        <v>0</v>
      </c>
      <c r="BD368" s="502" t="n">
        <f aca="false">IF($D368="是",M368-N368,0)</f>
        <v>0</v>
      </c>
      <c r="BE368" s="502" t="n">
        <f aca="false">IF($D368="是",O368-P368,0)</f>
        <v>0</v>
      </c>
      <c r="BF368" s="502" t="n">
        <f aca="false">IF($D368="是",Q368-R368,0)</f>
        <v>0</v>
      </c>
      <c r="BG368" s="502" t="n">
        <f aca="false">IF($D368="是",S368-T368,0)</f>
        <v>0</v>
      </c>
      <c r="BH368" s="502" t="n">
        <f aca="false">IF($D368="是",U368-V368,0)</f>
        <v>0</v>
      </c>
      <c r="BI368" s="502" t="n">
        <f aca="false">IF($D368="是",W368-X368,0)</f>
        <v>0</v>
      </c>
      <c r="BJ368" s="502" t="n">
        <f aca="false">IF($D368="是",Y368-Z368,0)</f>
        <v>0</v>
      </c>
      <c r="BK368" s="502" t="n">
        <f aca="false">IF($D368="是",AA368-AB368,0)</f>
        <v>0</v>
      </c>
      <c r="BL368" s="502" t="n">
        <f aca="false">SUM(BM368:BT368)</f>
        <v>0</v>
      </c>
      <c r="BM368" s="502" t="n">
        <f aca="false">IF($D368="是",AD368-AE368,0)</f>
        <v>0</v>
      </c>
      <c r="BN368" s="502" t="n">
        <f aca="false">IF($D368="是",AF368-AG368,0)</f>
        <v>0</v>
      </c>
      <c r="BO368" s="502" t="n">
        <f aca="false">IF($D368="是",AH368-AI368,0)</f>
        <v>0</v>
      </c>
      <c r="BP368" s="502" t="n">
        <f aca="false">IF($D368="是",AJ368-AK368,0)</f>
        <v>0</v>
      </c>
      <c r="BQ368" s="502" t="n">
        <f aca="false">IF($D368="是",AL368-AM368,0)</f>
        <v>0</v>
      </c>
      <c r="BR368" s="502" t="n">
        <f aca="false">IF($D368="是",AN368-AO368,0)</f>
        <v>0</v>
      </c>
      <c r="BS368" s="502" t="n">
        <f aca="false">IF($D368="是",AP368-AQ368,0)</f>
        <v>0</v>
      </c>
      <c r="BT368" s="512" t="n">
        <f aca="false">IF($D368="是",AR368-AS368,0)</f>
        <v>0</v>
      </c>
    </row>
    <row r="369" customFormat="false" ht="14.25" hidden="false" customHeight="false" outlineLevel="0" collapsed="false">
      <c r="A369" s="499"/>
      <c r="B369" s="500"/>
      <c r="C369" s="500"/>
      <c r="D369" s="501"/>
      <c r="E369" s="502" t="n">
        <f aca="false">IF($C$3="是",ROUND($A$3*G369/$B$3,2),ROUND($A$3*(G369-AT369)/$B$3,2))</f>
        <v>0</v>
      </c>
      <c r="F369" s="503"/>
      <c r="G369" s="504" t="n">
        <f aca="false">H369+AC369+AT369</f>
        <v>0</v>
      </c>
      <c r="H369" s="505" t="n">
        <f aca="false">SUMIF(I$12:AB$12,"总值",I369:AB369)</f>
        <v>0</v>
      </c>
      <c r="I369" s="506"/>
      <c r="J369" s="506"/>
      <c r="K369" s="506"/>
      <c r="L369" s="506"/>
      <c r="M369" s="506"/>
      <c r="N369" s="506"/>
      <c r="O369" s="506"/>
      <c r="P369" s="506"/>
      <c r="Q369" s="506"/>
      <c r="R369" s="506"/>
      <c r="S369" s="506"/>
      <c r="T369" s="506"/>
      <c r="U369" s="506"/>
      <c r="V369" s="506"/>
      <c r="W369" s="506"/>
      <c r="X369" s="506"/>
      <c r="Y369" s="506"/>
      <c r="Z369" s="506"/>
      <c r="AA369" s="506"/>
      <c r="AB369" s="506"/>
      <c r="AC369" s="502" t="n">
        <f aca="false">SUMIF(AD$12:AS$12,"总值",AD369:AS369)</f>
        <v>0</v>
      </c>
      <c r="AD369" s="507"/>
      <c r="AE369" s="507"/>
      <c r="AF369" s="507"/>
      <c r="AG369" s="507"/>
      <c r="AH369" s="507"/>
      <c r="AI369" s="507"/>
      <c r="AJ369" s="507"/>
      <c r="AK369" s="507"/>
      <c r="AL369" s="507"/>
      <c r="AM369" s="507"/>
      <c r="AN369" s="507"/>
      <c r="AO369" s="507"/>
      <c r="AP369" s="507"/>
      <c r="AQ369" s="507"/>
      <c r="AR369" s="507"/>
      <c r="AS369" s="507"/>
      <c r="AT369" s="508"/>
      <c r="AU369" s="509"/>
      <c r="AV369" s="510" t="n">
        <f aca="false">A369</f>
        <v>0</v>
      </c>
      <c r="AW369" s="510" t="n">
        <f aca="false">B369</f>
        <v>0</v>
      </c>
      <c r="AX369" s="510" t="n">
        <f aca="false">C369</f>
        <v>0</v>
      </c>
      <c r="AY369" s="511" t="n">
        <f aca="false">ROUND($AY$6*AZ369/$AZ$5,2)</f>
        <v>0</v>
      </c>
      <c r="AZ369" s="502" t="n">
        <f aca="false">BA369+BL369</f>
        <v>0</v>
      </c>
      <c r="BA369" s="502" t="n">
        <f aca="false">SUM(BB369:BK369)</f>
        <v>0</v>
      </c>
      <c r="BB369" s="502" t="n">
        <f aca="false">IF($D369="是",I369-J369,0)</f>
        <v>0</v>
      </c>
      <c r="BC369" s="502" t="n">
        <f aca="false">IF($D369="是",K369-L369,0)</f>
        <v>0</v>
      </c>
      <c r="BD369" s="502" t="n">
        <f aca="false">IF($D369="是",M369-N369,0)</f>
        <v>0</v>
      </c>
      <c r="BE369" s="502" t="n">
        <f aca="false">IF($D369="是",O369-P369,0)</f>
        <v>0</v>
      </c>
      <c r="BF369" s="502" t="n">
        <f aca="false">IF($D369="是",Q369-R369,0)</f>
        <v>0</v>
      </c>
      <c r="BG369" s="502" t="n">
        <f aca="false">IF($D369="是",S369-T369,0)</f>
        <v>0</v>
      </c>
      <c r="BH369" s="502" t="n">
        <f aca="false">IF($D369="是",U369-V369,0)</f>
        <v>0</v>
      </c>
      <c r="BI369" s="502" t="n">
        <f aca="false">IF($D369="是",W369-X369,0)</f>
        <v>0</v>
      </c>
      <c r="BJ369" s="502" t="n">
        <f aca="false">IF($D369="是",Y369-Z369,0)</f>
        <v>0</v>
      </c>
      <c r="BK369" s="502" t="n">
        <f aca="false">IF($D369="是",AA369-AB369,0)</f>
        <v>0</v>
      </c>
      <c r="BL369" s="502" t="n">
        <f aca="false">SUM(BM369:BT369)</f>
        <v>0</v>
      </c>
      <c r="BM369" s="502" t="n">
        <f aca="false">IF($D369="是",AD369-AE369,0)</f>
        <v>0</v>
      </c>
      <c r="BN369" s="502" t="n">
        <f aca="false">IF($D369="是",AF369-AG369,0)</f>
        <v>0</v>
      </c>
      <c r="BO369" s="502" t="n">
        <f aca="false">IF($D369="是",AH369-AI369,0)</f>
        <v>0</v>
      </c>
      <c r="BP369" s="502" t="n">
        <f aca="false">IF($D369="是",AJ369-AK369,0)</f>
        <v>0</v>
      </c>
      <c r="BQ369" s="502" t="n">
        <f aca="false">IF($D369="是",AL369-AM369,0)</f>
        <v>0</v>
      </c>
      <c r="BR369" s="502" t="n">
        <f aca="false">IF($D369="是",AN369-AO369,0)</f>
        <v>0</v>
      </c>
      <c r="BS369" s="502" t="n">
        <f aca="false">IF($D369="是",AP369-AQ369,0)</f>
        <v>0</v>
      </c>
      <c r="BT369" s="512" t="n">
        <f aca="false">IF($D369="是",AR369-AS369,0)</f>
        <v>0</v>
      </c>
    </row>
    <row r="370" customFormat="false" ht="14.25" hidden="false" customHeight="false" outlineLevel="0" collapsed="false">
      <c r="A370" s="499"/>
      <c r="B370" s="500"/>
      <c r="C370" s="500"/>
      <c r="D370" s="501"/>
      <c r="E370" s="502" t="n">
        <f aca="false">IF($C$3="是",ROUND($A$3*G370/$B$3,2),ROUND($A$3*(G370-AT370)/$B$3,2))</f>
        <v>0</v>
      </c>
      <c r="F370" s="503"/>
      <c r="G370" s="504" t="n">
        <f aca="false">H370+AC370+AT370</f>
        <v>0</v>
      </c>
      <c r="H370" s="505" t="n">
        <f aca="false">SUMIF(I$12:AB$12,"总值",I370:AB370)</f>
        <v>0</v>
      </c>
      <c r="I370" s="506"/>
      <c r="J370" s="506"/>
      <c r="K370" s="506"/>
      <c r="L370" s="506"/>
      <c r="M370" s="506"/>
      <c r="N370" s="506"/>
      <c r="O370" s="506"/>
      <c r="P370" s="506"/>
      <c r="Q370" s="506"/>
      <c r="R370" s="506"/>
      <c r="S370" s="506"/>
      <c r="T370" s="506"/>
      <c r="U370" s="506"/>
      <c r="V370" s="506"/>
      <c r="W370" s="506"/>
      <c r="X370" s="506"/>
      <c r="Y370" s="506"/>
      <c r="Z370" s="506"/>
      <c r="AA370" s="506"/>
      <c r="AB370" s="506"/>
      <c r="AC370" s="502" t="n">
        <f aca="false">SUMIF(AD$12:AS$12,"总值",AD370:AS370)</f>
        <v>0</v>
      </c>
      <c r="AD370" s="507"/>
      <c r="AE370" s="507"/>
      <c r="AF370" s="507"/>
      <c r="AG370" s="507"/>
      <c r="AH370" s="507"/>
      <c r="AI370" s="507"/>
      <c r="AJ370" s="507"/>
      <c r="AK370" s="507"/>
      <c r="AL370" s="507"/>
      <c r="AM370" s="507"/>
      <c r="AN370" s="507"/>
      <c r="AO370" s="507"/>
      <c r="AP370" s="507"/>
      <c r="AQ370" s="507"/>
      <c r="AR370" s="507"/>
      <c r="AS370" s="507"/>
      <c r="AT370" s="508"/>
      <c r="AU370" s="509"/>
      <c r="AV370" s="510" t="n">
        <f aca="false">A370</f>
        <v>0</v>
      </c>
      <c r="AW370" s="510" t="n">
        <f aca="false">B370</f>
        <v>0</v>
      </c>
      <c r="AX370" s="510" t="n">
        <f aca="false">C370</f>
        <v>0</v>
      </c>
      <c r="AY370" s="511" t="n">
        <f aca="false">ROUND($AY$6*AZ370/$AZ$5,2)</f>
        <v>0</v>
      </c>
      <c r="AZ370" s="502" t="n">
        <f aca="false">BA370+BL370</f>
        <v>0</v>
      </c>
      <c r="BA370" s="502" t="n">
        <f aca="false">SUM(BB370:BK370)</f>
        <v>0</v>
      </c>
      <c r="BB370" s="502" t="n">
        <f aca="false">IF($D370="是",I370-J370,0)</f>
        <v>0</v>
      </c>
      <c r="BC370" s="502" t="n">
        <f aca="false">IF($D370="是",K370-L370,0)</f>
        <v>0</v>
      </c>
      <c r="BD370" s="502" t="n">
        <f aca="false">IF($D370="是",M370-N370,0)</f>
        <v>0</v>
      </c>
      <c r="BE370" s="502" t="n">
        <f aca="false">IF($D370="是",O370-P370,0)</f>
        <v>0</v>
      </c>
      <c r="BF370" s="502" t="n">
        <f aca="false">IF($D370="是",Q370-R370,0)</f>
        <v>0</v>
      </c>
      <c r="BG370" s="502" t="n">
        <f aca="false">IF($D370="是",S370-T370,0)</f>
        <v>0</v>
      </c>
      <c r="BH370" s="502" t="n">
        <f aca="false">IF($D370="是",U370-V370,0)</f>
        <v>0</v>
      </c>
      <c r="BI370" s="502" t="n">
        <f aca="false">IF($D370="是",W370-X370,0)</f>
        <v>0</v>
      </c>
      <c r="BJ370" s="502" t="n">
        <f aca="false">IF($D370="是",Y370-Z370,0)</f>
        <v>0</v>
      </c>
      <c r="BK370" s="502" t="n">
        <f aca="false">IF($D370="是",AA370-AB370,0)</f>
        <v>0</v>
      </c>
      <c r="BL370" s="502" t="n">
        <f aca="false">SUM(BM370:BT370)</f>
        <v>0</v>
      </c>
      <c r="BM370" s="502" t="n">
        <f aca="false">IF($D370="是",AD370-AE370,0)</f>
        <v>0</v>
      </c>
      <c r="BN370" s="502" t="n">
        <f aca="false">IF($D370="是",AF370-AG370,0)</f>
        <v>0</v>
      </c>
      <c r="BO370" s="502" t="n">
        <f aca="false">IF($D370="是",AH370-AI370,0)</f>
        <v>0</v>
      </c>
      <c r="BP370" s="502" t="n">
        <f aca="false">IF($D370="是",AJ370-AK370,0)</f>
        <v>0</v>
      </c>
      <c r="BQ370" s="502" t="n">
        <f aca="false">IF($D370="是",AL370-AM370,0)</f>
        <v>0</v>
      </c>
      <c r="BR370" s="502" t="n">
        <f aca="false">IF($D370="是",AN370-AO370,0)</f>
        <v>0</v>
      </c>
      <c r="BS370" s="502" t="n">
        <f aca="false">IF($D370="是",AP370-AQ370,0)</f>
        <v>0</v>
      </c>
      <c r="BT370" s="512" t="n">
        <f aca="false">IF($D370="是",AR370-AS370,0)</f>
        <v>0</v>
      </c>
    </row>
    <row r="371" customFormat="false" ht="14.25" hidden="false" customHeight="false" outlineLevel="0" collapsed="false">
      <c r="A371" s="499"/>
      <c r="B371" s="500"/>
      <c r="C371" s="500"/>
      <c r="D371" s="501"/>
      <c r="E371" s="502" t="n">
        <f aca="false">IF($C$3="是",ROUND($A$3*G371/$B$3,2),ROUND($A$3*(G371-AT371)/$B$3,2))</f>
        <v>0</v>
      </c>
      <c r="F371" s="503"/>
      <c r="G371" s="504" t="n">
        <f aca="false">H371+AC371+AT371</f>
        <v>0</v>
      </c>
      <c r="H371" s="505" t="n">
        <f aca="false">SUMIF(I$12:AB$12,"总值",I371:AB371)</f>
        <v>0</v>
      </c>
      <c r="I371" s="506"/>
      <c r="J371" s="506"/>
      <c r="K371" s="506"/>
      <c r="L371" s="506"/>
      <c r="M371" s="506"/>
      <c r="N371" s="506"/>
      <c r="O371" s="506"/>
      <c r="P371" s="506"/>
      <c r="Q371" s="506"/>
      <c r="R371" s="506"/>
      <c r="S371" s="506"/>
      <c r="T371" s="506"/>
      <c r="U371" s="506"/>
      <c r="V371" s="506"/>
      <c r="W371" s="506"/>
      <c r="X371" s="506"/>
      <c r="Y371" s="506"/>
      <c r="Z371" s="506"/>
      <c r="AA371" s="506"/>
      <c r="AB371" s="506"/>
      <c r="AC371" s="502" t="n">
        <f aca="false">SUMIF(AD$12:AS$12,"总值",AD371:AS371)</f>
        <v>0</v>
      </c>
      <c r="AD371" s="507"/>
      <c r="AE371" s="507"/>
      <c r="AF371" s="507"/>
      <c r="AG371" s="507"/>
      <c r="AH371" s="507"/>
      <c r="AI371" s="507"/>
      <c r="AJ371" s="507"/>
      <c r="AK371" s="507"/>
      <c r="AL371" s="507"/>
      <c r="AM371" s="507"/>
      <c r="AN371" s="507"/>
      <c r="AO371" s="507"/>
      <c r="AP371" s="507"/>
      <c r="AQ371" s="507"/>
      <c r="AR371" s="507"/>
      <c r="AS371" s="507"/>
      <c r="AT371" s="508"/>
      <c r="AU371" s="509"/>
      <c r="AV371" s="510" t="n">
        <f aca="false">A371</f>
        <v>0</v>
      </c>
      <c r="AW371" s="510" t="n">
        <f aca="false">B371</f>
        <v>0</v>
      </c>
      <c r="AX371" s="510" t="n">
        <f aca="false">C371</f>
        <v>0</v>
      </c>
      <c r="AY371" s="511" t="n">
        <f aca="false">ROUND($AY$6*AZ371/$AZ$5,2)</f>
        <v>0</v>
      </c>
      <c r="AZ371" s="502" t="n">
        <f aca="false">BA371+BL371</f>
        <v>0</v>
      </c>
      <c r="BA371" s="502" t="n">
        <f aca="false">SUM(BB371:BK371)</f>
        <v>0</v>
      </c>
      <c r="BB371" s="502" t="n">
        <f aca="false">IF($D371="是",I371-J371,0)</f>
        <v>0</v>
      </c>
      <c r="BC371" s="502" t="n">
        <f aca="false">IF($D371="是",K371-L371,0)</f>
        <v>0</v>
      </c>
      <c r="BD371" s="502" t="n">
        <f aca="false">IF($D371="是",M371-N371,0)</f>
        <v>0</v>
      </c>
      <c r="BE371" s="502" t="n">
        <f aca="false">IF($D371="是",O371-P371,0)</f>
        <v>0</v>
      </c>
      <c r="BF371" s="502" t="n">
        <f aca="false">IF($D371="是",Q371-R371,0)</f>
        <v>0</v>
      </c>
      <c r="BG371" s="502" t="n">
        <f aca="false">IF($D371="是",S371-T371,0)</f>
        <v>0</v>
      </c>
      <c r="BH371" s="502" t="n">
        <f aca="false">IF($D371="是",U371-V371,0)</f>
        <v>0</v>
      </c>
      <c r="BI371" s="502" t="n">
        <f aca="false">IF($D371="是",W371-X371,0)</f>
        <v>0</v>
      </c>
      <c r="BJ371" s="502" t="n">
        <f aca="false">IF($D371="是",Y371-Z371,0)</f>
        <v>0</v>
      </c>
      <c r="BK371" s="502" t="n">
        <f aca="false">IF($D371="是",AA371-AB371,0)</f>
        <v>0</v>
      </c>
      <c r="BL371" s="502" t="n">
        <f aca="false">SUM(BM371:BT371)</f>
        <v>0</v>
      </c>
      <c r="BM371" s="502" t="n">
        <f aca="false">IF($D371="是",AD371-AE371,0)</f>
        <v>0</v>
      </c>
      <c r="BN371" s="502" t="n">
        <f aca="false">IF($D371="是",AF371-AG371,0)</f>
        <v>0</v>
      </c>
      <c r="BO371" s="502" t="n">
        <f aca="false">IF($D371="是",AH371-AI371,0)</f>
        <v>0</v>
      </c>
      <c r="BP371" s="502" t="n">
        <f aca="false">IF($D371="是",AJ371-AK371,0)</f>
        <v>0</v>
      </c>
      <c r="BQ371" s="502" t="n">
        <f aca="false">IF($D371="是",AL371-AM371,0)</f>
        <v>0</v>
      </c>
      <c r="BR371" s="502" t="n">
        <f aca="false">IF($D371="是",AN371-AO371,0)</f>
        <v>0</v>
      </c>
      <c r="BS371" s="502" t="n">
        <f aca="false">IF($D371="是",AP371-AQ371,0)</f>
        <v>0</v>
      </c>
      <c r="BT371" s="512" t="n">
        <f aca="false">IF($D371="是",AR371-AS371,0)</f>
        <v>0</v>
      </c>
    </row>
    <row r="372" customFormat="false" ht="14.25" hidden="false" customHeight="false" outlineLevel="0" collapsed="false">
      <c r="A372" s="499"/>
      <c r="B372" s="500"/>
      <c r="C372" s="500"/>
      <c r="D372" s="501"/>
      <c r="E372" s="502" t="n">
        <f aca="false">IF($C$3="是",ROUND($A$3*G372/$B$3,2),ROUND($A$3*(G372-AT372)/$B$3,2))</f>
        <v>0</v>
      </c>
      <c r="F372" s="503"/>
      <c r="G372" s="504" t="n">
        <f aca="false">H372+AC372+AT372</f>
        <v>0</v>
      </c>
      <c r="H372" s="505" t="n">
        <f aca="false">SUMIF(I$12:AB$12,"总值",I372:AB372)</f>
        <v>0</v>
      </c>
      <c r="I372" s="506"/>
      <c r="J372" s="506"/>
      <c r="K372" s="506"/>
      <c r="L372" s="506"/>
      <c r="M372" s="506"/>
      <c r="N372" s="506"/>
      <c r="O372" s="506"/>
      <c r="P372" s="506"/>
      <c r="Q372" s="506"/>
      <c r="R372" s="506"/>
      <c r="S372" s="506"/>
      <c r="T372" s="506"/>
      <c r="U372" s="506"/>
      <c r="V372" s="506"/>
      <c r="W372" s="506"/>
      <c r="X372" s="506"/>
      <c r="Y372" s="506"/>
      <c r="Z372" s="506"/>
      <c r="AA372" s="506"/>
      <c r="AB372" s="506"/>
      <c r="AC372" s="502" t="n">
        <f aca="false">SUMIF(AD$12:AS$12,"总值",AD372:AS372)</f>
        <v>0</v>
      </c>
      <c r="AD372" s="507"/>
      <c r="AE372" s="507"/>
      <c r="AF372" s="507"/>
      <c r="AG372" s="507"/>
      <c r="AH372" s="507"/>
      <c r="AI372" s="507"/>
      <c r="AJ372" s="507"/>
      <c r="AK372" s="507"/>
      <c r="AL372" s="507"/>
      <c r="AM372" s="507"/>
      <c r="AN372" s="507"/>
      <c r="AO372" s="507"/>
      <c r="AP372" s="507"/>
      <c r="AQ372" s="507"/>
      <c r="AR372" s="507"/>
      <c r="AS372" s="507"/>
      <c r="AT372" s="508"/>
      <c r="AU372" s="509"/>
      <c r="AV372" s="510" t="n">
        <f aca="false">A372</f>
        <v>0</v>
      </c>
      <c r="AW372" s="510" t="n">
        <f aca="false">B372</f>
        <v>0</v>
      </c>
      <c r="AX372" s="510" t="n">
        <f aca="false">C372</f>
        <v>0</v>
      </c>
      <c r="AY372" s="511" t="n">
        <f aca="false">ROUND($AY$6*AZ372/$AZ$5,2)</f>
        <v>0</v>
      </c>
      <c r="AZ372" s="502" t="n">
        <f aca="false">BA372+BL372</f>
        <v>0</v>
      </c>
      <c r="BA372" s="502" t="n">
        <f aca="false">SUM(BB372:BK372)</f>
        <v>0</v>
      </c>
      <c r="BB372" s="502" t="n">
        <f aca="false">IF($D372="是",I372-J372,0)</f>
        <v>0</v>
      </c>
      <c r="BC372" s="502" t="n">
        <f aca="false">IF($D372="是",K372-L372,0)</f>
        <v>0</v>
      </c>
      <c r="BD372" s="502" t="n">
        <f aca="false">IF($D372="是",M372-N372,0)</f>
        <v>0</v>
      </c>
      <c r="BE372" s="502" t="n">
        <f aca="false">IF($D372="是",O372-P372,0)</f>
        <v>0</v>
      </c>
      <c r="BF372" s="502" t="n">
        <f aca="false">IF($D372="是",Q372-R372,0)</f>
        <v>0</v>
      </c>
      <c r="BG372" s="502" t="n">
        <f aca="false">IF($D372="是",S372-T372,0)</f>
        <v>0</v>
      </c>
      <c r="BH372" s="502" t="n">
        <f aca="false">IF($D372="是",U372-V372,0)</f>
        <v>0</v>
      </c>
      <c r="BI372" s="502" t="n">
        <f aca="false">IF($D372="是",W372-X372,0)</f>
        <v>0</v>
      </c>
      <c r="BJ372" s="502" t="n">
        <f aca="false">IF($D372="是",Y372-Z372,0)</f>
        <v>0</v>
      </c>
      <c r="BK372" s="502" t="n">
        <f aca="false">IF($D372="是",AA372-AB372,0)</f>
        <v>0</v>
      </c>
      <c r="BL372" s="502" t="n">
        <f aca="false">SUM(BM372:BT372)</f>
        <v>0</v>
      </c>
      <c r="BM372" s="502" t="n">
        <f aca="false">IF($D372="是",AD372-AE372,0)</f>
        <v>0</v>
      </c>
      <c r="BN372" s="502" t="n">
        <f aca="false">IF($D372="是",AF372-AG372,0)</f>
        <v>0</v>
      </c>
      <c r="BO372" s="502" t="n">
        <f aca="false">IF($D372="是",AH372-AI372,0)</f>
        <v>0</v>
      </c>
      <c r="BP372" s="502" t="n">
        <f aca="false">IF($D372="是",AJ372-AK372,0)</f>
        <v>0</v>
      </c>
      <c r="BQ372" s="502" t="n">
        <f aca="false">IF($D372="是",AL372-AM372,0)</f>
        <v>0</v>
      </c>
      <c r="BR372" s="502" t="n">
        <f aca="false">IF($D372="是",AN372-AO372,0)</f>
        <v>0</v>
      </c>
      <c r="BS372" s="502" t="n">
        <f aca="false">IF($D372="是",AP372-AQ372,0)</f>
        <v>0</v>
      </c>
      <c r="BT372" s="512" t="n">
        <f aca="false">IF($D372="是",AR372-AS372,0)</f>
        <v>0</v>
      </c>
    </row>
    <row r="373" customFormat="false" ht="14.25" hidden="false" customHeight="false" outlineLevel="0" collapsed="false">
      <c r="A373" s="499"/>
      <c r="B373" s="500"/>
      <c r="C373" s="500"/>
      <c r="D373" s="501"/>
      <c r="E373" s="502" t="n">
        <f aca="false">IF($C$3="是",ROUND($A$3*G373/$B$3,2),ROUND($A$3*(G373-AT373)/$B$3,2))</f>
        <v>0</v>
      </c>
      <c r="F373" s="503"/>
      <c r="G373" s="504" t="n">
        <f aca="false">H373+AC373+AT373</f>
        <v>0</v>
      </c>
      <c r="H373" s="505" t="n">
        <f aca="false">SUMIF(I$12:AB$12,"总值",I373:AB373)</f>
        <v>0</v>
      </c>
      <c r="I373" s="506"/>
      <c r="J373" s="506"/>
      <c r="K373" s="506"/>
      <c r="L373" s="506"/>
      <c r="M373" s="506"/>
      <c r="N373" s="506"/>
      <c r="O373" s="506"/>
      <c r="P373" s="506"/>
      <c r="Q373" s="506"/>
      <c r="R373" s="506"/>
      <c r="S373" s="506"/>
      <c r="T373" s="506"/>
      <c r="U373" s="506"/>
      <c r="V373" s="506"/>
      <c r="W373" s="506"/>
      <c r="X373" s="506"/>
      <c r="Y373" s="506"/>
      <c r="Z373" s="506"/>
      <c r="AA373" s="506"/>
      <c r="AB373" s="506"/>
      <c r="AC373" s="502" t="n">
        <f aca="false">SUMIF(AD$12:AS$12,"总值",AD373:AS373)</f>
        <v>0</v>
      </c>
      <c r="AD373" s="507"/>
      <c r="AE373" s="507"/>
      <c r="AF373" s="507"/>
      <c r="AG373" s="507"/>
      <c r="AH373" s="507"/>
      <c r="AI373" s="507"/>
      <c r="AJ373" s="507"/>
      <c r="AK373" s="507"/>
      <c r="AL373" s="507"/>
      <c r="AM373" s="507"/>
      <c r="AN373" s="507"/>
      <c r="AO373" s="507"/>
      <c r="AP373" s="507"/>
      <c r="AQ373" s="507"/>
      <c r="AR373" s="507"/>
      <c r="AS373" s="507"/>
      <c r="AT373" s="508"/>
      <c r="AU373" s="509"/>
      <c r="AV373" s="510" t="n">
        <f aca="false">A373</f>
        <v>0</v>
      </c>
      <c r="AW373" s="510" t="n">
        <f aca="false">B373</f>
        <v>0</v>
      </c>
      <c r="AX373" s="510" t="n">
        <f aca="false">C373</f>
        <v>0</v>
      </c>
      <c r="AY373" s="511" t="n">
        <f aca="false">ROUND($AY$6*AZ373/$AZ$5,2)</f>
        <v>0</v>
      </c>
      <c r="AZ373" s="502" t="n">
        <f aca="false">BA373+BL373</f>
        <v>0</v>
      </c>
      <c r="BA373" s="502" t="n">
        <f aca="false">SUM(BB373:BK373)</f>
        <v>0</v>
      </c>
      <c r="BB373" s="502" t="n">
        <f aca="false">IF($D373="是",I373-J373,0)</f>
        <v>0</v>
      </c>
      <c r="BC373" s="502" t="n">
        <f aca="false">IF($D373="是",K373-L373,0)</f>
        <v>0</v>
      </c>
      <c r="BD373" s="502" t="n">
        <f aca="false">IF($D373="是",M373-N373,0)</f>
        <v>0</v>
      </c>
      <c r="BE373" s="502" t="n">
        <f aca="false">IF($D373="是",O373-P373,0)</f>
        <v>0</v>
      </c>
      <c r="BF373" s="502" t="n">
        <f aca="false">IF($D373="是",Q373-R373,0)</f>
        <v>0</v>
      </c>
      <c r="BG373" s="502" t="n">
        <f aca="false">IF($D373="是",S373-T373,0)</f>
        <v>0</v>
      </c>
      <c r="BH373" s="502" t="n">
        <f aca="false">IF($D373="是",U373-V373,0)</f>
        <v>0</v>
      </c>
      <c r="BI373" s="502" t="n">
        <f aca="false">IF($D373="是",W373-X373,0)</f>
        <v>0</v>
      </c>
      <c r="BJ373" s="502" t="n">
        <f aca="false">IF($D373="是",Y373-Z373,0)</f>
        <v>0</v>
      </c>
      <c r="BK373" s="502" t="n">
        <f aca="false">IF($D373="是",AA373-AB373,0)</f>
        <v>0</v>
      </c>
      <c r="BL373" s="502" t="n">
        <f aca="false">SUM(BM373:BT373)</f>
        <v>0</v>
      </c>
      <c r="BM373" s="502" t="n">
        <f aca="false">IF($D373="是",AD373-AE373,0)</f>
        <v>0</v>
      </c>
      <c r="BN373" s="502" t="n">
        <f aca="false">IF($D373="是",AF373-AG373,0)</f>
        <v>0</v>
      </c>
      <c r="BO373" s="502" t="n">
        <f aca="false">IF($D373="是",AH373-AI373,0)</f>
        <v>0</v>
      </c>
      <c r="BP373" s="502" t="n">
        <f aca="false">IF($D373="是",AJ373-AK373,0)</f>
        <v>0</v>
      </c>
      <c r="BQ373" s="502" t="n">
        <f aca="false">IF($D373="是",AL373-AM373,0)</f>
        <v>0</v>
      </c>
      <c r="BR373" s="502" t="n">
        <f aca="false">IF($D373="是",AN373-AO373,0)</f>
        <v>0</v>
      </c>
      <c r="BS373" s="502" t="n">
        <f aca="false">IF($D373="是",AP373-AQ373,0)</f>
        <v>0</v>
      </c>
      <c r="BT373" s="512" t="n">
        <f aca="false">IF($D373="是",AR373-AS373,0)</f>
        <v>0</v>
      </c>
    </row>
    <row r="374" customFormat="false" ht="14.25" hidden="false" customHeight="false" outlineLevel="0" collapsed="false">
      <c r="A374" s="499"/>
      <c r="B374" s="500"/>
      <c r="C374" s="500"/>
      <c r="D374" s="501"/>
      <c r="E374" s="502" t="n">
        <f aca="false">IF($C$3="是",ROUND($A$3*G374/$B$3,2),ROUND($A$3*(G374-AT374)/$B$3,2))</f>
        <v>0</v>
      </c>
      <c r="F374" s="503"/>
      <c r="G374" s="504" t="n">
        <f aca="false">H374+AC374+AT374</f>
        <v>0</v>
      </c>
      <c r="H374" s="505" t="n">
        <f aca="false">SUMIF(I$12:AB$12,"总值",I374:AB374)</f>
        <v>0</v>
      </c>
      <c r="I374" s="506"/>
      <c r="J374" s="506"/>
      <c r="K374" s="506"/>
      <c r="L374" s="506"/>
      <c r="M374" s="506"/>
      <c r="N374" s="506"/>
      <c r="O374" s="506"/>
      <c r="P374" s="506"/>
      <c r="Q374" s="506"/>
      <c r="R374" s="506"/>
      <c r="S374" s="506"/>
      <c r="T374" s="506"/>
      <c r="U374" s="506"/>
      <c r="V374" s="506"/>
      <c r="W374" s="506"/>
      <c r="X374" s="506"/>
      <c r="Y374" s="506"/>
      <c r="Z374" s="506"/>
      <c r="AA374" s="506"/>
      <c r="AB374" s="506"/>
      <c r="AC374" s="502" t="n">
        <f aca="false">SUMIF(AD$12:AS$12,"总值",AD374:AS374)</f>
        <v>0</v>
      </c>
      <c r="AD374" s="507"/>
      <c r="AE374" s="507"/>
      <c r="AF374" s="507"/>
      <c r="AG374" s="507"/>
      <c r="AH374" s="507"/>
      <c r="AI374" s="507"/>
      <c r="AJ374" s="507"/>
      <c r="AK374" s="507"/>
      <c r="AL374" s="507"/>
      <c r="AM374" s="507"/>
      <c r="AN374" s="507"/>
      <c r="AO374" s="507"/>
      <c r="AP374" s="507"/>
      <c r="AQ374" s="507"/>
      <c r="AR374" s="507"/>
      <c r="AS374" s="507"/>
      <c r="AT374" s="508"/>
      <c r="AU374" s="509"/>
      <c r="AV374" s="510" t="n">
        <f aca="false">A374</f>
        <v>0</v>
      </c>
      <c r="AW374" s="510" t="n">
        <f aca="false">B374</f>
        <v>0</v>
      </c>
      <c r="AX374" s="510" t="n">
        <f aca="false">C374</f>
        <v>0</v>
      </c>
      <c r="AY374" s="511" t="n">
        <f aca="false">ROUND($AY$6*AZ374/$AZ$5,2)</f>
        <v>0</v>
      </c>
      <c r="AZ374" s="502" t="n">
        <f aca="false">BA374+BL374</f>
        <v>0</v>
      </c>
      <c r="BA374" s="502" t="n">
        <f aca="false">SUM(BB374:BK374)</f>
        <v>0</v>
      </c>
      <c r="BB374" s="502" t="n">
        <f aca="false">IF($D374="是",I374-J374,0)</f>
        <v>0</v>
      </c>
      <c r="BC374" s="502" t="n">
        <f aca="false">IF($D374="是",K374-L374,0)</f>
        <v>0</v>
      </c>
      <c r="BD374" s="502" t="n">
        <f aca="false">IF($D374="是",M374-N374,0)</f>
        <v>0</v>
      </c>
      <c r="BE374" s="502" t="n">
        <f aca="false">IF($D374="是",O374-P374,0)</f>
        <v>0</v>
      </c>
      <c r="BF374" s="502" t="n">
        <f aca="false">IF($D374="是",Q374-R374,0)</f>
        <v>0</v>
      </c>
      <c r="BG374" s="502" t="n">
        <f aca="false">IF($D374="是",S374-T374,0)</f>
        <v>0</v>
      </c>
      <c r="BH374" s="502" t="n">
        <f aca="false">IF($D374="是",U374-V374,0)</f>
        <v>0</v>
      </c>
      <c r="BI374" s="502" t="n">
        <f aca="false">IF($D374="是",W374-X374,0)</f>
        <v>0</v>
      </c>
      <c r="BJ374" s="502" t="n">
        <f aca="false">IF($D374="是",Y374-Z374,0)</f>
        <v>0</v>
      </c>
      <c r="BK374" s="502" t="n">
        <f aca="false">IF($D374="是",AA374-AB374,0)</f>
        <v>0</v>
      </c>
      <c r="BL374" s="502" t="n">
        <f aca="false">SUM(BM374:BT374)</f>
        <v>0</v>
      </c>
      <c r="BM374" s="502" t="n">
        <f aca="false">IF($D374="是",AD374-AE374,0)</f>
        <v>0</v>
      </c>
      <c r="BN374" s="502" t="n">
        <f aca="false">IF($D374="是",AF374-AG374,0)</f>
        <v>0</v>
      </c>
      <c r="BO374" s="502" t="n">
        <f aca="false">IF($D374="是",AH374-AI374,0)</f>
        <v>0</v>
      </c>
      <c r="BP374" s="502" t="n">
        <f aca="false">IF($D374="是",AJ374-AK374,0)</f>
        <v>0</v>
      </c>
      <c r="BQ374" s="502" t="n">
        <f aca="false">IF($D374="是",AL374-AM374,0)</f>
        <v>0</v>
      </c>
      <c r="BR374" s="502" t="n">
        <f aca="false">IF($D374="是",AN374-AO374,0)</f>
        <v>0</v>
      </c>
      <c r="BS374" s="502" t="n">
        <f aca="false">IF($D374="是",AP374-AQ374,0)</f>
        <v>0</v>
      </c>
      <c r="BT374" s="512" t="n">
        <f aca="false">IF($D374="是",AR374-AS374,0)</f>
        <v>0</v>
      </c>
    </row>
    <row r="375" customFormat="false" ht="14.25" hidden="false" customHeight="false" outlineLevel="0" collapsed="false">
      <c r="A375" s="499"/>
      <c r="B375" s="500"/>
      <c r="C375" s="500"/>
      <c r="D375" s="501"/>
      <c r="E375" s="502" t="n">
        <f aca="false">IF($C$3="是",ROUND($A$3*G375/$B$3,2),ROUND($A$3*(G375-AT375)/$B$3,2))</f>
        <v>0</v>
      </c>
      <c r="F375" s="503"/>
      <c r="G375" s="504" t="n">
        <f aca="false">H375+AC375+AT375</f>
        <v>0</v>
      </c>
      <c r="H375" s="505" t="n">
        <f aca="false">SUMIF(I$12:AB$12,"总值",I375:AB375)</f>
        <v>0</v>
      </c>
      <c r="I375" s="506"/>
      <c r="J375" s="506"/>
      <c r="K375" s="506"/>
      <c r="L375" s="506"/>
      <c r="M375" s="506"/>
      <c r="N375" s="506"/>
      <c r="O375" s="506"/>
      <c r="P375" s="506"/>
      <c r="Q375" s="506"/>
      <c r="R375" s="506"/>
      <c r="S375" s="506"/>
      <c r="T375" s="506"/>
      <c r="U375" s="506"/>
      <c r="V375" s="506"/>
      <c r="W375" s="506"/>
      <c r="X375" s="506"/>
      <c r="Y375" s="506"/>
      <c r="Z375" s="506"/>
      <c r="AA375" s="506"/>
      <c r="AB375" s="506"/>
      <c r="AC375" s="502" t="n">
        <f aca="false">SUMIF(AD$12:AS$12,"总值",AD375:AS375)</f>
        <v>0</v>
      </c>
      <c r="AD375" s="507"/>
      <c r="AE375" s="507"/>
      <c r="AF375" s="507"/>
      <c r="AG375" s="507"/>
      <c r="AH375" s="507"/>
      <c r="AI375" s="507"/>
      <c r="AJ375" s="507"/>
      <c r="AK375" s="507"/>
      <c r="AL375" s="507"/>
      <c r="AM375" s="507"/>
      <c r="AN375" s="507"/>
      <c r="AO375" s="507"/>
      <c r="AP375" s="507"/>
      <c r="AQ375" s="507"/>
      <c r="AR375" s="507"/>
      <c r="AS375" s="507"/>
      <c r="AT375" s="508"/>
      <c r="AU375" s="509"/>
      <c r="AV375" s="510" t="n">
        <f aca="false">A375</f>
        <v>0</v>
      </c>
      <c r="AW375" s="510" t="n">
        <f aca="false">B375</f>
        <v>0</v>
      </c>
      <c r="AX375" s="510" t="n">
        <f aca="false">C375</f>
        <v>0</v>
      </c>
      <c r="AY375" s="511" t="n">
        <f aca="false">ROUND($AY$6*AZ375/$AZ$5,2)</f>
        <v>0</v>
      </c>
      <c r="AZ375" s="502" t="n">
        <f aca="false">BA375+BL375</f>
        <v>0</v>
      </c>
      <c r="BA375" s="502" t="n">
        <f aca="false">SUM(BB375:BK375)</f>
        <v>0</v>
      </c>
      <c r="BB375" s="502" t="n">
        <f aca="false">IF($D375="是",I375-J375,0)</f>
        <v>0</v>
      </c>
      <c r="BC375" s="502" t="n">
        <f aca="false">IF($D375="是",K375-L375,0)</f>
        <v>0</v>
      </c>
      <c r="BD375" s="502" t="n">
        <f aca="false">IF($D375="是",M375-N375,0)</f>
        <v>0</v>
      </c>
      <c r="BE375" s="502" t="n">
        <f aca="false">IF($D375="是",O375-P375,0)</f>
        <v>0</v>
      </c>
      <c r="BF375" s="502" t="n">
        <f aca="false">IF($D375="是",Q375-R375,0)</f>
        <v>0</v>
      </c>
      <c r="BG375" s="502" t="n">
        <f aca="false">IF($D375="是",S375-T375,0)</f>
        <v>0</v>
      </c>
      <c r="BH375" s="502" t="n">
        <f aca="false">IF($D375="是",U375-V375,0)</f>
        <v>0</v>
      </c>
      <c r="BI375" s="502" t="n">
        <f aca="false">IF($D375="是",W375-X375,0)</f>
        <v>0</v>
      </c>
      <c r="BJ375" s="502" t="n">
        <f aca="false">IF($D375="是",Y375-Z375,0)</f>
        <v>0</v>
      </c>
      <c r="BK375" s="502" t="n">
        <f aca="false">IF($D375="是",AA375-AB375,0)</f>
        <v>0</v>
      </c>
      <c r="BL375" s="502" t="n">
        <f aca="false">SUM(BM375:BT375)</f>
        <v>0</v>
      </c>
      <c r="BM375" s="502" t="n">
        <f aca="false">IF($D375="是",AD375-AE375,0)</f>
        <v>0</v>
      </c>
      <c r="BN375" s="502" t="n">
        <f aca="false">IF($D375="是",AF375-AG375,0)</f>
        <v>0</v>
      </c>
      <c r="BO375" s="502" t="n">
        <f aca="false">IF($D375="是",AH375-AI375,0)</f>
        <v>0</v>
      </c>
      <c r="BP375" s="502" t="n">
        <f aca="false">IF($D375="是",AJ375-AK375,0)</f>
        <v>0</v>
      </c>
      <c r="BQ375" s="502" t="n">
        <f aca="false">IF($D375="是",AL375-AM375,0)</f>
        <v>0</v>
      </c>
      <c r="BR375" s="502" t="n">
        <f aca="false">IF($D375="是",AN375-AO375,0)</f>
        <v>0</v>
      </c>
      <c r="BS375" s="502" t="n">
        <f aca="false">IF($D375="是",AP375-AQ375,0)</f>
        <v>0</v>
      </c>
      <c r="BT375" s="512" t="n">
        <f aca="false">IF($D375="是",AR375-AS375,0)</f>
        <v>0</v>
      </c>
    </row>
    <row r="376" customFormat="false" ht="14.25" hidden="false" customHeight="false" outlineLevel="0" collapsed="false">
      <c r="A376" s="499"/>
      <c r="B376" s="500"/>
      <c r="C376" s="500"/>
      <c r="D376" s="501"/>
      <c r="E376" s="502" t="n">
        <f aca="false">IF($C$3="是",ROUND($A$3*G376/$B$3,2),ROUND($A$3*(G376-AT376)/$B$3,2))</f>
        <v>0</v>
      </c>
      <c r="F376" s="503"/>
      <c r="G376" s="504" t="n">
        <f aca="false">H376+AC376+AT376</f>
        <v>0</v>
      </c>
      <c r="H376" s="505" t="n">
        <f aca="false">SUMIF(I$12:AB$12,"总值",I376:AB376)</f>
        <v>0</v>
      </c>
      <c r="I376" s="506"/>
      <c r="J376" s="506"/>
      <c r="K376" s="506"/>
      <c r="L376" s="506"/>
      <c r="M376" s="506"/>
      <c r="N376" s="506"/>
      <c r="O376" s="506"/>
      <c r="P376" s="506"/>
      <c r="Q376" s="506"/>
      <c r="R376" s="506"/>
      <c r="S376" s="506"/>
      <c r="T376" s="506"/>
      <c r="U376" s="506"/>
      <c r="V376" s="506"/>
      <c r="W376" s="506"/>
      <c r="X376" s="506"/>
      <c r="Y376" s="506"/>
      <c r="Z376" s="506"/>
      <c r="AA376" s="506"/>
      <c r="AB376" s="506"/>
      <c r="AC376" s="502" t="n">
        <f aca="false">SUMIF(AD$12:AS$12,"总值",AD376:AS376)</f>
        <v>0</v>
      </c>
      <c r="AD376" s="507"/>
      <c r="AE376" s="507"/>
      <c r="AF376" s="507"/>
      <c r="AG376" s="507"/>
      <c r="AH376" s="507"/>
      <c r="AI376" s="507"/>
      <c r="AJ376" s="507"/>
      <c r="AK376" s="507"/>
      <c r="AL376" s="507"/>
      <c r="AM376" s="507"/>
      <c r="AN376" s="507"/>
      <c r="AO376" s="507"/>
      <c r="AP376" s="507"/>
      <c r="AQ376" s="507"/>
      <c r="AR376" s="507"/>
      <c r="AS376" s="507"/>
      <c r="AT376" s="508"/>
      <c r="AU376" s="509"/>
      <c r="AV376" s="510" t="n">
        <f aca="false">A376</f>
        <v>0</v>
      </c>
      <c r="AW376" s="510" t="n">
        <f aca="false">B376</f>
        <v>0</v>
      </c>
      <c r="AX376" s="510" t="n">
        <f aca="false">C376</f>
        <v>0</v>
      </c>
      <c r="AY376" s="511" t="n">
        <f aca="false">ROUND($AY$6*AZ376/$AZ$5,2)</f>
        <v>0</v>
      </c>
      <c r="AZ376" s="502" t="n">
        <f aca="false">BA376+BL376</f>
        <v>0</v>
      </c>
      <c r="BA376" s="502" t="n">
        <f aca="false">SUM(BB376:BK376)</f>
        <v>0</v>
      </c>
      <c r="BB376" s="502" t="n">
        <f aca="false">IF($D376="是",I376-J376,0)</f>
        <v>0</v>
      </c>
      <c r="BC376" s="502" t="n">
        <f aca="false">IF($D376="是",K376-L376,0)</f>
        <v>0</v>
      </c>
      <c r="BD376" s="502" t="n">
        <f aca="false">IF($D376="是",M376-N376,0)</f>
        <v>0</v>
      </c>
      <c r="BE376" s="502" t="n">
        <f aca="false">IF($D376="是",O376-P376,0)</f>
        <v>0</v>
      </c>
      <c r="BF376" s="502" t="n">
        <f aca="false">IF($D376="是",Q376-R376,0)</f>
        <v>0</v>
      </c>
      <c r="BG376" s="502" t="n">
        <f aca="false">IF($D376="是",S376-T376,0)</f>
        <v>0</v>
      </c>
      <c r="BH376" s="502" t="n">
        <f aca="false">IF($D376="是",U376-V376,0)</f>
        <v>0</v>
      </c>
      <c r="BI376" s="502" t="n">
        <f aca="false">IF($D376="是",W376-X376,0)</f>
        <v>0</v>
      </c>
      <c r="BJ376" s="502" t="n">
        <f aca="false">IF($D376="是",Y376-Z376,0)</f>
        <v>0</v>
      </c>
      <c r="BK376" s="502" t="n">
        <f aca="false">IF($D376="是",AA376-AB376,0)</f>
        <v>0</v>
      </c>
      <c r="BL376" s="502" t="n">
        <f aca="false">SUM(BM376:BT376)</f>
        <v>0</v>
      </c>
      <c r="BM376" s="502" t="n">
        <f aca="false">IF($D376="是",AD376-AE376,0)</f>
        <v>0</v>
      </c>
      <c r="BN376" s="502" t="n">
        <f aca="false">IF($D376="是",AF376-AG376,0)</f>
        <v>0</v>
      </c>
      <c r="BO376" s="502" t="n">
        <f aca="false">IF($D376="是",AH376-AI376,0)</f>
        <v>0</v>
      </c>
      <c r="BP376" s="502" t="n">
        <f aca="false">IF($D376="是",AJ376-AK376,0)</f>
        <v>0</v>
      </c>
      <c r="BQ376" s="502" t="n">
        <f aca="false">IF($D376="是",AL376-AM376,0)</f>
        <v>0</v>
      </c>
      <c r="BR376" s="502" t="n">
        <f aca="false">IF($D376="是",AN376-AO376,0)</f>
        <v>0</v>
      </c>
      <c r="BS376" s="502" t="n">
        <f aca="false">IF($D376="是",AP376-AQ376,0)</f>
        <v>0</v>
      </c>
      <c r="BT376" s="512" t="n">
        <f aca="false">IF($D376="是",AR376-AS376,0)</f>
        <v>0</v>
      </c>
    </row>
    <row r="377" customFormat="false" ht="14.25" hidden="false" customHeight="false" outlineLevel="0" collapsed="false">
      <c r="A377" s="499"/>
      <c r="B377" s="500"/>
      <c r="C377" s="500"/>
      <c r="D377" s="501"/>
      <c r="E377" s="502" t="n">
        <f aca="false">IF($C$3="是",ROUND($A$3*G377/$B$3,2),ROUND($A$3*(G377-AT377)/$B$3,2))</f>
        <v>0</v>
      </c>
      <c r="F377" s="503"/>
      <c r="G377" s="504" t="n">
        <f aca="false">H377+AC377+AT377</f>
        <v>0</v>
      </c>
      <c r="H377" s="505" t="n">
        <f aca="false">SUMIF(I$12:AB$12,"总值",I377:AB377)</f>
        <v>0</v>
      </c>
      <c r="I377" s="506"/>
      <c r="J377" s="506"/>
      <c r="K377" s="506"/>
      <c r="L377" s="506"/>
      <c r="M377" s="506"/>
      <c r="N377" s="506"/>
      <c r="O377" s="506"/>
      <c r="P377" s="506"/>
      <c r="Q377" s="506"/>
      <c r="R377" s="506"/>
      <c r="S377" s="506"/>
      <c r="T377" s="506"/>
      <c r="U377" s="506"/>
      <c r="V377" s="506"/>
      <c r="W377" s="506"/>
      <c r="X377" s="506"/>
      <c r="Y377" s="506"/>
      <c r="Z377" s="506"/>
      <c r="AA377" s="506"/>
      <c r="AB377" s="506"/>
      <c r="AC377" s="502" t="n">
        <f aca="false">SUMIF(AD$12:AS$12,"总值",AD377:AS377)</f>
        <v>0</v>
      </c>
      <c r="AD377" s="507"/>
      <c r="AE377" s="507"/>
      <c r="AF377" s="507"/>
      <c r="AG377" s="507"/>
      <c r="AH377" s="507"/>
      <c r="AI377" s="507"/>
      <c r="AJ377" s="507"/>
      <c r="AK377" s="507"/>
      <c r="AL377" s="507"/>
      <c r="AM377" s="507"/>
      <c r="AN377" s="507"/>
      <c r="AO377" s="507"/>
      <c r="AP377" s="507"/>
      <c r="AQ377" s="507"/>
      <c r="AR377" s="507"/>
      <c r="AS377" s="507"/>
      <c r="AT377" s="508"/>
      <c r="AU377" s="509"/>
      <c r="AV377" s="510" t="n">
        <f aca="false">A377</f>
        <v>0</v>
      </c>
      <c r="AW377" s="510" t="n">
        <f aca="false">B377</f>
        <v>0</v>
      </c>
      <c r="AX377" s="510" t="n">
        <f aca="false">C377</f>
        <v>0</v>
      </c>
      <c r="AY377" s="511" t="n">
        <f aca="false">ROUND($AY$6*AZ377/$AZ$5,2)</f>
        <v>0</v>
      </c>
      <c r="AZ377" s="502" t="n">
        <f aca="false">BA377+BL377</f>
        <v>0</v>
      </c>
      <c r="BA377" s="502" t="n">
        <f aca="false">SUM(BB377:BK377)</f>
        <v>0</v>
      </c>
      <c r="BB377" s="502" t="n">
        <f aca="false">IF($D377="是",I377-J377,0)</f>
        <v>0</v>
      </c>
      <c r="BC377" s="502" t="n">
        <f aca="false">IF($D377="是",K377-L377,0)</f>
        <v>0</v>
      </c>
      <c r="BD377" s="502" t="n">
        <f aca="false">IF($D377="是",M377-N377,0)</f>
        <v>0</v>
      </c>
      <c r="BE377" s="502" t="n">
        <f aca="false">IF($D377="是",O377-P377,0)</f>
        <v>0</v>
      </c>
      <c r="BF377" s="502" t="n">
        <f aca="false">IF($D377="是",Q377-R377,0)</f>
        <v>0</v>
      </c>
      <c r="BG377" s="502" t="n">
        <f aca="false">IF($D377="是",S377-T377,0)</f>
        <v>0</v>
      </c>
      <c r="BH377" s="502" t="n">
        <f aca="false">IF($D377="是",U377-V377,0)</f>
        <v>0</v>
      </c>
      <c r="BI377" s="502" t="n">
        <f aca="false">IF($D377="是",W377-X377,0)</f>
        <v>0</v>
      </c>
      <c r="BJ377" s="502" t="n">
        <f aca="false">IF($D377="是",Y377-Z377,0)</f>
        <v>0</v>
      </c>
      <c r="BK377" s="502" t="n">
        <f aca="false">IF($D377="是",AA377-AB377,0)</f>
        <v>0</v>
      </c>
      <c r="BL377" s="502" t="n">
        <f aca="false">SUM(BM377:BT377)</f>
        <v>0</v>
      </c>
      <c r="BM377" s="502" t="n">
        <f aca="false">IF($D377="是",AD377-AE377,0)</f>
        <v>0</v>
      </c>
      <c r="BN377" s="502" t="n">
        <f aca="false">IF($D377="是",AF377-AG377,0)</f>
        <v>0</v>
      </c>
      <c r="BO377" s="502" t="n">
        <f aca="false">IF($D377="是",AH377-AI377,0)</f>
        <v>0</v>
      </c>
      <c r="BP377" s="502" t="n">
        <f aca="false">IF($D377="是",AJ377-AK377,0)</f>
        <v>0</v>
      </c>
      <c r="BQ377" s="502" t="n">
        <f aca="false">IF($D377="是",AL377-AM377,0)</f>
        <v>0</v>
      </c>
      <c r="BR377" s="502" t="n">
        <f aca="false">IF($D377="是",AN377-AO377,0)</f>
        <v>0</v>
      </c>
      <c r="BS377" s="502" t="n">
        <f aca="false">IF($D377="是",AP377-AQ377,0)</f>
        <v>0</v>
      </c>
      <c r="BT377" s="512" t="n">
        <f aca="false">IF($D377="是",AR377-AS377,0)</f>
        <v>0</v>
      </c>
    </row>
    <row r="378" customFormat="false" ht="14.25" hidden="false" customHeight="false" outlineLevel="0" collapsed="false">
      <c r="A378" s="499"/>
      <c r="B378" s="500"/>
      <c r="C378" s="500"/>
      <c r="D378" s="501"/>
      <c r="E378" s="502" t="n">
        <f aca="false">IF($C$3="是",ROUND($A$3*G378/$B$3,2),ROUND($A$3*(G378-AT378)/$B$3,2))</f>
        <v>0</v>
      </c>
      <c r="F378" s="503"/>
      <c r="G378" s="504" t="n">
        <f aca="false">H378+AC378+AT378</f>
        <v>0</v>
      </c>
      <c r="H378" s="505" t="n">
        <f aca="false">SUMIF(I$12:AB$12,"总值",I378:AB378)</f>
        <v>0</v>
      </c>
      <c r="I378" s="506"/>
      <c r="J378" s="506"/>
      <c r="K378" s="506"/>
      <c r="L378" s="506"/>
      <c r="M378" s="506"/>
      <c r="N378" s="506"/>
      <c r="O378" s="506"/>
      <c r="P378" s="506"/>
      <c r="Q378" s="506"/>
      <c r="R378" s="506"/>
      <c r="S378" s="506"/>
      <c r="T378" s="506"/>
      <c r="U378" s="506"/>
      <c r="V378" s="506"/>
      <c r="W378" s="506"/>
      <c r="X378" s="506"/>
      <c r="Y378" s="506"/>
      <c r="Z378" s="506"/>
      <c r="AA378" s="506"/>
      <c r="AB378" s="506"/>
      <c r="AC378" s="502" t="n">
        <f aca="false">SUMIF(AD$12:AS$12,"总值",AD378:AS378)</f>
        <v>0</v>
      </c>
      <c r="AD378" s="507"/>
      <c r="AE378" s="507"/>
      <c r="AF378" s="507"/>
      <c r="AG378" s="507"/>
      <c r="AH378" s="507"/>
      <c r="AI378" s="507"/>
      <c r="AJ378" s="507"/>
      <c r="AK378" s="507"/>
      <c r="AL378" s="507"/>
      <c r="AM378" s="507"/>
      <c r="AN378" s="507"/>
      <c r="AO378" s="507"/>
      <c r="AP378" s="507"/>
      <c r="AQ378" s="507"/>
      <c r="AR378" s="507"/>
      <c r="AS378" s="507"/>
      <c r="AT378" s="508"/>
      <c r="AU378" s="509"/>
      <c r="AV378" s="510" t="n">
        <f aca="false">A378</f>
        <v>0</v>
      </c>
      <c r="AW378" s="510" t="n">
        <f aca="false">B378</f>
        <v>0</v>
      </c>
      <c r="AX378" s="510" t="n">
        <f aca="false">C378</f>
        <v>0</v>
      </c>
      <c r="AY378" s="511" t="n">
        <f aca="false">ROUND($AY$6*AZ378/$AZ$5,2)</f>
        <v>0</v>
      </c>
      <c r="AZ378" s="502" t="n">
        <f aca="false">BA378+BL378</f>
        <v>0</v>
      </c>
      <c r="BA378" s="502" t="n">
        <f aca="false">SUM(BB378:BK378)</f>
        <v>0</v>
      </c>
      <c r="BB378" s="502" t="n">
        <f aca="false">IF($D378="是",I378-J378,0)</f>
        <v>0</v>
      </c>
      <c r="BC378" s="502" t="n">
        <f aca="false">IF($D378="是",K378-L378,0)</f>
        <v>0</v>
      </c>
      <c r="BD378" s="502" t="n">
        <f aca="false">IF($D378="是",M378-N378,0)</f>
        <v>0</v>
      </c>
      <c r="BE378" s="502" t="n">
        <f aca="false">IF($D378="是",O378-P378,0)</f>
        <v>0</v>
      </c>
      <c r="BF378" s="502" t="n">
        <f aca="false">IF($D378="是",Q378-R378,0)</f>
        <v>0</v>
      </c>
      <c r="BG378" s="502" t="n">
        <f aca="false">IF($D378="是",S378-T378,0)</f>
        <v>0</v>
      </c>
      <c r="BH378" s="502" t="n">
        <f aca="false">IF($D378="是",U378-V378,0)</f>
        <v>0</v>
      </c>
      <c r="BI378" s="502" t="n">
        <f aca="false">IF($D378="是",W378-X378,0)</f>
        <v>0</v>
      </c>
      <c r="BJ378" s="502" t="n">
        <f aca="false">IF($D378="是",Y378-Z378,0)</f>
        <v>0</v>
      </c>
      <c r="BK378" s="502" t="n">
        <f aca="false">IF($D378="是",AA378-AB378,0)</f>
        <v>0</v>
      </c>
      <c r="BL378" s="502" t="n">
        <f aca="false">SUM(BM378:BT378)</f>
        <v>0</v>
      </c>
      <c r="BM378" s="502" t="n">
        <f aca="false">IF($D378="是",AD378-AE378,0)</f>
        <v>0</v>
      </c>
      <c r="BN378" s="502" t="n">
        <f aca="false">IF($D378="是",AF378-AG378,0)</f>
        <v>0</v>
      </c>
      <c r="BO378" s="502" t="n">
        <f aca="false">IF($D378="是",AH378-AI378,0)</f>
        <v>0</v>
      </c>
      <c r="BP378" s="502" t="n">
        <f aca="false">IF($D378="是",AJ378-AK378,0)</f>
        <v>0</v>
      </c>
      <c r="BQ378" s="502" t="n">
        <f aca="false">IF($D378="是",AL378-AM378,0)</f>
        <v>0</v>
      </c>
      <c r="BR378" s="502" t="n">
        <f aca="false">IF($D378="是",AN378-AO378,0)</f>
        <v>0</v>
      </c>
      <c r="BS378" s="502" t="n">
        <f aca="false">IF($D378="是",AP378-AQ378,0)</f>
        <v>0</v>
      </c>
      <c r="BT378" s="512" t="n">
        <f aca="false">IF($D378="是",AR378-AS378,0)</f>
        <v>0</v>
      </c>
    </row>
    <row r="379" customFormat="false" ht="14.25" hidden="false" customHeight="false" outlineLevel="0" collapsed="false">
      <c r="A379" s="499"/>
      <c r="B379" s="500"/>
      <c r="C379" s="500"/>
      <c r="D379" s="501"/>
      <c r="E379" s="502" t="n">
        <f aca="false">IF($C$3="是",ROUND($A$3*G379/$B$3,2),ROUND($A$3*(G379-AT379)/$B$3,2))</f>
        <v>0</v>
      </c>
      <c r="F379" s="503"/>
      <c r="G379" s="504" t="n">
        <f aca="false">H379+AC379+AT379</f>
        <v>0</v>
      </c>
      <c r="H379" s="505" t="n">
        <f aca="false">SUMIF(I$12:AB$12,"总值",I379:AB379)</f>
        <v>0</v>
      </c>
      <c r="I379" s="506"/>
      <c r="J379" s="506"/>
      <c r="K379" s="506"/>
      <c r="L379" s="506"/>
      <c r="M379" s="506"/>
      <c r="N379" s="506"/>
      <c r="O379" s="506"/>
      <c r="P379" s="506"/>
      <c r="Q379" s="506"/>
      <c r="R379" s="506"/>
      <c r="S379" s="506"/>
      <c r="T379" s="506"/>
      <c r="U379" s="506"/>
      <c r="V379" s="506"/>
      <c r="W379" s="506"/>
      <c r="X379" s="506"/>
      <c r="Y379" s="506"/>
      <c r="Z379" s="506"/>
      <c r="AA379" s="506"/>
      <c r="AB379" s="506"/>
      <c r="AC379" s="502" t="n">
        <f aca="false">SUMIF(AD$12:AS$12,"总值",AD379:AS379)</f>
        <v>0</v>
      </c>
      <c r="AD379" s="507"/>
      <c r="AE379" s="507"/>
      <c r="AF379" s="507"/>
      <c r="AG379" s="507"/>
      <c r="AH379" s="507"/>
      <c r="AI379" s="507"/>
      <c r="AJ379" s="507"/>
      <c r="AK379" s="507"/>
      <c r="AL379" s="507"/>
      <c r="AM379" s="507"/>
      <c r="AN379" s="507"/>
      <c r="AO379" s="507"/>
      <c r="AP379" s="507"/>
      <c r="AQ379" s="507"/>
      <c r="AR379" s="507"/>
      <c r="AS379" s="507"/>
      <c r="AT379" s="508"/>
      <c r="AU379" s="509"/>
      <c r="AV379" s="510" t="n">
        <f aca="false">A379</f>
        <v>0</v>
      </c>
      <c r="AW379" s="510" t="n">
        <f aca="false">B379</f>
        <v>0</v>
      </c>
      <c r="AX379" s="510" t="n">
        <f aca="false">C379</f>
        <v>0</v>
      </c>
      <c r="AY379" s="511" t="n">
        <f aca="false">ROUND($AY$6*AZ379/$AZ$5,2)</f>
        <v>0</v>
      </c>
      <c r="AZ379" s="502" t="n">
        <f aca="false">BA379+BL379</f>
        <v>0</v>
      </c>
      <c r="BA379" s="502" t="n">
        <f aca="false">SUM(BB379:BK379)</f>
        <v>0</v>
      </c>
      <c r="BB379" s="502" t="n">
        <f aca="false">IF($D379="是",I379-J379,0)</f>
        <v>0</v>
      </c>
      <c r="BC379" s="502" t="n">
        <f aca="false">IF($D379="是",K379-L379,0)</f>
        <v>0</v>
      </c>
      <c r="BD379" s="502" t="n">
        <f aca="false">IF($D379="是",M379-N379,0)</f>
        <v>0</v>
      </c>
      <c r="BE379" s="502" t="n">
        <f aca="false">IF($D379="是",O379-P379,0)</f>
        <v>0</v>
      </c>
      <c r="BF379" s="502" t="n">
        <f aca="false">IF($D379="是",Q379-R379,0)</f>
        <v>0</v>
      </c>
      <c r="BG379" s="502" t="n">
        <f aca="false">IF($D379="是",S379-T379,0)</f>
        <v>0</v>
      </c>
      <c r="BH379" s="502" t="n">
        <f aca="false">IF($D379="是",U379-V379,0)</f>
        <v>0</v>
      </c>
      <c r="BI379" s="502" t="n">
        <f aca="false">IF($D379="是",W379-X379,0)</f>
        <v>0</v>
      </c>
      <c r="BJ379" s="502" t="n">
        <f aca="false">IF($D379="是",Y379-Z379,0)</f>
        <v>0</v>
      </c>
      <c r="BK379" s="502" t="n">
        <f aca="false">IF($D379="是",AA379-AB379,0)</f>
        <v>0</v>
      </c>
      <c r="BL379" s="502" t="n">
        <f aca="false">SUM(BM379:BT379)</f>
        <v>0</v>
      </c>
      <c r="BM379" s="502" t="n">
        <f aca="false">IF($D379="是",AD379-AE379,0)</f>
        <v>0</v>
      </c>
      <c r="BN379" s="502" t="n">
        <f aca="false">IF($D379="是",AF379-AG379,0)</f>
        <v>0</v>
      </c>
      <c r="BO379" s="502" t="n">
        <f aca="false">IF($D379="是",AH379-AI379,0)</f>
        <v>0</v>
      </c>
      <c r="BP379" s="502" t="n">
        <f aca="false">IF($D379="是",AJ379-AK379,0)</f>
        <v>0</v>
      </c>
      <c r="BQ379" s="502" t="n">
        <f aca="false">IF($D379="是",AL379-AM379,0)</f>
        <v>0</v>
      </c>
      <c r="BR379" s="502" t="n">
        <f aca="false">IF($D379="是",AN379-AO379,0)</f>
        <v>0</v>
      </c>
      <c r="BS379" s="502" t="n">
        <f aca="false">IF($D379="是",AP379-AQ379,0)</f>
        <v>0</v>
      </c>
      <c r="BT379" s="512" t="n">
        <f aca="false">IF($D379="是",AR379-AS379,0)</f>
        <v>0</v>
      </c>
    </row>
    <row r="380" customFormat="false" ht="14.25" hidden="false" customHeight="false" outlineLevel="0" collapsed="false">
      <c r="A380" s="499"/>
      <c r="B380" s="500"/>
      <c r="C380" s="500"/>
      <c r="D380" s="501"/>
      <c r="E380" s="502" t="n">
        <f aca="false">IF($C$3="是",ROUND($A$3*G380/$B$3,2),ROUND($A$3*(G380-AT380)/$B$3,2))</f>
        <v>0</v>
      </c>
      <c r="F380" s="503"/>
      <c r="G380" s="504" t="n">
        <f aca="false">H380+AC380+AT380</f>
        <v>0</v>
      </c>
      <c r="H380" s="505" t="n">
        <f aca="false">SUMIF(I$12:AB$12,"总值",I380:AB380)</f>
        <v>0</v>
      </c>
      <c r="I380" s="506"/>
      <c r="J380" s="506"/>
      <c r="K380" s="506"/>
      <c r="L380" s="506"/>
      <c r="M380" s="506"/>
      <c r="N380" s="506"/>
      <c r="O380" s="506"/>
      <c r="P380" s="506"/>
      <c r="Q380" s="506"/>
      <c r="R380" s="506"/>
      <c r="S380" s="506"/>
      <c r="T380" s="506"/>
      <c r="U380" s="506"/>
      <c r="V380" s="506"/>
      <c r="W380" s="506"/>
      <c r="X380" s="506"/>
      <c r="Y380" s="506"/>
      <c r="Z380" s="506"/>
      <c r="AA380" s="506"/>
      <c r="AB380" s="506"/>
      <c r="AC380" s="502" t="n">
        <f aca="false">SUMIF(AD$12:AS$12,"总值",AD380:AS380)</f>
        <v>0</v>
      </c>
      <c r="AD380" s="507"/>
      <c r="AE380" s="507"/>
      <c r="AF380" s="507"/>
      <c r="AG380" s="507"/>
      <c r="AH380" s="507"/>
      <c r="AI380" s="507"/>
      <c r="AJ380" s="507"/>
      <c r="AK380" s="507"/>
      <c r="AL380" s="507"/>
      <c r="AM380" s="507"/>
      <c r="AN380" s="507"/>
      <c r="AO380" s="507"/>
      <c r="AP380" s="507"/>
      <c r="AQ380" s="507"/>
      <c r="AR380" s="507"/>
      <c r="AS380" s="507"/>
      <c r="AT380" s="508"/>
      <c r="AU380" s="509"/>
      <c r="AV380" s="510" t="n">
        <f aca="false">A380</f>
        <v>0</v>
      </c>
      <c r="AW380" s="510" t="n">
        <f aca="false">B380</f>
        <v>0</v>
      </c>
      <c r="AX380" s="510" t="n">
        <f aca="false">C380</f>
        <v>0</v>
      </c>
      <c r="AY380" s="511" t="n">
        <f aca="false">ROUND($AY$6*AZ380/$AZ$5,2)</f>
        <v>0</v>
      </c>
      <c r="AZ380" s="502" t="n">
        <f aca="false">BA380+BL380</f>
        <v>0</v>
      </c>
      <c r="BA380" s="502" t="n">
        <f aca="false">SUM(BB380:BK380)</f>
        <v>0</v>
      </c>
      <c r="BB380" s="502" t="n">
        <f aca="false">IF($D380="是",I380-J380,0)</f>
        <v>0</v>
      </c>
      <c r="BC380" s="502" t="n">
        <f aca="false">IF($D380="是",K380-L380,0)</f>
        <v>0</v>
      </c>
      <c r="BD380" s="502" t="n">
        <f aca="false">IF($D380="是",M380-N380,0)</f>
        <v>0</v>
      </c>
      <c r="BE380" s="502" t="n">
        <f aca="false">IF($D380="是",O380-P380,0)</f>
        <v>0</v>
      </c>
      <c r="BF380" s="502" t="n">
        <f aca="false">IF($D380="是",Q380-R380,0)</f>
        <v>0</v>
      </c>
      <c r="BG380" s="502" t="n">
        <f aca="false">IF($D380="是",S380-T380,0)</f>
        <v>0</v>
      </c>
      <c r="BH380" s="502" t="n">
        <f aca="false">IF($D380="是",U380-V380,0)</f>
        <v>0</v>
      </c>
      <c r="BI380" s="502" t="n">
        <f aca="false">IF($D380="是",W380-X380,0)</f>
        <v>0</v>
      </c>
      <c r="BJ380" s="502" t="n">
        <f aca="false">IF($D380="是",Y380-Z380,0)</f>
        <v>0</v>
      </c>
      <c r="BK380" s="502" t="n">
        <f aca="false">IF($D380="是",AA380-AB380,0)</f>
        <v>0</v>
      </c>
      <c r="BL380" s="502" t="n">
        <f aca="false">SUM(BM380:BT380)</f>
        <v>0</v>
      </c>
      <c r="BM380" s="502" t="n">
        <f aca="false">IF($D380="是",AD380-AE380,0)</f>
        <v>0</v>
      </c>
      <c r="BN380" s="502" t="n">
        <f aca="false">IF($D380="是",AF380-AG380,0)</f>
        <v>0</v>
      </c>
      <c r="BO380" s="502" t="n">
        <f aca="false">IF($D380="是",AH380-AI380,0)</f>
        <v>0</v>
      </c>
      <c r="BP380" s="502" t="n">
        <f aca="false">IF($D380="是",AJ380-AK380,0)</f>
        <v>0</v>
      </c>
      <c r="BQ380" s="502" t="n">
        <f aca="false">IF($D380="是",AL380-AM380,0)</f>
        <v>0</v>
      </c>
      <c r="BR380" s="502" t="n">
        <f aca="false">IF($D380="是",AN380-AO380,0)</f>
        <v>0</v>
      </c>
      <c r="BS380" s="502" t="n">
        <f aca="false">IF($D380="是",AP380-AQ380,0)</f>
        <v>0</v>
      </c>
      <c r="BT380" s="512" t="n">
        <f aca="false">IF($D380="是",AR380-AS380,0)</f>
        <v>0</v>
      </c>
    </row>
    <row r="381" customFormat="false" ht="14.25" hidden="false" customHeight="false" outlineLevel="0" collapsed="false">
      <c r="A381" s="499"/>
      <c r="B381" s="500"/>
      <c r="C381" s="500"/>
      <c r="D381" s="501"/>
      <c r="E381" s="502" t="n">
        <f aca="false">IF($C$3="是",ROUND($A$3*G381/$B$3,2),ROUND($A$3*(G381-AT381)/$B$3,2))</f>
        <v>0</v>
      </c>
      <c r="F381" s="503"/>
      <c r="G381" s="504" t="n">
        <f aca="false">H381+AC381+AT381</f>
        <v>0</v>
      </c>
      <c r="H381" s="505" t="n">
        <f aca="false">SUMIF(I$12:AB$12,"总值",I381:AB381)</f>
        <v>0</v>
      </c>
      <c r="I381" s="506"/>
      <c r="J381" s="506"/>
      <c r="K381" s="506"/>
      <c r="L381" s="506"/>
      <c r="M381" s="506"/>
      <c r="N381" s="506"/>
      <c r="O381" s="506"/>
      <c r="P381" s="506"/>
      <c r="Q381" s="506"/>
      <c r="R381" s="506"/>
      <c r="S381" s="506"/>
      <c r="T381" s="506"/>
      <c r="U381" s="506"/>
      <c r="V381" s="506"/>
      <c r="W381" s="506"/>
      <c r="X381" s="506"/>
      <c r="Y381" s="506"/>
      <c r="Z381" s="506"/>
      <c r="AA381" s="506"/>
      <c r="AB381" s="506"/>
      <c r="AC381" s="502" t="n">
        <f aca="false">SUMIF(AD$12:AS$12,"总值",AD381:AS381)</f>
        <v>0</v>
      </c>
      <c r="AD381" s="507"/>
      <c r="AE381" s="507"/>
      <c r="AF381" s="507"/>
      <c r="AG381" s="507"/>
      <c r="AH381" s="507"/>
      <c r="AI381" s="507"/>
      <c r="AJ381" s="507"/>
      <c r="AK381" s="507"/>
      <c r="AL381" s="507"/>
      <c r="AM381" s="507"/>
      <c r="AN381" s="507"/>
      <c r="AO381" s="507"/>
      <c r="AP381" s="507"/>
      <c r="AQ381" s="507"/>
      <c r="AR381" s="507"/>
      <c r="AS381" s="507"/>
      <c r="AT381" s="508"/>
      <c r="AU381" s="509"/>
      <c r="AV381" s="510" t="n">
        <f aca="false">A381</f>
        <v>0</v>
      </c>
      <c r="AW381" s="510" t="n">
        <f aca="false">B381</f>
        <v>0</v>
      </c>
      <c r="AX381" s="510" t="n">
        <f aca="false">C381</f>
        <v>0</v>
      </c>
      <c r="AY381" s="511" t="n">
        <f aca="false">ROUND($AY$6*AZ381/$AZ$5,2)</f>
        <v>0</v>
      </c>
      <c r="AZ381" s="502" t="n">
        <f aca="false">BA381+BL381</f>
        <v>0</v>
      </c>
      <c r="BA381" s="502" t="n">
        <f aca="false">SUM(BB381:BK381)</f>
        <v>0</v>
      </c>
      <c r="BB381" s="502" t="n">
        <f aca="false">IF($D381="是",I381-J381,0)</f>
        <v>0</v>
      </c>
      <c r="BC381" s="502" t="n">
        <f aca="false">IF($D381="是",K381-L381,0)</f>
        <v>0</v>
      </c>
      <c r="BD381" s="502" t="n">
        <f aca="false">IF($D381="是",M381-N381,0)</f>
        <v>0</v>
      </c>
      <c r="BE381" s="502" t="n">
        <f aca="false">IF($D381="是",O381-P381,0)</f>
        <v>0</v>
      </c>
      <c r="BF381" s="502" t="n">
        <f aca="false">IF($D381="是",Q381-R381,0)</f>
        <v>0</v>
      </c>
      <c r="BG381" s="502" t="n">
        <f aca="false">IF($D381="是",S381-T381,0)</f>
        <v>0</v>
      </c>
      <c r="BH381" s="502" t="n">
        <f aca="false">IF($D381="是",U381-V381,0)</f>
        <v>0</v>
      </c>
      <c r="BI381" s="502" t="n">
        <f aca="false">IF($D381="是",W381-X381,0)</f>
        <v>0</v>
      </c>
      <c r="BJ381" s="502" t="n">
        <f aca="false">IF($D381="是",Y381-Z381,0)</f>
        <v>0</v>
      </c>
      <c r="BK381" s="502" t="n">
        <f aca="false">IF($D381="是",AA381-AB381,0)</f>
        <v>0</v>
      </c>
      <c r="BL381" s="502" t="n">
        <f aca="false">SUM(BM381:BT381)</f>
        <v>0</v>
      </c>
      <c r="BM381" s="502" t="n">
        <f aca="false">IF($D381="是",AD381-AE381,0)</f>
        <v>0</v>
      </c>
      <c r="BN381" s="502" t="n">
        <f aca="false">IF($D381="是",AF381-AG381,0)</f>
        <v>0</v>
      </c>
      <c r="BO381" s="502" t="n">
        <f aca="false">IF($D381="是",AH381-AI381,0)</f>
        <v>0</v>
      </c>
      <c r="BP381" s="502" t="n">
        <f aca="false">IF($D381="是",AJ381-AK381,0)</f>
        <v>0</v>
      </c>
      <c r="BQ381" s="502" t="n">
        <f aca="false">IF($D381="是",AL381-AM381,0)</f>
        <v>0</v>
      </c>
      <c r="BR381" s="502" t="n">
        <f aca="false">IF($D381="是",AN381-AO381,0)</f>
        <v>0</v>
      </c>
      <c r="BS381" s="502" t="n">
        <f aca="false">IF($D381="是",AP381-AQ381,0)</f>
        <v>0</v>
      </c>
      <c r="BT381" s="512" t="n">
        <f aca="false">IF($D381="是",AR381-AS381,0)</f>
        <v>0</v>
      </c>
    </row>
    <row r="382" customFormat="false" ht="14.25" hidden="false" customHeight="false" outlineLevel="0" collapsed="false">
      <c r="A382" s="499"/>
      <c r="B382" s="500"/>
      <c r="C382" s="500"/>
      <c r="D382" s="501"/>
      <c r="E382" s="502" t="n">
        <f aca="false">IF($C$3="是",ROUND($A$3*G382/$B$3,2),ROUND($A$3*(G382-AT382)/$B$3,2))</f>
        <v>0</v>
      </c>
      <c r="F382" s="503"/>
      <c r="G382" s="504" t="n">
        <f aca="false">H382+AC382+AT382</f>
        <v>0</v>
      </c>
      <c r="H382" s="505" t="n">
        <f aca="false">SUMIF(I$12:AB$12,"总值",I382:AB382)</f>
        <v>0</v>
      </c>
      <c r="I382" s="506"/>
      <c r="J382" s="506"/>
      <c r="K382" s="506"/>
      <c r="L382" s="506"/>
      <c r="M382" s="506"/>
      <c r="N382" s="506"/>
      <c r="O382" s="506"/>
      <c r="P382" s="506"/>
      <c r="Q382" s="506"/>
      <c r="R382" s="506"/>
      <c r="S382" s="506"/>
      <c r="T382" s="506"/>
      <c r="U382" s="506"/>
      <c r="V382" s="506"/>
      <c r="W382" s="506"/>
      <c r="X382" s="506"/>
      <c r="Y382" s="506"/>
      <c r="Z382" s="506"/>
      <c r="AA382" s="506"/>
      <c r="AB382" s="506"/>
      <c r="AC382" s="502" t="n">
        <f aca="false">SUMIF(AD$12:AS$12,"总值",AD382:AS382)</f>
        <v>0</v>
      </c>
      <c r="AD382" s="507"/>
      <c r="AE382" s="507"/>
      <c r="AF382" s="507"/>
      <c r="AG382" s="507"/>
      <c r="AH382" s="507"/>
      <c r="AI382" s="507"/>
      <c r="AJ382" s="507"/>
      <c r="AK382" s="507"/>
      <c r="AL382" s="507"/>
      <c r="AM382" s="507"/>
      <c r="AN382" s="507"/>
      <c r="AO382" s="507"/>
      <c r="AP382" s="507"/>
      <c r="AQ382" s="507"/>
      <c r="AR382" s="507"/>
      <c r="AS382" s="507"/>
      <c r="AT382" s="508"/>
      <c r="AU382" s="509"/>
      <c r="AV382" s="510" t="n">
        <f aca="false">A382</f>
        <v>0</v>
      </c>
      <c r="AW382" s="510" t="n">
        <f aca="false">B382</f>
        <v>0</v>
      </c>
      <c r="AX382" s="510" t="n">
        <f aca="false">C382</f>
        <v>0</v>
      </c>
      <c r="AY382" s="511" t="n">
        <f aca="false">ROUND($AY$6*AZ382/$AZ$5,2)</f>
        <v>0</v>
      </c>
      <c r="AZ382" s="502" t="n">
        <f aca="false">BA382+BL382</f>
        <v>0</v>
      </c>
      <c r="BA382" s="502" t="n">
        <f aca="false">SUM(BB382:BK382)</f>
        <v>0</v>
      </c>
      <c r="BB382" s="502" t="n">
        <f aca="false">IF($D382="是",I382-J382,0)</f>
        <v>0</v>
      </c>
      <c r="BC382" s="502" t="n">
        <f aca="false">IF($D382="是",K382-L382,0)</f>
        <v>0</v>
      </c>
      <c r="BD382" s="502" t="n">
        <f aca="false">IF($D382="是",M382-N382,0)</f>
        <v>0</v>
      </c>
      <c r="BE382" s="502" t="n">
        <f aca="false">IF($D382="是",O382-P382,0)</f>
        <v>0</v>
      </c>
      <c r="BF382" s="502" t="n">
        <f aca="false">IF($D382="是",Q382-R382,0)</f>
        <v>0</v>
      </c>
      <c r="BG382" s="502" t="n">
        <f aca="false">IF($D382="是",S382-T382,0)</f>
        <v>0</v>
      </c>
      <c r="BH382" s="502" t="n">
        <f aca="false">IF($D382="是",U382-V382,0)</f>
        <v>0</v>
      </c>
      <c r="BI382" s="502" t="n">
        <f aca="false">IF($D382="是",W382-X382,0)</f>
        <v>0</v>
      </c>
      <c r="BJ382" s="502" t="n">
        <f aca="false">IF($D382="是",Y382-Z382,0)</f>
        <v>0</v>
      </c>
      <c r="BK382" s="502" t="n">
        <f aca="false">IF($D382="是",AA382-AB382,0)</f>
        <v>0</v>
      </c>
      <c r="BL382" s="502" t="n">
        <f aca="false">SUM(BM382:BT382)</f>
        <v>0</v>
      </c>
      <c r="BM382" s="502" t="n">
        <f aca="false">IF($D382="是",AD382-AE382,0)</f>
        <v>0</v>
      </c>
      <c r="BN382" s="502" t="n">
        <f aca="false">IF($D382="是",AF382-AG382,0)</f>
        <v>0</v>
      </c>
      <c r="BO382" s="502" t="n">
        <f aca="false">IF($D382="是",AH382-AI382,0)</f>
        <v>0</v>
      </c>
      <c r="BP382" s="502" t="n">
        <f aca="false">IF($D382="是",AJ382-AK382,0)</f>
        <v>0</v>
      </c>
      <c r="BQ382" s="502" t="n">
        <f aca="false">IF($D382="是",AL382-AM382,0)</f>
        <v>0</v>
      </c>
      <c r="BR382" s="502" t="n">
        <f aca="false">IF($D382="是",AN382-AO382,0)</f>
        <v>0</v>
      </c>
      <c r="BS382" s="502" t="n">
        <f aca="false">IF($D382="是",AP382-AQ382,0)</f>
        <v>0</v>
      </c>
      <c r="BT382" s="512" t="n">
        <f aca="false">IF($D382="是",AR382-AS382,0)</f>
        <v>0</v>
      </c>
    </row>
    <row r="383" customFormat="false" ht="14.25" hidden="false" customHeight="false" outlineLevel="0" collapsed="false">
      <c r="A383" s="499"/>
      <c r="B383" s="500"/>
      <c r="C383" s="500"/>
      <c r="D383" s="501"/>
      <c r="E383" s="502" t="n">
        <f aca="false">IF($C$3="是",ROUND($A$3*G383/$B$3,2),ROUND($A$3*(G383-AT383)/$B$3,2))</f>
        <v>0</v>
      </c>
      <c r="F383" s="503"/>
      <c r="G383" s="504" t="n">
        <f aca="false">H383+AC383+AT383</f>
        <v>0</v>
      </c>
      <c r="H383" s="505" t="n">
        <f aca="false">SUMIF(I$12:AB$12,"总值",I383:AB383)</f>
        <v>0</v>
      </c>
      <c r="I383" s="506"/>
      <c r="J383" s="506"/>
      <c r="K383" s="506"/>
      <c r="L383" s="506"/>
      <c r="M383" s="506"/>
      <c r="N383" s="506"/>
      <c r="O383" s="506"/>
      <c r="P383" s="506"/>
      <c r="Q383" s="506"/>
      <c r="R383" s="506"/>
      <c r="S383" s="506"/>
      <c r="T383" s="506"/>
      <c r="U383" s="506"/>
      <c r="V383" s="506"/>
      <c r="W383" s="506"/>
      <c r="X383" s="506"/>
      <c r="Y383" s="506"/>
      <c r="Z383" s="506"/>
      <c r="AA383" s="506"/>
      <c r="AB383" s="506"/>
      <c r="AC383" s="502" t="n">
        <f aca="false">SUMIF(AD$12:AS$12,"总值",AD383:AS383)</f>
        <v>0</v>
      </c>
      <c r="AD383" s="507"/>
      <c r="AE383" s="507"/>
      <c r="AF383" s="507"/>
      <c r="AG383" s="507"/>
      <c r="AH383" s="507"/>
      <c r="AI383" s="507"/>
      <c r="AJ383" s="507"/>
      <c r="AK383" s="507"/>
      <c r="AL383" s="507"/>
      <c r="AM383" s="507"/>
      <c r="AN383" s="507"/>
      <c r="AO383" s="507"/>
      <c r="AP383" s="507"/>
      <c r="AQ383" s="507"/>
      <c r="AR383" s="507"/>
      <c r="AS383" s="507"/>
      <c r="AT383" s="508"/>
      <c r="AU383" s="509"/>
      <c r="AV383" s="510" t="n">
        <f aca="false">A383</f>
        <v>0</v>
      </c>
      <c r="AW383" s="510" t="n">
        <f aca="false">B383</f>
        <v>0</v>
      </c>
      <c r="AX383" s="510" t="n">
        <f aca="false">C383</f>
        <v>0</v>
      </c>
      <c r="AY383" s="511" t="n">
        <f aca="false">ROUND($AY$6*AZ383/$AZ$5,2)</f>
        <v>0</v>
      </c>
      <c r="AZ383" s="502" t="n">
        <f aca="false">BA383+BL383</f>
        <v>0</v>
      </c>
      <c r="BA383" s="502" t="n">
        <f aca="false">SUM(BB383:BK383)</f>
        <v>0</v>
      </c>
      <c r="BB383" s="502" t="n">
        <f aca="false">IF($D383="是",I383-J383,0)</f>
        <v>0</v>
      </c>
      <c r="BC383" s="502" t="n">
        <f aca="false">IF($D383="是",K383-L383,0)</f>
        <v>0</v>
      </c>
      <c r="BD383" s="502" t="n">
        <f aca="false">IF($D383="是",M383-N383,0)</f>
        <v>0</v>
      </c>
      <c r="BE383" s="502" t="n">
        <f aca="false">IF($D383="是",O383-P383,0)</f>
        <v>0</v>
      </c>
      <c r="BF383" s="502" t="n">
        <f aca="false">IF($D383="是",Q383-R383,0)</f>
        <v>0</v>
      </c>
      <c r="BG383" s="502" t="n">
        <f aca="false">IF($D383="是",S383-T383,0)</f>
        <v>0</v>
      </c>
      <c r="BH383" s="502" t="n">
        <f aca="false">IF($D383="是",U383-V383,0)</f>
        <v>0</v>
      </c>
      <c r="BI383" s="502" t="n">
        <f aca="false">IF($D383="是",W383-X383,0)</f>
        <v>0</v>
      </c>
      <c r="BJ383" s="502" t="n">
        <f aca="false">IF($D383="是",Y383-Z383,0)</f>
        <v>0</v>
      </c>
      <c r="BK383" s="502" t="n">
        <f aca="false">IF($D383="是",AA383-AB383,0)</f>
        <v>0</v>
      </c>
      <c r="BL383" s="502" t="n">
        <f aca="false">SUM(BM383:BT383)</f>
        <v>0</v>
      </c>
      <c r="BM383" s="502" t="n">
        <f aca="false">IF($D383="是",AD383-AE383,0)</f>
        <v>0</v>
      </c>
      <c r="BN383" s="502" t="n">
        <f aca="false">IF($D383="是",AF383-AG383,0)</f>
        <v>0</v>
      </c>
      <c r="BO383" s="502" t="n">
        <f aca="false">IF($D383="是",AH383-AI383,0)</f>
        <v>0</v>
      </c>
      <c r="BP383" s="502" t="n">
        <f aca="false">IF($D383="是",AJ383-AK383,0)</f>
        <v>0</v>
      </c>
      <c r="BQ383" s="502" t="n">
        <f aca="false">IF($D383="是",AL383-AM383,0)</f>
        <v>0</v>
      </c>
      <c r="BR383" s="502" t="n">
        <f aca="false">IF($D383="是",AN383-AO383,0)</f>
        <v>0</v>
      </c>
      <c r="BS383" s="502" t="n">
        <f aca="false">IF($D383="是",AP383-AQ383,0)</f>
        <v>0</v>
      </c>
      <c r="BT383" s="512" t="n">
        <f aca="false">IF($D383="是",AR383-AS383,0)</f>
        <v>0</v>
      </c>
    </row>
    <row r="384" customFormat="false" ht="14.25" hidden="false" customHeight="false" outlineLevel="0" collapsed="false">
      <c r="A384" s="499"/>
      <c r="B384" s="500"/>
      <c r="C384" s="500"/>
      <c r="D384" s="501"/>
      <c r="E384" s="502" t="n">
        <f aca="false">IF($C$3="是",ROUND($A$3*G384/$B$3,2),ROUND($A$3*(G384-AT384)/$B$3,2))</f>
        <v>0</v>
      </c>
      <c r="F384" s="503"/>
      <c r="G384" s="504" t="n">
        <f aca="false">H384+AC384+AT384</f>
        <v>0</v>
      </c>
      <c r="H384" s="505" t="n">
        <f aca="false">SUMIF(I$12:AB$12,"总值",I384:AB384)</f>
        <v>0</v>
      </c>
      <c r="I384" s="506"/>
      <c r="J384" s="506"/>
      <c r="K384" s="506"/>
      <c r="L384" s="506"/>
      <c r="M384" s="506"/>
      <c r="N384" s="506"/>
      <c r="O384" s="506"/>
      <c r="P384" s="506"/>
      <c r="Q384" s="506"/>
      <c r="R384" s="506"/>
      <c r="S384" s="506"/>
      <c r="T384" s="506"/>
      <c r="U384" s="506"/>
      <c r="V384" s="506"/>
      <c r="W384" s="506"/>
      <c r="X384" s="506"/>
      <c r="Y384" s="506"/>
      <c r="Z384" s="506"/>
      <c r="AA384" s="506"/>
      <c r="AB384" s="506"/>
      <c r="AC384" s="502" t="n">
        <f aca="false">SUMIF(AD$12:AS$12,"总值",AD384:AS384)</f>
        <v>0</v>
      </c>
      <c r="AD384" s="507"/>
      <c r="AE384" s="507"/>
      <c r="AF384" s="507"/>
      <c r="AG384" s="507"/>
      <c r="AH384" s="507"/>
      <c r="AI384" s="507"/>
      <c r="AJ384" s="507"/>
      <c r="AK384" s="507"/>
      <c r="AL384" s="507"/>
      <c r="AM384" s="507"/>
      <c r="AN384" s="507"/>
      <c r="AO384" s="507"/>
      <c r="AP384" s="507"/>
      <c r="AQ384" s="507"/>
      <c r="AR384" s="507"/>
      <c r="AS384" s="507"/>
      <c r="AT384" s="508"/>
      <c r="AU384" s="509"/>
      <c r="AV384" s="510" t="n">
        <f aca="false">A384</f>
        <v>0</v>
      </c>
      <c r="AW384" s="510" t="n">
        <f aca="false">B384</f>
        <v>0</v>
      </c>
      <c r="AX384" s="510" t="n">
        <f aca="false">C384</f>
        <v>0</v>
      </c>
      <c r="AY384" s="511" t="n">
        <f aca="false">ROUND($AY$6*AZ384/$AZ$5,2)</f>
        <v>0</v>
      </c>
      <c r="AZ384" s="502" t="n">
        <f aca="false">BA384+BL384</f>
        <v>0</v>
      </c>
      <c r="BA384" s="502" t="n">
        <f aca="false">SUM(BB384:BK384)</f>
        <v>0</v>
      </c>
      <c r="BB384" s="502" t="n">
        <f aca="false">IF($D384="是",I384-J384,0)</f>
        <v>0</v>
      </c>
      <c r="BC384" s="502" t="n">
        <f aca="false">IF($D384="是",K384-L384,0)</f>
        <v>0</v>
      </c>
      <c r="BD384" s="502" t="n">
        <f aca="false">IF($D384="是",M384-N384,0)</f>
        <v>0</v>
      </c>
      <c r="BE384" s="502" t="n">
        <f aca="false">IF($D384="是",O384-P384,0)</f>
        <v>0</v>
      </c>
      <c r="BF384" s="502" t="n">
        <f aca="false">IF($D384="是",Q384-R384,0)</f>
        <v>0</v>
      </c>
      <c r="BG384" s="502" t="n">
        <f aca="false">IF($D384="是",S384-T384,0)</f>
        <v>0</v>
      </c>
      <c r="BH384" s="502" t="n">
        <f aca="false">IF($D384="是",U384-V384,0)</f>
        <v>0</v>
      </c>
      <c r="BI384" s="502" t="n">
        <f aca="false">IF($D384="是",W384-X384,0)</f>
        <v>0</v>
      </c>
      <c r="BJ384" s="502" t="n">
        <f aca="false">IF($D384="是",Y384-Z384,0)</f>
        <v>0</v>
      </c>
      <c r="BK384" s="502" t="n">
        <f aca="false">IF($D384="是",AA384-AB384,0)</f>
        <v>0</v>
      </c>
      <c r="BL384" s="502" t="n">
        <f aca="false">SUM(BM384:BT384)</f>
        <v>0</v>
      </c>
      <c r="BM384" s="502" t="n">
        <f aca="false">IF($D384="是",AD384-AE384,0)</f>
        <v>0</v>
      </c>
      <c r="BN384" s="502" t="n">
        <f aca="false">IF($D384="是",AF384-AG384,0)</f>
        <v>0</v>
      </c>
      <c r="BO384" s="502" t="n">
        <f aca="false">IF($D384="是",AH384-AI384,0)</f>
        <v>0</v>
      </c>
      <c r="BP384" s="502" t="n">
        <f aca="false">IF($D384="是",AJ384-AK384,0)</f>
        <v>0</v>
      </c>
      <c r="BQ384" s="502" t="n">
        <f aca="false">IF($D384="是",AL384-AM384,0)</f>
        <v>0</v>
      </c>
      <c r="BR384" s="502" t="n">
        <f aca="false">IF($D384="是",AN384-AO384,0)</f>
        <v>0</v>
      </c>
      <c r="BS384" s="502" t="n">
        <f aca="false">IF($D384="是",AP384-AQ384,0)</f>
        <v>0</v>
      </c>
      <c r="BT384" s="512" t="n">
        <f aca="false">IF($D384="是",AR384-AS384,0)</f>
        <v>0</v>
      </c>
    </row>
    <row r="385" customFormat="false" ht="14.25" hidden="false" customHeight="false" outlineLevel="0" collapsed="false">
      <c r="A385" s="499"/>
      <c r="B385" s="500"/>
      <c r="C385" s="500"/>
      <c r="D385" s="501"/>
      <c r="E385" s="502" t="n">
        <f aca="false">IF($C$3="是",ROUND($A$3*G385/$B$3,2),ROUND($A$3*(G385-AT385)/$B$3,2))</f>
        <v>0</v>
      </c>
      <c r="F385" s="503"/>
      <c r="G385" s="504" t="n">
        <f aca="false">H385+AC385+AT385</f>
        <v>0</v>
      </c>
      <c r="H385" s="505" t="n">
        <f aca="false">SUMIF(I$12:AB$12,"总值",I385:AB385)</f>
        <v>0</v>
      </c>
      <c r="I385" s="506"/>
      <c r="J385" s="506"/>
      <c r="K385" s="506"/>
      <c r="L385" s="506"/>
      <c r="M385" s="506"/>
      <c r="N385" s="506"/>
      <c r="O385" s="506"/>
      <c r="P385" s="506"/>
      <c r="Q385" s="506"/>
      <c r="R385" s="506"/>
      <c r="S385" s="506"/>
      <c r="T385" s="506"/>
      <c r="U385" s="506"/>
      <c r="V385" s="506"/>
      <c r="W385" s="506"/>
      <c r="X385" s="506"/>
      <c r="Y385" s="506"/>
      <c r="Z385" s="506"/>
      <c r="AA385" s="506"/>
      <c r="AB385" s="506"/>
      <c r="AC385" s="502" t="n">
        <f aca="false">SUMIF(AD$12:AS$12,"总值",AD385:AS385)</f>
        <v>0</v>
      </c>
      <c r="AD385" s="507"/>
      <c r="AE385" s="507"/>
      <c r="AF385" s="507"/>
      <c r="AG385" s="507"/>
      <c r="AH385" s="507"/>
      <c r="AI385" s="507"/>
      <c r="AJ385" s="507"/>
      <c r="AK385" s="507"/>
      <c r="AL385" s="507"/>
      <c r="AM385" s="507"/>
      <c r="AN385" s="507"/>
      <c r="AO385" s="507"/>
      <c r="AP385" s="507"/>
      <c r="AQ385" s="507"/>
      <c r="AR385" s="507"/>
      <c r="AS385" s="507"/>
      <c r="AT385" s="508"/>
      <c r="AU385" s="509"/>
      <c r="AV385" s="510" t="n">
        <f aca="false">A385</f>
        <v>0</v>
      </c>
      <c r="AW385" s="510" t="n">
        <f aca="false">B385</f>
        <v>0</v>
      </c>
      <c r="AX385" s="510" t="n">
        <f aca="false">C385</f>
        <v>0</v>
      </c>
      <c r="AY385" s="511" t="n">
        <f aca="false">ROUND($AY$6*AZ385/$AZ$5,2)</f>
        <v>0</v>
      </c>
      <c r="AZ385" s="502" t="n">
        <f aca="false">BA385+BL385</f>
        <v>0</v>
      </c>
      <c r="BA385" s="502" t="n">
        <f aca="false">SUM(BB385:BK385)</f>
        <v>0</v>
      </c>
      <c r="BB385" s="502" t="n">
        <f aca="false">IF($D385="是",I385-J385,0)</f>
        <v>0</v>
      </c>
      <c r="BC385" s="502" t="n">
        <f aca="false">IF($D385="是",K385-L385,0)</f>
        <v>0</v>
      </c>
      <c r="BD385" s="502" t="n">
        <f aca="false">IF($D385="是",M385-N385,0)</f>
        <v>0</v>
      </c>
      <c r="BE385" s="502" t="n">
        <f aca="false">IF($D385="是",O385-P385,0)</f>
        <v>0</v>
      </c>
      <c r="BF385" s="502" t="n">
        <f aca="false">IF($D385="是",Q385-R385,0)</f>
        <v>0</v>
      </c>
      <c r="BG385" s="502" t="n">
        <f aca="false">IF($D385="是",S385-T385,0)</f>
        <v>0</v>
      </c>
      <c r="BH385" s="502" t="n">
        <f aca="false">IF($D385="是",U385-V385,0)</f>
        <v>0</v>
      </c>
      <c r="BI385" s="502" t="n">
        <f aca="false">IF($D385="是",W385-X385,0)</f>
        <v>0</v>
      </c>
      <c r="BJ385" s="502" t="n">
        <f aca="false">IF($D385="是",Y385-Z385,0)</f>
        <v>0</v>
      </c>
      <c r="BK385" s="502" t="n">
        <f aca="false">IF($D385="是",AA385-AB385,0)</f>
        <v>0</v>
      </c>
      <c r="BL385" s="502" t="n">
        <f aca="false">SUM(BM385:BT385)</f>
        <v>0</v>
      </c>
      <c r="BM385" s="502" t="n">
        <f aca="false">IF($D385="是",AD385-AE385,0)</f>
        <v>0</v>
      </c>
      <c r="BN385" s="502" t="n">
        <f aca="false">IF($D385="是",AF385-AG385,0)</f>
        <v>0</v>
      </c>
      <c r="BO385" s="502" t="n">
        <f aca="false">IF($D385="是",AH385-AI385,0)</f>
        <v>0</v>
      </c>
      <c r="BP385" s="502" t="n">
        <f aca="false">IF($D385="是",AJ385-AK385,0)</f>
        <v>0</v>
      </c>
      <c r="BQ385" s="502" t="n">
        <f aca="false">IF($D385="是",AL385-AM385,0)</f>
        <v>0</v>
      </c>
      <c r="BR385" s="502" t="n">
        <f aca="false">IF($D385="是",AN385-AO385,0)</f>
        <v>0</v>
      </c>
      <c r="BS385" s="502" t="n">
        <f aca="false">IF($D385="是",AP385-AQ385,0)</f>
        <v>0</v>
      </c>
      <c r="BT385" s="512" t="n">
        <f aca="false">IF($D385="是",AR385-AS385,0)</f>
        <v>0</v>
      </c>
    </row>
    <row r="386" customFormat="false" ht="14.25" hidden="false" customHeight="false" outlineLevel="0" collapsed="false">
      <c r="A386" s="499"/>
      <c r="B386" s="500"/>
      <c r="C386" s="500"/>
      <c r="D386" s="501"/>
      <c r="E386" s="502" t="n">
        <f aca="false">IF($C$3="是",ROUND($A$3*G386/$B$3,2),ROUND($A$3*(G386-AT386)/$B$3,2))</f>
        <v>0</v>
      </c>
      <c r="F386" s="503"/>
      <c r="G386" s="504" t="n">
        <f aca="false">H386+AC386+AT386</f>
        <v>0</v>
      </c>
      <c r="H386" s="505" t="n">
        <f aca="false">SUMIF(I$12:AB$12,"总值",I386:AB386)</f>
        <v>0</v>
      </c>
      <c r="I386" s="506"/>
      <c r="J386" s="506"/>
      <c r="K386" s="506"/>
      <c r="L386" s="506"/>
      <c r="M386" s="506"/>
      <c r="N386" s="506"/>
      <c r="O386" s="506"/>
      <c r="P386" s="506"/>
      <c r="Q386" s="506"/>
      <c r="R386" s="506"/>
      <c r="S386" s="506"/>
      <c r="T386" s="506"/>
      <c r="U386" s="506"/>
      <c r="V386" s="506"/>
      <c r="W386" s="506"/>
      <c r="X386" s="506"/>
      <c r="Y386" s="506"/>
      <c r="Z386" s="506"/>
      <c r="AA386" s="506"/>
      <c r="AB386" s="506"/>
      <c r="AC386" s="502" t="n">
        <f aca="false">SUMIF(AD$12:AS$12,"总值",AD386:AS386)</f>
        <v>0</v>
      </c>
      <c r="AD386" s="507"/>
      <c r="AE386" s="507"/>
      <c r="AF386" s="507"/>
      <c r="AG386" s="507"/>
      <c r="AH386" s="507"/>
      <c r="AI386" s="507"/>
      <c r="AJ386" s="507"/>
      <c r="AK386" s="507"/>
      <c r="AL386" s="507"/>
      <c r="AM386" s="507"/>
      <c r="AN386" s="507"/>
      <c r="AO386" s="507"/>
      <c r="AP386" s="507"/>
      <c r="AQ386" s="507"/>
      <c r="AR386" s="507"/>
      <c r="AS386" s="507"/>
      <c r="AT386" s="508"/>
      <c r="AU386" s="509"/>
      <c r="AV386" s="510" t="n">
        <f aca="false">A386</f>
        <v>0</v>
      </c>
      <c r="AW386" s="510" t="n">
        <f aca="false">B386</f>
        <v>0</v>
      </c>
      <c r="AX386" s="510" t="n">
        <f aca="false">C386</f>
        <v>0</v>
      </c>
      <c r="AY386" s="511" t="n">
        <f aca="false">ROUND($AY$6*AZ386/$AZ$5,2)</f>
        <v>0</v>
      </c>
      <c r="AZ386" s="502" t="n">
        <f aca="false">BA386+BL386</f>
        <v>0</v>
      </c>
      <c r="BA386" s="502" t="n">
        <f aca="false">SUM(BB386:BK386)</f>
        <v>0</v>
      </c>
      <c r="BB386" s="502" t="n">
        <f aca="false">IF($D386="是",I386-J386,0)</f>
        <v>0</v>
      </c>
      <c r="BC386" s="502" t="n">
        <f aca="false">IF($D386="是",K386-L386,0)</f>
        <v>0</v>
      </c>
      <c r="BD386" s="502" t="n">
        <f aca="false">IF($D386="是",M386-N386,0)</f>
        <v>0</v>
      </c>
      <c r="BE386" s="502" t="n">
        <f aca="false">IF($D386="是",O386-P386,0)</f>
        <v>0</v>
      </c>
      <c r="BF386" s="502" t="n">
        <f aca="false">IF($D386="是",Q386-R386,0)</f>
        <v>0</v>
      </c>
      <c r="BG386" s="502" t="n">
        <f aca="false">IF($D386="是",S386-T386,0)</f>
        <v>0</v>
      </c>
      <c r="BH386" s="502" t="n">
        <f aca="false">IF($D386="是",U386-V386,0)</f>
        <v>0</v>
      </c>
      <c r="BI386" s="502" t="n">
        <f aca="false">IF($D386="是",W386-X386,0)</f>
        <v>0</v>
      </c>
      <c r="BJ386" s="502" t="n">
        <f aca="false">IF($D386="是",Y386-Z386,0)</f>
        <v>0</v>
      </c>
      <c r="BK386" s="502" t="n">
        <f aca="false">IF($D386="是",AA386-AB386,0)</f>
        <v>0</v>
      </c>
      <c r="BL386" s="502" t="n">
        <f aca="false">SUM(BM386:BT386)</f>
        <v>0</v>
      </c>
      <c r="BM386" s="502" t="n">
        <f aca="false">IF($D386="是",AD386-AE386,0)</f>
        <v>0</v>
      </c>
      <c r="BN386" s="502" t="n">
        <f aca="false">IF($D386="是",AF386-AG386,0)</f>
        <v>0</v>
      </c>
      <c r="BO386" s="502" t="n">
        <f aca="false">IF($D386="是",AH386-AI386,0)</f>
        <v>0</v>
      </c>
      <c r="BP386" s="502" t="n">
        <f aca="false">IF($D386="是",AJ386-AK386,0)</f>
        <v>0</v>
      </c>
      <c r="BQ386" s="502" t="n">
        <f aca="false">IF($D386="是",AL386-AM386,0)</f>
        <v>0</v>
      </c>
      <c r="BR386" s="502" t="n">
        <f aca="false">IF($D386="是",AN386-AO386,0)</f>
        <v>0</v>
      </c>
      <c r="BS386" s="502" t="n">
        <f aca="false">IF($D386="是",AP386-AQ386,0)</f>
        <v>0</v>
      </c>
      <c r="BT386" s="512" t="n">
        <f aca="false">IF($D386="是",AR386-AS386,0)</f>
        <v>0</v>
      </c>
    </row>
    <row r="387" customFormat="false" ht="14.25" hidden="false" customHeight="false" outlineLevel="0" collapsed="false">
      <c r="A387" s="499"/>
      <c r="B387" s="500"/>
      <c r="C387" s="500"/>
      <c r="D387" s="501"/>
      <c r="E387" s="502" t="n">
        <f aca="false">IF($C$3="是",ROUND($A$3*G387/$B$3,2),ROUND($A$3*(G387-AT387)/$B$3,2))</f>
        <v>0</v>
      </c>
      <c r="F387" s="503"/>
      <c r="G387" s="504" t="n">
        <f aca="false">H387+AC387+AT387</f>
        <v>0</v>
      </c>
      <c r="H387" s="505" t="n">
        <f aca="false">SUMIF(I$12:AB$12,"总值",I387:AB387)</f>
        <v>0</v>
      </c>
      <c r="I387" s="506"/>
      <c r="J387" s="506"/>
      <c r="K387" s="506"/>
      <c r="L387" s="506"/>
      <c r="M387" s="506"/>
      <c r="N387" s="506"/>
      <c r="O387" s="506"/>
      <c r="P387" s="506"/>
      <c r="Q387" s="506"/>
      <c r="R387" s="506"/>
      <c r="S387" s="506"/>
      <c r="T387" s="506"/>
      <c r="U387" s="506"/>
      <c r="V387" s="506"/>
      <c r="W387" s="506"/>
      <c r="X387" s="506"/>
      <c r="Y387" s="506"/>
      <c r="Z387" s="506"/>
      <c r="AA387" s="506"/>
      <c r="AB387" s="506"/>
      <c r="AC387" s="502" t="n">
        <f aca="false">SUMIF(AD$12:AS$12,"总值",AD387:AS387)</f>
        <v>0</v>
      </c>
      <c r="AD387" s="507"/>
      <c r="AE387" s="507"/>
      <c r="AF387" s="507"/>
      <c r="AG387" s="507"/>
      <c r="AH387" s="507"/>
      <c r="AI387" s="507"/>
      <c r="AJ387" s="507"/>
      <c r="AK387" s="507"/>
      <c r="AL387" s="507"/>
      <c r="AM387" s="507"/>
      <c r="AN387" s="507"/>
      <c r="AO387" s="507"/>
      <c r="AP387" s="507"/>
      <c r="AQ387" s="507"/>
      <c r="AR387" s="507"/>
      <c r="AS387" s="507"/>
      <c r="AT387" s="508"/>
      <c r="AU387" s="509"/>
      <c r="AV387" s="510" t="n">
        <f aca="false">A387</f>
        <v>0</v>
      </c>
      <c r="AW387" s="510" t="n">
        <f aca="false">B387</f>
        <v>0</v>
      </c>
      <c r="AX387" s="510" t="n">
        <f aca="false">C387</f>
        <v>0</v>
      </c>
      <c r="AY387" s="511" t="n">
        <f aca="false">ROUND($AY$6*AZ387/$AZ$5,2)</f>
        <v>0</v>
      </c>
      <c r="AZ387" s="502" t="n">
        <f aca="false">BA387+BL387</f>
        <v>0</v>
      </c>
      <c r="BA387" s="502" t="n">
        <f aca="false">SUM(BB387:BK387)</f>
        <v>0</v>
      </c>
      <c r="BB387" s="502" t="n">
        <f aca="false">IF($D387="是",I387-J387,0)</f>
        <v>0</v>
      </c>
      <c r="BC387" s="502" t="n">
        <f aca="false">IF($D387="是",K387-L387,0)</f>
        <v>0</v>
      </c>
      <c r="BD387" s="502" t="n">
        <f aca="false">IF($D387="是",M387-N387,0)</f>
        <v>0</v>
      </c>
      <c r="BE387" s="502" t="n">
        <f aca="false">IF($D387="是",O387-P387,0)</f>
        <v>0</v>
      </c>
      <c r="BF387" s="502" t="n">
        <f aca="false">IF($D387="是",Q387-R387,0)</f>
        <v>0</v>
      </c>
      <c r="BG387" s="502" t="n">
        <f aca="false">IF($D387="是",S387-T387,0)</f>
        <v>0</v>
      </c>
      <c r="BH387" s="502" t="n">
        <f aca="false">IF($D387="是",U387-V387,0)</f>
        <v>0</v>
      </c>
      <c r="BI387" s="502" t="n">
        <f aca="false">IF($D387="是",W387-X387,0)</f>
        <v>0</v>
      </c>
      <c r="BJ387" s="502" t="n">
        <f aca="false">IF($D387="是",Y387-Z387,0)</f>
        <v>0</v>
      </c>
      <c r="BK387" s="502" t="n">
        <f aca="false">IF($D387="是",AA387-AB387,0)</f>
        <v>0</v>
      </c>
      <c r="BL387" s="502" t="n">
        <f aca="false">SUM(BM387:BT387)</f>
        <v>0</v>
      </c>
      <c r="BM387" s="502" t="n">
        <f aca="false">IF($D387="是",AD387-AE387,0)</f>
        <v>0</v>
      </c>
      <c r="BN387" s="502" t="n">
        <f aca="false">IF($D387="是",AF387-AG387,0)</f>
        <v>0</v>
      </c>
      <c r="BO387" s="502" t="n">
        <f aca="false">IF($D387="是",AH387-AI387,0)</f>
        <v>0</v>
      </c>
      <c r="BP387" s="502" t="n">
        <f aca="false">IF($D387="是",AJ387-AK387,0)</f>
        <v>0</v>
      </c>
      <c r="BQ387" s="502" t="n">
        <f aca="false">IF($D387="是",AL387-AM387,0)</f>
        <v>0</v>
      </c>
      <c r="BR387" s="502" t="n">
        <f aca="false">IF($D387="是",AN387-AO387,0)</f>
        <v>0</v>
      </c>
      <c r="BS387" s="502" t="n">
        <f aca="false">IF($D387="是",AP387-AQ387,0)</f>
        <v>0</v>
      </c>
      <c r="BT387" s="512" t="n">
        <f aca="false">IF($D387="是",AR387-AS387,0)</f>
        <v>0</v>
      </c>
    </row>
    <row r="388" customFormat="false" ht="14.25" hidden="false" customHeight="false" outlineLevel="0" collapsed="false">
      <c r="A388" s="499"/>
      <c r="B388" s="500"/>
      <c r="C388" s="500"/>
      <c r="D388" s="501"/>
      <c r="E388" s="502" t="n">
        <f aca="false">IF($C$3="是",ROUND($A$3*G388/$B$3,2),ROUND($A$3*(G388-AT388)/$B$3,2))</f>
        <v>0</v>
      </c>
      <c r="F388" s="503"/>
      <c r="G388" s="504" t="n">
        <f aca="false">H388+AC388+AT388</f>
        <v>0</v>
      </c>
      <c r="H388" s="505" t="n">
        <f aca="false">SUMIF(I$12:AB$12,"总值",I388:AB388)</f>
        <v>0</v>
      </c>
      <c r="I388" s="506"/>
      <c r="J388" s="506"/>
      <c r="K388" s="506"/>
      <c r="L388" s="506"/>
      <c r="M388" s="506"/>
      <c r="N388" s="506"/>
      <c r="O388" s="506"/>
      <c r="P388" s="506"/>
      <c r="Q388" s="506"/>
      <c r="R388" s="506"/>
      <c r="S388" s="506"/>
      <c r="T388" s="506"/>
      <c r="U388" s="506"/>
      <c r="V388" s="506"/>
      <c r="W388" s="506"/>
      <c r="X388" s="506"/>
      <c r="Y388" s="506"/>
      <c r="Z388" s="506"/>
      <c r="AA388" s="506"/>
      <c r="AB388" s="506"/>
      <c r="AC388" s="502" t="n">
        <f aca="false">SUMIF(AD$12:AS$12,"总值",AD388:AS388)</f>
        <v>0</v>
      </c>
      <c r="AD388" s="507"/>
      <c r="AE388" s="507"/>
      <c r="AF388" s="507"/>
      <c r="AG388" s="507"/>
      <c r="AH388" s="507"/>
      <c r="AI388" s="507"/>
      <c r="AJ388" s="507"/>
      <c r="AK388" s="507"/>
      <c r="AL388" s="507"/>
      <c r="AM388" s="507"/>
      <c r="AN388" s="507"/>
      <c r="AO388" s="507"/>
      <c r="AP388" s="507"/>
      <c r="AQ388" s="507"/>
      <c r="AR388" s="507"/>
      <c r="AS388" s="507"/>
      <c r="AT388" s="508"/>
      <c r="AU388" s="509"/>
      <c r="AV388" s="510" t="n">
        <f aca="false">A388</f>
        <v>0</v>
      </c>
      <c r="AW388" s="510" t="n">
        <f aca="false">B388</f>
        <v>0</v>
      </c>
      <c r="AX388" s="510" t="n">
        <f aca="false">C388</f>
        <v>0</v>
      </c>
      <c r="AY388" s="511" t="n">
        <f aca="false">ROUND($AY$6*AZ388/$AZ$5,2)</f>
        <v>0</v>
      </c>
      <c r="AZ388" s="502" t="n">
        <f aca="false">BA388+BL388</f>
        <v>0</v>
      </c>
      <c r="BA388" s="502" t="n">
        <f aca="false">SUM(BB388:BK388)</f>
        <v>0</v>
      </c>
      <c r="BB388" s="502" t="n">
        <f aca="false">IF($D388="是",I388-J388,0)</f>
        <v>0</v>
      </c>
      <c r="BC388" s="502" t="n">
        <f aca="false">IF($D388="是",K388-L388,0)</f>
        <v>0</v>
      </c>
      <c r="BD388" s="502" t="n">
        <f aca="false">IF($D388="是",M388-N388,0)</f>
        <v>0</v>
      </c>
      <c r="BE388" s="502" t="n">
        <f aca="false">IF($D388="是",O388-P388,0)</f>
        <v>0</v>
      </c>
      <c r="BF388" s="502" t="n">
        <f aca="false">IF($D388="是",Q388-R388,0)</f>
        <v>0</v>
      </c>
      <c r="BG388" s="502" t="n">
        <f aca="false">IF($D388="是",S388-T388,0)</f>
        <v>0</v>
      </c>
      <c r="BH388" s="502" t="n">
        <f aca="false">IF($D388="是",U388-V388,0)</f>
        <v>0</v>
      </c>
      <c r="BI388" s="502" t="n">
        <f aca="false">IF($D388="是",W388-X388,0)</f>
        <v>0</v>
      </c>
      <c r="BJ388" s="502" t="n">
        <f aca="false">IF($D388="是",Y388-Z388,0)</f>
        <v>0</v>
      </c>
      <c r="BK388" s="502" t="n">
        <f aca="false">IF($D388="是",AA388-AB388,0)</f>
        <v>0</v>
      </c>
      <c r="BL388" s="502" t="n">
        <f aca="false">SUM(BM388:BT388)</f>
        <v>0</v>
      </c>
      <c r="BM388" s="502" t="n">
        <f aca="false">IF($D388="是",AD388-AE388,0)</f>
        <v>0</v>
      </c>
      <c r="BN388" s="502" t="n">
        <f aca="false">IF($D388="是",AF388-AG388,0)</f>
        <v>0</v>
      </c>
      <c r="BO388" s="502" t="n">
        <f aca="false">IF($D388="是",AH388-AI388,0)</f>
        <v>0</v>
      </c>
      <c r="BP388" s="502" t="n">
        <f aca="false">IF($D388="是",AJ388-AK388,0)</f>
        <v>0</v>
      </c>
      <c r="BQ388" s="502" t="n">
        <f aca="false">IF($D388="是",AL388-AM388,0)</f>
        <v>0</v>
      </c>
      <c r="BR388" s="502" t="n">
        <f aca="false">IF($D388="是",AN388-AO388,0)</f>
        <v>0</v>
      </c>
      <c r="BS388" s="502" t="n">
        <f aca="false">IF($D388="是",AP388-AQ388,0)</f>
        <v>0</v>
      </c>
      <c r="BT388" s="512" t="n">
        <f aca="false">IF($D388="是",AR388-AS388,0)</f>
        <v>0</v>
      </c>
    </row>
    <row r="389" customFormat="false" ht="14.25" hidden="false" customHeight="false" outlineLevel="0" collapsed="false">
      <c r="A389" s="499"/>
      <c r="B389" s="500"/>
      <c r="C389" s="500"/>
      <c r="D389" s="501"/>
      <c r="E389" s="502" t="n">
        <f aca="false">IF($C$3="是",ROUND($A$3*G389/$B$3,2),ROUND($A$3*(G389-AT389)/$B$3,2))</f>
        <v>0</v>
      </c>
      <c r="F389" s="503"/>
      <c r="G389" s="504" t="n">
        <f aca="false">H389+AC389+AT389</f>
        <v>0</v>
      </c>
      <c r="H389" s="505" t="n">
        <f aca="false">SUMIF(I$12:AB$12,"总值",I389:AB389)</f>
        <v>0</v>
      </c>
      <c r="I389" s="506"/>
      <c r="J389" s="506"/>
      <c r="K389" s="506"/>
      <c r="L389" s="506"/>
      <c r="M389" s="506"/>
      <c r="N389" s="506"/>
      <c r="O389" s="506"/>
      <c r="P389" s="506"/>
      <c r="Q389" s="506"/>
      <c r="R389" s="506"/>
      <c r="S389" s="506"/>
      <c r="T389" s="506"/>
      <c r="U389" s="506"/>
      <c r="V389" s="506"/>
      <c r="W389" s="506"/>
      <c r="X389" s="506"/>
      <c r="Y389" s="506"/>
      <c r="Z389" s="506"/>
      <c r="AA389" s="506"/>
      <c r="AB389" s="506"/>
      <c r="AC389" s="502" t="n">
        <f aca="false">SUMIF(AD$12:AS$12,"总值",AD389:AS389)</f>
        <v>0</v>
      </c>
      <c r="AD389" s="507"/>
      <c r="AE389" s="507"/>
      <c r="AF389" s="507"/>
      <c r="AG389" s="507"/>
      <c r="AH389" s="507"/>
      <c r="AI389" s="507"/>
      <c r="AJ389" s="507"/>
      <c r="AK389" s="507"/>
      <c r="AL389" s="507"/>
      <c r="AM389" s="507"/>
      <c r="AN389" s="507"/>
      <c r="AO389" s="507"/>
      <c r="AP389" s="507"/>
      <c r="AQ389" s="507"/>
      <c r="AR389" s="507"/>
      <c r="AS389" s="507"/>
      <c r="AT389" s="508"/>
      <c r="AU389" s="509"/>
      <c r="AV389" s="510" t="n">
        <f aca="false">A389</f>
        <v>0</v>
      </c>
      <c r="AW389" s="510" t="n">
        <f aca="false">B389</f>
        <v>0</v>
      </c>
      <c r="AX389" s="510" t="n">
        <f aca="false">C389</f>
        <v>0</v>
      </c>
      <c r="AY389" s="511" t="n">
        <f aca="false">ROUND($AY$6*AZ389/$AZ$5,2)</f>
        <v>0</v>
      </c>
      <c r="AZ389" s="502" t="n">
        <f aca="false">BA389+BL389</f>
        <v>0</v>
      </c>
      <c r="BA389" s="502" t="n">
        <f aca="false">SUM(BB389:BK389)</f>
        <v>0</v>
      </c>
      <c r="BB389" s="502" t="n">
        <f aca="false">IF($D389="是",I389-J389,0)</f>
        <v>0</v>
      </c>
      <c r="BC389" s="502" t="n">
        <f aca="false">IF($D389="是",K389-L389,0)</f>
        <v>0</v>
      </c>
      <c r="BD389" s="502" t="n">
        <f aca="false">IF($D389="是",M389-N389,0)</f>
        <v>0</v>
      </c>
      <c r="BE389" s="502" t="n">
        <f aca="false">IF($D389="是",O389-P389,0)</f>
        <v>0</v>
      </c>
      <c r="BF389" s="502" t="n">
        <f aca="false">IF($D389="是",Q389-R389,0)</f>
        <v>0</v>
      </c>
      <c r="BG389" s="502" t="n">
        <f aca="false">IF($D389="是",S389-T389,0)</f>
        <v>0</v>
      </c>
      <c r="BH389" s="502" t="n">
        <f aca="false">IF($D389="是",U389-V389,0)</f>
        <v>0</v>
      </c>
      <c r="BI389" s="502" t="n">
        <f aca="false">IF($D389="是",W389-X389,0)</f>
        <v>0</v>
      </c>
      <c r="BJ389" s="502" t="n">
        <f aca="false">IF($D389="是",Y389-Z389,0)</f>
        <v>0</v>
      </c>
      <c r="BK389" s="502" t="n">
        <f aca="false">IF($D389="是",AA389-AB389,0)</f>
        <v>0</v>
      </c>
      <c r="BL389" s="502" t="n">
        <f aca="false">SUM(BM389:BT389)</f>
        <v>0</v>
      </c>
      <c r="BM389" s="502" t="n">
        <f aca="false">IF($D389="是",AD389-AE389,0)</f>
        <v>0</v>
      </c>
      <c r="BN389" s="502" t="n">
        <f aca="false">IF($D389="是",AF389-AG389,0)</f>
        <v>0</v>
      </c>
      <c r="BO389" s="502" t="n">
        <f aca="false">IF($D389="是",AH389-AI389,0)</f>
        <v>0</v>
      </c>
      <c r="BP389" s="502" t="n">
        <f aca="false">IF($D389="是",AJ389-AK389,0)</f>
        <v>0</v>
      </c>
      <c r="BQ389" s="502" t="n">
        <f aca="false">IF($D389="是",AL389-AM389,0)</f>
        <v>0</v>
      </c>
      <c r="BR389" s="502" t="n">
        <f aca="false">IF($D389="是",AN389-AO389,0)</f>
        <v>0</v>
      </c>
      <c r="BS389" s="502" t="n">
        <f aca="false">IF($D389="是",AP389-AQ389,0)</f>
        <v>0</v>
      </c>
      <c r="BT389" s="512" t="n">
        <f aca="false">IF($D389="是",AR389-AS389,0)</f>
        <v>0</v>
      </c>
    </row>
    <row r="390" customFormat="false" ht="14.25" hidden="false" customHeight="false" outlineLevel="0" collapsed="false">
      <c r="A390" s="499"/>
      <c r="B390" s="500"/>
      <c r="C390" s="500"/>
      <c r="D390" s="501"/>
      <c r="E390" s="502" t="n">
        <f aca="false">IF($C$3="是",ROUND($A$3*G390/$B$3,2),ROUND($A$3*(G390-AT390)/$B$3,2))</f>
        <v>0</v>
      </c>
      <c r="F390" s="503"/>
      <c r="G390" s="504" t="n">
        <f aca="false">H390+AC390+AT390</f>
        <v>0</v>
      </c>
      <c r="H390" s="505" t="n">
        <f aca="false">SUMIF(I$12:AB$12,"总值",I390:AB390)</f>
        <v>0</v>
      </c>
      <c r="I390" s="506"/>
      <c r="J390" s="506"/>
      <c r="K390" s="506"/>
      <c r="L390" s="506"/>
      <c r="M390" s="506"/>
      <c r="N390" s="506"/>
      <c r="O390" s="506"/>
      <c r="P390" s="506"/>
      <c r="Q390" s="506"/>
      <c r="R390" s="506"/>
      <c r="S390" s="506"/>
      <c r="T390" s="506"/>
      <c r="U390" s="506"/>
      <c r="V390" s="506"/>
      <c r="W390" s="506"/>
      <c r="X390" s="506"/>
      <c r="Y390" s="506"/>
      <c r="Z390" s="506"/>
      <c r="AA390" s="506"/>
      <c r="AB390" s="506"/>
      <c r="AC390" s="502" t="n">
        <f aca="false">SUMIF(AD$12:AS$12,"总值",AD390:AS390)</f>
        <v>0</v>
      </c>
      <c r="AD390" s="507"/>
      <c r="AE390" s="507"/>
      <c r="AF390" s="507"/>
      <c r="AG390" s="507"/>
      <c r="AH390" s="507"/>
      <c r="AI390" s="507"/>
      <c r="AJ390" s="507"/>
      <c r="AK390" s="507"/>
      <c r="AL390" s="507"/>
      <c r="AM390" s="507"/>
      <c r="AN390" s="507"/>
      <c r="AO390" s="507"/>
      <c r="AP390" s="507"/>
      <c r="AQ390" s="507"/>
      <c r="AR390" s="507"/>
      <c r="AS390" s="507"/>
      <c r="AT390" s="508"/>
      <c r="AU390" s="509"/>
      <c r="AV390" s="510" t="n">
        <f aca="false">A390</f>
        <v>0</v>
      </c>
      <c r="AW390" s="510" t="n">
        <f aca="false">B390</f>
        <v>0</v>
      </c>
      <c r="AX390" s="510" t="n">
        <f aca="false">C390</f>
        <v>0</v>
      </c>
      <c r="AY390" s="511" t="n">
        <f aca="false">ROUND($AY$6*AZ390/$AZ$5,2)</f>
        <v>0</v>
      </c>
      <c r="AZ390" s="502" t="n">
        <f aca="false">BA390+BL390</f>
        <v>0</v>
      </c>
      <c r="BA390" s="502" t="n">
        <f aca="false">SUM(BB390:BK390)</f>
        <v>0</v>
      </c>
      <c r="BB390" s="502" t="n">
        <f aca="false">IF($D390="是",I390-J390,0)</f>
        <v>0</v>
      </c>
      <c r="BC390" s="502" t="n">
        <f aca="false">IF($D390="是",K390-L390,0)</f>
        <v>0</v>
      </c>
      <c r="BD390" s="502" t="n">
        <f aca="false">IF($D390="是",M390-N390,0)</f>
        <v>0</v>
      </c>
      <c r="BE390" s="502" t="n">
        <f aca="false">IF($D390="是",O390-P390,0)</f>
        <v>0</v>
      </c>
      <c r="BF390" s="502" t="n">
        <f aca="false">IF($D390="是",Q390-R390,0)</f>
        <v>0</v>
      </c>
      <c r="BG390" s="502" t="n">
        <f aca="false">IF($D390="是",S390-T390,0)</f>
        <v>0</v>
      </c>
      <c r="BH390" s="502" t="n">
        <f aca="false">IF($D390="是",U390-V390,0)</f>
        <v>0</v>
      </c>
      <c r="BI390" s="502" t="n">
        <f aca="false">IF($D390="是",W390-X390,0)</f>
        <v>0</v>
      </c>
      <c r="BJ390" s="502" t="n">
        <f aca="false">IF($D390="是",Y390-Z390,0)</f>
        <v>0</v>
      </c>
      <c r="BK390" s="502" t="n">
        <f aca="false">IF($D390="是",AA390-AB390,0)</f>
        <v>0</v>
      </c>
      <c r="BL390" s="502" t="n">
        <f aca="false">SUM(BM390:BT390)</f>
        <v>0</v>
      </c>
      <c r="BM390" s="502" t="n">
        <f aca="false">IF($D390="是",AD390-AE390,0)</f>
        <v>0</v>
      </c>
      <c r="BN390" s="502" t="n">
        <f aca="false">IF($D390="是",AF390-AG390,0)</f>
        <v>0</v>
      </c>
      <c r="BO390" s="502" t="n">
        <f aca="false">IF($D390="是",AH390-AI390,0)</f>
        <v>0</v>
      </c>
      <c r="BP390" s="502" t="n">
        <f aca="false">IF($D390="是",AJ390-AK390,0)</f>
        <v>0</v>
      </c>
      <c r="BQ390" s="502" t="n">
        <f aca="false">IF($D390="是",AL390-AM390,0)</f>
        <v>0</v>
      </c>
      <c r="BR390" s="502" t="n">
        <f aca="false">IF($D390="是",AN390-AO390,0)</f>
        <v>0</v>
      </c>
      <c r="BS390" s="502" t="n">
        <f aca="false">IF($D390="是",AP390-AQ390,0)</f>
        <v>0</v>
      </c>
      <c r="BT390" s="512" t="n">
        <f aca="false">IF($D390="是",AR390-AS390,0)</f>
        <v>0</v>
      </c>
    </row>
    <row r="391" customFormat="false" ht="14.25" hidden="false" customHeight="false" outlineLevel="0" collapsed="false">
      <c r="A391" s="499"/>
      <c r="B391" s="500"/>
      <c r="C391" s="500"/>
      <c r="D391" s="501"/>
      <c r="E391" s="502" t="n">
        <f aca="false">IF($C$3="是",ROUND($A$3*G391/$B$3,2),ROUND($A$3*(G391-AT391)/$B$3,2))</f>
        <v>0</v>
      </c>
      <c r="F391" s="503"/>
      <c r="G391" s="504" t="n">
        <f aca="false">H391+AC391+AT391</f>
        <v>0</v>
      </c>
      <c r="H391" s="505" t="n">
        <f aca="false">SUMIF(I$12:AB$12,"总值",I391:AB391)</f>
        <v>0</v>
      </c>
      <c r="I391" s="506"/>
      <c r="J391" s="506"/>
      <c r="K391" s="506"/>
      <c r="L391" s="506"/>
      <c r="M391" s="506"/>
      <c r="N391" s="506"/>
      <c r="O391" s="506"/>
      <c r="P391" s="506"/>
      <c r="Q391" s="506"/>
      <c r="R391" s="506"/>
      <c r="S391" s="506"/>
      <c r="T391" s="506"/>
      <c r="U391" s="506"/>
      <c r="V391" s="506"/>
      <c r="W391" s="506"/>
      <c r="X391" s="506"/>
      <c r="Y391" s="506"/>
      <c r="Z391" s="506"/>
      <c r="AA391" s="506"/>
      <c r="AB391" s="506"/>
      <c r="AC391" s="502" t="n">
        <f aca="false">SUMIF(AD$12:AS$12,"总值",AD391:AS391)</f>
        <v>0</v>
      </c>
      <c r="AD391" s="507"/>
      <c r="AE391" s="507"/>
      <c r="AF391" s="507"/>
      <c r="AG391" s="507"/>
      <c r="AH391" s="507"/>
      <c r="AI391" s="507"/>
      <c r="AJ391" s="507"/>
      <c r="AK391" s="507"/>
      <c r="AL391" s="507"/>
      <c r="AM391" s="507"/>
      <c r="AN391" s="507"/>
      <c r="AO391" s="507"/>
      <c r="AP391" s="507"/>
      <c r="AQ391" s="507"/>
      <c r="AR391" s="507"/>
      <c r="AS391" s="507"/>
      <c r="AT391" s="508"/>
      <c r="AU391" s="509"/>
      <c r="AV391" s="510" t="n">
        <f aca="false">A391</f>
        <v>0</v>
      </c>
      <c r="AW391" s="510" t="n">
        <f aca="false">B391</f>
        <v>0</v>
      </c>
      <c r="AX391" s="510" t="n">
        <f aca="false">C391</f>
        <v>0</v>
      </c>
      <c r="AY391" s="511" t="n">
        <f aca="false">ROUND($AY$6*AZ391/$AZ$5,2)</f>
        <v>0</v>
      </c>
      <c r="AZ391" s="502" t="n">
        <f aca="false">BA391+BL391</f>
        <v>0</v>
      </c>
      <c r="BA391" s="502" t="n">
        <f aca="false">SUM(BB391:BK391)</f>
        <v>0</v>
      </c>
      <c r="BB391" s="502" t="n">
        <f aca="false">IF($D391="是",I391-J391,0)</f>
        <v>0</v>
      </c>
      <c r="BC391" s="502" t="n">
        <f aca="false">IF($D391="是",K391-L391,0)</f>
        <v>0</v>
      </c>
      <c r="BD391" s="502" t="n">
        <f aca="false">IF($D391="是",M391-N391,0)</f>
        <v>0</v>
      </c>
      <c r="BE391" s="502" t="n">
        <f aca="false">IF($D391="是",O391-P391,0)</f>
        <v>0</v>
      </c>
      <c r="BF391" s="502" t="n">
        <f aca="false">IF($D391="是",Q391-R391,0)</f>
        <v>0</v>
      </c>
      <c r="BG391" s="502" t="n">
        <f aca="false">IF($D391="是",S391-T391,0)</f>
        <v>0</v>
      </c>
      <c r="BH391" s="502" t="n">
        <f aca="false">IF($D391="是",U391-V391,0)</f>
        <v>0</v>
      </c>
      <c r="BI391" s="502" t="n">
        <f aca="false">IF($D391="是",W391-X391,0)</f>
        <v>0</v>
      </c>
      <c r="BJ391" s="502" t="n">
        <f aca="false">IF($D391="是",Y391-Z391,0)</f>
        <v>0</v>
      </c>
      <c r="BK391" s="502" t="n">
        <f aca="false">IF($D391="是",AA391-AB391,0)</f>
        <v>0</v>
      </c>
      <c r="BL391" s="502" t="n">
        <f aca="false">SUM(BM391:BT391)</f>
        <v>0</v>
      </c>
      <c r="BM391" s="502" t="n">
        <f aca="false">IF($D391="是",AD391-AE391,0)</f>
        <v>0</v>
      </c>
      <c r="BN391" s="502" t="n">
        <f aca="false">IF($D391="是",AF391-AG391,0)</f>
        <v>0</v>
      </c>
      <c r="BO391" s="502" t="n">
        <f aca="false">IF($D391="是",AH391-AI391,0)</f>
        <v>0</v>
      </c>
      <c r="BP391" s="502" t="n">
        <f aca="false">IF($D391="是",AJ391-AK391,0)</f>
        <v>0</v>
      </c>
      <c r="BQ391" s="502" t="n">
        <f aca="false">IF($D391="是",AL391-AM391,0)</f>
        <v>0</v>
      </c>
      <c r="BR391" s="502" t="n">
        <f aca="false">IF($D391="是",AN391-AO391,0)</f>
        <v>0</v>
      </c>
      <c r="BS391" s="502" t="n">
        <f aca="false">IF($D391="是",AP391-AQ391,0)</f>
        <v>0</v>
      </c>
      <c r="BT391" s="512" t="n">
        <f aca="false">IF($D391="是",AR391-AS391,0)</f>
        <v>0</v>
      </c>
    </row>
    <row r="392" customFormat="false" ht="14.25" hidden="false" customHeight="false" outlineLevel="0" collapsed="false">
      <c r="A392" s="499"/>
      <c r="B392" s="500"/>
      <c r="C392" s="500"/>
      <c r="D392" s="501"/>
      <c r="E392" s="502" t="n">
        <f aca="false">IF($C$3="是",ROUND($A$3*G392/$B$3,2),ROUND($A$3*(G392-AT392)/$B$3,2))</f>
        <v>0</v>
      </c>
      <c r="F392" s="503"/>
      <c r="G392" s="504" t="n">
        <f aca="false">H392+AC392+AT392</f>
        <v>0</v>
      </c>
      <c r="H392" s="505" t="n">
        <f aca="false">SUMIF(I$12:AB$12,"总值",I392:AB392)</f>
        <v>0</v>
      </c>
      <c r="I392" s="506"/>
      <c r="J392" s="506"/>
      <c r="K392" s="506"/>
      <c r="L392" s="506"/>
      <c r="M392" s="506"/>
      <c r="N392" s="506"/>
      <c r="O392" s="506"/>
      <c r="P392" s="506"/>
      <c r="Q392" s="506"/>
      <c r="R392" s="506"/>
      <c r="S392" s="506"/>
      <c r="T392" s="506"/>
      <c r="U392" s="506"/>
      <c r="V392" s="506"/>
      <c r="W392" s="506"/>
      <c r="X392" s="506"/>
      <c r="Y392" s="506"/>
      <c r="Z392" s="506"/>
      <c r="AA392" s="506"/>
      <c r="AB392" s="506"/>
      <c r="AC392" s="502" t="n">
        <f aca="false">SUMIF(AD$12:AS$12,"总值",AD392:AS392)</f>
        <v>0</v>
      </c>
      <c r="AD392" s="507"/>
      <c r="AE392" s="507"/>
      <c r="AF392" s="507"/>
      <c r="AG392" s="507"/>
      <c r="AH392" s="507"/>
      <c r="AI392" s="507"/>
      <c r="AJ392" s="507"/>
      <c r="AK392" s="507"/>
      <c r="AL392" s="507"/>
      <c r="AM392" s="507"/>
      <c r="AN392" s="507"/>
      <c r="AO392" s="507"/>
      <c r="AP392" s="507"/>
      <c r="AQ392" s="507"/>
      <c r="AR392" s="507"/>
      <c r="AS392" s="507"/>
      <c r="AT392" s="508"/>
      <c r="AU392" s="509"/>
      <c r="AV392" s="510" t="n">
        <f aca="false">A392</f>
        <v>0</v>
      </c>
      <c r="AW392" s="510" t="n">
        <f aca="false">B392</f>
        <v>0</v>
      </c>
      <c r="AX392" s="510" t="n">
        <f aca="false">C392</f>
        <v>0</v>
      </c>
      <c r="AY392" s="511" t="n">
        <f aca="false">ROUND($AY$6*AZ392/$AZ$5,2)</f>
        <v>0</v>
      </c>
      <c r="AZ392" s="502" t="n">
        <f aca="false">BA392+BL392</f>
        <v>0</v>
      </c>
      <c r="BA392" s="502" t="n">
        <f aca="false">SUM(BB392:BK392)</f>
        <v>0</v>
      </c>
      <c r="BB392" s="502" t="n">
        <f aca="false">IF($D392="是",I392-J392,0)</f>
        <v>0</v>
      </c>
      <c r="BC392" s="502" t="n">
        <f aca="false">IF($D392="是",K392-L392,0)</f>
        <v>0</v>
      </c>
      <c r="BD392" s="502" t="n">
        <f aca="false">IF($D392="是",M392-N392,0)</f>
        <v>0</v>
      </c>
      <c r="BE392" s="502" t="n">
        <f aca="false">IF($D392="是",O392-P392,0)</f>
        <v>0</v>
      </c>
      <c r="BF392" s="502" t="n">
        <f aca="false">IF($D392="是",Q392-R392,0)</f>
        <v>0</v>
      </c>
      <c r="BG392" s="502" t="n">
        <f aca="false">IF($D392="是",S392-T392,0)</f>
        <v>0</v>
      </c>
      <c r="BH392" s="502" t="n">
        <f aca="false">IF($D392="是",U392-V392,0)</f>
        <v>0</v>
      </c>
      <c r="BI392" s="502" t="n">
        <f aca="false">IF($D392="是",W392-X392,0)</f>
        <v>0</v>
      </c>
      <c r="BJ392" s="502" t="n">
        <f aca="false">IF($D392="是",Y392-Z392,0)</f>
        <v>0</v>
      </c>
      <c r="BK392" s="502" t="n">
        <f aca="false">IF($D392="是",AA392-AB392,0)</f>
        <v>0</v>
      </c>
      <c r="BL392" s="502" t="n">
        <f aca="false">SUM(BM392:BT392)</f>
        <v>0</v>
      </c>
      <c r="BM392" s="502" t="n">
        <f aca="false">IF($D392="是",AD392-AE392,0)</f>
        <v>0</v>
      </c>
      <c r="BN392" s="502" t="n">
        <f aca="false">IF($D392="是",AF392-AG392,0)</f>
        <v>0</v>
      </c>
      <c r="BO392" s="502" t="n">
        <f aca="false">IF($D392="是",AH392-AI392,0)</f>
        <v>0</v>
      </c>
      <c r="BP392" s="502" t="n">
        <f aca="false">IF($D392="是",AJ392-AK392,0)</f>
        <v>0</v>
      </c>
      <c r="BQ392" s="502" t="n">
        <f aca="false">IF($D392="是",AL392-AM392,0)</f>
        <v>0</v>
      </c>
      <c r="BR392" s="502" t="n">
        <f aca="false">IF($D392="是",AN392-AO392,0)</f>
        <v>0</v>
      </c>
      <c r="BS392" s="502" t="n">
        <f aca="false">IF($D392="是",AP392-AQ392,0)</f>
        <v>0</v>
      </c>
      <c r="BT392" s="512" t="n">
        <f aca="false">IF($D392="是",AR392-AS392,0)</f>
        <v>0</v>
      </c>
    </row>
    <row r="393" customFormat="false" ht="14.25" hidden="false" customHeight="false" outlineLevel="0" collapsed="false">
      <c r="A393" s="499"/>
      <c r="B393" s="500"/>
      <c r="C393" s="500"/>
      <c r="D393" s="501"/>
      <c r="E393" s="502" t="n">
        <f aca="false">IF($C$3="是",ROUND($A$3*G393/$B$3,2),ROUND($A$3*(G393-AT393)/$B$3,2))</f>
        <v>0</v>
      </c>
      <c r="F393" s="503"/>
      <c r="G393" s="504" t="n">
        <f aca="false">H393+AC393+AT393</f>
        <v>0</v>
      </c>
      <c r="H393" s="505" t="n">
        <f aca="false">SUMIF(I$12:AB$12,"总值",I393:AB393)</f>
        <v>0</v>
      </c>
      <c r="I393" s="506"/>
      <c r="J393" s="506"/>
      <c r="K393" s="506"/>
      <c r="L393" s="506"/>
      <c r="M393" s="506"/>
      <c r="N393" s="506"/>
      <c r="O393" s="506"/>
      <c r="P393" s="506"/>
      <c r="Q393" s="506"/>
      <c r="R393" s="506"/>
      <c r="S393" s="506"/>
      <c r="T393" s="506"/>
      <c r="U393" s="506"/>
      <c r="V393" s="506"/>
      <c r="W393" s="506"/>
      <c r="X393" s="506"/>
      <c r="Y393" s="506"/>
      <c r="Z393" s="506"/>
      <c r="AA393" s="506"/>
      <c r="AB393" s="506"/>
      <c r="AC393" s="502" t="n">
        <f aca="false">SUMIF(AD$12:AS$12,"总值",AD393:AS393)</f>
        <v>0</v>
      </c>
      <c r="AD393" s="507"/>
      <c r="AE393" s="507"/>
      <c r="AF393" s="507"/>
      <c r="AG393" s="507"/>
      <c r="AH393" s="507"/>
      <c r="AI393" s="507"/>
      <c r="AJ393" s="507"/>
      <c r="AK393" s="507"/>
      <c r="AL393" s="507"/>
      <c r="AM393" s="507"/>
      <c r="AN393" s="507"/>
      <c r="AO393" s="507"/>
      <c r="AP393" s="507"/>
      <c r="AQ393" s="507"/>
      <c r="AR393" s="507"/>
      <c r="AS393" s="507"/>
      <c r="AT393" s="508"/>
      <c r="AU393" s="509"/>
      <c r="AV393" s="510" t="n">
        <f aca="false">A393</f>
        <v>0</v>
      </c>
      <c r="AW393" s="510" t="n">
        <f aca="false">B393</f>
        <v>0</v>
      </c>
      <c r="AX393" s="510" t="n">
        <f aca="false">C393</f>
        <v>0</v>
      </c>
      <c r="AY393" s="511" t="n">
        <f aca="false">ROUND($AY$6*AZ393/$AZ$5,2)</f>
        <v>0</v>
      </c>
      <c r="AZ393" s="502" t="n">
        <f aca="false">BA393+BL393</f>
        <v>0</v>
      </c>
      <c r="BA393" s="502" t="n">
        <f aca="false">SUM(BB393:BK393)</f>
        <v>0</v>
      </c>
      <c r="BB393" s="502" t="n">
        <f aca="false">IF($D393="是",I393-J393,0)</f>
        <v>0</v>
      </c>
      <c r="BC393" s="502" t="n">
        <f aca="false">IF($D393="是",K393-L393,0)</f>
        <v>0</v>
      </c>
      <c r="BD393" s="502" t="n">
        <f aca="false">IF($D393="是",M393-N393,0)</f>
        <v>0</v>
      </c>
      <c r="BE393" s="502" t="n">
        <f aca="false">IF($D393="是",O393-P393,0)</f>
        <v>0</v>
      </c>
      <c r="BF393" s="502" t="n">
        <f aca="false">IF($D393="是",Q393-R393,0)</f>
        <v>0</v>
      </c>
      <c r="BG393" s="502" t="n">
        <f aca="false">IF($D393="是",S393-T393,0)</f>
        <v>0</v>
      </c>
      <c r="BH393" s="502" t="n">
        <f aca="false">IF($D393="是",U393-V393,0)</f>
        <v>0</v>
      </c>
      <c r="BI393" s="502" t="n">
        <f aca="false">IF($D393="是",W393-X393,0)</f>
        <v>0</v>
      </c>
      <c r="BJ393" s="502" t="n">
        <f aca="false">IF($D393="是",Y393-Z393,0)</f>
        <v>0</v>
      </c>
      <c r="BK393" s="502" t="n">
        <f aca="false">IF($D393="是",AA393-AB393,0)</f>
        <v>0</v>
      </c>
      <c r="BL393" s="502" t="n">
        <f aca="false">SUM(BM393:BT393)</f>
        <v>0</v>
      </c>
      <c r="BM393" s="502" t="n">
        <f aca="false">IF($D393="是",AD393-AE393,0)</f>
        <v>0</v>
      </c>
      <c r="BN393" s="502" t="n">
        <f aca="false">IF($D393="是",AF393-AG393,0)</f>
        <v>0</v>
      </c>
      <c r="BO393" s="502" t="n">
        <f aca="false">IF($D393="是",AH393-AI393,0)</f>
        <v>0</v>
      </c>
      <c r="BP393" s="502" t="n">
        <f aca="false">IF($D393="是",AJ393-AK393,0)</f>
        <v>0</v>
      </c>
      <c r="BQ393" s="502" t="n">
        <f aca="false">IF($D393="是",AL393-AM393,0)</f>
        <v>0</v>
      </c>
      <c r="BR393" s="502" t="n">
        <f aca="false">IF($D393="是",AN393-AO393,0)</f>
        <v>0</v>
      </c>
      <c r="BS393" s="502" t="n">
        <f aca="false">IF($D393="是",AP393-AQ393,0)</f>
        <v>0</v>
      </c>
      <c r="BT393" s="512" t="n">
        <f aca="false">IF($D393="是",AR393-AS393,0)</f>
        <v>0</v>
      </c>
    </row>
    <row r="394" customFormat="false" ht="14.25" hidden="false" customHeight="false" outlineLevel="0" collapsed="false">
      <c r="A394" s="499"/>
      <c r="B394" s="500"/>
      <c r="C394" s="500"/>
      <c r="D394" s="501"/>
      <c r="E394" s="502" t="n">
        <f aca="false">IF($C$3="是",ROUND($A$3*G394/$B$3,2),ROUND($A$3*(G394-AT394)/$B$3,2))</f>
        <v>0</v>
      </c>
      <c r="F394" s="503"/>
      <c r="G394" s="504" t="n">
        <f aca="false">H394+AC394+AT394</f>
        <v>0</v>
      </c>
      <c r="H394" s="505" t="n">
        <f aca="false">SUMIF(I$12:AB$12,"总值",I394:AB394)</f>
        <v>0</v>
      </c>
      <c r="I394" s="506"/>
      <c r="J394" s="506"/>
      <c r="K394" s="506"/>
      <c r="L394" s="506"/>
      <c r="M394" s="506"/>
      <c r="N394" s="506"/>
      <c r="O394" s="506"/>
      <c r="P394" s="506"/>
      <c r="Q394" s="506"/>
      <c r="R394" s="506"/>
      <c r="S394" s="506"/>
      <c r="T394" s="506"/>
      <c r="U394" s="506"/>
      <c r="V394" s="506"/>
      <c r="W394" s="506"/>
      <c r="X394" s="506"/>
      <c r="Y394" s="506"/>
      <c r="Z394" s="506"/>
      <c r="AA394" s="506"/>
      <c r="AB394" s="506"/>
      <c r="AC394" s="502" t="n">
        <f aca="false">SUMIF(AD$12:AS$12,"总值",AD394:AS394)</f>
        <v>0</v>
      </c>
      <c r="AD394" s="507"/>
      <c r="AE394" s="507"/>
      <c r="AF394" s="507"/>
      <c r="AG394" s="507"/>
      <c r="AH394" s="507"/>
      <c r="AI394" s="507"/>
      <c r="AJ394" s="507"/>
      <c r="AK394" s="507"/>
      <c r="AL394" s="507"/>
      <c r="AM394" s="507"/>
      <c r="AN394" s="507"/>
      <c r="AO394" s="507"/>
      <c r="AP394" s="507"/>
      <c r="AQ394" s="507"/>
      <c r="AR394" s="507"/>
      <c r="AS394" s="507"/>
      <c r="AT394" s="508"/>
      <c r="AU394" s="509"/>
      <c r="AV394" s="510" t="n">
        <f aca="false">A394</f>
        <v>0</v>
      </c>
      <c r="AW394" s="510" t="n">
        <f aca="false">B394</f>
        <v>0</v>
      </c>
      <c r="AX394" s="510" t="n">
        <f aca="false">C394</f>
        <v>0</v>
      </c>
      <c r="AY394" s="511" t="n">
        <f aca="false">ROUND($AY$6*AZ394/$AZ$5,2)</f>
        <v>0</v>
      </c>
      <c r="AZ394" s="502" t="n">
        <f aca="false">BA394+BL394</f>
        <v>0</v>
      </c>
      <c r="BA394" s="502" t="n">
        <f aca="false">SUM(BB394:BK394)</f>
        <v>0</v>
      </c>
      <c r="BB394" s="502" t="n">
        <f aca="false">IF($D394="是",I394-J394,0)</f>
        <v>0</v>
      </c>
      <c r="BC394" s="502" t="n">
        <f aca="false">IF($D394="是",K394-L394,0)</f>
        <v>0</v>
      </c>
      <c r="BD394" s="502" t="n">
        <f aca="false">IF($D394="是",M394-N394,0)</f>
        <v>0</v>
      </c>
      <c r="BE394" s="502" t="n">
        <f aca="false">IF($D394="是",O394-P394,0)</f>
        <v>0</v>
      </c>
      <c r="BF394" s="502" t="n">
        <f aca="false">IF($D394="是",Q394-R394,0)</f>
        <v>0</v>
      </c>
      <c r="BG394" s="502" t="n">
        <f aca="false">IF($D394="是",S394-T394,0)</f>
        <v>0</v>
      </c>
      <c r="BH394" s="502" t="n">
        <f aca="false">IF($D394="是",U394-V394,0)</f>
        <v>0</v>
      </c>
      <c r="BI394" s="502" t="n">
        <f aca="false">IF($D394="是",W394-X394,0)</f>
        <v>0</v>
      </c>
      <c r="BJ394" s="502" t="n">
        <f aca="false">IF($D394="是",Y394-Z394,0)</f>
        <v>0</v>
      </c>
      <c r="BK394" s="502" t="n">
        <f aca="false">IF($D394="是",AA394-AB394,0)</f>
        <v>0</v>
      </c>
      <c r="BL394" s="502" t="n">
        <f aca="false">SUM(BM394:BT394)</f>
        <v>0</v>
      </c>
      <c r="BM394" s="502" t="n">
        <f aca="false">IF($D394="是",AD394-AE394,0)</f>
        <v>0</v>
      </c>
      <c r="BN394" s="502" t="n">
        <f aca="false">IF($D394="是",AF394-AG394,0)</f>
        <v>0</v>
      </c>
      <c r="BO394" s="502" t="n">
        <f aca="false">IF($D394="是",AH394-AI394,0)</f>
        <v>0</v>
      </c>
      <c r="BP394" s="502" t="n">
        <f aca="false">IF($D394="是",AJ394-AK394,0)</f>
        <v>0</v>
      </c>
      <c r="BQ394" s="502" t="n">
        <f aca="false">IF($D394="是",AL394-AM394,0)</f>
        <v>0</v>
      </c>
      <c r="BR394" s="502" t="n">
        <f aca="false">IF($D394="是",AN394-AO394,0)</f>
        <v>0</v>
      </c>
      <c r="BS394" s="502" t="n">
        <f aca="false">IF($D394="是",AP394-AQ394,0)</f>
        <v>0</v>
      </c>
      <c r="BT394" s="512" t="n">
        <f aca="false">IF($D394="是",AR394-AS394,0)</f>
        <v>0</v>
      </c>
    </row>
    <row r="395" customFormat="false" ht="14.25" hidden="false" customHeight="false" outlineLevel="0" collapsed="false">
      <c r="A395" s="499"/>
      <c r="B395" s="499"/>
      <c r="C395" s="499"/>
      <c r="D395" s="501"/>
      <c r="E395" s="502" t="n">
        <f aca="false">IF($C$3="是",ROUND($A$3*G395/$B$3,2),ROUND($A$3*(G395-AT395)/$B$3,2))</f>
        <v>0</v>
      </c>
      <c r="F395" s="513"/>
      <c r="G395" s="504" t="n">
        <f aca="false">H395+AC395+AT395</f>
        <v>0</v>
      </c>
      <c r="H395" s="505" t="n">
        <f aca="false">SUMIF(I$12:AB$12,"总值",I395:AB395)</f>
        <v>0</v>
      </c>
      <c r="I395" s="514"/>
      <c r="J395" s="514"/>
      <c r="K395" s="506"/>
      <c r="L395" s="506"/>
      <c r="M395" s="506"/>
      <c r="N395" s="506"/>
      <c r="O395" s="506"/>
      <c r="P395" s="506"/>
      <c r="Q395" s="506"/>
      <c r="R395" s="506"/>
      <c r="S395" s="506"/>
      <c r="T395" s="506"/>
      <c r="U395" s="506"/>
      <c r="V395" s="506"/>
      <c r="W395" s="506"/>
      <c r="X395" s="506"/>
      <c r="Y395" s="506"/>
      <c r="Z395" s="506"/>
      <c r="AA395" s="506"/>
      <c r="AB395" s="506"/>
      <c r="AC395" s="502" t="n">
        <f aca="false">SUMIF(AD$12:AS$12,"总值",AD395:AS395)</f>
        <v>0</v>
      </c>
      <c r="AD395" s="507"/>
      <c r="AE395" s="507"/>
      <c r="AF395" s="507"/>
      <c r="AG395" s="507"/>
      <c r="AH395" s="507"/>
      <c r="AI395" s="507"/>
      <c r="AJ395" s="507"/>
      <c r="AK395" s="507"/>
      <c r="AL395" s="507"/>
      <c r="AM395" s="507"/>
      <c r="AN395" s="507"/>
      <c r="AO395" s="507"/>
      <c r="AP395" s="507"/>
      <c r="AQ395" s="507"/>
      <c r="AR395" s="507"/>
      <c r="AS395" s="507"/>
      <c r="AT395" s="507"/>
      <c r="AU395" s="515"/>
      <c r="AV395" s="510" t="n">
        <f aca="false">A395</f>
        <v>0</v>
      </c>
      <c r="AW395" s="510" t="n">
        <f aca="false">B395</f>
        <v>0</v>
      </c>
      <c r="AX395" s="510" t="n">
        <f aca="false">C395</f>
        <v>0</v>
      </c>
      <c r="AY395" s="511" t="n">
        <f aca="false">ROUND($AY$6*AZ395/$AZ$5,2)</f>
        <v>0</v>
      </c>
      <c r="AZ395" s="502" t="n">
        <f aca="false">BA395+BL395</f>
        <v>0</v>
      </c>
      <c r="BA395" s="502" t="n">
        <f aca="false">SUM(BB395:BK395)</f>
        <v>0</v>
      </c>
      <c r="BB395" s="502" t="n">
        <f aca="false">IF($D395="是",I395-J395,0)</f>
        <v>0</v>
      </c>
      <c r="BC395" s="502" t="n">
        <f aca="false">IF($D395="是",K395-L395,0)</f>
        <v>0</v>
      </c>
      <c r="BD395" s="502" t="n">
        <f aca="false">IF($D395="是",M395-N395,0)</f>
        <v>0</v>
      </c>
      <c r="BE395" s="502" t="n">
        <f aca="false">IF($D395="是",O395-P395,0)</f>
        <v>0</v>
      </c>
      <c r="BF395" s="502" t="n">
        <f aca="false">IF($D395="是",Q395-R395,0)</f>
        <v>0</v>
      </c>
      <c r="BG395" s="502" t="n">
        <f aca="false">IF($D395="是",S395-T395,0)</f>
        <v>0</v>
      </c>
      <c r="BH395" s="502" t="n">
        <f aca="false">IF($D395="是",U395-V395,0)</f>
        <v>0</v>
      </c>
      <c r="BI395" s="502" t="n">
        <f aca="false">IF($D395="是",W395-X395,0)</f>
        <v>0</v>
      </c>
      <c r="BJ395" s="502" t="n">
        <f aca="false">IF($D395="是",Y395-Z395,0)</f>
        <v>0</v>
      </c>
      <c r="BK395" s="502" t="n">
        <f aca="false">IF($D395="是",AA395-AB395,0)</f>
        <v>0</v>
      </c>
      <c r="BL395" s="502" t="n">
        <f aca="false">SUM(BM395:BT395)</f>
        <v>0</v>
      </c>
      <c r="BM395" s="502" t="n">
        <f aca="false">IF($D395="是",AD395-AE395,0)</f>
        <v>0</v>
      </c>
      <c r="BN395" s="502" t="n">
        <f aca="false">IF($D395="是",AF395-AG395,0)</f>
        <v>0</v>
      </c>
      <c r="BO395" s="502" t="n">
        <f aca="false">IF($D395="是",AH395-AI395,0)</f>
        <v>0</v>
      </c>
      <c r="BP395" s="502" t="n">
        <f aca="false">IF($D395="是",AJ395-AK395,0)</f>
        <v>0</v>
      </c>
      <c r="BQ395" s="502" t="n">
        <f aca="false">IF($D395="是",AL395-AM395,0)</f>
        <v>0</v>
      </c>
      <c r="BR395" s="502" t="n">
        <f aca="false">IF($D395="是",AN395-AO395,0)</f>
        <v>0</v>
      </c>
      <c r="BS395" s="502" t="n">
        <f aca="false">IF($D395="是",AP395-AQ395,0)</f>
        <v>0</v>
      </c>
      <c r="BT395" s="512" t="n">
        <f aca="false">IF($D395="是",AR395-AS395,0)</f>
        <v>0</v>
      </c>
    </row>
    <row r="396" customFormat="false" ht="14.25" hidden="false" customHeight="false" outlineLevel="0" collapsed="false">
      <c r="A396" s="499"/>
      <c r="B396" s="499"/>
      <c r="C396" s="499"/>
      <c r="D396" s="501"/>
      <c r="E396" s="502" t="n">
        <f aca="false">IF($C$3="是",ROUND($A$3*G396/$B$3,2),ROUND($A$3*(G396-AT396)/$B$3,2))</f>
        <v>0</v>
      </c>
      <c r="F396" s="513"/>
      <c r="G396" s="504" t="n">
        <f aca="false">H396+AC396+AT396</f>
        <v>0</v>
      </c>
      <c r="H396" s="505" t="n">
        <f aca="false">SUMIF(I$12:AB$12,"总值",I396:AB396)</f>
        <v>0</v>
      </c>
      <c r="I396" s="506"/>
      <c r="J396" s="506"/>
      <c r="K396" s="506"/>
      <c r="L396" s="506"/>
      <c r="M396" s="506"/>
      <c r="N396" s="506"/>
      <c r="O396" s="506"/>
      <c r="P396" s="506"/>
      <c r="Q396" s="506"/>
      <c r="R396" s="506"/>
      <c r="S396" s="506"/>
      <c r="T396" s="506"/>
      <c r="U396" s="506"/>
      <c r="V396" s="506"/>
      <c r="W396" s="506"/>
      <c r="X396" s="506"/>
      <c r="Y396" s="506"/>
      <c r="Z396" s="506"/>
      <c r="AA396" s="506"/>
      <c r="AB396" s="506"/>
      <c r="AC396" s="502" t="n">
        <f aca="false">SUMIF(AD$12:AS$12,"总值",AD396:AS396)</f>
        <v>0</v>
      </c>
      <c r="AD396" s="507"/>
      <c r="AE396" s="507"/>
      <c r="AF396" s="507"/>
      <c r="AG396" s="507"/>
      <c r="AH396" s="507"/>
      <c r="AI396" s="507"/>
      <c r="AJ396" s="507"/>
      <c r="AK396" s="507"/>
      <c r="AL396" s="507"/>
      <c r="AM396" s="507"/>
      <c r="AN396" s="507"/>
      <c r="AO396" s="507"/>
      <c r="AP396" s="507"/>
      <c r="AQ396" s="507"/>
      <c r="AR396" s="507"/>
      <c r="AS396" s="507"/>
      <c r="AT396" s="507"/>
      <c r="AU396" s="515"/>
      <c r="AV396" s="510" t="n">
        <f aca="false">A396</f>
        <v>0</v>
      </c>
      <c r="AW396" s="510" t="n">
        <f aca="false">B396</f>
        <v>0</v>
      </c>
      <c r="AX396" s="510" t="n">
        <f aca="false">C396</f>
        <v>0</v>
      </c>
      <c r="AY396" s="511" t="n">
        <f aca="false">ROUND($AY$6*AZ396/$AZ$5,2)</f>
        <v>0</v>
      </c>
      <c r="AZ396" s="502" t="n">
        <f aca="false">BA396+BL396</f>
        <v>0</v>
      </c>
      <c r="BA396" s="502" t="n">
        <f aca="false">SUM(BB396:BK396)</f>
        <v>0</v>
      </c>
      <c r="BB396" s="502" t="n">
        <f aca="false">IF($D396="是",I396-J396,0)</f>
        <v>0</v>
      </c>
      <c r="BC396" s="502" t="n">
        <f aca="false">IF($D396="是",K396-L396,0)</f>
        <v>0</v>
      </c>
      <c r="BD396" s="502" t="n">
        <f aca="false">IF($D396="是",M396-N396,0)</f>
        <v>0</v>
      </c>
      <c r="BE396" s="502" t="n">
        <f aca="false">IF($D396="是",O396-P396,0)</f>
        <v>0</v>
      </c>
      <c r="BF396" s="502" t="n">
        <f aca="false">IF($D396="是",Q396-R396,0)</f>
        <v>0</v>
      </c>
      <c r="BG396" s="502" t="n">
        <f aca="false">IF($D396="是",S396-T396,0)</f>
        <v>0</v>
      </c>
      <c r="BH396" s="502" t="n">
        <f aca="false">IF($D396="是",U396-V396,0)</f>
        <v>0</v>
      </c>
      <c r="BI396" s="502" t="n">
        <f aca="false">IF($D396="是",W396-X396,0)</f>
        <v>0</v>
      </c>
      <c r="BJ396" s="502" t="n">
        <f aca="false">IF($D396="是",Y396-Z396,0)</f>
        <v>0</v>
      </c>
      <c r="BK396" s="502" t="n">
        <f aca="false">IF($D396="是",AA396-AB396,0)</f>
        <v>0</v>
      </c>
      <c r="BL396" s="502" t="n">
        <f aca="false">SUM(BM396:BT396)</f>
        <v>0</v>
      </c>
      <c r="BM396" s="502" t="n">
        <f aca="false">IF($D396="是",AD396-AE396,0)</f>
        <v>0</v>
      </c>
      <c r="BN396" s="502" t="n">
        <f aca="false">IF($D396="是",AF396-AG396,0)</f>
        <v>0</v>
      </c>
      <c r="BO396" s="502" t="n">
        <f aca="false">IF($D396="是",AH396-AI396,0)</f>
        <v>0</v>
      </c>
      <c r="BP396" s="502" t="n">
        <f aca="false">IF($D396="是",AJ396-AK396,0)</f>
        <v>0</v>
      </c>
      <c r="BQ396" s="502" t="n">
        <f aca="false">IF($D396="是",AL396-AM396,0)</f>
        <v>0</v>
      </c>
      <c r="BR396" s="502" t="n">
        <f aca="false">IF($D396="是",AN396-AO396,0)</f>
        <v>0</v>
      </c>
      <c r="BS396" s="502" t="n">
        <f aca="false">IF($D396="是",AP396-AQ396,0)</f>
        <v>0</v>
      </c>
      <c r="BT396" s="512" t="n">
        <f aca="false">IF($D396="是",AR396-AS396,0)</f>
        <v>0</v>
      </c>
    </row>
    <row r="397" customFormat="false" ht="14.25" hidden="false" customHeight="false" outlineLevel="0" collapsed="false">
      <c r="A397" s="499"/>
      <c r="B397" s="499"/>
      <c r="C397" s="499"/>
      <c r="D397" s="501"/>
      <c r="E397" s="502" t="n">
        <f aca="false">IF($C$3="是",ROUND($A$3*G397/$B$3,2),ROUND($A$3*(G397-AT397)/$B$3,2))</f>
        <v>0</v>
      </c>
      <c r="F397" s="513"/>
      <c r="G397" s="504" t="n">
        <f aca="false">H397+AC397+AT397</f>
        <v>0</v>
      </c>
      <c r="H397" s="505" t="n">
        <f aca="false">SUMIF(I$12:AB$12,"总值",I397:AB397)</f>
        <v>0</v>
      </c>
      <c r="I397" s="506"/>
      <c r="J397" s="506"/>
      <c r="K397" s="506"/>
      <c r="L397" s="506"/>
      <c r="M397" s="506"/>
      <c r="N397" s="506"/>
      <c r="O397" s="506"/>
      <c r="P397" s="506"/>
      <c r="Q397" s="506"/>
      <c r="R397" s="506"/>
      <c r="S397" s="506"/>
      <c r="T397" s="506"/>
      <c r="U397" s="506"/>
      <c r="V397" s="506"/>
      <c r="W397" s="506"/>
      <c r="X397" s="506"/>
      <c r="Y397" s="506"/>
      <c r="Z397" s="506"/>
      <c r="AA397" s="506"/>
      <c r="AB397" s="506"/>
      <c r="AC397" s="502" t="n">
        <f aca="false">SUMIF(AD$12:AS$12,"总值",AD397:AS397)</f>
        <v>0</v>
      </c>
      <c r="AD397" s="507"/>
      <c r="AE397" s="507"/>
      <c r="AF397" s="507"/>
      <c r="AG397" s="507"/>
      <c r="AH397" s="507"/>
      <c r="AI397" s="507"/>
      <c r="AJ397" s="507"/>
      <c r="AK397" s="507"/>
      <c r="AL397" s="507"/>
      <c r="AM397" s="507"/>
      <c r="AN397" s="507"/>
      <c r="AO397" s="507"/>
      <c r="AP397" s="507"/>
      <c r="AQ397" s="507"/>
      <c r="AR397" s="507"/>
      <c r="AS397" s="507"/>
      <c r="AT397" s="507"/>
      <c r="AU397" s="515"/>
      <c r="AV397" s="510" t="n">
        <f aca="false">A397</f>
        <v>0</v>
      </c>
      <c r="AW397" s="510" t="n">
        <f aca="false">B397</f>
        <v>0</v>
      </c>
      <c r="AX397" s="510" t="n">
        <f aca="false">C397</f>
        <v>0</v>
      </c>
      <c r="AY397" s="511" t="n">
        <f aca="false">ROUND($AY$6*AZ397/$AZ$5,2)</f>
        <v>0</v>
      </c>
      <c r="AZ397" s="502" t="n">
        <f aca="false">BA397+BL397</f>
        <v>0</v>
      </c>
      <c r="BA397" s="502" t="n">
        <f aca="false">SUM(BB397:BK397)</f>
        <v>0</v>
      </c>
      <c r="BB397" s="502" t="n">
        <f aca="false">IF($D397="是",I397-J397,0)</f>
        <v>0</v>
      </c>
      <c r="BC397" s="502" t="n">
        <f aca="false">IF($D397="是",K397-L397,0)</f>
        <v>0</v>
      </c>
      <c r="BD397" s="502" t="n">
        <f aca="false">IF($D397="是",M397-N397,0)</f>
        <v>0</v>
      </c>
      <c r="BE397" s="502" t="n">
        <f aca="false">IF($D397="是",O397-P397,0)</f>
        <v>0</v>
      </c>
      <c r="BF397" s="502" t="n">
        <f aca="false">IF($D397="是",Q397-R397,0)</f>
        <v>0</v>
      </c>
      <c r="BG397" s="502" t="n">
        <f aca="false">IF($D397="是",S397-T397,0)</f>
        <v>0</v>
      </c>
      <c r="BH397" s="502" t="n">
        <f aca="false">IF($D397="是",U397-V397,0)</f>
        <v>0</v>
      </c>
      <c r="BI397" s="502" t="n">
        <f aca="false">IF($D397="是",W397-X397,0)</f>
        <v>0</v>
      </c>
      <c r="BJ397" s="502" t="n">
        <f aca="false">IF($D397="是",Y397-Z397,0)</f>
        <v>0</v>
      </c>
      <c r="BK397" s="502" t="n">
        <f aca="false">IF($D397="是",AA397-AB397,0)</f>
        <v>0</v>
      </c>
      <c r="BL397" s="502" t="n">
        <f aca="false">SUM(BM397:BT397)</f>
        <v>0</v>
      </c>
      <c r="BM397" s="502" t="n">
        <f aca="false">IF($D397="是",AD397-AE397,0)</f>
        <v>0</v>
      </c>
      <c r="BN397" s="502" t="n">
        <f aca="false">IF($D397="是",AF397-AG397,0)</f>
        <v>0</v>
      </c>
      <c r="BO397" s="502" t="n">
        <f aca="false">IF($D397="是",AH397-AI397,0)</f>
        <v>0</v>
      </c>
      <c r="BP397" s="502" t="n">
        <f aca="false">IF($D397="是",AJ397-AK397,0)</f>
        <v>0</v>
      </c>
      <c r="BQ397" s="502" t="n">
        <f aca="false">IF($D397="是",AL397-AM397,0)</f>
        <v>0</v>
      </c>
      <c r="BR397" s="502" t="n">
        <f aca="false">IF($D397="是",AN397-AO397,0)</f>
        <v>0</v>
      </c>
      <c r="BS397" s="502" t="n">
        <f aca="false">IF($D397="是",AP397-AQ397,0)</f>
        <v>0</v>
      </c>
      <c r="BT397" s="512" t="n">
        <f aca="false">IF($D397="是",AR397-AS397,0)</f>
        <v>0</v>
      </c>
    </row>
    <row r="398" customFormat="false" ht="14.25" hidden="false" customHeight="false" outlineLevel="0" collapsed="false">
      <c r="A398" s="499"/>
      <c r="B398" s="500"/>
      <c r="C398" s="500"/>
      <c r="D398" s="501"/>
      <c r="E398" s="502" t="n">
        <f aca="false">IF($C$3="是",ROUND($A$3*G398/$B$3,2),ROUND($A$3*(G398-AT398)/$B$3,2))</f>
        <v>0</v>
      </c>
      <c r="F398" s="503"/>
      <c r="G398" s="504" t="n">
        <f aca="false">H398+AC398+AT398</f>
        <v>0</v>
      </c>
      <c r="H398" s="505" t="n">
        <f aca="false">SUMIF(I$12:AB$12,"总值",I398:AB398)</f>
        <v>0</v>
      </c>
      <c r="I398" s="506"/>
      <c r="J398" s="506"/>
      <c r="K398" s="506"/>
      <c r="L398" s="506"/>
      <c r="M398" s="506"/>
      <c r="N398" s="506"/>
      <c r="O398" s="506"/>
      <c r="P398" s="506"/>
      <c r="Q398" s="506"/>
      <c r="R398" s="506"/>
      <c r="S398" s="506"/>
      <c r="T398" s="506"/>
      <c r="U398" s="506"/>
      <c r="V398" s="506"/>
      <c r="W398" s="506"/>
      <c r="X398" s="506"/>
      <c r="Y398" s="506"/>
      <c r="Z398" s="506"/>
      <c r="AA398" s="506"/>
      <c r="AB398" s="506"/>
      <c r="AC398" s="502" t="n">
        <f aca="false">SUMIF(AD$12:AS$12,"总值",AD398:AS398)</f>
        <v>0</v>
      </c>
      <c r="AD398" s="507"/>
      <c r="AE398" s="507"/>
      <c r="AF398" s="507"/>
      <c r="AG398" s="507"/>
      <c r="AH398" s="507"/>
      <c r="AI398" s="507"/>
      <c r="AJ398" s="507"/>
      <c r="AK398" s="507"/>
      <c r="AL398" s="507"/>
      <c r="AM398" s="507"/>
      <c r="AN398" s="507"/>
      <c r="AO398" s="507"/>
      <c r="AP398" s="507"/>
      <c r="AQ398" s="507"/>
      <c r="AR398" s="507"/>
      <c r="AS398" s="507"/>
      <c r="AT398" s="508"/>
      <c r="AU398" s="509"/>
      <c r="AV398" s="510" t="n">
        <f aca="false">A398</f>
        <v>0</v>
      </c>
      <c r="AW398" s="510" t="n">
        <f aca="false">B398</f>
        <v>0</v>
      </c>
      <c r="AX398" s="510" t="n">
        <f aca="false">C398</f>
        <v>0</v>
      </c>
      <c r="AY398" s="511" t="n">
        <f aca="false">ROUND($AY$6*AZ398/$AZ$5,2)</f>
        <v>0</v>
      </c>
      <c r="AZ398" s="502" t="n">
        <f aca="false">BA398+BL398</f>
        <v>0</v>
      </c>
      <c r="BA398" s="502" t="n">
        <f aca="false">SUM(BB398:BK398)</f>
        <v>0</v>
      </c>
      <c r="BB398" s="502" t="n">
        <f aca="false">IF($D398="是",I398-J398,0)</f>
        <v>0</v>
      </c>
      <c r="BC398" s="502" t="n">
        <f aca="false">IF($D398="是",K398-L398,0)</f>
        <v>0</v>
      </c>
      <c r="BD398" s="502" t="n">
        <f aca="false">IF($D398="是",M398-N398,0)</f>
        <v>0</v>
      </c>
      <c r="BE398" s="502" t="n">
        <f aca="false">IF($D398="是",O398-P398,0)</f>
        <v>0</v>
      </c>
      <c r="BF398" s="502" t="n">
        <f aca="false">IF($D398="是",Q398-R398,0)</f>
        <v>0</v>
      </c>
      <c r="BG398" s="502" t="n">
        <f aca="false">IF($D398="是",S398-T398,0)</f>
        <v>0</v>
      </c>
      <c r="BH398" s="502" t="n">
        <f aca="false">IF($D398="是",U398-V398,0)</f>
        <v>0</v>
      </c>
      <c r="BI398" s="502" t="n">
        <f aca="false">IF($D398="是",W398-X398,0)</f>
        <v>0</v>
      </c>
      <c r="BJ398" s="502" t="n">
        <f aca="false">IF($D398="是",Y398-Z398,0)</f>
        <v>0</v>
      </c>
      <c r="BK398" s="502" t="n">
        <f aca="false">IF($D398="是",AA398-AB398,0)</f>
        <v>0</v>
      </c>
      <c r="BL398" s="502" t="n">
        <f aca="false">SUM(BM398:BT398)</f>
        <v>0</v>
      </c>
      <c r="BM398" s="502" t="n">
        <f aca="false">IF($D398="是",AD398-AE398,0)</f>
        <v>0</v>
      </c>
      <c r="BN398" s="502" t="n">
        <f aca="false">IF($D398="是",AF398-AG398,0)</f>
        <v>0</v>
      </c>
      <c r="BO398" s="502" t="n">
        <f aca="false">IF($D398="是",AH398-AI398,0)</f>
        <v>0</v>
      </c>
      <c r="BP398" s="502" t="n">
        <f aca="false">IF($D398="是",AJ398-AK398,0)</f>
        <v>0</v>
      </c>
      <c r="BQ398" s="502" t="n">
        <f aca="false">IF($D398="是",AL398-AM398,0)</f>
        <v>0</v>
      </c>
      <c r="BR398" s="502" t="n">
        <f aca="false">IF($D398="是",AN398-AO398,0)</f>
        <v>0</v>
      </c>
      <c r="BS398" s="502" t="n">
        <f aca="false">IF($D398="是",AP398-AQ398,0)</f>
        <v>0</v>
      </c>
      <c r="BT398" s="512" t="n">
        <f aca="false">IF($D398="是",AR398-AS398,0)</f>
        <v>0</v>
      </c>
    </row>
    <row r="399" customFormat="false" ht="14.25" hidden="false" customHeight="false" outlineLevel="0" collapsed="false">
      <c r="A399" s="499"/>
      <c r="B399" s="500"/>
      <c r="C399" s="500"/>
      <c r="D399" s="501"/>
      <c r="E399" s="502" t="n">
        <f aca="false">IF($C$3="是",ROUND($A$3*G399/$B$3,2),ROUND($A$3*(G399-AT399)/$B$3,2))</f>
        <v>0</v>
      </c>
      <c r="F399" s="503"/>
      <c r="G399" s="504" t="n">
        <f aca="false">H399+AC399+AT399</f>
        <v>0</v>
      </c>
      <c r="H399" s="505" t="n">
        <f aca="false">SUMIF(I$12:AB$12,"总值",I399:AB399)</f>
        <v>0</v>
      </c>
      <c r="I399" s="506"/>
      <c r="J399" s="506"/>
      <c r="K399" s="506"/>
      <c r="L399" s="506"/>
      <c r="M399" s="506"/>
      <c r="N399" s="506"/>
      <c r="O399" s="506"/>
      <c r="P399" s="506"/>
      <c r="Q399" s="506"/>
      <c r="R399" s="506"/>
      <c r="S399" s="506"/>
      <c r="T399" s="506"/>
      <c r="U399" s="506"/>
      <c r="V399" s="506"/>
      <c r="W399" s="506"/>
      <c r="X399" s="506"/>
      <c r="Y399" s="506"/>
      <c r="Z399" s="506"/>
      <c r="AA399" s="506"/>
      <c r="AB399" s="506"/>
      <c r="AC399" s="502" t="n">
        <f aca="false">SUMIF(AD$12:AS$12,"总值",AD399:AS399)</f>
        <v>0</v>
      </c>
      <c r="AD399" s="507"/>
      <c r="AE399" s="507"/>
      <c r="AF399" s="507"/>
      <c r="AG399" s="507"/>
      <c r="AH399" s="507"/>
      <c r="AI399" s="507"/>
      <c r="AJ399" s="507"/>
      <c r="AK399" s="507"/>
      <c r="AL399" s="507"/>
      <c r="AM399" s="507"/>
      <c r="AN399" s="507"/>
      <c r="AO399" s="507"/>
      <c r="AP399" s="507"/>
      <c r="AQ399" s="507"/>
      <c r="AR399" s="507"/>
      <c r="AS399" s="507"/>
      <c r="AT399" s="508"/>
      <c r="AU399" s="509"/>
      <c r="AV399" s="510" t="n">
        <f aca="false">A399</f>
        <v>0</v>
      </c>
      <c r="AW399" s="510" t="n">
        <f aca="false">B399</f>
        <v>0</v>
      </c>
      <c r="AX399" s="510" t="n">
        <f aca="false">C399</f>
        <v>0</v>
      </c>
      <c r="AY399" s="511" t="n">
        <f aca="false">ROUND($AY$6*AZ399/$AZ$5,2)</f>
        <v>0</v>
      </c>
      <c r="AZ399" s="502" t="n">
        <f aca="false">BA399+BL399</f>
        <v>0</v>
      </c>
      <c r="BA399" s="502" t="n">
        <f aca="false">SUM(BB399:BK399)</f>
        <v>0</v>
      </c>
      <c r="BB399" s="502" t="n">
        <f aca="false">IF($D399="是",I399-J399,0)</f>
        <v>0</v>
      </c>
      <c r="BC399" s="502" t="n">
        <f aca="false">IF($D399="是",K399-L399,0)</f>
        <v>0</v>
      </c>
      <c r="BD399" s="502" t="n">
        <f aca="false">IF($D399="是",M399-N399,0)</f>
        <v>0</v>
      </c>
      <c r="BE399" s="502" t="n">
        <f aca="false">IF($D399="是",O399-P399,0)</f>
        <v>0</v>
      </c>
      <c r="BF399" s="502" t="n">
        <f aca="false">IF($D399="是",Q399-R399,0)</f>
        <v>0</v>
      </c>
      <c r="BG399" s="502" t="n">
        <f aca="false">IF($D399="是",S399-T399,0)</f>
        <v>0</v>
      </c>
      <c r="BH399" s="502" t="n">
        <f aca="false">IF($D399="是",U399-V399,0)</f>
        <v>0</v>
      </c>
      <c r="BI399" s="502" t="n">
        <f aca="false">IF($D399="是",W399-X399,0)</f>
        <v>0</v>
      </c>
      <c r="BJ399" s="502" t="n">
        <f aca="false">IF($D399="是",Y399-Z399,0)</f>
        <v>0</v>
      </c>
      <c r="BK399" s="502" t="n">
        <f aca="false">IF($D399="是",AA399-AB399,0)</f>
        <v>0</v>
      </c>
      <c r="BL399" s="502" t="n">
        <f aca="false">SUM(BM399:BT399)</f>
        <v>0</v>
      </c>
      <c r="BM399" s="502" t="n">
        <f aca="false">IF($D399="是",AD399-AE399,0)</f>
        <v>0</v>
      </c>
      <c r="BN399" s="502" t="n">
        <f aca="false">IF($D399="是",AF399-AG399,0)</f>
        <v>0</v>
      </c>
      <c r="BO399" s="502" t="n">
        <f aca="false">IF($D399="是",AH399-AI399,0)</f>
        <v>0</v>
      </c>
      <c r="BP399" s="502" t="n">
        <f aca="false">IF($D399="是",AJ399-AK399,0)</f>
        <v>0</v>
      </c>
      <c r="BQ399" s="502" t="n">
        <f aca="false">IF($D399="是",AL399-AM399,0)</f>
        <v>0</v>
      </c>
      <c r="BR399" s="502" t="n">
        <f aca="false">IF($D399="是",AN399-AO399,0)</f>
        <v>0</v>
      </c>
      <c r="BS399" s="502" t="n">
        <f aca="false">IF($D399="是",AP399-AQ399,0)</f>
        <v>0</v>
      </c>
      <c r="BT399" s="512" t="n">
        <f aca="false">IF($D399="是",AR399-AS399,0)</f>
        <v>0</v>
      </c>
    </row>
    <row r="400" customFormat="false" ht="14.25" hidden="false" customHeight="false" outlineLevel="0" collapsed="false">
      <c r="A400" s="499"/>
      <c r="B400" s="500"/>
      <c r="C400" s="500"/>
      <c r="D400" s="501"/>
      <c r="E400" s="502" t="n">
        <f aca="false">IF($C$3="是",ROUND($A$3*G400/$B$3,2),ROUND($A$3*(G400-AT400)/$B$3,2))</f>
        <v>0</v>
      </c>
      <c r="F400" s="503"/>
      <c r="G400" s="504" t="n">
        <f aca="false">H400+AC400+AT400</f>
        <v>0</v>
      </c>
      <c r="H400" s="505" t="n">
        <f aca="false">SUMIF(I$12:AB$12,"总值",I400:AB400)</f>
        <v>0</v>
      </c>
      <c r="I400" s="506"/>
      <c r="J400" s="506"/>
      <c r="K400" s="506"/>
      <c r="L400" s="506"/>
      <c r="M400" s="506"/>
      <c r="N400" s="506"/>
      <c r="O400" s="506"/>
      <c r="P400" s="506"/>
      <c r="Q400" s="506"/>
      <c r="R400" s="506"/>
      <c r="S400" s="506"/>
      <c r="T400" s="506"/>
      <c r="U400" s="506"/>
      <c r="V400" s="506"/>
      <c r="W400" s="506"/>
      <c r="X400" s="506"/>
      <c r="Y400" s="506"/>
      <c r="Z400" s="506"/>
      <c r="AA400" s="506"/>
      <c r="AB400" s="506"/>
      <c r="AC400" s="502" t="n">
        <f aca="false">SUMIF(AD$12:AS$12,"总值",AD400:AS400)</f>
        <v>0</v>
      </c>
      <c r="AD400" s="507"/>
      <c r="AE400" s="507"/>
      <c r="AF400" s="507"/>
      <c r="AG400" s="507"/>
      <c r="AH400" s="507"/>
      <c r="AI400" s="507"/>
      <c r="AJ400" s="507"/>
      <c r="AK400" s="507"/>
      <c r="AL400" s="507"/>
      <c r="AM400" s="507"/>
      <c r="AN400" s="507"/>
      <c r="AO400" s="507"/>
      <c r="AP400" s="507"/>
      <c r="AQ400" s="507"/>
      <c r="AR400" s="507"/>
      <c r="AS400" s="507"/>
      <c r="AT400" s="508"/>
      <c r="AU400" s="509"/>
      <c r="AV400" s="510" t="n">
        <f aca="false">A400</f>
        <v>0</v>
      </c>
      <c r="AW400" s="510" t="n">
        <f aca="false">B400</f>
        <v>0</v>
      </c>
      <c r="AX400" s="510" t="n">
        <f aca="false">C400</f>
        <v>0</v>
      </c>
      <c r="AY400" s="511" t="n">
        <f aca="false">ROUND($AY$6*AZ400/$AZ$5,2)</f>
        <v>0</v>
      </c>
      <c r="AZ400" s="502" t="n">
        <f aca="false">BA400+BL400</f>
        <v>0</v>
      </c>
      <c r="BA400" s="502" t="n">
        <f aca="false">SUM(BB400:BK400)</f>
        <v>0</v>
      </c>
      <c r="BB400" s="502" t="n">
        <f aca="false">IF($D400="是",I400-J400,0)</f>
        <v>0</v>
      </c>
      <c r="BC400" s="502" t="n">
        <f aca="false">IF($D400="是",K400-L400,0)</f>
        <v>0</v>
      </c>
      <c r="BD400" s="502" t="n">
        <f aca="false">IF($D400="是",M400-N400,0)</f>
        <v>0</v>
      </c>
      <c r="BE400" s="502" t="n">
        <f aca="false">IF($D400="是",O400-P400,0)</f>
        <v>0</v>
      </c>
      <c r="BF400" s="502" t="n">
        <f aca="false">IF($D400="是",Q400-R400,0)</f>
        <v>0</v>
      </c>
      <c r="BG400" s="502" t="n">
        <f aca="false">IF($D400="是",S400-T400,0)</f>
        <v>0</v>
      </c>
      <c r="BH400" s="502" t="n">
        <f aca="false">IF($D400="是",U400-V400,0)</f>
        <v>0</v>
      </c>
      <c r="BI400" s="502" t="n">
        <f aca="false">IF($D400="是",W400-X400,0)</f>
        <v>0</v>
      </c>
      <c r="BJ400" s="502" t="n">
        <f aca="false">IF($D400="是",Y400-Z400,0)</f>
        <v>0</v>
      </c>
      <c r="BK400" s="502" t="n">
        <f aca="false">IF($D400="是",AA400-AB400,0)</f>
        <v>0</v>
      </c>
      <c r="BL400" s="502" t="n">
        <f aca="false">SUM(BM400:BT400)</f>
        <v>0</v>
      </c>
      <c r="BM400" s="502" t="n">
        <f aca="false">IF($D400="是",AD400-AE400,0)</f>
        <v>0</v>
      </c>
      <c r="BN400" s="502" t="n">
        <f aca="false">IF($D400="是",AF400-AG400,0)</f>
        <v>0</v>
      </c>
      <c r="BO400" s="502" t="n">
        <f aca="false">IF($D400="是",AH400-AI400,0)</f>
        <v>0</v>
      </c>
      <c r="BP400" s="502" t="n">
        <f aca="false">IF($D400="是",AJ400-AK400,0)</f>
        <v>0</v>
      </c>
      <c r="BQ400" s="502" t="n">
        <f aca="false">IF($D400="是",AL400-AM400,0)</f>
        <v>0</v>
      </c>
      <c r="BR400" s="502" t="n">
        <f aca="false">IF($D400="是",AN400-AO400,0)</f>
        <v>0</v>
      </c>
      <c r="BS400" s="502" t="n">
        <f aca="false">IF($D400="是",AP400-AQ400,0)</f>
        <v>0</v>
      </c>
      <c r="BT400" s="512" t="n">
        <f aca="false">IF($D400="是",AR400-AS400,0)</f>
        <v>0</v>
      </c>
    </row>
    <row r="401" customFormat="false" ht="14.25" hidden="false" customHeight="false" outlineLevel="0" collapsed="false">
      <c r="A401" s="499"/>
      <c r="B401" s="500"/>
      <c r="C401" s="500"/>
      <c r="D401" s="501"/>
      <c r="E401" s="502" t="n">
        <f aca="false">IF($C$3="是",ROUND($A$3*G401/$B$3,2),ROUND($A$3*(G401-AT401)/$B$3,2))</f>
        <v>0</v>
      </c>
      <c r="F401" s="503"/>
      <c r="G401" s="504" t="n">
        <f aca="false">H401+AC401+AT401</f>
        <v>0</v>
      </c>
      <c r="H401" s="505" t="n">
        <f aca="false">SUMIF(I$12:AB$12,"总值",I401:AB401)</f>
        <v>0</v>
      </c>
      <c r="I401" s="506"/>
      <c r="J401" s="506"/>
      <c r="K401" s="506"/>
      <c r="L401" s="506"/>
      <c r="M401" s="506"/>
      <c r="N401" s="506"/>
      <c r="O401" s="506"/>
      <c r="P401" s="506"/>
      <c r="Q401" s="506"/>
      <c r="R401" s="506"/>
      <c r="S401" s="506"/>
      <c r="T401" s="506"/>
      <c r="U401" s="506"/>
      <c r="V401" s="506"/>
      <c r="W401" s="506"/>
      <c r="X401" s="506"/>
      <c r="Y401" s="506"/>
      <c r="Z401" s="506"/>
      <c r="AA401" s="506"/>
      <c r="AB401" s="506"/>
      <c r="AC401" s="502" t="n">
        <f aca="false">SUMIF(AD$12:AS$12,"总值",AD401:AS401)</f>
        <v>0</v>
      </c>
      <c r="AD401" s="507"/>
      <c r="AE401" s="507"/>
      <c r="AF401" s="507"/>
      <c r="AG401" s="507"/>
      <c r="AH401" s="507"/>
      <c r="AI401" s="507"/>
      <c r="AJ401" s="507"/>
      <c r="AK401" s="507"/>
      <c r="AL401" s="507"/>
      <c r="AM401" s="507"/>
      <c r="AN401" s="507"/>
      <c r="AO401" s="507"/>
      <c r="AP401" s="507"/>
      <c r="AQ401" s="507"/>
      <c r="AR401" s="507"/>
      <c r="AS401" s="507"/>
      <c r="AT401" s="508"/>
      <c r="AU401" s="509"/>
      <c r="AV401" s="510" t="n">
        <f aca="false">A401</f>
        <v>0</v>
      </c>
      <c r="AW401" s="510" t="n">
        <f aca="false">B401</f>
        <v>0</v>
      </c>
      <c r="AX401" s="510" t="n">
        <f aca="false">C401</f>
        <v>0</v>
      </c>
      <c r="AY401" s="511" t="n">
        <f aca="false">ROUND($AY$6*AZ401/$AZ$5,2)</f>
        <v>0</v>
      </c>
      <c r="AZ401" s="502" t="n">
        <f aca="false">BA401+BL401</f>
        <v>0</v>
      </c>
      <c r="BA401" s="502" t="n">
        <f aca="false">SUM(BB401:BK401)</f>
        <v>0</v>
      </c>
      <c r="BB401" s="502" t="n">
        <f aca="false">IF($D401="是",I401-J401,0)</f>
        <v>0</v>
      </c>
      <c r="BC401" s="502" t="n">
        <f aca="false">IF($D401="是",K401-L401,0)</f>
        <v>0</v>
      </c>
      <c r="BD401" s="502" t="n">
        <f aca="false">IF($D401="是",M401-N401,0)</f>
        <v>0</v>
      </c>
      <c r="BE401" s="502" t="n">
        <f aca="false">IF($D401="是",O401-P401,0)</f>
        <v>0</v>
      </c>
      <c r="BF401" s="502" t="n">
        <f aca="false">IF($D401="是",Q401-R401,0)</f>
        <v>0</v>
      </c>
      <c r="BG401" s="502" t="n">
        <f aca="false">IF($D401="是",S401-T401,0)</f>
        <v>0</v>
      </c>
      <c r="BH401" s="502" t="n">
        <f aca="false">IF($D401="是",U401-V401,0)</f>
        <v>0</v>
      </c>
      <c r="BI401" s="502" t="n">
        <f aca="false">IF($D401="是",W401-X401,0)</f>
        <v>0</v>
      </c>
      <c r="BJ401" s="502" t="n">
        <f aca="false">IF($D401="是",Y401-Z401,0)</f>
        <v>0</v>
      </c>
      <c r="BK401" s="502" t="n">
        <f aca="false">IF($D401="是",AA401-AB401,0)</f>
        <v>0</v>
      </c>
      <c r="BL401" s="502" t="n">
        <f aca="false">SUM(BM401:BT401)</f>
        <v>0</v>
      </c>
      <c r="BM401" s="502" t="n">
        <f aca="false">IF($D401="是",AD401-AE401,0)</f>
        <v>0</v>
      </c>
      <c r="BN401" s="502" t="n">
        <f aca="false">IF($D401="是",AF401-AG401,0)</f>
        <v>0</v>
      </c>
      <c r="BO401" s="502" t="n">
        <f aca="false">IF($D401="是",AH401-AI401,0)</f>
        <v>0</v>
      </c>
      <c r="BP401" s="502" t="n">
        <f aca="false">IF($D401="是",AJ401-AK401,0)</f>
        <v>0</v>
      </c>
      <c r="BQ401" s="502" t="n">
        <f aca="false">IF($D401="是",AL401-AM401,0)</f>
        <v>0</v>
      </c>
      <c r="BR401" s="502" t="n">
        <f aca="false">IF($D401="是",AN401-AO401,0)</f>
        <v>0</v>
      </c>
      <c r="BS401" s="502" t="n">
        <f aca="false">IF($D401="是",AP401-AQ401,0)</f>
        <v>0</v>
      </c>
      <c r="BT401" s="512" t="n">
        <f aca="false">IF($D401="是",AR401-AS401,0)</f>
        <v>0</v>
      </c>
    </row>
    <row r="402" customFormat="false" ht="14.25" hidden="false" customHeight="false" outlineLevel="0" collapsed="false">
      <c r="A402" s="499"/>
      <c r="B402" s="500"/>
      <c r="C402" s="500"/>
      <c r="D402" s="501"/>
      <c r="E402" s="502" t="n">
        <f aca="false">IF($C$3="是",ROUND($A$3*G402/$B$3,2),ROUND($A$3*(G402-AT402)/$B$3,2))</f>
        <v>0</v>
      </c>
      <c r="F402" s="503"/>
      <c r="G402" s="504" t="n">
        <f aca="false">H402+AC402+AT402</f>
        <v>0</v>
      </c>
      <c r="H402" s="505" t="n">
        <f aca="false">SUMIF(I$12:AB$12,"总值",I402:AB402)</f>
        <v>0</v>
      </c>
      <c r="I402" s="506"/>
      <c r="J402" s="506"/>
      <c r="K402" s="506"/>
      <c r="L402" s="506"/>
      <c r="M402" s="506"/>
      <c r="N402" s="506"/>
      <c r="O402" s="506"/>
      <c r="P402" s="506"/>
      <c r="Q402" s="506"/>
      <c r="R402" s="506"/>
      <c r="S402" s="506"/>
      <c r="T402" s="506"/>
      <c r="U402" s="506"/>
      <c r="V402" s="506"/>
      <c r="W402" s="506"/>
      <c r="X402" s="506"/>
      <c r="Y402" s="506"/>
      <c r="Z402" s="506"/>
      <c r="AA402" s="506"/>
      <c r="AB402" s="506"/>
      <c r="AC402" s="502" t="n">
        <f aca="false">SUMIF(AD$12:AS$12,"总值",AD402:AS402)</f>
        <v>0</v>
      </c>
      <c r="AD402" s="507"/>
      <c r="AE402" s="507"/>
      <c r="AF402" s="507"/>
      <c r="AG402" s="507"/>
      <c r="AH402" s="507"/>
      <c r="AI402" s="507"/>
      <c r="AJ402" s="507"/>
      <c r="AK402" s="507"/>
      <c r="AL402" s="507"/>
      <c r="AM402" s="507"/>
      <c r="AN402" s="507"/>
      <c r="AO402" s="507"/>
      <c r="AP402" s="507"/>
      <c r="AQ402" s="507"/>
      <c r="AR402" s="507"/>
      <c r="AS402" s="507"/>
      <c r="AT402" s="508"/>
      <c r="AU402" s="509"/>
      <c r="AV402" s="510" t="n">
        <f aca="false">A402</f>
        <v>0</v>
      </c>
      <c r="AW402" s="510" t="n">
        <f aca="false">B402</f>
        <v>0</v>
      </c>
      <c r="AX402" s="510" t="n">
        <f aca="false">C402</f>
        <v>0</v>
      </c>
      <c r="AY402" s="511" t="n">
        <f aca="false">ROUND($AY$6*AZ402/$AZ$5,2)</f>
        <v>0</v>
      </c>
      <c r="AZ402" s="502" t="n">
        <f aca="false">BA402+BL402</f>
        <v>0</v>
      </c>
      <c r="BA402" s="502" t="n">
        <f aca="false">SUM(BB402:BK402)</f>
        <v>0</v>
      </c>
      <c r="BB402" s="502" t="n">
        <f aca="false">IF($D402="是",I402-J402,0)</f>
        <v>0</v>
      </c>
      <c r="BC402" s="502" t="n">
        <f aca="false">IF($D402="是",K402-L402,0)</f>
        <v>0</v>
      </c>
      <c r="BD402" s="502" t="n">
        <f aca="false">IF($D402="是",M402-N402,0)</f>
        <v>0</v>
      </c>
      <c r="BE402" s="502" t="n">
        <f aca="false">IF($D402="是",O402-P402,0)</f>
        <v>0</v>
      </c>
      <c r="BF402" s="502" t="n">
        <f aca="false">IF($D402="是",Q402-R402,0)</f>
        <v>0</v>
      </c>
      <c r="BG402" s="502" t="n">
        <f aca="false">IF($D402="是",S402-T402,0)</f>
        <v>0</v>
      </c>
      <c r="BH402" s="502" t="n">
        <f aca="false">IF($D402="是",U402-V402,0)</f>
        <v>0</v>
      </c>
      <c r="BI402" s="502" t="n">
        <f aca="false">IF($D402="是",W402-X402,0)</f>
        <v>0</v>
      </c>
      <c r="BJ402" s="502" t="n">
        <f aca="false">IF($D402="是",Y402-Z402,0)</f>
        <v>0</v>
      </c>
      <c r="BK402" s="502" t="n">
        <f aca="false">IF($D402="是",AA402-AB402,0)</f>
        <v>0</v>
      </c>
      <c r="BL402" s="502" t="n">
        <f aca="false">SUM(BM402:BT402)</f>
        <v>0</v>
      </c>
      <c r="BM402" s="502" t="n">
        <f aca="false">IF($D402="是",AD402-AE402,0)</f>
        <v>0</v>
      </c>
      <c r="BN402" s="502" t="n">
        <f aca="false">IF($D402="是",AF402-AG402,0)</f>
        <v>0</v>
      </c>
      <c r="BO402" s="502" t="n">
        <f aca="false">IF($D402="是",AH402-AI402,0)</f>
        <v>0</v>
      </c>
      <c r="BP402" s="502" t="n">
        <f aca="false">IF($D402="是",AJ402-AK402,0)</f>
        <v>0</v>
      </c>
      <c r="BQ402" s="502" t="n">
        <f aca="false">IF($D402="是",AL402-AM402,0)</f>
        <v>0</v>
      </c>
      <c r="BR402" s="502" t="n">
        <f aca="false">IF($D402="是",AN402-AO402,0)</f>
        <v>0</v>
      </c>
      <c r="BS402" s="502" t="n">
        <f aca="false">IF($D402="是",AP402-AQ402,0)</f>
        <v>0</v>
      </c>
      <c r="BT402" s="512" t="n">
        <f aca="false">IF($D402="是",AR402-AS402,0)</f>
        <v>0</v>
      </c>
    </row>
    <row r="403" customFormat="false" ht="14.25" hidden="false" customHeight="false" outlineLevel="0" collapsed="false">
      <c r="A403" s="499"/>
      <c r="B403" s="500"/>
      <c r="C403" s="500"/>
      <c r="D403" s="501"/>
      <c r="E403" s="502" t="n">
        <f aca="false">IF($C$3="是",ROUND($A$3*G403/$B$3,2),ROUND($A$3*(G403-AT403)/$B$3,2))</f>
        <v>0</v>
      </c>
      <c r="F403" s="503"/>
      <c r="G403" s="504" t="n">
        <f aca="false">H403+AC403+AT403</f>
        <v>0</v>
      </c>
      <c r="H403" s="505" t="n">
        <f aca="false">SUMIF(I$12:AB$12,"总值",I403:AB403)</f>
        <v>0</v>
      </c>
      <c r="I403" s="506"/>
      <c r="J403" s="506"/>
      <c r="K403" s="506"/>
      <c r="L403" s="506"/>
      <c r="M403" s="506"/>
      <c r="N403" s="506"/>
      <c r="O403" s="506"/>
      <c r="P403" s="506"/>
      <c r="Q403" s="506"/>
      <c r="R403" s="506"/>
      <c r="S403" s="506"/>
      <c r="T403" s="506"/>
      <c r="U403" s="506"/>
      <c r="V403" s="506"/>
      <c r="W403" s="506"/>
      <c r="X403" s="506"/>
      <c r="Y403" s="506"/>
      <c r="Z403" s="506"/>
      <c r="AA403" s="506"/>
      <c r="AB403" s="506"/>
      <c r="AC403" s="502" t="n">
        <f aca="false">SUMIF(AD$12:AS$12,"总值",AD403:AS403)</f>
        <v>0</v>
      </c>
      <c r="AD403" s="507"/>
      <c r="AE403" s="507"/>
      <c r="AF403" s="507"/>
      <c r="AG403" s="507"/>
      <c r="AH403" s="507"/>
      <c r="AI403" s="507"/>
      <c r="AJ403" s="507"/>
      <c r="AK403" s="507"/>
      <c r="AL403" s="507"/>
      <c r="AM403" s="507"/>
      <c r="AN403" s="507"/>
      <c r="AO403" s="507"/>
      <c r="AP403" s="507"/>
      <c r="AQ403" s="507"/>
      <c r="AR403" s="507"/>
      <c r="AS403" s="507"/>
      <c r="AT403" s="508"/>
      <c r="AU403" s="509"/>
      <c r="AV403" s="510" t="n">
        <f aca="false">A403</f>
        <v>0</v>
      </c>
      <c r="AW403" s="510" t="n">
        <f aca="false">B403</f>
        <v>0</v>
      </c>
      <c r="AX403" s="510" t="n">
        <f aca="false">C403</f>
        <v>0</v>
      </c>
      <c r="AY403" s="511" t="n">
        <f aca="false">ROUND($AY$6*AZ403/$AZ$5,2)</f>
        <v>0</v>
      </c>
      <c r="AZ403" s="502" t="n">
        <f aca="false">BA403+BL403</f>
        <v>0</v>
      </c>
      <c r="BA403" s="502" t="n">
        <f aca="false">SUM(BB403:BK403)</f>
        <v>0</v>
      </c>
      <c r="BB403" s="502" t="n">
        <f aca="false">IF($D403="是",I403-J403,0)</f>
        <v>0</v>
      </c>
      <c r="BC403" s="502" t="n">
        <f aca="false">IF($D403="是",K403-L403,0)</f>
        <v>0</v>
      </c>
      <c r="BD403" s="502" t="n">
        <f aca="false">IF($D403="是",M403-N403,0)</f>
        <v>0</v>
      </c>
      <c r="BE403" s="502" t="n">
        <f aca="false">IF($D403="是",O403-P403,0)</f>
        <v>0</v>
      </c>
      <c r="BF403" s="502" t="n">
        <f aca="false">IF($D403="是",Q403-R403,0)</f>
        <v>0</v>
      </c>
      <c r="BG403" s="502" t="n">
        <f aca="false">IF($D403="是",S403-T403,0)</f>
        <v>0</v>
      </c>
      <c r="BH403" s="502" t="n">
        <f aca="false">IF($D403="是",U403-V403,0)</f>
        <v>0</v>
      </c>
      <c r="BI403" s="502" t="n">
        <f aca="false">IF($D403="是",W403-X403,0)</f>
        <v>0</v>
      </c>
      <c r="BJ403" s="502" t="n">
        <f aca="false">IF($D403="是",Y403-Z403,0)</f>
        <v>0</v>
      </c>
      <c r="BK403" s="502" t="n">
        <f aca="false">IF($D403="是",AA403-AB403,0)</f>
        <v>0</v>
      </c>
      <c r="BL403" s="502" t="n">
        <f aca="false">SUM(BM403:BT403)</f>
        <v>0</v>
      </c>
      <c r="BM403" s="502" t="n">
        <f aca="false">IF($D403="是",AD403-AE403,0)</f>
        <v>0</v>
      </c>
      <c r="BN403" s="502" t="n">
        <f aca="false">IF($D403="是",AF403-AG403,0)</f>
        <v>0</v>
      </c>
      <c r="BO403" s="502" t="n">
        <f aca="false">IF($D403="是",AH403-AI403,0)</f>
        <v>0</v>
      </c>
      <c r="BP403" s="502" t="n">
        <f aca="false">IF($D403="是",AJ403-AK403,0)</f>
        <v>0</v>
      </c>
      <c r="BQ403" s="502" t="n">
        <f aca="false">IF($D403="是",AL403-AM403,0)</f>
        <v>0</v>
      </c>
      <c r="BR403" s="502" t="n">
        <f aca="false">IF($D403="是",AN403-AO403,0)</f>
        <v>0</v>
      </c>
      <c r="BS403" s="502" t="n">
        <f aca="false">IF($D403="是",AP403-AQ403,0)</f>
        <v>0</v>
      </c>
      <c r="BT403" s="512" t="n">
        <f aca="false">IF($D403="是",AR403-AS403,0)</f>
        <v>0</v>
      </c>
    </row>
    <row r="404" customFormat="false" ht="14.25" hidden="false" customHeight="false" outlineLevel="0" collapsed="false">
      <c r="A404" s="499"/>
      <c r="B404" s="500"/>
      <c r="C404" s="500"/>
      <c r="D404" s="501"/>
      <c r="E404" s="502" t="n">
        <f aca="false">IF($C$3="是",ROUND($A$3*G404/$B$3,2),ROUND($A$3*(G404-AT404)/$B$3,2))</f>
        <v>0</v>
      </c>
      <c r="F404" s="503"/>
      <c r="G404" s="504" t="n">
        <f aca="false">H404+AC404+AT404</f>
        <v>0</v>
      </c>
      <c r="H404" s="505" t="n">
        <f aca="false">SUMIF(I$12:AB$12,"总值",I404:AB404)</f>
        <v>0</v>
      </c>
      <c r="I404" s="506"/>
      <c r="J404" s="506"/>
      <c r="K404" s="506"/>
      <c r="L404" s="506"/>
      <c r="M404" s="506"/>
      <c r="N404" s="506"/>
      <c r="O404" s="506"/>
      <c r="P404" s="506"/>
      <c r="Q404" s="506"/>
      <c r="R404" s="506"/>
      <c r="S404" s="506"/>
      <c r="T404" s="506"/>
      <c r="U404" s="506"/>
      <c r="V404" s="506"/>
      <c r="W404" s="506"/>
      <c r="X404" s="506"/>
      <c r="Y404" s="506"/>
      <c r="Z404" s="506"/>
      <c r="AA404" s="506"/>
      <c r="AB404" s="506"/>
      <c r="AC404" s="502" t="n">
        <f aca="false">SUMIF(AD$12:AS$12,"总值",AD404:AS404)</f>
        <v>0</v>
      </c>
      <c r="AD404" s="507"/>
      <c r="AE404" s="507"/>
      <c r="AF404" s="507"/>
      <c r="AG404" s="507"/>
      <c r="AH404" s="507"/>
      <c r="AI404" s="507"/>
      <c r="AJ404" s="507"/>
      <c r="AK404" s="507"/>
      <c r="AL404" s="507"/>
      <c r="AM404" s="507"/>
      <c r="AN404" s="507"/>
      <c r="AO404" s="507"/>
      <c r="AP404" s="507"/>
      <c r="AQ404" s="507"/>
      <c r="AR404" s="507"/>
      <c r="AS404" s="507"/>
      <c r="AT404" s="508"/>
      <c r="AU404" s="509"/>
      <c r="AV404" s="510" t="n">
        <f aca="false">A404</f>
        <v>0</v>
      </c>
      <c r="AW404" s="510" t="n">
        <f aca="false">B404</f>
        <v>0</v>
      </c>
      <c r="AX404" s="510" t="n">
        <f aca="false">C404</f>
        <v>0</v>
      </c>
      <c r="AY404" s="511" t="n">
        <f aca="false">ROUND($AY$6*AZ404/$AZ$5,2)</f>
        <v>0</v>
      </c>
      <c r="AZ404" s="502" t="n">
        <f aca="false">BA404+BL404</f>
        <v>0</v>
      </c>
      <c r="BA404" s="502" t="n">
        <f aca="false">SUM(BB404:BK404)</f>
        <v>0</v>
      </c>
      <c r="BB404" s="502" t="n">
        <f aca="false">IF($D404="是",I404-J404,0)</f>
        <v>0</v>
      </c>
      <c r="BC404" s="502" t="n">
        <f aca="false">IF($D404="是",K404-L404,0)</f>
        <v>0</v>
      </c>
      <c r="BD404" s="502" t="n">
        <f aca="false">IF($D404="是",M404-N404,0)</f>
        <v>0</v>
      </c>
      <c r="BE404" s="502" t="n">
        <f aca="false">IF($D404="是",O404-P404,0)</f>
        <v>0</v>
      </c>
      <c r="BF404" s="502" t="n">
        <f aca="false">IF($D404="是",Q404-R404,0)</f>
        <v>0</v>
      </c>
      <c r="BG404" s="502" t="n">
        <f aca="false">IF($D404="是",S404-T404,0)</f>
        <v>0</v>
      </c>
      <c r="BH404" s="502" t="n">
        <f aca="false">IF($D404="是",U404-V404,0)</f>
        <v>0</v>
      </c>
      <c r="BI404" s="502" t="n">
        <f aca="false">IF($D404="是",W404-X404,0)</f>
        <v>0</v>
      </c>
      <c r="BJ404" s="502" t="n">
        <f aca="false">IF($D404="是",Y404-Z404,0)</f>
        <v>0</v>
      </c>
      <c r="BK404" s="502" t="n">
        <f aca="false">IF($D404="是",AA404-AB404,0)</f>
        <v>0</v>
      </c>
      <c r="BL404" s="502" t="n">
        <f aca="false">SUM(BM404:BT404)</f>
        <v>0</v>
      </c>
      <c r="BM404" s="502" t="n">
        <f aca="false">IF($D404="是",AD404-AE404,0)</f>
        <v>0</v>
      </c>
      <c r="BN404" s="502" t="n">
        <f aca="false">IF($D404="是",AF404-AG404,0)</f>
        <v>0</v>
      </c>
      <c r="BO404" s="502" t="n">
        <f aca="false">IF($D404="是",AH404-AI404,0)</f>
        <v>0</v>
      </c>
      <c r="BP404" s="502" t="n">
        <f aca="false">IF($D404="是",AJ404-AK404,0)</f>
        <v>0</v>
      </c>
      <c r="BQ404" s="502" t="n">
        <f aca="false">IF($D404="是",AL404-AM404,0)</f>
        <v>0</v>
      </c>
      <c r="BR404" s="502" t="n">
        <f aca="false">IF($D404="是",AN404-AO404,0)</f>
        <v>0</v>
      </c>
      <c r="BS404" s="502" t="n">
        <f aca="false">IF($D404="是",AP404-AQ404,0)</f>
        <v>0</v>
      </c>
      <c r="BT404" s="512" t="n">
        <f aca="false">IF($D404="是",AR404-AS404,0)</f>
        <v>0</v>
      </c>
    </row>
    <row r="405" customFormat="false" ht="14.25" hidden="false" customHeight="false" outlineLevel="0" collapsed="false">
      <c r="A405" s="499"/>
      <c r="B405" s="500"/>
      <c r="C405" s="500"/>
      <c r="D405" s="501"/>
      <c r="E405" s="502" t="n">
        <f aca="false">IF($C$3="是",ROUND($A$3*G405/$B$3,2),ROUND($A$3*(G405-AT405)/$B$3,2))</f>
        <v>0</v>
      </c>
      <c r="F405" s="503"/>
      <c r="G405" s="504" t="n">
        <f aca="false">H405+AC405+AT405</f>
        <v>0</v>
      </c>
      <c r="H405" s="505" t="n">
        <f aca="false">SUMIF(I$12:AB$12,"总值",I405:AB405)</f>
        <v>0</v>
      </c>
      <c r="I405" s="506"/>
      <c r="J405" s="506"/>
      <c r="K405" s="506"/>
      <c r="L405" s="506"/>
      <c r="M405" s="506"/>
      <c r="N405" s="506"/>
      <c r="O405" s="506"/>
      <c r="P405" s="506"/>
      <c r="Q405" s="506"/>
      <c r="R405" s="506"/>
      <c r="S405" s="506"/>
      <c r="T405" s="506"/>
      <c r="U405" s="506"/>
      <c r="V405" s="506"/>
      <c r="W405" s="506"/>
      <c r="X405" s="506"/>
      <c r="Y405" s="506"/>
      <c r="Z405" s="506"/>
      <c r="AA405" s="506"/>
      <c r="AB405" s="506"/>
      <c r="AC405" s="502" t="n">
        <f aca="false">SUMIF(AD$12:AS$12,"总值",AD405:AS405)</f>
        <v>0</v>
      </c>
      <c r="AD405" s="507"/>
      <c r="AE405" s="507"/>
      <c r="AF405" s="507"/>
      <c r="AG405" s="507"/>
      <c r="AH405" s="507"/>
      <c r="AI405" s="507"/>
      <c r="AJ405" s="507"/>
      <c r="AK405" s="507"/>
      <c r="AL405" s="507"/>
      <c r="AM405" s="507"/>
      <c r="AN405" s="507"/>
      <c r="AO405" s="507"/>
      <c r="AP405" s="507"/>
      <c r="AQ405" s="507"/>
      <c r="AR405" s="507"/>
      <c r="AS405" s="507"/>
      <c r="AT405" s="508"/>
      <c r="AU405" s="509"/>
      <c r="AV405" s="510" t="n">
        <f aca="false">A405</f>
        <v>0</v>
      </c>
      <c r="AW405" s="510" t="n">
        <f aca="false">B405</f>
        <v>0</v>
      </c>
      <c r="AX405" s="510" t="n">
        <f aca="false">C405</f>
        <v>0</v>
      </c>
      <c r="AY405" s="511" t="n">
        <f aca="false">ROUND($AY$6*AZ405/$AZ$5,2)</f>
        <v>0</v>
      </c>
      <c r="AZ405" s="502" t="n">
        <f aca="false">BA405+BL405</f>
        <v>0</v>
      </c>
      <c r="BA405" s="502" t="n">
        <f aca="false">SUM(BB405:BK405)</f>
        <v>0</v>
      </c>
      <c r="BB405" s="502" t="n">
        <f aca="false">IF($D405="是",I405-J405,0)</f>
        <v>0</v>
      </c>
      <c r="BC405" s="502" t="n">
        <f aca="false">IF($D405="是",K405-L405,0)</f>
        <v>0</v>
      </c>
      <c r="BD405" s="502" t="n">
        <f aca="false">IF($D405="是",M405-N405,0)</f>
        <v>0</v>
      </c>
      <c r="BE405" s="502" t="n">
        <f aca="false">IF($D405="是",O405-P405,0)</f>
        <v>0</v>
      </c>
      <c r="BF405" s="502" t="n">
        <f aca="false">IF($D405="是",Q405-R405,0)</f>
        <v>0</v>
      </c>
      <c r="BG405" s="502" t="n">
        <f aca="false">IF($D405="是",S405-T405,0)</f>
        <v>0</v>
      </c>
      <c r="BH405" s="502" t="n">
        <f aca="false">IF($D405="是",U405-V405,0)</f>
        <v>0</v>
      </c>
      <c r="BI405" s="502" t="n">
        <f aca="false">IF($D405="是",W405-X405,0)</f>
        <v>0</v>
      </c>
      <c r="BJ405" s="502" t="n">
        <f aca="false">IF($D405="是",Y405-Z405,0)</f>
        <v>0</v>
      </c>
      <c r="BK405" s="502" t="n">
        <f aca="false">IF($D405="是",AA405-AB405,0)</f>
        <v>0</v>
      </c>
      <c r="BL405" s="502" t="n">
        <f aca="false">SUM(BM405:BT405)</f>
        <v>0</v>
      </c>
      <c r="BM405" s="502" t="n">
        <f aca="false">IF($D405="是",AD405-AE405,0)</f>
        <v>0</v>
      </c>
      <c r="BN405" s="502" t="n">
        <f aca="false">IF($D405="是",AF405-AG405,0)</f>
        <v>0</v>
      </c>
      <c r="BO405" s="502" t="n">
        <f aca="false">IF($D405="是",AH405-AI405,0)</f>
        <v>0</v>
      </c>
      <c r="BP405" s="502" t="n">
        <f aca="false">IF($D405="是",AJ405-AK405,0)</f>
        <v>0</v>
      </c>
      <c r="BQ405" s="502" t="n">
        <f aca="false">IF($D405="是",AL405-AM405,0)</f>
        <v>0</v>
      </c>
      <c r="BR405" s="502" t="n">
        <f aca="false">IF($D405="是",AN405-AO405,0)</f>
        <v>0</v>
      </c>
      <c r="BS405" s="502" t="n">
        <f aca="false">IF($D405="是",AP405-AQ405,0)</f>
        <v>0</v>
      </c>
      <c r="BT405" s="512" t="n">
        <f aca="false">IF($D405="是",AR405-AS405,0)</f>
        <v>0</v>
      </c>
    </row>
    <row r="406" customFormat="false" ht="14.25" hidden="false" customHeight="false" outlineLevel="0" collapsed="false">
      <c r="A406" s="499"/>
      <c r="B406" s="500"/>
      <c r="C406" s="500"/>
      <c r="D406" s="501"/>
      <c r="E406" s="502" t="n">
        <f aca="false">IF($C$3="是",ROUND($A$3*G406/$B$3,2),ROUND($A$3*(G406-AT406)/$B$3,2))</f>
        <v>0</v>
      </c>
      <c r="F406" s="503"/>
      <c r="G406" s="504" t="n">
        <f aca="false">H406+AC406+AT406</f>
        <v>0</v>
      </c>
      <c r="H406" s="505" t="n">
        <f aca="false">SUMIF(I$12:AB$12,"总值",I406:AB406)</f>
        <v>0</v>
      </c>
      <c r="I406" s="506"/>
      <c r="J406" s="506"/>
      <c r="K406" s="506"/>
      <c r="L406" s="506"/>
      <c r="M406" s="506"/>
      <c r="N406" s="506"/>
      <c r="O406" s="506"/>
      <c r="P406" s="506"/>
      <c r="Q406" s="506"/>
      <c r="R406" s="506"/>
      <c r="S406" s="506"/>
      <c r="T406" s="506"/>
      <c r="U406" s="506"/>
      <c r="V406" s="506"/>
      <c r="W406" s="506"/>
      <c r="X406" s="506"/>
      <c r="Y406" s="506"/>
      <c r="Z406" s="506"/>
      <c r="AA406" s="506"/>
      <c r="AB406" s="506"/>
      <c r="AC406" s="502" t="n">
        <f aca="false">SUMIF(AD$12:AS$12,"总值",AD406:AS406)</f>
        <v>0</v>
      </c>
      <c r="AD406" s="507"/>
      <c r="AE406" s="507"/>
      <c r="AF406" s="507"/>
      <c r="AG406" s="507"/>
      <c r="AH406" s="507"/>
      <c r="AI406" s="507"/>
      <c r="AJ406" s="507"/>
      <c r="AK406" s="507"/>
      <c r="AL406" s="507"/>
      <c r="AM406" s="507"/>
      <c r="AN406" s="507"/>
      <c r="AO406" s="507"/>
      <c r="AP406" s="507"/>
      <c r="AQ406" s="507"/>
      <c r="AR406" s="507"/>
      <c r="AS406" s="507"/>
      <c r="AT406" s="508"/>
      <c r="AU406" s="509"/>
      <c r="AV406" s="510" t="n">
        <f aca="false">A406</f>
        <v>0</v>
      </c>
      <c r="AW406" s="510" t="n">
        <f aca="false">B406</f>
        <v>0</v>
      </c>
      <c r="AX406" s="510" t="n">
        <f aca="false">C406</f>
        <v>0</v>
      </c>
      <c r="AY406" s="511" t="n">
        <f aca="false">ROUND($AY$6*AZ406/$AZ$5,2)</f>
        <v>0</v>
      </c>
      <c r="AZ406" s="502" t="n">
        <f aca="false">BA406+BL406</f>
        <v>0</v>
      </c>
      <c r="BA406" s="502" t="n">
        <f aca="false">SUM(BB406:BK406)</f>
        <v>0</v>
      </c>
      <c r="BB406" s="502" t="n">
        <f aca="false">IF($D406="是",I406-J406,0)</f>
        <v>0</v>
      </c>
      <c r="BC406" s="502" t="n">
        <f aca="false">IF($D406="是",K406-L406,0)</f>
        <v>0</v>
      </c>
      <c r="BD406" s="502" t="n">
        <f aca="false">IF($D406="是",M406-N406,0)</f>
        <v>0</v>
      </c>
      <c r="BE406" s="502" t="n">
        <f aca="false">IF($D406="是",O406-P406,0)</f>
        <v>0</v>
      </c>
      <c r="BF406" s="502" t="n">
        <f aca="false">IF($D406="是",Q406-R406,0)</f>
        <v>0</v>
      </c>
      <c r="BG406" s="502" t="n">
        <f aca="false">IF($D406="是",S406-T406,0)</f>
        <v>0</v>
      </c>
      <c r="BH406" s="502" t="n">
        <f aca="false">IF($D406="是",U406-V406,0)</f>
        <v>0</v>
      </c>
      <c r="BI406" s="502" t="n">
        <f aca="false">IF($D406="是",W406-X406,0)</f>
        <v>0</v>
      </c>
      <c r="BJ406" s="502" t="n">
        <f aca="false">IF($D406="是",Y406-Z406,0)</f>
        <v>0</v>
      </c>
      <c r="BK406" s="502" t="n">
        <f aca="false">IF($D406="是",AA406-AB406,0)</f>
        <v>0</v>
      </c>
      <c r="BL406" s="502" t="n">
        <f aca="false">SUM(BM406:BT406)</f>
        <v>0</v>
      </c>
      <c r="BM406" s="502" t="n">
        <f aca="false">IF($D406="是",AD406-AE406,0)</f>
        <v>0</v>
      </c>
      <c r="BN406" s="502" t="n">
        <f aca="false">IF($D406="是",AF406-AG406,0)</f>
        <v>0</v>
      </c>
      <c r="BO406" s="502" t="n">
        <f aca="false">IF($D406="是",AH406-AI406,0)</f>
        <v>0</v>
      </c>
      <c r="BP406" s="502" t="n">
        <f aca="false">IF($D406="是",AJ406-AK406,0)</f>
        <v>0</v>
      </c>
      <c r="BQ406" s="502" t="n">
        <f aca="false">IF($D406="是",AL406-AM406,0)</f>
        <v>0</v>
      </c>
      <c r="BR406" s="502" t="n">
        <f aca="false">IF($D406="是",AN406-AO406,0)</f>
        <v>0</v>
      </c>
      <c r="BS406" s="502" t="n">
        <f aca="false">IF($D406="是",AP406-AQ406,0)</f>
        <v>0</v>
      </c>
      <c r="BT406" s="512" t="n">
        <f aca="false">IF($D406="是",AR406-AS406,0)</f>
        <v>0</v>
      </c>
    </row>
    <row r="407" customFormat="false" ht="14.25" hidden="false" customHeight="false" outlineLevel="0" collapsed="false">
      <c r="A407" s="499"/>
      <c r="B407" s="500"/>
      <c r="C407" s="500"/>
      <c r="D407" s="501"/>
      <c r="E407" s="502" t="n">
        <f aca="false">IF($C$3="是",ROUND($A$3*G407/$B$3,2),ROUND($A$3*(G407-AT407)/$B$3,2))</f>
        <v>0</v>
      </c>
      <c r="F407" s="503"/>
      <c r="G407" s="504" t="n">
        <f aca="false">H407+AC407+AT407</f>
        <v>0</v>
      </c>
      <c r="H407" s="505" t="n">
        <f aca="false">SUMIF(I$12:AB$12,"总值",I407:AB407)</f>
        <v>0</v>
      </c>
      <c r="I407" s="506"/>
      <c r="J407" s="506"/>
      <c r="K407" s="506"/>
      <c r="L407" s="506"/>
      <c r="M407" s="506"/>
      <c r="N407" s="506"/>
      <c r="O407" s="506"/>
      <c r="P407" s="506"/>
      <c r="Q407" s="506"/>
      <c r="R407" s="506"/>
      <c r="S407" s="506"/>
      <c r="T407" s="506"/>
      <c r="U407" s="506"/>
      <c r="V407" s="506"/>
      <c r="W407" s="506"/>
      <c r="X407" s="506"/>
      <c r="Y407" s="506"/>
      <c r="Z407" s="506"/>
      <c r="AA407" s="506"/>
      <c r="AB407" s="506"/>
      <c r="AC407" s="502" t="n">
        <f aca="false">SUMIF(AD$12:AS$12,"总值",AD407:AS407)</f>
        <v>0</v>
      </c>
      <c r="AD407" s="507"/>
      <c r="AE407" s="507"/>
      <c r="AF407" s="507"/>
      <c r="AG407" s="507"/>
      <c r="AH407" s="507"/>
      <c r="AI407" s="507"/>
      <c r="AJ407" s="507"/>
      <c r="AK407" s="507"/>
      <c r="AL407" s="507"/>
      <c r="AM407" s="507"/>
      <c r="AN407" s="507"/>
      <c r="AO407" s="507"/>
      <c r="AP407" s="507"/>
      <c r="AQ407" s="507"/>
      <c r="AR407" s="507"/>
      <c r="AS407" s="507"/>
      <c r="AT407" s="508"/>
      <c r="AU407" s="509"/>
      <c r="AV407" s="510" t="n">
        <f aca="false">A407</f>
        <v>0</v>
      </c>
      <c r="AW407" s="510" t="n">
        <f aca="false">B407</f>
        <v>0</v>
      </c>
      <c r="AX407" s="510" t="n">
        <f aca="false">C407</f>
        <v>0</v>
      </c>
      <c r="AY407" s="511" t="n">
        <f aca="false">ROUND($AY$6*AZ407/$AZ$5,2)</f>
        <v>0</v>
      </c>
      <c r="AZ407" s="502" t="n">
        <f aca="false">BA407+BL407</f>
        <v>0</v>
      </c>
      <c r="BA407" s="502" t="n">
        <f aca="false">SUM(BB407:BK407)</f>
        <v>0</v>
      </c>
      <c r="BB407" s="502" t="n">
        <f aca="false">IF($D407="是",I407-J407,0)</f>
        <v>0</v>
      </c>
      <c r="BC407" s="502" t="n">
        <f aca="false">IF($D407="是",K407-L407,0)</f>
        <v>0</v>
      </c>
      <c r="BD407" s="502" t="n">
        <f aca="false">IF($D407="是",M407-N407,0)</f>
        <v>0</v>
      </c>
      <c r="BE407" s="502" t="n">
        <f aca="false">IF($D407="是",O407-P407,0)</f>
        <v>0</v>
      </c>
      <c r="BF407" s="502" t="n">
        <f aca="false">IF($D407="是",Q407-R407,0)</f>
        <v>0</v>
      </c>
      <c r="BG407" s="502" t="n">
        <f aca="false">IF($D407="是",S407-T407,0)</f>
        <v>0</v>
      </c>
      <c r="BH407" s="502" t="n">
        <f aca="false">IF($D407="是",U407-V407,0)</f>
        <v>0</v>
      </c>
      <c r="BI407" s="502" t="n">
        <f aca="false">IF($D407="是",W407-X407,0)</f>
        <v>0</v>
      </c>
      <c r="BJ407" s="502" t="n">
        <f aca="false">IF($D407="是",Y407-Z407,0)</f>
        <v>0</v>
      </c>
      <c r="BK407" s="502" t="n">
        <f aca="false">IF($D407="是",AA407-AB407,0)</f>
        <v>0</v>
      </c>
      <c r="BL407" s="502" t="n">
        <f aca="false">SUM(BM407:BT407)</f>
        <v>0</v>
      </c>
      <c r="BM407" s="502" t="n">
        <f aca="false">IF($D407="是",AD407-AE407,0)</f>
        <v>0</v>
      </c>
      <c r="BN407" s="502" t="n">
        <f aca="false">IF($D407="是",AF407-AG407,0)</f>
        <v>0</v>
      </c>
      <c r="BO407" s="502" t="n">
        <f aca="false">IF($D407="是",AH407-AI407,0)</f>
        <v>0</v>
      </c>
      <c r="BP407" s="502" t="n">
        <f aca="false">IF($D407="是",AJ407-AK407,0)</f>
        <v>0</v>
      </c>
      <c r="BQ407" s="502" t="n">
        <f aca="false">IF($D407="是",AL407-AM407,0)</f>
        <v>0</v>
      </c>
      <c r="BR407" s="502" t="n">
        <f aca="false">IF($D407="是",AN407-AO407,0)</f>
        <v>0</v>
      </c>
      <c r="BS407" s="502" t="n">
        <f aca="false">IF($D407="是",AP407-AQ407,0)</f>
        <v>0</v>
      </c>
      <c r="BT407" s="512" t="n">
        <f aca="false">IF($D407="是",AR407-AS407,0)</f>
        <v>0</v>
      </c>
    </row>
    <row r="408" customFormat="false" ht="14.25" hidden="false" customHeight="false" outlineLevel="0" collapsed="false">
      <c r="A408" s="499"/>
      <c r="B408" s="500"/>
      <c r="C408" s="500"/>
      <c r="D408" s="501"/>
      <c r="E408" s="502" t="n">
        <f aca="false">IF($C$3="是",ROUND($A$3*G408/$B$3,2),ROUND($A$3*(G408-AT408)/$B$3,2))</f>
        <v>0</v>
      </c>
      <c r="F408" s="503"/>
      <c r="G408" s="504" t="n">
        <f aca="false">H408+AC408+AT408</f>
        <v>0</v>
      </c>
      <c r="H408" s="505" t="n">
        <f aca="false">SUMIF(I$12:AB$12,"总值",I408:AB408)</f>
        <v>0</v>
      </c>
      <c r="I408" s="506"/>
      <c r="J408" s="506"/>
      <c r="K408" s="506"/>
      <c r="L408" s="506"/>
      <c r="M408" s="506"/>
      <c r="N408" s="506"/>
      <c r="O408" s="506"/>
      <c r="P408" s="506"/>
      <c r="Q408" s="506"/>
      <c r="R408" s="506"/>
      <c r="S408" s="506"/>
      <c r="T408" s="506"/>
      <c r="U408" s="506"/>
      <c r="V408" s="506"/>
      <c r="W408" s="506"/>
      <c r="X408" s="506"/>
      <c r="Y408" s="506"/>
      <c r="Z408" s="506"/>
      <c r="AA408" s="506"/>
      <c r="AB408" s="506"/>
      <c r="AC408" s="502" t="n">
        <f aca="false">SUMIF(AD$12:AS$12,"总值",AD408:AS408)</f>
        <v>0</v>
      </c>
      <c r="AD408" s="507"/>
      <c r="AE408" s="507"/>
      <c r="AF408" s="507"/>
      <c r="AG408" s="507"/>
      <c r="AH408" s="507"/>
      <c r="AI408" s="507"/>
      <c r="AJ408" s="507"/>
      <c r="AK408" s="507"/>
      <c r="AL408" s="507"/>
      <c r="AM408" s="507"/>
      <c r="AN408" s="507"/>
      <c r="AO408" s="507"/>
      <c r="AP408" s="507"/>
      <c r="AQ408" s="507"/>
      <c r="AR408" s="507"/>
      <c r="AS408" s="507"/>
      <c r="AT408" s="508"/>
      <c r="AU408" s="509"/>
      <c r="AV408" s="510" t="n">
        <f aca="false">A408</f>
        <v>0</v>
      </c>
      <c r="AW408" s="510" t="n">
        <f aca="false">B408</f>
        <v>0</v>
      </c>
      <c r="AX408" s="510" t="n">
        <f aca="false">C408</f>
        <v>0</v>
      </c>
      <c r="AY408" s="511" t="n">
        <f aca="false">ROUND($AY$6*AZ408/$AZ$5,2)</f>
        <v>0</v>
      </c>
      <c r="AZ408" s="502" t="n">
        <f aca="false">BA408+BL408</f>
        <v>0</v>
      </c>
      <c r="BA408" s="502" t="n">
        <f aca="false">SUM(BB408:BK408)</f>
        <v>0</v>
      </c>
      <c r="BB408" s="502" t="n">
        <f aca="false">IF($D408="是",I408-J408,0)</f>
        <v>0</v>
      </c>
      <c r="BC408" s="502" t="n">
        <f aca="false">IF($D408="是",K408-L408,0)</f>
        <v>0</v>
      </c>
      <c r="BD408" s="502" t="n">
        <f aca="false">IF($D408="是",M408-N408,0)</f>
        <v>0</v>
      </c>
      <c r="BE408" s="502" t="n">
        <f aca="false">IF($D408="是",O408-P408,0)</f>
        <v>0</v>
      </c>
      <c r="BF408" s="502" t="n">
        <f aca="false">IF($D408="是",Q408-R408,0)</f>
        <v>0</v>
      </c>
      <c r="BG408" s="502" t="n">
        <f aca="false">IF($D408="是",S408-T408,0)</f>
        <v>0</v>
      </c>
      <c r="BH408" s="502" t="n">
        <f aca="false">IF($D408="是",U408-V408,0)</f>
        <v>0</v>
      </c>
      <c r="BI408" s="502" t="n">
        <f aca="false">IF($D408="是",W408-X408,0)</f>
        <v>0</v>
      </c>
      <c r="BJ408" s="502" t="n">
        <f aca="false">IF($D408="是",Y408-Z408,0)</f>
        <v>0</v>
      </c>
      <c r="BK408" s="502" t="n">
        <f aca="false">IF($D408="是",AA408-AB408,0)</f>
        <v>0</v>
      </c>
      <c r="BL408" s="502" t="n">
        <f aca="false">SUM(BM408:BT408)</f>
        <v>0</v>
      </c>
      <c r="BM408" s="502" t="n">
        <f aca="false">IF($D408="是",AD408-AE408,0)</f>
        <v>0</v>
      </c>
      <c r="BN408" s="502" t="n">
        <f aca="false">IF($D408="是",AF408-AG408,0)</f>
        <v>0</v>
      </c>
      <c r="BO408" s="502" t="n">
        <f aca="false">IF($D408="是",AH408-AI408,0)</f>
        <v>0</v>
      </c>
      <c r="BP408" s="502" t="n">
        <f aca="false">IF($D408="是",AJ408-AK408,0)</f>
        <v>0</v>
      </c>
      <c r="BQ408" s="502" t="n">
        <f aca="false">IF($D408="是",AL408-AM408,0)</f>
        <v>0</v>
      </c>
      <c r="BR408" s="502" t="n">
        <f aca="false">IF($D408="是",AN408-AO408,0)</f>
        <v>0</v>
      </c>
      <c r="BS408" s="502" t="n">
        <f aca="false">IF($D408="是",AP408-AQ408,0)</f>
        <v>0</v>
      </c>
      <c r="BT408" s="512" t="n">
        <f aca="false">IF($D408="是",AR408-AS408,0)</f>
        <v>0</v>
      </c>
    </row>
    <row r="409" customFormat="false" ht="14.25" hidden="false" customHeight="false" outlineLevel="0" collapsed="false">
      <c r="A409" s="499"/>
      <c r="B409" s="500"/>
      <c r="C409" s="500"/>
      <c r="D409" s="501"/>
      <c r="E409" s="502" t="n">
        <f aca="false">IF($C$3="是",ROUND($A$3*G409/$B$3,2),ROUND($A$3*(G409-AT409)/$B$3,2))</f>
        <v>0</v>
      </c>
      <c r="F409" s="503"/>
      <c r="G409" s="504" t="n">
        <f aca="false">H409+AC409+AT409</f>
        <v>0</v>
      </c>
      <c r="H409" s="505" t="n">
        <f aca="false">SUMIF(I$12:AB$12,"总值",I409:AB409)</f>
        <v>0</v>
      </c>
      <c r="I409" s="506"/>
      <c r="J409" s="506"/>
      <c r="K409" s="506"/>
      <c r="L409" s="506"/>
      <c r="M409" s="506"/>
      <c r="N409" s="506"/>
      <c r="O409" s="506"/>
      <c r="P409" s="506"/>
      <c r="Q409" s="506"/>
      <c r="R409" s="506"/>
      <c r="S409" s="506"/>
      <c r="T409" s="506"/>
      <c r="U409" s="506"/>
      <c r="V409" s="506"/>
      <c r="W409" s="506"/>
      <c r="X409" s="506"/>
      <c r="Y409" s="506"/>
      <c r="Z409" s="506"/>
      <c r="AA409" s="506"/>
      <c r="AB409" s="506"/>
      <c r="AC409" s="502" t="n">
        <f aca="false">SUMIF(AD$12:AS$12,"总值",AD409:AS409)</f>
        <v>0</v>
      </c>
      <c r="AD409" s="507"/>
      <c r="AE409" s="507"/>
      <c r="AF409" s="507"/>
      <c r="AG409" s="507"/>
      <c r="AH409" s="507"/>
      <c r="AI409" s="507"/>
      <c r="AJ409" s="507"/>
      <c r="AK409" s="507"/>
      <c r="AL409" s="507"/>
      <c r="AM409" s="507"/>
      <c r="AN409" s="507"/>
      <c r="AO409" s="507"/>
      <c r="AP409" s="507"/>
      <c r="AQ409" s="507"/>
      <c r="AR409" s="507"/>
      <c r="AS409" s="507"/>
      <c r="AT409" s="508"/>
      <c r="AU409" s="509"/>
      <c r="AV409" s="510" t="n">
        <f aca="false">A409</f>
        <v>0</v>
      </c>
      <c r="AW409" s="510" t="n">
        <f aca="false">B409</f>
        <v>0</v>
      </c>
      <c r="AX409" s="510" t="n">
        <f aca="false">C409</f>
        <v>0</v>
      </c>
      <c r="AY409" s="511" t="n">
        <f aca="false">ROUND($AY$6*AZ409/$AZ$5,2)</f>
        <v>0</v>
      </c>
      <c r="AZ409" s="502" t="n">
        <f aca="false">BA409+BL409</f>
        <v>0</v>
      </c>
      <c r="BA409" s="502" t="n">
        <f aca="false">SUM(BB409:BK409)</f>
        <v>0</v>
      </c>
      <c r="BB409" s="502" t="n">
        <f aca="false">IF($D409="是",I409-J409,0)</f>
        <v>0</v>
      </c>
      <c r="BC409" s="502" t="n">
        <f aca="false">IF($D409="是",K409-L409,0)</f>
        <v>0</v>
      </c>
      <c r="BD409" s="502" t="n">
        <f aca="false">IF($D409="是",M409-N409,0)</f>
        <v>0</v>
      </c>
      <c r="BE409" s="502" t="n">
        <f aca="false">IF($D409="是",O409-P409,0)</f>
        <v>0</v>
      </c>
      <c r="BF409" s="502" t="n">
        <f aca="false">IF($D409="是",Q409-R409,0)</f>
        <v>0</v>
      </c>
      <c r="BG409" s="502" t="n">
        <f aca="false">IF($D409="是",S409-T409,0)</f>
        <v>0</v>
      </c>
      <c r="BH409" s="502" t="n">
        <f aca="false">IF($D409="是",U409-V409,0)</f>
        <v>0</v>
      </c>
      <c r="BI409" s="502" t="n">
        <f aca="false">IF($D409="是",W409-X409,0)</f>
        <v>0</v>
      </c>
      <c r="BJ409" s="502" t="n">
        <f aca="false">IF($D409="是",Y409-Z409,0)</f>
        <v>0</v>
      </c>
      <c r="BK409" s="502" t="n">
        <f aca="false">IF($D409="是",AA409-AB409,0)</f>
        <v>0</v>
      </c>
      <c r="BL409" s="502" t="n">
        <f aca="false">SUM(BM409:BT409)</f>
        <v>0</v>
      </c>
      <c r="BM409" s="502" t="n">
        <f aca="false">IF($D409="是",AD409-AE409,0)</f>
        <v>0</v>
      </c>
      <c r="BN409" s="502" t="n">
        <f aca="false">IF($D409="是",AF409-AG409,0)</f>
        <v>0</v>
      </c>
      <c r="BO409" s="502" t="n">
        <f aca="false">IF($D409="是",AH409-AI409,0)</f>
        <v>0</v>
      </c>
      <c r="BP409" s="502" t="n">
        <f aca="false">IF($D409="是",AJ409-AK409,0)</f>
        <v>0</v>
      </c>
      <c r="BQ409" s="502" t="n">
        <f aca="false">IF($D409="是",AL409-AM409,0)</f>
        <v>0</v>
      </c>
      <c r="BR409" s="502" t="n">
        <f aca="false">IF($D409="是",AN409-AO409,0)</f>
        <v>0</v>
      </c>
      <c r="BS409" s="502" t="n">
        <f aca="false">IF($D409="是",AP409-AQ409,0)</f>
        <v>0</v>
      </c>
      <c r="BT409" s="512" t="n">
        <f aca="false">IF($D409="是",AR409-AS409,0)</f>
        <v>0</v>
      </c>
    </row>
    <row r="410" customFormat="false" ht="14.25" hidden="false" customHeight="false" outlineLevel="0" collapsed="false">
      <c r="A410" s="499"/>
      <c r="B410" s="500"/>
      <c r="C410" s="500"/>
      <c r="D410" s="501"/>
      <c r="E410" s="502" t="n">
        <f aca="false">IF($C$3="是",ROUND($A$3*G410/$B$3,2),ROUND($A$3*(G410-AT410)/$B$3,2))</f>
        <v>0</v>
      </c>
      <c r="F410" s="503"/>
      <c r="G410" s="504" t="n">
        <f aca="false">H410+AC410+AT410</f>
        <v>0</v>
      </c>
      <c r="H410" s="505" t="n">
        <f aca="false">SUMIF(I$12:AB$12,"总值",I410:AB410)</f>
        <v>0</v>
      </c>
      <c r="I410" s="506"/>
      <c r="J410" s="506"/>
      <c r="K410" s="506"/>
      <c r="L410" s="506"/>
      <c r="M410" s="506"/>
      <c r="N410" s="506"/>
      <c r="O410" s="506"/>
      <c r="P410" s="506"/>
      <c r="Q410" s="506"/>
      <c r="R410" s="506"/>
      <c r="S410" s="506"/>
      <c r="T410" s="506"/>
      <c r="U410" s="506"/>
      <c r="V410" s="506"/>
      <c r="W410" s="506"/>
      <c r="X410" s="506"/>
      <c r="Y410" s="506"/>
      <c r="Z410" s="506"/>
      <c r="AA410" s="506"/>
      <c r="AB410" s="506"/>
      <c r="AC410" s="502" t="n">
        <f aca="false">SUMIF(AD$12:AS$12,"总值",AD410:AS410)</f>
        <v>0</v>
      </c>
      <c r="AD410" s="507"/>
      <c r="AE410" s="507"/>
      <c r="AF410" s="507"/>
      <c r="AG410" s="507"/>
      <c r="AH410" s="507"/>
      <c r="AI410" s="507"/>
      <c r="AJ410" s="507"/>
      <c r="AK410" s="507"/>
      <c r="AL410" s="507"/>
      <c r="AM410" s="507"/>
      <c r="AN410" s="507"/>
      <c r="AO410" s="507"/>
      <c r="AP410" s="507"/>
      <c r="AQ410" s="507"/>
      <c r="AR410" s="507"/>
      <c r="AS410" s="507"/>
      <c r="AT410" s="508"/>
      <c r="AU410" s="509"/>
      <c r="AV410" s="510" t="n">
        <f aca="false">A410</f>
        <v>0</v>
      </c>
      <c r="AW410" s="510" t="n">
        <f aca="false">B410</f>
        <v>0</v>
      </c>
      <c r="AX410" s="510" t="n">
        <f aca="false">C410</f>
        <v>0</v>
      </c>
      <c r="AY410" s="511" t="n">
        <f aca="false">ROUND($AY$6*AZ410/$AZ$5,2)</f>
        <v>0</v>
      </c>
      <c r="AZ410" s="502" t="n">
        <f aca="false">BA410+BL410</f>
        <v>0</v>
      </c>
      <c r="BA410" s="502" t="n">
        <f aca="false">SUM(BB410:BK410)</f>
        <v>0</v>
      </c>
      <c r="BB410" s="502" t="n">
        <f aca="false">IF($D410="是",I410-J410,0)</f>
        <v>0</v>
      </c>
      <c r="BC410" s="502" t="n">
        <f aca="false">IF($D410="是",K410-L410,0)</f>
        <v>0</v>
      </c>
      <c r="BD410" s="502" t="n">
        <f aca="false">IF($D410="是",M410-N410,0)</f>
        <v>0</v>
      </c>
      <c r="BE410" s="502" t="n">
        <f aca="false">IF($D410="是",O410-P410,0)</f>
        <v>0</v>
      </c>
      <c r="BF410" s="502" t="n">
        <f aca="false">IF($D410="是",Q410-R410,0)</f>
        <v>0</v>
      </c>
      <c r="BG410" s="502" t="n">
        <f aca="false">IF($D410="是",S410-T410,0)</f>
        <v>0</v>
      </c>
      <c r="BH410" s="502" t="n">
        <f aca="false">IF($D410="是",U410-V410,0)</f>
        <v>0</v>
      </c>
      <c r="BI410" s="502" t="n">
        <f aca="false">IF($D410="是",W410-X410,0)</f>
        <v>0</v>
      </c>
      <c r="BJ410" s="502" t="n">
        <f aca="false">IF($D410="是",Y410-Z410,0)</f>
        <v>0</v>
      </c>
      <c r="BK410" s="502" t="n">
        <f aca="false">IF($D410="是",AA410-AB410,0)</f>
        <v>0</v>
      </c>
      <c r="BL410" s="502" t="n">
        <f aca="false">SUM(BM410:BT410)</f>
        <v>0</v>
      </c>
      <c r="BM410" s="502" t="n">
        <f aca="false">IF($D410="是",AD410-AE410,0)</f>
        <v>0</v>
      </c>
      <c r="BN410" s="502" t="n">
        <f aca="false">IF($D410="是",AF410-AG410,0)</f>
        <v>0</v>
      </c>
      <c r="BO410" s="502" t="n">
        <f aca="false">IF($D410="是",AH410-AI410,0)</f>
        <v>0</v>
      </c>
      <c r="BP410" s="502" t="n">
        <f aca="false">IF($D410="是",AJ410-AK410,0)</f>
        <v>0</v>
      </c>
      <c r="BQ410" s="502" t="n">
        <f aca="false">IF($D410="是",AL410-AM410,0)</f>
        <v>0</v>
      </c>
      <c r="BR410" s="502" t="n">
        <f aca="false">IF($D410="是",AN410-AO410,0)</f>
        <v>0</v>
      </c>
      <c r="BS410" s="502" t="n">
        <f aca="false">IF($D410="是",AP410-AQ410,0)</f>
        <v>0</v>
      </c>
      <c r="BT410" s="512" t="n">
        <f aca="false">IF($D410="是",AR410-AS410,0)</f>
        <v>0</v>
      </c>
    </row>
    <row r="411" customFormat="false" ht="14.25" hidden="false" customHeight="false" outlineLevel="0" collapsed="false">
      <c r="A411" s="499"/>
      <c r="B411" s="500"/>
      <c r="C411" s="500"/>
      <c r="D411" s="501"/>
      <c r="E411" s="502" t="n">
        <f aca="false">IF($C$3="是",ROUND($A$3*G411/$B$3,2),ROUND($A$3*(G411-AT411)/$B$3,2))</f>
        <v>0</v>
      </c>
      <c r="F411" s="503"/>
      <c r="G411" s="504" t="n">
        <f aca="false">H411+AC411+AT411</f>
        <v>0</v>
      </c>
      <c r="H411" s="505" t="n">
        <f aca="false">SUMIF(I$12:AB$12,"总值",I411:AB411)</f>
        <v>0</v>
      </c>
      <c r="I411" s="506"/>
      <c r="J411" s="506"/>
      <c r="K411" s="506"/>
      <c r="L411" s="506"/>
      <c r="M411" s="506"/>
      <c r="N411" s="506"/>
      <c r="O411" s="506"/>
      <c r="P411" s="506"/>
      <c r="Q411" s="506"/>
      <c r="R411" s="506"/>
      <c r="S411" s="506"/>
      <c r="T411" s="506"/>
      <c r="U411" s="506"/>
      <c r="V411" s="506"/>
      <c r="W411" s="506"/>
      <c r="X411" s="506"/>
      <c r="Y411" s="506"/>
      <c r="Z411" s="506"/>
      <c r="AA411" s="506"/>
      <c r="AB411" s="506"/>
      <c r="AC411" s="502" t="n">
        <f aca="false">SUMIF(AD$12:AS$12,"总值",AD411:AS411)</f>
        <v>0</v>
      </c>
      <c r="AD411" s="507"/>
      <c r="AE411" s="507"/>
      <c r="AF411" s="507"/>
      <c r="AG411" s="507"/>
      <c r="AH411" s="507"/>
      <c r="AI411" s="507"/>
      <c r="AJ411" s="507"/>
      <c r="AK411" s="507"/>
      <c r="AL411" s="507"/>
      <c r="AM411" s="507"/>
      <c r="AN411" s="507"/>
      <c r="AO411" s="507"/>
      <c r="AP411" s="507"/>
      <c r="AQ411" s="507"/>
      <c r="AR411" s="507"/>
      <c r="AS411" s="507"/>
      <c r="AT411" s="508"/>
      <c r="AU411" s="509"/>
      <c r="AV411" s="510" t="n">
        <f aca="false">A411</f>
        <v>0</v>
      </c>
      <c r="AW411" s="510" t="n">
        <f aca="false">B411</f>
        <v>0</v>
      </c>
      <c r="AX411" s="510" t="n">
        <f aca="false">C411</f>
        <v>0</v>
      </c>
      <c r="AY411" s="511" t="n">
        <f aca="false">ROUND($AY$6*AZ411/$AZ$5,2)</f>
        <v>0</v>
      </c>
      <c r="AZ411" s="502" t="n">
        <f aca="false">BA411+BL411</f>
        <v>0</v>
      </c>
      <c r="BA411" s="502" t="n">
        <f aca="false">SUM(BB411:BK411)</f>
        <v>0</v>
      </c>
      <c r="BB411" s="502" t="n">
        <f aca="false">IF($D411="是",I411-J411,0)</f>
        <v>0</v>
      </c>
      <c r="BC411" s="502" t="n">
        <f aca="false">IF($D411="是",K411-L411,0)</f>
        <v>0</v>
      </c>
      <c r="BD411" s="502" t="n">
        <f aca="false">IF($D411="是",M411-N411,0)</f>
        <v>0</v>
      </c>
      <c r="BE411" s="502" t="n">
        <f aca="false">IF($D411="是",O411-P411,0)</f>
        <v>0</v>
      </c>
      <c r="BF411" s="502" t="n">
        <f aca="false">IF($D411="是",Q411-R411,0)</f>
        <v>0</v>
      </c>
      <c r="BG411" s="502" t="n">
        <f aca="false">IF($D411="是",S411-T411,0)</f>
        <v>0</v>
      </c>
      <c r="BH411" s="502" t="n">
        <f aca="false">IF($D411="是",U411-V411,0)</f>
        <v>0</v>
      </c>
      <c r="BI411" s="502" t="n">
        <f aca="false">IF($D411="是",W411-X411,0)</f>
        <v>0</v>
      </c>
      <c r="BJ411" s="502" t="n">
        <f aca="false">IF($D411="是",Y411-Z411,0)</f>
        <v>0</v>
      </c>
      <c r="BK411" s="502" t="n">
        <f aca="false">IF($D411="是",AA411-AB411,0)</f>
        <v>0</v>
      </c>
      <c r="BL411" s="502" t="n">
        <f aca="false">SUM(BM411:BT411)</f>
        <v>0</v>
      </c>
      <c r="BM411" s="502" t="n">
        <f aca="false">IF($D411="是",AD411-AE411,0)</f>
        <v>0</v>
      </c>
      <c r="BN411" s="502" t="n">
        <f aca="false">IF($D411="是",AF411-AG411,0)</f>
        <v>0</v>
      </c>
      <c r="BO411" s="502" t="n">
        <f aca="false">IF($D411="是",AH411-AI411,0)</f>
        <v>0</v>
      </c>
      <c r="BP411" s="502" t="n">
        <f aca="false">IF($D411="是",AJ411-AK411,0)</f>
        <v>0</v>
      </c>
      <c r="BQ411" s="502" t="n">
        <f aca="false">IF($D411="是",AL411-AM411,0)</f>
        <v>0</v>
      </c>
      <c r="BR411" s="502" t="n">
        <f aca="false">IF($D411="是",AN411-AO411,0)</f>
        <v>0</v>
      </c>
      <c r="BS411" s="502" t="n">
        <f aca="false">IF($D411="是",AP411-AQ411,0)</f>
        <v>0</v>
      </c>
      <c r="BT411" s="512" t="n">
        <f aca="false">IF($D411="是",AR411-AS411,0)</f>
        <v>0</v>
      </c>
    </row>
    <row r="412" customFormat="false" ht="14.25" hidden="false" customHeight="false" outlineLevel="0" collapsed="false">
      <c r="A412" s="499"/>
      <c r="B412" s="500"/>
      <c r="C412" s="500"/>
      <c r="D412" s="501"/>
      <c r="E412" s="502" t="n">
        <f aca="false">IF($C$3="是",ROUND($A$3*G412/$B$3,2),ROUND($A$3*(G412-AT412)/$B$3,2))</f>
        <v>0</v>
      </c>
      <c r="F412" s="503"/>
      <c r="G412" s="504" t="n">
        <f aca="false">H412+AC412+AT412</f>
        <v>0</v>
      </c>
      <c r="H412" s="505" t="n">
        <f aca="false">SUMIF(I$12:AB$12,"总值",I412:AB412)</f>
        <v>0</v>
      </c>
      <c r="I412" s="506"/>
      <c r="J412" s="506"/>
      <c r="K412" s="506"/>
      <c r="L412" s="506"/>
      <c r="M412" s="506"/>
      <c r="N412" s="506"/>
      <c r="O412" s="506"/>
      <c r="P412" s="506"/>
      <c r="Q412" s="506"/>
      <c r="R412" s="506"/>
      <c r="S412" s="506"/>
      <c r="T412" s="506"/>
      <c r="U412" s="506"/>
      <c r="V412" s="506"/>
      <c r="W412" s="506"/>
      <c r="X412" s="506"/>
      <c r="Y412" s="506"/>
      <c r="Z412" s="506"/>
      <c r="AA412" s="506"/>
      <c r="AB412" s="506"/>
      <c r="AC412" s="502" t="n">
        <f aca="false">SUMIF(AD$12:AS$12,"总值",AD412:AS412)</f>
        <v>0</v>
      </c>
      <c r="AD412" s="507"/>
      <c r="AE412" s="507"/>
      <c r="AF412" s="507"/>
      <c r="AG412" s="507"/>
      <c r="AH412" s="507"/>
      <c r="AI412" s="507"/>
      <c r="AJ412" s="507"/>
      <c r="AK412" s="507"/>
      <c r="AL412" s="507"/>
      <c r="AM412" s="507"/>
      <c r="AN412" s="507"/>
      <c r="AO412" s="507"/>
      <c r="AP412" s="507"/>
      <c r="AQ412" s="507"/>
      <c r="AR412" s="507"/>
      <c r="AS412" s="507"/>
      <c r="AT412" s="508"/>
      <c r="AU412" s="509"/>
      <c r="AV412" s="510" t="n">
        <f aca="false">A412</f>
        <v>0</v>
      </c>
      <c r="AW412" s="510" t="n">
        <f aca="false">B412</f>
        <v>0</v>
      </c>
      <c r="AX412" s="510" t="n">
        <f aca="false">C412</f>
        <v>0</v>
      </c>
      <c r="AY412" s="511" t="n">
        <f aca="false">ROUND($AY$6*AZ412/$AZ$5,2)</f>
        <v>0</v>
      </c>
      <c r="AZ412" s="502" t="n">
        <f aca="false">BA412+BL412</f>
        <v>0</v>
      </c>
      <c r="BA412" s="502" t="n">
        <f aca="false">SUM(BB412:BK412)</f>
        <v>0</v>
      </c>
      <c r="BB412" s="502" t="n">
        <f aca="false">IF($D412="是",I412-J412,0)</f>
        <v>0</v>
      </c>
      <c r="BC412" s="502" t="n">
        <f aca="false">IF($D412="是",K412-L412,0)</f>
        <v>0</v>
      </c>
      <c r="BD412" s="502" t="n">
        <f aca="false">IF($D412="是",M412-N412,0)</f>
        <v>0</v>
      </c>
      <c r="BE412" s="502" t="n">
        <f aca="false">IF($D412="是",O412-P412,0)</f>
        <v>0</v>
      </c>
      <c r="BF412" s="502" t="n">
        <f aca="false">IF($D412="是",Q412-R412,0)</f>
        <v>0</v>
      </c>
      <c r="BG412" s="502" t="n">
        <f aca="false">IF($D412="是",S412-T412,0)</f>
        <v>0</v>
      </c>
      <c r="BH412" s="502" t="n">
        <f aca="false">IF($D412="是",U412-V412,0)</f>
        <v>0</v>
      </c>
      <c r="BI412" s="502" t="n">
        <f aca="false">IF($D412="是",W412-X412,0)</f>
        <v>0</v>
      </c>
      <c r="BJ412" s="502" t="n">
        <f aca="false">IF($D412="是",Y412-Z412,0)</f>
        <v>0</v>
      </c>
      <c r="BK412" s="502" t="n">
        <f aca="false">IF($D412="是",AA412-AB412,0)</f>
        <v>0</v>
      </c>
      <c r="BL412" s="502" t="n">
        <f aca="false">SUM(BM412:BT412)</f>
        <v>0</v>
      </c>
      <c r="BM412" s="502" t="n">
        <f aca="false">IF($D412="是",AD412-AE412,0)</f>
        <v>0</v>
      </c>
      <c r="BN412" s="502" t="n">
        <f aca="false">IF($D412="是",AF412-AG412,0)</f>
        <v>0</v>
      </c>
      <c r="BO412" s="502" t="n">
        <f aca="false">IF($D412="是",AH412-AI412,0)</f>
        <v>0</v>
      </c>
      <c r="BP412" s="502" t="n">
        <f aca="false">IF($D412="是",AJ412-AK412,0)</f>
        <v>0</v>
      </c>
      <c r="BQ412" s="502" t="n">
        <f aca="false">IF($D412="是",AL412-AM412,0)</f>
        <v>0</v>
      </c>
      <c r="BR412" s="502" t="n">
        <f aca="false">IF($D412="是",AN412-AO412,0)</f>
        <v>0</v>
      </c>
      <c r="BS412" s="502" t="n">
        <f aca="false">IF($D412="是",AP412-AQ412,0)</f>
        <v>0</v>
      </c>
      <c r="BT412" s="512" t="n">
        <f aca="false">IF($D412="是",AR412-AS412,0)</f>
        <v>0</v>
      </c>
    </row>
    <row r="413" customFormat="false" ht="14.25" hidden="false" customHeight="false" outlineLevel="0" collapsed="false">
      <c r="A413" s="499"/>
      <c r="B413" s="500"/>
      <c r="C413" s="500"/>
      <c r="D413" s="501"/>
      <c r="E413" s="502" t="n">
        <f aca="false">IF($C$3="是",ROUND($A$3*G413/$B$3,2),ROUND($A$3*(G413-AT413)/$B$3,2))</f>
        <v>0</v>
      </c>
      <c r="F413" s="503"/>
      <c r="G413" s="504" t="n">
        <f aca="false">H413+AC413+AT413</f>
        <v>0</v>
      </c>
      <c r="H413" s="505" t="n">
        <f aca="false">SUMIF(I$12:AB$12,"总值",I413:AB413)</f>
        <v>0</v>
      </c>
      <c r="I413" s="506"/>
      <c r="J413" s="506"/>
      <c r="K413" s="506"/>
      <c r="L413" s="506"/>
      <c r="M413" s="506"/>
      <c r="N413" s="506"/>
      <c r="O413" s="506"/>
      <c r="P413" s="506"/>
      <c r="Q413" s="506"/>
      <c r="R413" s="506"/>
      <c r="S413" s="506"/>
      <c r="T413" s="506"/>
      <c r="U413" s="506"/>
      <c r="V413" s="506"/>
      <c r="W413" s="506"/>
      <c r="X413" s="506"/>
      <c r="Y413" s="506"/>
      <c r="Z413" s="506"/>
      <c r="AA413" s="506"/>
      <c r="AB413" s="506"/>
      <c r="AC413" s="502" t="n">
        <f aca="false">SUMIF(AD$12:AS$12,"总值",AD413:AS413)</f>
        <v>0</v>
      </c>
      <c r="AD413" s="507"/>
      <c r="AE413" s="507"/>
      <c r="AF413" s="507"/>
      <c r="AG413" s="507"/>
      <c r="AH413" s="507"/>
      <c r="AI413" s="507"/>
      <c r="AJ413" s="507"/>
      <c r="AK413" s="507"/>
      <c r="AL413" s="507"/>
      <c r="AM413" s="507"/>
      <c r="AN413" s="507"/>
      <c r="AO413" s="507"/>
      <c r="AP413" s="507"/>
      <c r="AQ413" s="507"/>
      <c r="AR413" s="507"/>
      <c r="AS413" s="507"/>
      <c r="AT413" s="508"/>
      <c r="AU413" s="509"/>
      <c r="AV413" s="510" t="n">
        <f aca="false">A413</f>
        <v>0</v>
      </c>
      <c r="AW413" s="510" t="n">
        <f aca="false">B413</f>
        <v>0</v>
      </c>
      <c r="AX413" s="510" t="n">
        <f aca="false">C413</f>
        <v>0</v>
      </c>
      <c r="AY413" s="511" t="n">
        <f aca="false">ROUND($AY$6*AZ413/$AZ$5,2)</f>
        <v>0</v>
      </c>
      <c r="AZ413" s="502" t="n">
        <f aca="false">BA413+BL413</f>
        <v>0</v>
      </c>
      <c r="BA413" s="502" t="n">
        <f aca="false">SUM(BB413:BK413)</f>
        <v>0</v>
      </c>
      <c r="BB413" s="502" t="n">
        <f aca="false">IF($D413="是",I413-J413,0)</f>
        <v>0</v>
      </c>
      <c r="BC413" s="502" t="n">
        <f aca="false">IF($D413="是",K413-L413,0)</f>
        <v>0</v>
      </c>
      <c r="BD413" s="502" t="n">
        <f aca="false">IF($D413="是",M413-N413,0)</f>
        <v>0</v>
      </c>
      <c r="BE413" s="502" t="n">
        <f aca="false">IF($D413="是",O413-P413,0)</f>
        <v>0</v>
      </c>
      <c r="BF413" s="502" t="n">
        <f aca="false">IF($D413="是",Q413-R413,0)</f>
        <v>0</v>
      </c>
      <c r="BG413" s="502" t="n">
        <f aca="false">IF($D413="是",S413-T413,0)</f>
        <v>0</v>
      </c>
      <c r="BH413" s="502" t="n">
        <f aca="false">IF($D413="是",U413-V413,0)</f>
        <v>0</v>
      </c>
      <c r="BI413" s="502" t="n">
        <f aca="false">IF($D413="是",W413-X413,0)</f>
        <v>0</v>
      </c>
      <c r="BJ413" s="502" t="n">
        <f aca="false">IF($D413="是",Y413-Z413,0)</f>
        <v>0</v>
      </c>
      <c r="BK413" s="502" t="n">
        <f aca="false">IF($D413="是",AA413-AB413,0)</f>
        <v>0</v>
      </c>
      <c r="BL413" s="502" t="n">
        <f aca="false">SUM(BM413:BT413)</f>
        <v>0</v>
      </c>
      <c r="BM413" s="502" t="n">
        <f aca="false">IF($D413="是",AD413-AE413,0)</f>
        <v>0</v>
      </c>
      <c r="BN413" s="502" t="n">
        <f aca="false">IF($D413="是",AF413-AG413,0)</f>
        <v>0</v>
      </c>
      <c r="BO413" s="502" t="n">
        <f aca="false">IF($D413="是",AH413-AI413,0)</f>
        <v>0</v>
      </c>
      <c r="BP413" s="502" t="n">
        <f aca="false">IF($D413="是",AJ413-AK413,0)</f>
        <v>0</v>
      </c>
      <c r="BQ413" s="502" t="n">
        <f aca="false">IF($D413="是",AL413-AM413,0)</f>
        <v>0</v>
      </c>
      <c r="BR413" s="502" t="n">
        <f aca="false">IF($D413="是",AN413-AO413,0)</f>
        <v>0</v>
      </c>
      <c r="BS413" s="502" t="n">
        <f aca="false">IF($D413="是",AP413-AQ413,0)</f>
        <v>0</v>
      </c>
      <c r="BT413" s="512" t="n">
        <f aca="false">IF($D413="是",AR413-AS413,0)</f>
        <v>0</v>
      </c>
    </row>
    <row r="414" customFormat="false" ht="14.25" hidden="false" customHeight="false" outlineLevel="0" collapsed="false">
      <c r="A414" s="499"/>
      <c r="B414" s="500"/>
      <c r="C414" s="500"/>
      <c r="D414" s="501"/>
      <c r="E414" s="502" t="n">
        <f aca="false">IF($C$3="是",ROUND($A$3*G414/$B$3,2),ROUND($A$3*(G414-AT414)/$B$3,2))</f>
        <v>0</v>
      </c>
      <c r="F414" s="503"/>
      <c r="G414" s="504" t="n">
        <f aca="false">H414+AC414+AT414</f>
        <v>0</v>
      </c>
      <c r="H414" s="505" t="n">
        <f aca="false">SUMIF(I$12:AB$12,"总值",I414:AB414)</f>
        <v>0</v>
      </c>
      <c r="I414" s="506"/>
      <c r="J414" s="506"/>
      <c r="K414" s="506"/>
      <c r="L414" s="506"/>
      <c r="M414" s="506"/>
      <c r="N414" s="506"/>
      <c r="O414" s="506"/>
      <c r="P414" s="506"/>
      <c r="Q414" s="506"/>
      <c r="R414" s="506"/>
      <c r="S414" s="506"/>
      <c r="T414" s="506"/>
      <c r="U414" s="506"/>
      <c r="V414" s="506"/>
      <c r="W414" s="506"/>
      <c r="X414" s="506"/>
      <c r="Y414" s="506"/>
      <c r="Z414" s="506"/>
      <c r="AA414" s="506"/>
      <c r="AB414" s="506"/>
      <c r="AC414" s="502" t="n">
        <f aca="false">SUMIF(AD$12:AS$12,"总值",AD414:AS414)</f>
        <v>0</v>
      </c>
      <c r="AD414" s="507"/>
      <c r="AE414" s="507"/>
      <c r="AF414" s="507"/>
      <c r="AG414" s="507"/>
      <c r="AH414" s="507"/>
      <c r="AI414" s="507"/>
      <c r="AJ414" s="507"/>
      <c r="AK414" s="507"/>
      <c r="AL414" s="507"/>
      <c r="AM414" s="507"/>
      <c r="AN414" s="507"/>
      <c r="AO414" s="507"/>
      <c r="AP414" s="507"/>
      <c r="AQ414" s="507"/>
      <c r="AR414" s="507"/>
      <c r="AS414" s="507"/>
      <c r="AT414" s="508"/>
      <c r="AU414" s="509"/>
      <c r="AV414" s="510" t="n">
        <f aca="false">A414</f>
        <v>0</v>
      </c>
      <c r="AW414" s="510" t="n">
        <f aca="false">B414</f>
        <v>0</v>
      </c>
      <c r="AX414" s="510" t="n">
        <f aca="false">C414</f>
        <v>0</v>
      </c>
      <c r="AY414" s="511" t="n">
        <f aca="false">ROUND($AY$6*AZ414/$AZ$5,2)</f>
        <v>0</v>
      </c>
      <c r="AZ414" s="502" t="n">
        <f aca="false">BA414+BL414</f>
        <v>0</v>
      </c>
      <c r="BA414" s="502" t="n">
        <f aca="false">SUM(BB414:BK414)</f>
        <v>0</v>
      </c>
      <c r="BB414" s="502" t="n">
        <f aca="false">IF($D414="是",I414-J414,0)</f>
        <v>0</v>
      </c>
      <c r="BC414" s="502" t="n">
        <f aca="false">IF($D414="是",K414-L414,0)</f>
        <v>0</v>
      </c>
      <c r="BD414" s="502" t="n">
        <f aca="false">IF($D414="是",M414-N414,0)</f>
        <v>0</v>
      </c>
      <c r="BE414" s="502" t="n">
        <f aca="false">IF($D414="是",O414-P414,0)</f>
        <v>0</v>
      </c>
      <c r="BF414" s="502" t="n">
        <f aca="false">IF($D414="是",Q414-R414,0)</f>
        <v>0</v>
      </c>
      <c r="BG414" s="502" t="n">
        <f aca="false">IF($D414="是",S414-T414,0)</f>
        <v>0</v>
      </c>
      <c r="BH414" s="502" t="n">
        <f aca="false">IF($D414="是",U414-V414,0)</f>
        <v>0</v>
      </c>
      <c r="BI414" s="502" t="n">
        <f aca="false">IF($D414="是",W414-X414,0)</f>
        <v>0</v>
      </c>
      <c r="BJ414" s="502" t="n">
        <f aca="false">IF($D414="是",Y414-Z414,0)</f>
        <v>0</v>
      </c>
      <c r="BK414" s="502" t="n">
        <f aca="false">IF($D414="是",AA414-AB414,0)</f>
        <v>0</v>
      </c>
      <c r="BL414" s="502" t="n">
        <f aca="false">SUM(BM414:BT414)</f>
        <v>0</v>
      </c>
      <c r="BM414" s="502" t="n">
        <f aca="false">IF($D414="是",AD414-AE414,0)</f>
        <v>0</v>
      </c>
      <c r="BN414" s="502" t="n">
        <f aca="false">IF($D414="是",AF414-AG414,0)</f>
        <v>0</v>
      </c>
      <c r="BO414" s="502" t="n">
        <f aca="false">IF($D414="是",AH414-AI414,0)</f>
        <v>0</v>
      </c>
      <c r="BP414" s="502" t="n">
        <f aca="false">IF($D414="是",AJ414-AK414,0)</f>
        <v>0</v>
      </c>
      <c r="BQ414" s="502" t="n">
        <f aca="false">IF($D414="是",AL414-AM414,0)</f>
        <v>0</v>
      </c>
      <c r="BR414" s="502" t="n">
        <f aca="false">IF($D414="是",AN414-AO414,0)</f>
        <v>0</v>
      </c>
      <c r="BS414" s="502" t="n">
        <f aca="false">IF($D414="是",AP414-AQ414,0)</f>
        <v>0</v>
      </c>
      <c r="BT414" s="512" t="n">
        <f aca="false">IF($D414="是",AR414-AS414,0)</f>
        <v>0</v>
      </c>
    </row>
    <row r="415" customFormat="false" ht="14.25" hidden="false" customHeight="false" outlineLevel="0" collapsed="false">
      <c r="A415" s="499"/>
      <c r="B415" s="500"/>
      <c r="C415" s="500"/>
      <c r="D415" s="501"/>
      <c r="E415" s="502" t="n">
        <f aca="false">IF($C$3="是",ROUND($A$3*G415/$B$3,2),ROUND($A$3*(G415-AT415)/$B$3,2))</f>
        <v>0</v>
      </c>
      <c r="F415" s="503"/>
      <c r="G415" s="504" t="n">
        <f aca="false">H415+AC415+AT415</f>
        <v>0</v>
      </c>
      <c r="H415" s="505" t="n">
        <f aca="false">SUMIF(I$12:AB$12,"总值",I415:AB415)</f>
        <v>0</v>
      </c>
      <c r="I415" s="506"/>
      <c r="J415" s="506"/>
      <c r="K415" s="506"/>
      <c r="L415" s="506"/>
      <c r="M415" s="506"/>
      <c r="N415" s="506"/>
      <c r="O415" s="506"/>
      <c r="P415" s="506"/>
      <c r="Q415" s="506"/>
      <c r="R415" s="506"/>
      <c r="S415" s="506"/>
      <c r="T415" s="506"/>
      <c r="U415" s="506"/>
      <c r="V415" s="506"/>
      <c r="W415" s="506"/>
      <c r="X415" s="506"/>
      <c r="Y415" s="506"/>
      <c r="Z415" s="506"/>
      <c r="AA415" s="506"/>
      <c r="AB415" s="506"/>
      <c r="AC415" s="502" t="n">
        <f aca="false">SUMIF(AD$12:AS$12,"总值",AD415:AS415)</f>
        <v>0</v>
      </c>
      <c r="AD415" s="507"/>
      <c r="AE415" s="507"/>
      <c r="AF415" s="507"/>
      <c r="AG415" s="507"/>
      <c r="AH415" s="507"/>
      <c r="AI415" s="507"/>
      <c r="AJ415" s="507"/>
      <c r="AK415" s="507"/>
      <c r="AL415" s="507"/>
      <c r="AM415" s="507"/>
      <c r="AN415" s="507"/>
      <c r="AO415" s="507"/>
      <c r="AP415" s="507"/>
      <c r="AQ415" s="507"/>
      <c r="AR415" s="507"/>
      <c r="AS415" s="507"/>
      <c r="AT415" s="508"/>
      <c r="AU415" s="509"/>
      <c r="AV415" s="510" t="n">
        <f aca="false">A415</f>
        <v>0</v>
      </c>
      <c r="AW415" s="510" t="n">
        <f aca="false">B415</f>
        <v>0</v>
      </c>
      <c r="AX415" s="510" t="n">
        <f aca="false">C415</f>
        <v>0</v>
      </c>
      <c r="AY415" s="511" t="n">
        <f aca="false">ROUND($AY$6*AZ415/$AZ$5,2)</f>
        <v>0</v>
      </c>
      <c r="AZ415" s="502" t="n">
        <f aca="false">BA415+BL415</f>
        <v>0</v>
      </c>
      <c r="BA415" s="502" t="n">
        <f aca="false">SUM(BB415:BK415)</f>
        <v>0</v>
      </c>
      <c r="BB415" s="502" t="n">
        <f aca="false">IF($D415="是",I415-J415,0)</f>
        <v>0</v>
      </c>
      <c r="BC415" s="502" t="n">
        <f aca="false">IF($D415="是",K415-L415,0)</f>
        <v>0</v>
      </c>
      <c r="BD415" s="502" t="n">
        <f aca="false">IF($D415="是",M415-N415,0)</f>
        <v>0</v>
      </c>
      <c r="BE415" s="502" t="n">
        <f aca="false">IF($D415="是",O415-P415,0)</f>
        <v>0</v>
      </c>
      <c r="BF415" s="502" t="n">
        <f aca="false">IF($D415="是",Q415-R415,0)</f>
        <v>0</v>
      </c>
      <c r="BG415" s="502" t="n">
        <f aca="false">IF($D415="是",S415-T415,0)</f>
        <v>0</v>
      </c>
      <c r="BH415" s="502" t="n">
        <f aca="false">IF($D415="是",U415-V415,0)</f>
        <v>0</v>
      </c>
      <c r="BI415" s="502" t="n">
        <f aca="false">IF($D415="是",W415-X415,0)</f>
        <v>0</v>
      </c>
      <c r="BJ415" s="502" t="n">
        <f aca="false">IF($D415="是",Y415-Z415,0)</f>
        <v>0</v>
      </c>
      <c r="BK415" s="502" t="n">
        <f aca="false">IF($D415="是",AA415-AB415,0)</f>
        <v>0</v>
      </c>
      <c r="BL415" s="502" t="n">
        <f aca="false">SUM(BM415:BT415)</f>
        <v>0</v>
      </c>
      <c r="BM415" s="502" t="n">
        <f aca="false">IF($D415="是",AD415-AE415,0)</f>
        <v>0</v>
      </c>
      <c r="BN415" s="502" t="n">
        <f aca="false">IF($D415="是",AF415-AG415,0)</f>
        <v>0</v>
      </c>
      <c r="BO415" s="502" t="n">
        <f aca="false">IF($D415="是",AH415-AI415,0)</f>
        <v>0</v>
      </c>
      <c r="BP415" s="502" t="n">
        <f aca="false">IF($D415="是",AJ415-AK415,0)</f>
        <v>0</v>
      </c>
      <c r="BQ415" s="502" t="n">
        <f aca="false">IF($D415="是",AL415-AM415,0)</f>
        <v>0</v>
      </c>
      <c r="BR415" s="502" t="n">
        <f aca="false">IF($D415="是",AN415-AO415,0)</f>
        <v>0</v>
      </c>
      <c r="BS415" s="502" t="n">
        <f aca="false">IF($D415="是",AP415-AQ415,0)</f>
        <v>0</v>
      </c>
      <c r="BT415" s="512" t="n">
        <f aca="false">IF($D415="是",AR415-AS415,0)</f>
        <v>0</v>
      </c>
    </row>
    <row r="416" customFormat="false" ht="14.25" hidden="false" customHeight="false" outlineLevel="0" collapsed="false">
      <c r="A416" s="499"/>
      <c r="B416" s="500"/>
      <c r="C416" s="500"/>
      <c r="D416" s="501"/>
      <c r="E416" s="502" t="n">
        <f aca="false">IF($C$3="是",ROUND($A$3*G416/$B$3,2),ROUND($A$3*(G416-AT416)/$B$3,2))</f>
        <v>0</v>
      </c>
      <c r="F416" s="503"/>
      <c r="G416" s="504" t="n">
        <f aca="false">H416+AC416+AT416</f>
        <v>0</v>
      </c>
      <c r="H416" s="505" t="n">
        <f aca="false">SUMIF(I$12:AB$12,"总值",I416:AB416)</f>
        <v>0</v>
      </c>
      <c r="I416" s="506"/>
      <c r="J416" s="506"/>
      <c r="K416" s="506"/>
      <c r="L416" s="506"/>
      <c r="M416" s="506"/>
      <c r="N416" s="506"/>
      <c r="O416" s="506"/>
      <c r="P416" s="506"/>
      <c r="Q416" s="506"/>
      <c r="R416" s="506"/>
      <c r="S416" s="506"/>
      <c r="T416" s="506"/>
      <c r="U416" s="506"/>
      <c r="V416" s="506"/>
      <c r="W416" s="506"/>
      <c r="X416" s="506"/>
      <c r="Y416" s="506"/>
      <c r="Z416" s="506"/>
      <c r="AA416" s="506"/>
      <c r="AB416" s="506"/>
      <c r="AC416" s="502" t="n">
        <f aca="false">SUMIF(AD$12:AS$12,"总值",AD416:AS416)</f>
        <v>0</v>
      </c>
      <c r="AD416" s="507"/>
      <c r="AE416" s="507"/>
      <c r="AF416" s="507"/>
      <c r="AG416" s="507"/>
      <c r="AH416" s="507"/>
      <c r="AI416" s="507"/>
      <c r="AJ416" s="507"/>
      <c r="AK416" s="507"/>
      <c r="AL416" s="507"/>
      <c r="AM416" s="507"/>
      <c r="AN416" s="507"/>
      <c r="AO416" s="507"/>
      <c r="AP416" s="507"/>
      <c r="AQ416" s="507"/>
      <c r="AR416" s="507"/>
      <c r="AS416" s="507"/>
      <c r="AT416" s="508"/>
      <c r="AU416" s="509"/>
      <c r="AV416" s="510" t="n">
        <f aca="false">A416</f>
        <v>0</v>
      </c>
      <c r="AW416" s="510" t="n">
        <f aca="false">B416</f>
        <v>0</v>
      </c>
      <c r="AX416" s="510" t="n">
        <f aca="false">C416</f>
        <v>0</v>
      </c>
      <c r="AY416" s="511" t="n">
        <f aca="false">ROUND($AY$6*AZ416/$AZ$5,2)</f>
        <v>0</v>
      </c>
      <c r="AZ416" s="502" t="n">
        <f aca="false">BA416+BL416</f>
        <v>0</v>
      </c>
      <c r="BA416" s="502" t="n">
        <f aca="false">SUM(BB416:BK416)</f>
        <v>0</v>
      </c>
      <c r="BB416" s="502" t="n">
        <f aca="false">IF($D416="是",I416-J416,0)</f>
        <v>0</v>
      </c>
      <c r="BC416" s="502" t="n">
        <f aca="false">IF($D416="是",K416-L416,0)</f>
        <v>0</v>
      </c>
      <c r="BD416" s="502" t="n">
        <f aca="false">IF($D416="是",M416-N416,0)</f>
        <v>0</v>
      </c>
      <c r="BE416" s="502" t="n">
        <f aca="false">IF($D416="是",O416-P416,0)</f>
        <v>0</v>
      </c>
      <c r="BF416" s="502" t="n">
        <f aca="false">IF($D416="是",Q416-R416,0)</f>
        <v>0</v>
      </c>
      <c r="BG416" s="502" t="n">
        <f aca="false">IF($D416="是",S416-T416,0)</f>
        <v>0</v>
      </c>
      <c r="BH416" s="502" t="n">
        <f aca="false">IF($D416="是",U416-V416,0)</f>
        <v>0</v>
      </c>
      <c r="BI416" s="502" t="n">
        <f aca="false">IF($D416="是",W416-X416,0)</f>
        <v>0</v>
      </c>
      <c r="BJ416" s="502" t="n">
        <f aca="false">IF($D416="是",Y416-Z416,0)</f>
        <v>0</v>
      </c>
      <c r="BK416" s="502" t="n">
        <f aca="false">IF($D416="是",AA416-AB416,0)</f>
        <v>0</v>
      </c>
      <c r="BL416" s="502" t="n">
        <f aca="false">SUM(BM416:BT416)</f>
        <v>0</v>
      </c>
      <c r="BM416" s="502" t="n">
        <f aca="false">IF($D416="是",AD416-AE416,0)</f>
        <v>0</v>
      </c>
      <c r="BN416" s="502" t="n">
        <f aca="false">IF($D416="是",AF416-AG416,0)</f>
        <v>0</v>
      </c>
      <c r="BO416" s="502" t="n">
        <f aca="false">IF($D416="是",AH416-AI416,0)</f>
        <v>0</v>
      </c>
      <c r="BP416" s="502" t="n">
        <f aca="false">IF($D416="是",AJ416-AK416,0)</f>
        <v>0</v>
      </c>
      <c r="BQ416" s="502" t="n">
        <f aca="false">IF($D416="是",AL416-AM416,0)</f>
        <v>0</v>
      </c>
      <c r="BR416" s="502" t="n">
        <f aca="false">IF($D416="是",AN416-AO416,0)</f>
        <v>0</v>
      </c>
      <c r="BS416" s="502" t="n">
        <f aca="false">IF($D416="是",AP416-AQ416,0)</f>
        <v>0</v>
      </c>
      <c r="BT416" s="512" t="n">
        <f aca="false">IF($D416="是",AR416-AS416,0)</f>
        <v>0</v>
      </c>
    </row>
    <row r="417" customFormat="false" ht="14.25" hidden="false" customHeight="false" outlineLevel="0" collapsed="false">
      <c r="A417" s="499"/>
      <c r="B417" s="500"/>
      <c r="C417" s="500"/>
      <c r="D417" s="501"/>
      <c r="E417" s="502" t="n">
        <f aca="false">IF($C$3="是",ROUND($A$3*G417/$B$3,2),ROUND($A$3*(G417-AT417)/$B$3,2))</f>
        <v>0</v>
      </c>
      <c r="F417" s="503"/>
      <c r="G417" s="504" t="n">
        <f aca="false">H417+AC417+AT417</f>
        <v>0</v>
      </c>
      <c r="H417" s="505" t="n">
        <f aca="false">SUMIF(I$12:AB$12,"总值",I417:AB417)</f>
        <v>0</v>
      </c>
      <c r="I417" s="506"/>
      <c r="J417" s="506"/>
      <c r="K417" s="506"/>
      <c r="L417" s="506"/>
      <c r="M417" s="506"/>
      <c r="N417" s="506"/>
      <c r="O417" s="506"/>
      <c r="P417" s="506"/>
      <c r="Q417" s="506"/>
      <c r="R417" s="506"/>
      <c r="S417" s="506"/>
      <c r="T417" s="506"/>
      <c r="U417" s="506"/>
      <c r="V417" s="506"/>
      <c r="W417" s="506"/>
      <c r="X417" s="506"/>
      <c r="Y417" s="506"/>
      <c r="Z417" s="506"/>
      <c r="AA417" s="506"/>
      <c r="AB417" s="506"/>
      <c r="AC417" s="502" t="n">
        <f aca="false">SUMIF(AD$12:AS$12,"总值",AD417:AS417)</f>
        <v>0</v>
      </c>
      <c r="AD417" s="507"/>
      <c r="AE417" s="507"/>
      <c r="AF417" s="507"/>
      <c r="AG417" s="507"/>
      <c r="AH417" s="507"/>
      <c r="AI417" s="507"/>
      <c r="AJ417" s="507"/>
      <c r="AK417" s="507"/>
      <c r="AL417" s="507"/>
      <c r="AM417" s="507"/>
      <c r="AN417" s="507"/>
      <c r="AO417" s="507"/>
      <c r="AP417" s="507"/>
      <c r="AQ417" s="507"/>
      <c r="AR417" s="507"/>
      <c r="AS417" s="507"/>
      <c r="AT417" s="508"/>
      <c r="AU417" s="509"/>
      <c r="AV417" s="510" t="n">
        <f aca="false">A417</f>
        <v>0</v>
      </c>
      <c r="AW417" s="510" t="n">
        <f aca="false">B417</f>
        <v>0</v>
      </c>
      <c r="AX417" s="510" t="n">
        <f aca="false">C417</f>
        <v>0</v>
      </c>
      <c r="AY417" s="511" t="n">
        <f aca="false">ROUND($AY$6*AZ417/$AZ$5,2)</f>
        <v>0</v>
      </c>
      <c r="AZ417" s="502" t="n">
        <f aca="false">BA417+BL417</f>
        <v>0</v>
      </c>
      <c r="BA417" s="502" t="n">
        <f aca="false">SUM(BB417:BK417)</f>
        <v>0</v>
      </c>
      <c r="BB417" s="502" t="n">
        <f aca="false">IF($D417="是",I417-J417,0)</f>
        <v>0</v>
      </c>
      <c r="BC417" s="502" t="n">
        <f aca="false">IF($D417="是",K417-L417,0)</f>
        <v>0</v>
      </c>
      <c r="BD417" s="502" t="n">
        <f aca="false">IF($D417="是",M417-N417,0)</f>
        <v>0</v>
      </c>
      <c r="BE417" s="502" t="n">
        <f aca="false">IF($D417="是",O417-P417,0)</f>
        <v>0</v>
      </c>
      <c r="BF417" s="502" t="n">
        <f aca="false">IF($D417="是",Q417-R417,0)</f>
        <v>0</v>
      </c>
      <c r="BG417" s="502" t="n">
        <f aca="false">IF($D417="是",S417-T417,0)</f>
        <v>0</v>
      </c>
      <c r="BH417" s="502" t="n">
        <f aca="false">IF($D417="是",U417-V417,0)</f>
        <v>0</v>
      </c>
      <c r="BI417" s="502" t="n">
        <f aca="false">IF($D417="是",W417-X417,0)</f>
        <v>0</v>
      </c>
      <c r="BJ417" s="502" t="n">
        <f aca="false">IF($D417="是",Y417-Z417,0)</f>
        <v>0</v>
      </c>
      <c r="BK417" s="502" t="n">
        <f aca="false">IF($D417="是",AA417-AB417,0)</f>
        <v>0</v>
      </c>
      <c r="BL417" s="502" t="n">
        <f aca="false">SUM(BM417:BT417)</f>
        <v>0</v>
      </c>
      <c r="BM417" s="502" t="n">
        <f aca="false">IF($D417="是",AD417-AE417,0)</f>
        <v>0</v>
      </c>
      <c r="BN417" s="502" t="n">
        <f aca="false">IF($D417="是",AF417-AG417,0)</f>
        <v>0</v>
      </c>
      <c r="BO417" s="502" t="n">
        <f aca="false">IF($D417="是",AH417-AI417,0)</f>
        <v>0</v>
      </c>
      <c r="BP417" s="502" t="n">
        <f aca="false">IF($D417="是",AJ417-AK417,0)</f>
        <v>0</v>
      </c>
      <c r="BQ417" s="502" t="n">
        <f aca="false">IF($D417="是",AL417-AM417,0)</f>
        <v>0</v>
      </c>
      <c r="BR417" s="502" t="n">
        <f aca="false">IF($D417="是",AN417-AO417,0)</f>
        <v>0</v>
      </c>
      <c r="BS417" s="502" t="n">
        <f aca="false">IF($D417="是",AP417-AQ417,0)</f>
        <v>0</v>
      </c>
      <c r="BT417" s="512" t="n">
        <f aca="false">IF($D417="是",AR417-AS417,0)</f>
        <v>0</v>
      </c>
    </row>
    <row r="418" customFormat="false" ht="14.25" hidden="false" customHeight="false" outlineLevel="0" collapsed="false">
      <c r="A418" s="499"/>
      <c r="B418" s="500"/>
      <c r="C418" s="500"/>
      <c r="D418" s="501"/>
      <c r="E418" s="502" t="n">
        <f aca="false">IF($C$3="是",ROUND($A$3*G418/$B$3,2),ROUND($A$3*(G418-AT418)/$B$3,2))</f>
        <v>0</v>
      </c>
      <c r="F418" s="503"/>
      <c r="G418" s="504" t="n">
        <f aca="false">H418+AC418+AT418</f>
        <v>0</v>
      </c>
      <c r="H418" s="505" t="n">
        <f aca="false">SUMIF(I$12:AB$12,"总值",I418:AB418)</f>
        <v>0</v>
      </c>
      <c r="I418" s="506"/>
      <c r="J418" s="506"/>
      <c r="K418" s="506"/>
      <c r="L418" s="506"/>
      <c r="M418" s="506"/>
      <c r="N418" s="506"/>
      <c r="O418" s="506"/>
      <c r="P418" s="506"/>
      <c r="Q418" s="506"/>
      <c r="R418" s="506"/>
      <c r="S418" s="506"/>
      <c r="T418" s="506"/>
      <c r="U418" s="506"/>
      <c r="V418" s="506"/>
      <c r="W418" s="506"/>
      <c r="X418" s="506"/>
      <c r="Y418" s="506"/>
      <c r="Z418" s="506"/>
      <c r="AA418" s="506"/>
      <c r="AB418" s="506"/>
      <c r="AC418" s="502" t="n">
        <f aca="false">SUMIF(AD$12:AS$12,"总值",AD418:AS418)</f>
        <v>0</v>
      </c>
      <c r="AD418" s="507"/>
      <c r="AE418" s="507"/>
      <c r="AF418" s="507"/>
      <c r="AG418" s="507"/>
      <c r="AH418" s="507"/>
      <c r="AI418" s="507"/>
      <c r="AJ418" s="507"/>
      <c r="AK418" s="507"/>
      <c r="AL418" s="507"/>
      <c r="AM418" s="507"/>
      <c r="AN418" s="507"/>
      <c r="AO418" s="507"/>
      <c r="AP418" s="507"/>
      <c r="AQ418" s="507"/>
      <c r="AR418" s="507"/>
      <c r="AS418" s="507"/>
      <c r="AT418" s="508"/>
      <c r="AU418" s="509"/>
      <c r="AV418" s="510" t="n">
        <f aca="false">A418</f>
        <v>0</v>
      </c>
      <c r="AW418" s="510" t="n">
        <f aca="false">B418</f>
        <v>0</v>
      </c>
      <c r="AX418" s="510" t="n">
        <f aca="false">C418</f>
        <v>0</v>
      </c>
      <c r="AY418" s="511" t="n">
        <f aca="false">ROUND($AY$6*AZ418/$AZ$5,2)</f>
        <v>0</v>
      </c>
      <c r="AZ418" s="502" t="n">
        <f aca="false">BA418+BL418</f>
        <v>0</v>
      </c>
      <c r="BA418" s="502" t="n">
        <f aca="false">SUM(BB418:BK418)</f>
        <v>0</v>
      </c>
      <c r="BB418" s="502" t="n">
        <f aca="false">IF($D418="是",I418-J418,0)</f>
        <v>0</v>
      </c>
      <c r="BC418" s="502" t="n">
        <f aca="false">IF($D418="是",K418-L418,0)</f>
        <v>0</v>
      </c>
      <c r="BD418" s="502" t="n">
        <f aca="false">IF($D418="是",M418-N418,0)</f>
        <v>0</v>
      </c>
      <c r="BE418" s="502" t="n">
        <f aca="false">IF($D418="是",O418-P418,0)</f>
        <v>0</v>
      </c>
      <c r="BF418" s="502" t="n">
        <f aca="false">IF($D418="是",Q418-R418,0)</f>
        <v>0</v>
      </c>
      <c r="BG418" s="502" t="n">
        <f aca="false">IF($D418="是",S418-T418,0)</f>
        <v>0</v>
      </c>
      <c r="BH418" s="502" t="n">
        <f aca="false">IF($D418="是",U418-V418,0)</f>
        <v>0</v>
      </c>
      <c r="BI418" s="502" t="n">
        <f aca="false">IF($D418="是",W418-X418,0)</f>
        <v>0</v>
      </c>
      <c r="BJ418" s="502" t="n">
        <f aca="false">IF($D418="是",Y418-Z418,0)</f>
        <v>0</v>
      </c>
      <c r="BK418" s="502" t="n">
        <f aca="false">IF($D418="是",AA418-AB418,0)</f>
        <v>0</v>
      </c>
      <c r="BL418" s="502" t="n">
        <f aca="false">SUM(BM418:BT418)</f>
        <v>0</v>
      </c>
      <c r="BM418" s="502" t="n">
        <f aca="false">IF($D418="是",AD418-AE418,0)</f>
        <v>0</v>
      </c>
      <c r="BN418" s="502" t="n">
        <f aca="false">IF($D418="是",AF418-AG418,0)</f>
        <v>0</v>
      </c>
      <c r="BO418" s="502" t="n">
        <f aca="false">IF($D418="是",AH418-AI418,0)</f>
        <v>0</v>
      </c>
      <c r="BP418" s="502" t="n">
        <f aca="false">IF($D418="是",AJ418-AK418,0)</f>
        <v>0</v>
      </c>
      <c r="BQ418" s="502" t="n">
        <f aca="false">IF($D418="是",AL418-AM418,0)</f>
        <v>0</v>
      </c>
      <c r="BR418" s="502" t="n">
        <f aca="false">IF($D418="是",AN418-AO418,0)</f>
        <v>0</v>
      </c>
      <c r="BS418" s="502" t="n">
        <f aca="false">IF($D418="是",AP418-AQ418,0)</f>
        <v>0</v>
      </c>
      <c r="BT418" s="512" t="n">
        <f aca="false">IF($D418="是",AR418-AS418,0)</f>
        <v>0</v>
      </c>
    </row>
    <row r="419" customFormat="false" ht="14.25" hidden="false" customHeight="false" outlineLevel="0" collapsed="false">
      <c r="A419" s="499"/>
      <c r="B419" s="500"/>
      <c r="C419" s="500"/>
      <c r="D419" s="501"/>
      <c r="E419" s="502" t="n">
        <f aca="false">IF($C$3="是",ROUND($A$3*G419/$B$3,2),ROUND($A$3*(G419-AT419)/$B$3,2))</f>
        <v>0</v>
      </c>
      <c r="F419" s="503"/>
      <c r="G419" s="504" t="n">
        <f aca="false">H419+AC419+AT419</f>
        <v>0</v>
      </c>
      <c r="H419" s="505" t="n">
        <f aca="false">SUMIF(I$12:AB$12,"总值",I419:AB419)</f>
        <v>0</v>
      </c>
      <c r="I419" s="506"/>
      <c r="J419" s="506"/>
      <c r="K419" s="506"/>
      <c r="L419" s="506"/>
      <c r="M419" s="506"/>
      <c r="N419" s="506"/>
      <c r="O419" s="506"/>
      <c r="P419" s="506"/>
      <c r="Q419" s="506"/>
      <c r="R419" s="506"/>
      <c r="S419" s="506"/>
      <c r="T419" s="506"/>
      <c r="U419" s="506"/>
      <c r="V419" s="506"/>
      <c r="W419" s="506"/>
      <c r="X419" s="506"/>
      <c r="Y419" s="506"/>
      <c r="Z419" s="506"/>
      <c r="AA419" s="506"/>
      <c r="AB419" s="506"/>
      <c r="AC419" s="502" t="n">
        <f aca="false">SUMIF(AD$12:AS$12,"总值",AD419:AS419)</f>
        <v>0</v>
      </c>
      <c r="AD419" s="507"/>
      <c r="AE419" s="507"/>
      <c r="AF419" s="507"/>
      <c r="AG419" s="507"/>
      <c r="AH419" s="507"/>
      <c r="AI419" s="507"/>
      <c r="AJ419" s="507"/>
      <c r="AK419" s="507"/>
      <c r="AL419" s="507"/>
      <c r="AM419" s="507"/>
      <c r="AN419" s="507"/>
      <c r="AO419" s="507"/>
      <c r="AP419" s="507"/>
      <c r="AQ419" s="507"/>
      <c r="AR419" s="507"/>
      <c r="AS419" s="507"/>
      <c r="AT419" s="508"/>
      <c r="AU419" s="509"/>
      <c r="AV419" s="510" t="n">
        <f aca="false">A419</f>
        <v>0</v>
      </c>
      <c r="AW419" s="510" t="n">
        <f aca="false">B419</f>
        <v>0</v>
      </c>
      <c r="AX419" s="510" t="n">
        <f aca="false">C419</f>
        <v>0</v>
      </c>
      <c r="AY419" s="511" t="n">
        <f aca="false">ROUND($AY$6*AZ419/$AZ$5,2)</f>
        <v>0</v>
      </c>
      <c r="AZ419" s="502" t="n">
        <f aca="false">BA419+BL419</f>
        <v>0</v>
      </c>
      <c r="BA419" s="502" t="n">
        <f aca="false">SUM(BB419:BK419)</f>
        <v>0</v>
      </c>
      <c r="BB419" s="502" t="n">
        <f aca="false">IF($D419="是",I419-J419,0)</f>
        <v>0</v>
      </c>
      <c r="BC419" s="502" t="n">
        <f aca="false">IF($D419="是",K419-L419,0)</f>
        <v>0</v>
      </c>
      <c r="BD419" s="502" t="n">
        <f aca="false">IF($D419="是",M419-N419,0)</f>
        <v>0</v>
      </c>
      <c r="BE419" s="502" t="n">
        <f aca="false">IF($D419="是",O419-P419,0)</f>
        <v>0</v>
      </c>
      <c r="BF419" s="502" t="n">
        <f aca="false">IF($D419="是",Q419-R419,0)</f>
        <v>0</v>
      </c>
      <c r="BG419" s="502" t="n">
        <f aca="false">IF($D419="是",S419-T419,0)</f>
        <v>0</v>
      </c>
      <c r="BH419" s="502" t="n">
        <f aca="false">IF($D419="是",U419-V419,0)</f>
        <v>0</v>
      </c>
      <c r="BI419" s="502" t="n">
        <f aca="false">IF($D419="是",W419-X419,0)</f>
        <v>0</v>
      </c>
      <c r="BJ419" s="502" t="n">
        <f aca="false">IF($D419="是",Y419-Z419,0)</f>
        <v>0</v>
      </c>
      <c r="BK419" s="502" t="n">
        <f aca="false">IF($D419="是",AA419-AB419,0)</f>
        <v>0</v>
      </c>
      <c r="BL419" s="502" t="n">
        <f aca="false">SUM(BM419:BT419)</f>
        <v>0</v>
      </c>
      <c r="BM419" s="502" t="n">
        <f aca="false">IF($D419="是",AD419-AE419,0)</f>
        <v>0</v>
      </c>
      <c r="BN419" s="502" t="n">
        <f aca="false">IF($D419="是",AF419-AG419,0)</f>
        <v>0</v>
      </c>
      <c r="BO419" s="502" t="n">
        <f aca="false">IF($D419="是",AH419-AI419,0)</f>
        <v>0</v>
      </c>
      <c r="BP419" s="502" t="n">
        <f aca="false">IF($D419="是",AJ419-AK419,0)</f>
        <v>0</v>
      </c>
      <c r="BQ419" s="502" t="n">
        <f aca="false">IF($D419="是",AL419-AM419,0)</f>
        <v>0</v>
      </c>
      <c r="BR419" s="502" t="n">
        <f aca="false">IF($D419="是",AN419-AO419,0)</f>
        <v>0</v>
      </c>
      <c r="BS419" s="502" t="n">
        <f aca="false">IF($D419="是",AP419-AQ419,0)</f>
        <v>0</v>
      </c>
      <c r="BT419" s="512" t="n">
        <f aca="false">IF($D419="是",AR419-AS419,0)</f>
        <v>0</v>
      </c>
    </row>
    <row r="420" customFormat="false" ht="14.25" hidden="false" customHeight="false" outlineLevel="0" collapsed="false">
      <c r="A420" s="499"/>
      <c r="B420" s="500"/>
      <c r="C420" s="500"/>
      <c r="D420" s="501"/>
      <c r="E420" s="502" t="n">
        <f aca="false">IF($C$3="是",ROUND($A$3*G420/$B$3,2),ROUND($A$3*(G420-AT420)/$B$3,2))</f>
        <v>0</v>
      </c>
      <c r="F420" s="503"/>
      <c r="G420" s="504" t="n">
        <f aca="false">H420+AC420+AT420</f>
        <v>0</v>
      </c>
      <c r="H420" s="505" t="n">
        <f aca="false">SUMIF(I$12:AB$12,"总值",I420:AB420)</f>
        <v>0</v>
      </c>
      <c r="I420" s="506"/>
      <c r="J420" s="506"/>
      <c r="K420" s="506"/>
      <c r="L420" s="506"/>
      <c r="M420" s="506"/>
      <c r="N420" s="506"/>
      <c r="O420" s="506"/>
      <c r="P420" s="506"/>
      <c r="Q420" s="506"/>
      <c r="R420" s="506"/>
      <c r="S420" s="506"/>
      <c r="T420" s="506"/>
      <c r="U420" s="506"/>
      <c r="V420" s="506"/>
      <c r="W420" s="506"/>
      <c r="X420" s="506"/>
      <c r="Y420" s="506"/>
      <c r="Z420" s="506"/>
      <c r="AA420" s="506"/>
      <c r="AB420" s="506"/>
      <c r="AC420" s="502" t="n">
        <f aca="false">SUMIF(AD$12:AS$12,"总值",AD420:AS420)</f>
        <v>0</v>
      </c>
      <c r="AD420" s="507"/>
      <c r="AE420" s="507"/>
      <c r="AF420" s="507"/>
      <c r="AG420" s="507"/>
      <c r="AH420" s="507"/>
      <c r="AI420" s="507"/>
      <c r="AJ420" s="507"/>
      <c r="AK420" s="507"/>
      <c r="AL420" s="507"/>
      <c r="AM420" s="507"/>
      <c r="AN420" s="507"/>
      <c r="AO420" s="507"/>
      <c r="AP420" s="507"/>
      <c r="AQ420" s="507"/>
      <c r="AR420" s="507"/>
      <c r="AS420" s="507"/>
      <c r="AT420" s="508"/>
      <c r="AU420" s="509"/>
      <c r="AV420" s="510" t="n">
        <f aca="false">A420</f>
        <v>0</v>
      </c>
      <c r="AW420" s="510" t="n">
        <f aca="false">B420</f>
        <v>0</v>
      </c>
      <c r="AX420" s="510" t="n">
        <f aca="false">C420</f>
        <v>0</v>
      </c>
      <c r="AY420" s="511" t="n">
        <f aca="false">ROUND($AY$6*AZ420/$AZ$5,2)</f>
        <v>0</v>
      </c>
      <c r="AZ420" s="502" t="n">
        <f aca="false">BA420+BL420</f>
        <v>0</v>
      </c>
      <c r="BA420" s="502" t="n">
        <f aca="false">SUM(BB420:BK420)</f>
        <v>0</v>
      </c>
      <c r="BB420" s="502" t="n">
        <f aca="false">IF($D420="是",I420-J420,0)</f>
        <v>0</v>
      </c>
      <c r="BC420" s="502" t="n">
        <f aca="false">IF($D420="是",K420-L420,0)</f>
        <v>0</v>
      </c>
      <c r="BD420" s="502" t="n">
        <f aca="false">IF($D420="是",M420-N420,0)</f>
        <v>0</v>
      </c>
      <c r="BE420" s="502" t="n">
        <f aca="false">IF($D420="是",O420-P420,0)</f>
        <v>0</v>
      </c>
      <c r="BF420" s="502" t="n">
        <f aca="false">IF($D420="是",Q420-R420,0)</f>
        <v>0</v>
      </c>
      <c r="BG420" s="502" t="n">
        <f aca="false">IF($D420="是",S420-T420,0)</f>
        <v>0</v>
      </c>
      <c r="BH420" s="502" t="n">
        <f aca="false">IF($D420="是",U420-V420,0)</f>
        <v>0</v>
      </c>
      <c r="BI420" s="502" t="n">
        <f aca="false">IF($D420="是",W420-X420,0)</f>
        <v>0</v>
      </c>
      <c r="BJ420" s="502" t="n">
        <f aca="false">IF($D420="是",Y420-Z420,0)</f>
        <v>0</v>
      </c>
      <c r="BK420" s="502" t="n">
        <f aca="false">IF($D420="是",AA420-AB420,0)</f>
        <v>0</v>
      </c>
      <c r="BL420" s="502" t="n">
        <f aca="false">SUM(BM420:BT420)</f>
        <v>0</v>
      </c>
      <c r="BM420" s="502" t="n">
        <f aca="false">IF($D420="是",AD420-AE420,0)</f>
        <v>0</v>
      </c>
      <c r="BN420" s="502" t="n">
        <f aca="false">IF($D420="是",AF420-AG420,0)</f>
        <v>0</v>
      </c>
      <c r="BO420" s="502" t="n">
        <f aca="false">IF($D420="是",AH420-AI420,0)</f>
        <v>0</v>
      </c>
      <c r="BP420" s="502" t="n">
        <f aca="false">IF($D420="是",AJ420-AK420,0)</f>
        <v>0</v>
      </c>
      <c r="BQ420" s="502" t="n">
        <f aca="false">IF($D420="是",AL420-AM420,0)</f>
        <v>0</v>
      </c>
      <c r="BR420" s="502" t="n">
        <f aca="false">IF($D420="是",AN420-AO420,0)</f>
        <v>0</v>
      </c>
      <c r="BS420" s="502" t="n">
        <f aca="false">IF($D420="是",AP420-AQ420,0)</f>
        <v>0</v>
      </c>
      <c r="BT420" s="512" t="n">
        <f aca="false">IF($D420="是",AR420-AS420,0)</f>
        <v>0</v>
      </c>
    </row>
    <row r="421" customFormat="false" ht="14.25" hidden="false" customHeight="false" outlineLevel="0" collapsed="false">
      <c r="A421" s="499"/>
      <c r="B421" s="500"/>
      <c r="C421" s="500"/>
      <c r="D421" s="501"/>
      <c r="E421" s="502" t="n">
        <f aca="false">IF($C$3="是",ROUND($A$3*G421/$B$3,2),ROUND($A$3*(G421-AT421)/$B$3,2))</f>
        <v>0</v>
      </c>
      <c r="F421" s="503"/>
      <c r="G421" s="504" t="n">
        <f aca="false">H421+AC421+AT421</f>
        <v>0</v>
      </c>
      <c r="H421" s="505" t="n">
        <f aca="false">SUMIF(I$12:AB$12,"总值",I421:AB421)</f>
        <v>0</v>
      </c>
      <c r="I421" s="506"/>
      <c r="J421" s="506"/>
      <c r="K421" s="506"/>
      <c r="L421" s="506"/>
      <c r="M421" s="506"/>
      <c r="N421" s="506"/>
      <c r="O421" s="506"/>
      <c r="P421" s="506"/>
      <c r="Q421" s="506"/>
      <c r="R421" s="506"/>
      <c r="S421" s="506"/>
      <c r="T421" s="506"/>
      <c r="U421" s="506"/>
      <c r="V421" s="506"/>
      <c r="W421" s="506"/>
      <c r="X421" s="506"/>
      <c r="Y421" s="506"/>
      <c r="Z421" s="506"/>
      <c r="AA421" s="506"/>
      <c r="AB421" s="506"/>
      <c r="AC421" s="502" t="n">
        <f aca="false">SUMIF(AD$12:AS$12,"总值",AD421:AS421)</f>
        <v>0</v>
      </c>
      <c r="AD421" s="507"/>
      <c r="AE421" s="507"/>
      <c r="AF421" s="507"/>
      <c r="AG421" s="507"/>
      <c r="AH421" s="507"/>
      <c r="AI421" s="507"/>
      <c r="AJ421" s="507"/>
      <c r="AK421" s="507"/>
      <c r="AL421" s="507"/>
      <c r="AM421" s="507"/>
      <c r="AN421" s="507"/>
      <c r="AO421" s="507"/>
      <c r="AP421" s="507"/>
      <c r="AQ421" s="507"/>
      <c r="AR421" s="507"/>
      <c r="AS421" s="507"/>
      <c r="AT421" s="508"/>
      <c r="AU421" s="509"/>
      <c r="AV421" s="510" t="n">
        <f aca="false">A421</f>
        <v>0</v>
      </c>
      <c r="AW421" s="510" t="n">
        <f aca="false">B421</f>
        <v>0</v>
      </c>
      <c r="AX421" s="510" t="n">
        <f aca="false">C421</f>
        <v>0</v>
      </c>
      <c r="AY421" s="511" t="n">
        <f aca="false">ROUND($AY$6*AZ421/$AZ$5,2)</f>
        <v>0</v>
      </c>
      <c r="AZ421" s="502" t="n">
        <f aca="false">BA421+BL421</f>
        <v>0</v>
      </c>
      <c r="BA421" s="502" t="n">
        <f aca="false">SUM(BB421:BK421)</f>
        <v>0</v>
      </c>
      <c r="BB421" s="502" t="n">
        <f aca="false">IF($D421="是",I421-J421,0)</f>
        <v>0</v>
      </c>
      <c r="BC421" s="502" t="n">
        <f aca="false">IF($D421="是",K421-L421,0)</f>
        <v>0</v>
      </c>
      <c r="BD421" s="502" t="n">
        <f aca="false">IF($D421="是",M421-N421,0)</f>
        <v>0</v>
      </c>
      <c r="BE421" s="502" t="n">
        <f aca="false">IF($D421="是",O421-P421,0)</f>
        <v>0</v>
      </c>
      <c r="BF421" s="502" t="n">
        <f aca="false">IF($D421="是",Q421-R421,0)</f>
        <v>0</v>
      </c>
      <c r="BG421" s="502" t="n">
        <f aca="false">IF($D421="是",S421-T421,0)</f>
        <v>0</v>
      </c>
      <c r="BH421" s="502" t="n">
        <f aca="false">IF($D421="是",U421-V421,0)</f>
        <v>0</v>
      </c>
      <c r="BI421" s="502" t="n">
        <f aca="false">IF($D421="是",W421-X421,0)</f>
        <v>0</v>
      </c>
      <c r="BJ421" s="502" t="n">
        <f aca="false">IF($D421="是",Y421-Z421,0)</f>
        <v>0</v>
      </c>
      <c r="BK421" s="502" t="n">
        <f aca="false">IF($D421="是",AA421-AB421,0)</f>
        <v>0</v>
      </c>
      <c r="BL421" s="502" t="n">
        <f aca="false">SUM(BM421:BT421)</f>
        <v>0</v>
      </c>
      <c r="BM421" s="502" t="n">
        <f aca="false">IF($D421="是",AD421-AE421,0)</f>
        <v>0</v>
      </c>
      <c r="BN421" s="502" t="n">
        <f aca="false">IF($D421="是",AF421-AG421,0)</f>
        <v>0</v>
      </c>
      <c r="BO421" s="502" t="n">
        <f aca="false">IF($D421="是",AH421-AI421,0)</f>
        <v>0</v>
      </c>
      <c r="BP421" s="502" t="n">
        <f aca="false">IF($D421="是",AJ421-AK421,0)</f>
        <v>0</v>
      </c>
      <c r="BQ421" s="502" t="n">
        <f aca="false">IF($D421="是",AL421-AM421,0)</f>
        <v>0</v>
      </c>
      <c r="BR421" s="502" t="n">
        <f aca="false">IF($D421="是",AN421-AO421,0)</f>
        <v>0</v>
      </c>
      <c r="BS421" s="502" t="n">
        <f aca="false">IF($D421="是",AP421-AQ421,0)</f>
        <v>0</v>
      </c>
      <c r="BT421" s="512" t="n">
        <f aca="false">IF($D421="是",AR421-AS421,0)</f>
        <v>0</v>
      </c>
    </row>
    <row r="422" customFormat="false" ht="14.25" hidden="false" customHeight="false" outlineLevel="0" collapsed="false">
      <c r="A422" s="499"/>
      <c r="B422" s="500"/>
      <c r="C422" s="500"/>
      <c r="D422" s="501"/>
      <c r="E422" s="502" t="n">
        <f aca="false">IF($C$3="是",ROUND($A$3*G422/$B$3,2),ROUND($A$3*(G422-AT422)/$B$3,2))</f>
        <v>0</v>
      </c>
      <c r="F422" s="503"/>
      <c r="G422" s="504" t="n">
        <f aca="false">H422+AC422+AT422</f>
        <v>0</v>
      </c>
      <c r="H422" s="505" t="n">
        <f aca="false">SUMIF(I$12:AB$12,"总值",I422:AB422)</f>
        <v>0</v>
      </c>
      <c r="I422" s="506"/>
      <c r="J422" s="506"/>
      <c r="K422" s="506"/>
      <c r="L422" s="506"/>
      <c r="M422" s="506"/>
      <c r="N422" s="506"/>
      <c r="O422" s="506"/>
      <c r="P422" s="506"/>
      <c r="Q422" s="506"/>
      <c r="R422" s="506"/>
      <c r="S422" s="506"/>
      <c r="T422" s="506"/>
      <c r="U422" s="506"/>
      <c r="V422" s="506"/>
      <c r="W422" s="506"/>
      <c r="X422" s="506"/>
      <c r="Y422" s="506"/>
      <c r="Z422" s="506"/>
      <c r="AA422" s="506"/>
      <c r="AB422" s="506"/>
      <c r="AC422" s="502" t="n">
        <f aca="false">SUMIF(AD$12:AS$12,"总值",AD422:AS422)</f>
        <v>0</v>
      </c>
      <c r="AD422" s="507"/>
      <c r="AE422" s="507"/>
      <c r="AF422" s="507"/>
      <c r="AG422" s="507"/>
      <c r="AH422" s="507"/>
      <c r="AI422" s="507"/>
      <c r="AJ422" s="507"/>
      <c r="AK422" s="507"/>
      <c r="AL422" s="507"/>
      <c r="AM422" s="507"/>
      <c r="AN422" s="507"/>
      <c r="AO422" s="507"/>
      <c r="AP422" s="507"/>
      <c r="AQ422" s="507"/>
      <c r="AR422" s="507"/>
      <c r="AS422" s="507"/>
      <c r="AT422" s="508"/>
      <c r="AU422" s="509"/>
      <c r="AV422" s="510" t="n">
        <f aca="false">A422</f>
        <v>0</v>
      </c>
      <c r="AW422" s="510" t="n">
        <f aca="false">B422</f>
        <v>0</v>
      </c>
      <c r="AX422" s="510" t="n">
        <f aca="false">C422</f>
        <v>0</v>
      </c>
      <c r="AY422" s="511" t="n">
        <f aca="false">ROUND($AY$6*AZ422/$AZ$5,2)</f>
        <v>0</v>
      </c>
      <c r="AZ422" s="502" t="n">
        <f aca="false">BA422+BL422</f>
        <v>0</v>
      </c>
      <c r="BA422" s="502" t="n">
        <f aca="false">SUM(BB422:BK422)</f>
        <v>0</v>
      </c>
      <c r="BB422" s="502" t="n">
        <f aca="false">IF($D422="是",I422-J422,0)</f>
        <v>0</v>
      </c>
      <c r="BC422" s="502" t="n">
        <f aca="false">IF($D422="是",K422-L422,0)</f>
        <v>0</v>
      </c>
      <c r="BD422" s="502" t="n">
        <f aca="false">IF($D422="是",M422-N422,0)</f>
        <v>0</v>
      </c>
      <c r="BE422" s="502" t="n">
        <f aca="false">IF($D422="是",O422-P422,0)</f>
        <v>0</v>
      </c>
      <c r="BF422" s="502" t="n">
        <f aca="false">IF($D422="是",Q422-R422,0)</f>
        <v>0</v>
      </c>
      <c r="BG422" s="502" t="n">
        <f aca="false">IF($D422="是",S422-T422,0)</f>
        <v>0</v>
      </c>
      <c r="BH422" s="502" t="n">
        <f aca="false">IF($D422="是",U422-V422,0)</f>
        <v>0</v>
      </c>
      <c r="BI422" s="502" t="n">
        <f aca="false">IF($D422="是",W422-X422,0)</f>
        <v>0</v>
      </c>
      <c r="BJ422" s="502" t="n">
        <f aca="false">IF($D422="是",Y422-Z422,0)</f>
        <v>0</v>
      </c>
      <c r="BK422" s="502" t="n">
        <f aca="false">IF($D422="是",AA422-AB422,0)</f>
        <v>0</v>
      </c>
      <c r="BL422" s="502" t="n">
        <f aca="false">SUM(BM422:BT422)</f>
        <v>0</v>
      </c>
      <c r="BM422" s="502" t="n">
        <f aca="false">IF($D422="是",AD422-AE422,0)</f>
        <v>0</v>
      </c>
      <c r="BN422" s="502" t="n">
        <f aca="false">IF($D422="是",AF422-AG422,0)</f>
        <v>0</v>
      </c>
      <c r="BO422" s="502" t="n">
        <f aca="false">IF($D422="是",AH422-AI422,0)</f>
        <v>0</v>
      </c>
      <c r="BP422" s="502" t="n">
        <f aca="false">IF($D422="是",AJ422-AK422,0)</f>
        <v>0</v>
      </c>
      <c r="BQ422" s="502" t="n">
        <f aca="false">IF($D422="是",AL422-AM422,0)</f>
        <v>0</v>
      </c>
      <c r="BR422" s="502" t="n">
        <f aca="false">IF($D422="是",AN422-AO422,0)</f>
        <v>0</v>
      </c>
      <c r="BS422" s="502" t="n">
        <f aca="false">IF($D422="是",AP422-AQ422,0)</f>
        <v>0</v>
      </c>
      <c r="BT422" s="512" t="n">
        <f aca="false">IF($D422="是",AR422-AS422,0)</f>
        <v>0</v>
      </c>
    </row>
    <row r="423" customFormat="false" ht="14.25" hidden="false" customHeight="false" outlineLevel="0" collapsed="false">
      <c r="A423" s="499"/>
      <c r="B423" s="500"/>
      <c r="C423" s="500"/>
      <c r="D423" s="501"/>
      <c r="E423" s="502" t="n">
        <f aca="false">IF($C$3="是",ROUND($A$3*G423/$B$3,2),ROUND($A$3*(G423-AT423)/$B$3,2))</f>
        <v>0</v>
      </c>
      <c r="F423" s="503"/>
      <c r="G423" s="504" t="n">
        <f aca="false">H423+AC423+AT423</f>
        <v>0</v>
      </c>
      <c r="H423" s="505" t="n">
        <f aca="false">SUMIF(I$12:AB$12,"总值",I423:AB423)</f>
        <v>0</v>
      </c>
      <c r="I423" s="506"/>
      <c r="J423" s="506"/>
      <c r="K423" s="506"/>
      <c r="L423" s="506"/>
      <c r="M423" s="506"/>
      <c r="N423" s="506"/>
      <c r="O423" s="506"/>
      <c r="P423" s="506"/>
      <c r="Q423" s="506"/>
      <c r="R423" s="506"/>
      <c r="S423" s="506"/>
      <c r="T423" s="506"/>
      <c r="U423" s="506"/>
      <c r="V423" s="506"/>
      <c r="W423" s="506"/>
      <c r="X423" s="506"/>
      <c r="Y423" s="506"/>
      <c r="Z423" s="506"/>
      <c r="AA423" s="506"/>
      <c r="AB423" s="506"/>
      <c r="AC423" s="502" t="n">
        <f aca="false">SUMIF(AD$12:AS$12,"总值",AD423:AS423)</f>
        <v>0</v>
      </c>
      <c r="AD423" s="507"/>
      <c r="AE423" s="507"/>
      <c r="AF423" s="507"/>
      <c r="AG423" s="507"/>
      <c r="AH423" s="507"/>
      <c r="AI423" s="507"/>
      <c r="AJ423" s="507"/>
      <c r="AK423" s="507"/>
      <c r="AL423" s="507"/>
      <c r="AM423" s="507"/>
      <c r="AN423" s="507"/>
      <c r="AO423" s="507"/>
      <c r="AP423" s="507"/>
      <c r="AQ423" s="507"/>
      <c r="AR423" s="507"/>
      <c r="AS423" s="507"/>
      <c r="AT423" s="508"/>
      <c r="AU423" s="509"/>
      <c r="AV423" s="510" t="n">
        <f aca="false">A423</f>
        <v>0</v>
      </c>
      <c r="AW423" s="510" t="n">
        <f aca="false">B423</f>
        <v>0</v>
      </c>
      <c r="AX423" s="510" t="n">
        <f aca="false">C423</f>
        <v>0</v>
      </c>
      <c r="AY423" s="511" t="n">
        <f aca="false">ROUND($AY$6*AZ423/$AZ$5,2)</f>
        <v>0</v>
      </c>
      <c r="AZ423" s="502" t="n">
        <f aca="false">BA423+BL423</f>
        <v>0</v>
      </c>
      <c r="BA423" s="502" t="n">
        <f aca="false">SUM(BB423:BK423)</f>
        <v>0</v>
      </c>
      <c r="BB423" s="502" t="n">
        <f aca="false">IF($D423="是",I423-J423,0)</f>
        <v>0</v>
      </c>
      <c r="BC423" s="502" t="n">
        <f aca="false">IF($D423="是",K423-L423,0)</f>
        <v>0</v>
      </c>
      <c r="BD423" s="502" t="n">
        <f aca="false">IF($D423="是",M423-N423,0)</f>
        <v>0</v>
      </c>
      <c r="BE423" s="502" t="n">
        <f aca="false">IF($D423="是",O423-P423,0)</f>
        <v>0</v>
      </c>
      <c r="BF423" s="502" t="n">
        <f aca="false">IF($D423="是",Q423-R423,0)</f>
        <v>0</v>
      </c>
      <c r="BG423" s="502" t="n">
        <f aca="false">IF($D423="是",S423-T423,0)</f>
        <v>0</v>
      </c>
      <c r="BH423" s="502" t="n">
        <f aca="false">IF($D423="是",U423-V423,0)</f>
        <v>0</v>
      </c>
      <c r="BI423" s="502" t="n">
        <f aca="false">IF($D423="是",W423-X423,0)</f>
        <v>0</v>
      </c>
      <c r="BJ423" s="502" t="n">
        <f aca="false">IF($D423="是",Y423-Z423,0)</f>
        <v>0</v>
      </c>
      <c r="BK423" s="502" t="n">
        <f aca="false">IF($D423="是",AA423-AB423,0)</f>
        <v>0</v>
      </c>
      <c r="BL423" s="502" t="n">
        <f aca="false">SUM(BM423:BT423)</f>
        <v>0</v>
      </c>
      <c r="BM423" s="502" t="n">
        <f aca="false">IF($D423="是",AD423-AE423,0)</f>
        <v>0</v>
      </c>
      <c r="BN423" s="502" t="n">
        <f aca="false">IF($D423="是",AF423-AG423,0)</f>
        <v>0</v>
      </c>
      <c r="BO423" s="502" t="n">
        <f aca="false">IF($D423="是",AH423-AI423,0)</f>
        <v>0</v>
      </c>
      <c r="BP423" s="502" t="n">
        <f aca="false">IF($D423="是",AJ423-AK423,0)</f>
        <v>0</v>
      </c>
      <c r="BQ423" s="502" t="n">
        <f aca="false">IF($D423="是",AL423-AM423,0)</f>
        <v>0</v>
      </c>
      <c r="BR423" s="502" t="n">
        <f aca="false">IF($D423="是",AN423-AO423,0)</f>
        <v>0</v>
      </c>
      <c r="BS423" s="502" t="n">
        <f aca="false">IF($D423="是",AP423-AQ423,0)</f>
        <v>0</v>
      </c>
      <c r="BT423" s="512" t="n">
        <f aca="false">IF($D423="是",AR423-AS423,0)</f>
        <v>0</v>
      </c>
    </row>
    <row r="424" customFormat="false" ht="14.25" hidden="false" customHeight="false" outlineLevel="0" collapsed="false">
      <c r="A424" s="499"/>
      <c r="B424" s="500"/>
      <c r="C424" s="500"/>
      <c r="D424" s="501"/>
      <c r="E424" s="502" t="n">
        <f aca="false">IF($C$3="是",ROUND($A$3*G424/$B$3,2),ROUND($A$3*(G424-AT424)/$B$3,2))</f>
        <v>0</v>
      </c>
      <c r="F424" s="503"/>
      <c r="G424" s="504" t="n">
        <f aca="false">H424+AC424+AT424</f>
        <v>0</v>
      </c>
      <c r="H424" s="505" t="n">
        <f aca="false">SUMIF(I$12:AB$12,"总值",I424:AB424)</f>
        <v>0</v>
      </c>
      <c r="I424" s="506"/>
      <c r="J424" s="506"/>
      <c r="K424" s="506"/>
      <c r="L424" s="506"/>
      <c r="M424" s="506"/>
      <c r="N424" s="506"/>
      <c r="O424" s="506"/>
      <c r="P424" s="506"/>
      <c r="Q424" s="506"/>
      <c r="R424" s="506"/>
      <c r="S424" s="506"/>
      <c r="T424" s="506"/>
      <c r="U424" s="506"/>
      <c r="V424" s="506"/>
      <c r="W424" s="506"/>
      <c r="X424" s="506"/>
      <c r="Y424" s="506"/>
      <c r="Z424" s="506"/>
      <c r="AA424" s="506"/>
      <c r="AB424" s="506"/>
      <c r="AC424" s="502" t="n">
        <f aca="false">SUMIF(AD$12:AS$12,"总值",AD424:AS424)</f>
        <v>0</v>
      </c>
      <c r="AD424" s="507"/>
      <c r="AE424" s="507"/>
      <c r="AF424" s="507"/>
      <c r="AG424" s="507"/>
      <c r="AH424" s="507"/>
      <c r="AI424" s="507"/>
      <c r="AJ424" s="507"/>
      <c r="AK424" s="507"/>
      <c r="AL424" s="507"/>
      <c r="AM424" s="507"/>
      <c r="AN424" s="507"/>
      <c r="AO424" s="507"/>
      <c r="AP424" s="507"/>
      <c r="AQ424" s="507"/>
      <c r="AR424" s="507"/>
      <c r="AS424" s="507"/>
      <c r="AT424" s="508"/>
      <c r="AU424" s="509"/>
      <c r="AV424" s="510" t="n">
        <f aca="false">A424</f>
        <v>0</v>
      </c>
      <c r="AW424" s="510" t="n">
        <f aca="false">B424</f>
        <v>0</v>
      </c>
      <c r="AX424" s="510" t="n">
        <f aca="false">C424</f>
        <v>0</v>
      </c>
      <c r="AY424" s="511" t="n">
        <f aca="false">ROUND($AY$6*AZ424/$AZ$5,2)</f>
        <v>0</v>
      </c>
      <c r="AZ424" s="502" t="n">
        <f aca="false">BA424+BL424</f>
        <v>0</v>
      </c>
      <c r="BA424" s="502" t="n">
        <f aca="false">SUM(BB424:BK424)</f>
        <v>0</v>
      </c>
      <c r="BB424" s="502" t="n">
        <f aca="false">IF($D424="是",I424-J424,0)</f>
        <v>0</v>
      </c>
      <c r="BC424" s="502" t="n">
        <f aca="false">IF($D424="是",K424-L424,0)</f>
        <v>0</v>
      </c>
      <c r="BD424" s="502" t="n">
        <f aca="false">IF($D424="是",M424-N424,0)</f>
        <v>0</v>
      </c>
      <c r="BE424" s="502" t="n">
        <f aca="false">IF($D424="是",O424-P424,0)</f>
        <v>0</v>
      </c>
      <c r="BF424" s="502" t="n">
        <f aca="false">IF($D424="是",Q424-R424,0)</f>
        <v>0</v>
      </c>
      <c r="BG424" s="502" t="n">
        <f aca="false">IF($D424="是",S424-T424,0)</f>
        <v>0</v>
      </c>
      <c r="BH424" s="502" t="n">
        <f aca="false">IF($D424="是",U424-V424,0)</f>
        <v>0</v>
      </c>
      <c r="BI424" s="502" t="n">
        <f aca="false">IF($D424="是",W424-X424,0)</f>
        <v>0</v>
      </c>
      <c r="BJ424" s="502" t="n">
        <f aca="false">IF($D424="是",Y424-Z424,0)</f>
        <v>0</v>
      </c>
      <c r="BK424" s="502" t="n">
        <f aca="false">IF($D424="是",AA424-AB424,0)</f>
        <v>0</v>
      </c>
      <c r="BL424" s="502" t="n">
        <f aca="false">SUM(BM424:BT424)</f>
        <v>0</v>
      </c>
      <c r="BM424" s="502" t="n">
        <f aca="false">IF($D424="是",AD424-AE424,0)</f>
        <v>0</v>
      </c>
      <c r="BN424" s="502" t="n">
        <f aca="false">IF($D424="是",AF424-AG424,0)</f>
        <v>0</v>
      </c>
      <c r="BO424" s="502" t="n">
        <f aca="false">IF($D424="是",AH424-AI424,0)</f>
        <v>0</v>
      </c>
      <c r="BP424" s="502" t="n">
        <f aca="false">IF($D424="是",AJ424-AK424,0)</f>
        <v>0</v>
      </c>
      <c r="BQ424" s="502" t="n">
        <f aca="false">IF($D424="是",AL424-AM424,0)</f>
        <v>0</v>
      </c>
      <c r="BR424" s="502" t="n">
        <f aca="false">IF($D424="是",AN424-AO424,0)</f>
        <v>0</v>
      </c>
      <c r="BS424" s="502" t="n">
        <f aca="false">IF($D424="是",AP424-AQ424,0)</f>
        <v>0</v>
      </c>
      <c r="BT424" s="512" t="n">
        <f aca="false">IF($D424="是",AR424-AS424,0)</f>
        <v>0</v>
      </c>
    </row>
    <row r="425" customFormat="false" ht="14.25" hidden="false" customHeight="false" outlineLevel="0" collapsed="false">
      <c r="A425" s="499"/>
      <c r="B425" s="500"/>
      <c r="C425" s="500"/>
      <c r="D425" s="501"/>
      <c r="E425" s="502" t="n">
        <f aca="false">IF($C$3="是",ROUND($A$3*G425/$B$3,2),ROUND($A$3*(G425-AT425)/$B$3,2))</f>
        <v>0</v>
      </c>
      <c r="F425" s="503"/>
      <c r="G425" s="504" t="n">
        <f aca="false">H425+AC425+AT425</f>
        <v>0</v>
      </c>
      <c r="H425" s="505" t="n">
        <f aca="false">SUMIF(I$12:AB$12,"总值",I425:AB425)</f>
        <v>0</v>
      </c>
      <c r="I425" s="506"/>
      <c r="J425" s="506"/>
      <c r="K425" s="506"/>
      <c r="L425" s="506"/>
      <c r="M425" s="506"/>
      <c r="N425" s="506"/>
      <c r="O425" s="506"/>
      <c r="P425" s="506"/>
      <c r="Q425" s="506"/>
      <c r="R425" s="506"/>
      <c r="S425" s="506"/>
      <c r="T425" s="506"/>
      <c r="U425" s="506"/>
      <c r="V425" s="506"/>
      <c r="W425" s="506"/>
      <c r="X425" s="506"/>
      <c r="Y425" s="506"/>
      <c r="Z425" s="506"/>
      <c r="AA425" s="506"/>
      <c r="AB425" s="506"/>
      <c r="AC425" s="502" t="n">
        <f aca="false">SUMIF(AD$12:AS$12,"总值",AD425:AS425)</f>
        <v>0</v>
      </c>
      <c r="AD425" s="507"/>
      <c r="AE425" s="507"/>
      <c r="AF425" s="507"/>
      <c r="AG425" s="507"/>
      <c r="AH425" s="507"/>
      <c r="AI425" s="507"/>
      <c r="AJ425" s="507"/>
      <c r="AK425" s="507"/>
      <c r="AL425" s="507"/>
      <c r="AM425" s="507"/>
      <c r="AN425" s="507"/>
      <c r="AO425" s="507"/>
      <c r="AP425" s="507"/>
      <c r="AQ425" s="507"/>
      <c r="AR425" s="507"/>
      <c r="AS425" s="507"/>
      <c r="AT425" s="508"/>
      <c r="AU425" s="509"/>
      <c r="AV425" s="510" t="n">
        <f aca="false">A425</f>
        <v>0</v>
      </c>
      <c r="AW425" s="510" t="n">
        <f aca="false">B425</f>
        <v>0</v>
      </c>
      <c r="AX425" s="510" t="n">
        <f aca="false">C425</f>
        <v>0</v>
      </c>
      <c r="AY425" s="511" t="n">
        <f aca="false">ROUND($AY$6*AZ425/$AZ$5,2)</f>
        <v>0</v>
      </c>
      <c r="AZ425" s="502" t="n">
        <f aca="false">BA425+BL425</f>
        <v>0</v>
      </c>
      <c r="BA425" s="502" t="n">
        <f aca="false">SUM(BB425:BK425)</f>
        <v>0</v>
      </c>
      <c r="BB425" s="502" t="n">
        <f aca="false">IF($D425="是",I425-J425,0)</f>
        <v>0</v>
      </c>
      <c r="BC425" s="502" t="n">
        <f aca="false">IF($D425="是",K425-L425,0)</f>
        <v>0</v>
      </c>
      <c r="BD425" s="502" t="n">
        <f aca="false">IF($D425="是",M425-N425,0)</f>
        <v>0</v>
      </c>
      <c r="BE425" s="502" t="n">
        <f aca="false">IF($D425="是",O425-P425,0)</f>
        <v>0</v>
      </c>
      <c r="BF425" s="502" t="n">
        <f aca="false">IF($D425="是",Q425-R425,0)</f>
        <v>0</v>
      </c>
      <c r="BG425" s="502" t="n">
        <f aca="false">IF($D425="是",S425-T425,0)</f>
        <v>0</v>
      </c>
      <c r="BH425" s="502" t="n">
        <f aca="false">IF($D425="是",U425-V425,0)</f>
        <v>0</v>
      </c>
      <c r="BI425" s="502" t="n">
        <f aca="false">IF($D425="是",W425-X425,0)</f>
        <v>0</v>
      </c>
      <c r="BJ425" s="502" t="n">
        <f aca="false">IF($D425="是",Y425-Z425,0)</f>
        <v>0</v>
      </c>
      <c r="BK425" s="502" t="n">
        <f aca="false">IF($D425="是",AA425-AB425,0)</f>
        <v>0</v>
      </c>
      <c r="BL425" s="502" t="n">
        <f aca="false">SUM(BM425:BT425)</f>
        <v>0</v>
      </c>
      <c r="BM425" s="502" t="n">
        <f aca="false">IF($D425="是",AD425-AE425,0)</f>
        <v>0</v>
      </c>
      <c r="BN425" s="502" t="n">
        <f aca="false">IF($D425="是",AF425-AG425,0)</f>
        <v>0</v>
      </c>
      <c r="BO425" s="502" t="n">
        <f aca="false">IF($D425="是",AH425-AI425,0)</f>
        <v>0</v>
      </c>
      <c r="BP425" s="502" t="n">
        <f aca="false">IF($D425="是",AJ425-AK425,0)</f>
        <v>0</v>
      </c>
      <c r="BQ425" s="502" t="n">
        <f aca="false">IF($D425="是",AL425-AM425,0)</f>
        <v>0</v>
      </c>
      <c r="BR425" s="502" t="n">
        <f aca="false">IF($D425="是",AN425-AO425,0)</f>
        <v>0</v>
      </c>
      <c r="BS425" s="502" t="n">
        <f aca="false">IF($D425="是",AP425-AQ425,0)</f>
        <v>0</v>
      </c>
      <c r="BT425" s="512" t="n">
        <f aca="false">IF($D425="是",AR425-AS425,0)</f>
        <v>0</v>
      </c>
    </row>
    <row r="426" customFormat="false" ht="14.25" hidden="false" customHeight="false" outlineLevel="0" collapsed="false">
      <c r="A426" s="499"/>
      <c r="B426" s="500"/>
      <c r="C426" s="500"/>
      <c r="D426" s="501"/>
      <c r="E426" s="502" t="n">
        <f aca="false">IF($C$3="是",ROUND($A$3*G426/$B$3,2),ROUND($A$3*(G426-AT426)/$B$3,2))</f>
        <v>0</v>
      </c>
      <c r="F426" s="503"/>
      <c r="G426" s="504" t="n">
        <f aca="false">H426+AC426+AT426</f>
        <v>0</v>
      </c>
      <c r="H426" s="505" t="n">
        <f aca="false">SUMIF(I$12:AB$12,"总值",I426:AB426)</f>
        <v>0</v>
      </c>
      <c r="I426" s="506"/>
      <c r="J426" s="506"/>
      <c r="K426" s="506"/>
      <c r="L426" s="506"/>
      <c r="M426" s="506"/>
      <c r="N426" s="506"/>
      <c r="O426" s="506"/>
      <c r="P426" s="506"/>
      <c r="Q426" s="506"/>
      <c r="R426" s="506"/>
      <c r="S426" s="506"/>
      <c r="T426" s="506"/>
      <c r="U426" s="506"/>
      <c r="V426" s="506"/>
      <c r="W426" s="506"/>
      <c r="X426" s="506"/>
      <c r="Y426" s="506"/>
      <c r="Z426" s="506"/>
      <c r="AA426" s="506"/>
      <c r="AB426" s="506"/>
      <c r="AC426" s="502" t="n">
        <f aca="false">SUMIF(AD$12:AS$12,"总值",AD426:AS426)</f>
        <v>0</v>
      </c>
      <c r="AD426" s="507"/>
      <c r="AE426" s="507"/>
      <c r="AF426" s="507"/>
      <c r="AG426" s="507"/>
      <c r="AH426" s="507"/>
      <c r="AI426" s="507"/>
      <c r="AJ426" s="507"/>
      <c r="AK426" s="507"/>
      <c r="AL426" s="507"/>
      <c r="AM426" s="507"/>
      <c r="AN426" s="507"/>
      <c r="AO426" s="507"/>
      <c r="AP426" s="507"/>
      <c r="AQ426" s="507"/>
      <c r="AR426" s="507"/>
      <c r="AS426" s="507"/>
      <c r="AT426" s="508"/>
      <c r="AU426" s="509"/>
      <c r="AV426" s="510" t="n">
        <f aca="false">A426</f>
        <v>0</v>
      </c>
      <c r="AW426" s="510" t="n">
        <f aca="false">B426</f>
        <v>0</v>
      </c>
      <c r="AX426" s="510" t="n">
        <f aca="false">C426</f>
        <v>0</v>
      </c>
      <c r="AY426" s="511" t="n">
        <f aca="false">ROUND($AY$6*AZ426/$AZ$5,2)</f>
        <v>0</v>
      </c>
      <c r="AZ426" s="502" t="n">
        <f aca="false">BA426+BL426</f>
        <v>0</v>
      </c>
      <c r="BA426" s="502" t="n">
        <f aca="false">SUM(BB426:BK426)</f>
        <v>0</v>
      </c>
      <c r="BB426" s="502" t="n">
        <f aca="false">IF($D426="是",I426-J426,0)</f>
        <v>0</v>
      </c>
      <c r="BC426" s="502" t="n">
        <f aca="false">IF($D426="是",K426-L426,0)</f>
        <v>0</v>
      </c>
      <c r="BD426" s="502" t="n">
        <f aca="false">IF($D426="是",M426-N426,0)</f>
        <v>0</v>
      </c>
      <c r="BE426" s="502" t="n">
        <f aca="false">IF($D426="是",O426-P426,0)</f>
        <v>0</v>
      </c>
      <c r="BF426" s="502" t="n">
        <f aca="false">IF($D426="是",Q426-R426,0)</f>
        <v>0</v>
      </c>
      <c r="BG426" s="502" t="n">
        <f aca="false">IF($D426="是",S426-T426,0)</f>
        <v>0</v>
      </c>
      <c r="BH426" s="502" t="n">
        <f aca="false">IF($D426="是",U426-V426,0)</f>
        <v>0</v>
      </c>
      <c r="BI426" s="502" t="n">
        <f aca="false">IF($D426="是",W426-X426,0)</f>
        <v>0</v>
      </c>
      <c r="BJ426" s="502" t="n">
        <f aca="false">IF($D426="是",Y426-Z426,0)</f>
        <v>0</v>
      </c>
      <c r="BK426" s="502" t="n">
        <f aca="false">IF($D426="是",AA426-AB426,0)</f>
        <v>0</v>
      </c>
      <c r="BL426" s="502" t="n">
        <f aca="false">SUM(BM426:BT426)</f>
        <v>0</v>
      </c>
      <c r="BM426" s="502" t="n">
        <f aca="false">IF($D426="是",AD426-AE426,0)</f>
        <v>0</v>
      </c>
      <c r="BN426" s="502" t="n">
        <f aca="false">IF($D426="是",AF426-AG426,0)</f>
        <v>0</v>
      </c>
      <c r="BO426" s="502" t="n">
        <f aca="false">IF($D426="是",AH426-AI426,0)</f>
        <v>0</v>
      </c>
      <c r="BP426" s="502" t="n">
        <f aca="false">IF($D426="是",AJ426-AK426,0)</f>
        <v>0</v>
      </c>
      <c r="BQ426" s="502" t="n">
        <f aca="false">IF($D426="是",AL426-AM426,0)</f>
        <v>0</v>
      </c>
      <c r="BR426" s="502" t="n">
        <f aca="false">IF($D426="是",AN426-AO426,0)</f>
        <v>0</v>
      </c>
      <c r="BS426" s="502" t="n">
        <f aca="false">IF($D426="是",AP426-AQ426,0)</f>
        <v>0</v>
      </c>
      <c r="BT426" s="512" t="n">
        <f aca="false">IF($D426="是",AR426-AS426,0)</f>
        <v>0</v>
      </c>
    </row>
    <row r="427" customFormat="false" ht="14.25" hidden="false" customHeight="false" outlineLevel="0" collapsed="false">
      <c r="A427" s="499"/>
      <c r="B427" s="500"/>
      <c r="C427" s="500"/>
      <c r="D427" s="501"/>
      <c r="E427" s="502" t="n">
        <f aca="false">IF($C$3="是",ROUND($A$3*G427/$B$3,2),ROUND($A$3*(G427-AT427)/$B$3,2))</f>
        <v>0</v>
      </c>
      <c r="F427" s="503"/>
      <c r="G427" s="504" t="n">
        <f aca="false">H427+AC427+AT427</f>
        <v>0</v>
      </c>
      <c r="H427" s="505" t="n">
        <f aca="false">SUMIF(I$12:AB$12,"总值",I427:AB427)</f>
        <v>0</v>
      </c>
      <c r="I427" s="506"/>
      <c r="J427" s="506"/>
      <c r="K427" s="506"/>
      <c r="L427" s="506"/>
      <c r="M427" s="506"/>
      <c r="N427" s="506"/>
      <c r="O427" s="506"/>
      <c r="P427" s="506"/>
      <c r="Q427" s="506"/>
      <c r="R427" s="506"/>
      <c r="S427" s="506"/>
      <c r="T427" s="506"/>
      <c r="U427" s="506"/>
      <c r="V427" s="506"/>
      <c r="W427" s="506"/>
      <c r="X427" s="506"/>
      <c r="Y427" s="506"/>
      <c r="Z427" s="506"/>
      <c r="AA427" s="506"/>
      <c r="AB427" s="506"/>
      <c r="AC427" s="502" t="n">
        <f aca="false">SUMIF(AD$12:AS$12,"总值",AD427:AS427)</f>
        <v>0</v>
      </c>
      <c r="AD427" s="507"/>
      <c r="AE427" s="507"/>
      <c r="AF427" s="507"/>
      <c r="AG427" s="507"/>
      <c r="AH427" s="507"/>
      <c r="AI427" s="507"/>
      <c r="AJ427" s="507"/>
      <c r="AK427" s="507"/>
      <c r="AL427" s="507"/>
      <c r="AM427" s="507"/>
      <c r="AN427" s="507"/>
      <c r="AO427" s="507"/>
      <c r="AP427" s="507"/>
      <c r="AQ427" s="507"/>
      <c r="AR427" s="507"/>
      <c r="AS427" s="507"/>
      <c r="AT427" s="508"/>
      <c r="AU427" s="509"/>
      <c r="AV427" s="510" t="n">
        <f aca="false">A427</f>
        <v>0</v>
      </c>
      <c r="AW427" s="510" t="n">
        <f aca="false">B427</f>
        <v>0</v>
      </c>
      <c r="AX427" s="510" t="n">
        <f aca="false">C427</f>
        <v>0</v>
      </c>
      <c r="AY427" s="511" t="n">
        <f aca="false">ROUND($AY$6*AZ427/$AZ$5,2)</f>
        <v>0</v>
      </c>
      <c r="AZ427" s="502" t="n">
        <f aca="false">BA427+BL427</f>
        <v>0</v>
      </c>
      <c r="BA427" s="502" t="n">
        <f aca="false">SUM(BB427:BK427)</f>
        <v>0</v>
      </c>
      <c r="BB427" s="502" t="n">
        <f aca="false">IF($D427="是",I427-J427,0)</f>
        <v>0</v>
      </c>
      <c r="BC427" s="502" t="n">
        <f aca="false">IF($D427="是",K427-L427,0)</f>
        <v>0</v>
      </c>
      <c r="BD427" s="502" t="n">
        <f aca="false">IF($D427="是",M427-N427,0)</f>
        <v>0</v>
      </c>
      <c r="BE427" s="502" t="n">
        <f aca="false">IF($D427="是",O427-P427,0)</f>
        <v>0</v>
      </c>
      <c r="BF427" s="502" t="n">
        <f aca="false">IF($D427="是",Q427-R427,0)</f>
        <v>0</v>
      </c>
      <c r="BG427" s="502" t="n">
        <f aca="false">IF($D427="是",S427-T427,0)</f>
        <v>0</v>
      </c>
      <c r="BH427" s="502" t="n">
        <f aca="false">IF($D427="是",U427-V427,0)</f>
        <v>0</v>
      </c>
      <c r="BI427" s="502" t="n">
        <f aca="false">IF($D427="是",W427-X427,0)</f>
        <v>0</v>
      </c>
      <c r="BJ427" s="502" t="n">
        <f aca="false">IF($D427="是",Y427-Z427,0)</f>
        <v>0</v>
      </c>
      <c r="BK427" s="502" t="n">
        <f aca="false">IF($D427="是",AA427-AB427,0)</f>
        <v>0</v>
      </c>
      <c r="BL427" s="502" t="n">
        <f aca="false">SUM(BM427:BT427)</f>
        <v>0</v>
      </c>
      <c r="BM427" s="502" t="n">
        <f aca="false">IF($D427="是",AD427-AE427,0)</f>
        <v>0</v>
      </c>
      <c r="BN427" s="502" t="n">
        <f aca="false">IF($D427="是",AF427-AG427,0)</f>
        <v>0</v>
      </c>
      <c r="BO427" s="502" t="n">
        <f aca="false">IF($D427="是",AH427-AI427,0)</f>
        <v>0</v>
      </c>
      <c r="BP427" s="502" t="n">
        <f aca="false">IF($D427="是",AJ427-AK427,0)</f>
        <v>0</v>
      </c>
      <c r="BQ427" s="502" t="n">
        <f aca="false">IF($D427="是",AL427-AM427,0)</f>
        <v>0</v>
      </c>
      <c r="BR427" s="502" t="n">
        <f aca="false">IF($D427="是",AN427-AO427,0)</f>
        <v>0</v>
      </c>
      <c r="BS427" s="502" t="n">
        <f aca="false">IF($D427="是",AP427-AQ427,0)</f>
        <v>0</v>
      </c>
      <c r="BT427" s="512" t="n">
        <f aca="false">IF($D427="是",AR427-AS427,0)</f>
        <v>0</v>
      </c>
    </row>
    <row r="428" customFormat="false" ht="14.25" hidden="false" customHeight="false" outlineLevel="0" collapsed="false">
      <c r="A428" s="499"/>
      <c r="B428" s="500"/>
      <c r="C428" s="500"/>
      <c r="D428" s="501"/>
      <c r="E428" s="502" t="n">
        <f aca="false">IF($C$3="是",ROUND($A$3*G428/$B$3,2),ROUND($A$3*(G428-AT428)/$B$3,2))</f>
        <v>0</v>
      </c>
      <c r="F428" s="503"/>
      <c r="G428" s="504" t="n">
        <f aca="false">H428+AC428+AT428</f>
        <v>0</v>
      </c>
      <c r="H428" s="505" t="n">
        <f aca="false">SUMIF(I$12:AB$12,"总值",I428:AB428)</f>
        <v>0</v>
      </c>
      <c r="I428" s="506"/>
      <c r="J428" s="506"/>
      <c r="K428" s="506"/>
      <c r="L428" s="506"/>
      <c r="M428" s="506"/>
      <c r="N428" s="506"/>
      <c r="O428" s="506"/>
      <c r="P428" s="506"/>
      <c r="Q428" s="506"/>
      <c r="R428" s="506"/>
      <c r="S428" s="506"/>
      <c r="T428" s="506"/>
      <c r="U428" s="506"/>
      <c r="V428" s="506"/>
      <c r="W428" s="506"/>
      <c r="X428" s="506"/>
      <c r="Y428" s="506"/>
      <c r="Z428" s="506"/>
      <c r="AA428" s="506"/>
      <c r="AB428" s="506"/>
      <c r="AC428" s="502" t="n">
        <f aca="false">SUMIF(AD$12:AS$12,"总值",AD428:AS428)</f>
        <v>0</v>
      </c>
      <c r="AD428" s="507"/>
      <c r="AE428" s="507"/>
      <c r="AF428" s="507"/>
      <c r="AG428" s="507"/>
      <c r="AH428" s="507"/>
      <c r="AI428" s="507"/>
      <c r="AJ428" s="507"/>
      <c r="AK428" s="507"/>
      <c r="AL428" s="507"/>
      <c r="AM428" s="507"/>
      <c r="AN428" s="507"/>
      <c r="AO428" s="507"/>
      <c r="AP428" s="507"/>
      <c r="AQ428" s="507"/>
      <c r="AR428" s="507"/>
      <c r="AS428" s="507"/>
      <c r="AT428" s="508"/>
      <c r="AU428" s="509"/>
      <c r="AV428" s="510" t="n">
        <f aca="false">A428</f>
        <v>0</v>
      </c>
      <c r="AW428" s="510" t="n">
        <f aca="false">B428</f>
        <v>0</v>
      </c>
      <c r="AX428" s="510" t="n">
        <f aca="false">C428</f>
        <v>0</v>
      </c>
      <c r="AY428" s="511" t="n">
        <f aca="false">ROUND($AY$6*AZ428/$AZ$5,2)</f>
        <v>0</v>
      </c>
      <c r="AZ428" s="502" t="n">
        <f aca="false">BA428+BL428</f>
        <v>0</v>
      </c>
      <c r="BA428" s="502" t="n">
        <f aca="false">SUM(BB428:BK428)</f>
        <v>0</v>
      </c>
      <c r="BB428" s="502" t="n">
        <f aca="false">IF($D428="是",I428-J428,0)</f>
        <v>0</v>
      </c>
      <c r="BC428" s="502" t="n">
        <f aca="false">IF($D428="是",K428-L428,0)</f>
        <v>0</v>
      </c>
      <c r="BD428" s="502" t="n">
        <f aca="false">IF($D428="是",M428-N428,0)</f>
        <v>0</v>
      </c>
      <c r="BE428" s="502" t="n">
        <f aca="false">IF($D428="是",O428-P428,0)</f>
        <v>0</v>
      </c>
      <c r="BF428" s="502" t="n">
        <f aca="false">IF($D428="是",Q428-R428,0)</f>
        <v>0</v>
      </c>
      <c r="BG428" s="502" t="n">
        <f aca="false">IF($D428="是",S428-T428,0)</f>
        <v>0</v>
      </c>
      <c r="BH428" s="502" t="n">
        <f aca="false">IF($D428="是",U428-V428,0)</f>
        <v>0</v>
      </c>
      <c r="BI428" s="502" t="n">
        <f aca="false">IF($D428="是",W428-X428,0)</f>
        <v>0</v>
      </c>
      <c r="BJ428" s="502" t="n">
        <f aca="false">IF($D428="是",Y428-Z428,0)</f>
        <v>0</v>
      </c>
      <c r="BK428" s="502" t="n">
        <f aca="false">IF($D428="是",AA428-AB428,0)</f>
        <v>0</v>
      </c>
      <c r="BL428" s="502" t="n">
        <f aca="false">SUM(BM428:BT428)</f>
        <v>0</v>
      </c>
      <c r="BM428" s="502" t="n">
        <f aca="false">IF($D428="是",AD428-AE428,0)</f>
        <v>0</v>
      </c>
      <c r="BN428" s="502" t="n">
        <f aca="false">IF($D428="是",AF428-AG428,0)</f>
        <v>0</v>
      </c>
      <c r="BO428" s="502" t="n">
        <f aca="false">IF($D428="是",AH428-AI428,0)</f>
        <v>0</v>
      </c>
      <c r="BP428" s="502" t="n">
        <f aca="false">IF($D428="是",AJ428-AK428,0)</f>
        <v>0</v>
      </c>
      <c r="BQ428" s="502" t="n">
        <f aca="false">IF($D428="是",AL428-AM428,0)</f>
        <v>0</v>
      </c>
      <c r="BR428" s="502" t="n">
        <f aca="false">IF($D428="是",AN428-AO428,0)</f>
        <v>0</v>
      </c>
      <c r="BS428" s="502" t="n">
        <f aca="false">IF($D428="是",AP428-AQ428,0)</f>
        <v>0</v>
      </c>
      <c r="BT428" s="512" t="n">
        <f aca="false">IF($D428="是",AR428-AS428,0)</f>
        <v>0</v>
      </c>
    </row>
    <row r="429" customFormat="false" ht="14.25" hidden="false" customHeight="false" outlineLevel="0" collapsed="false">
      <c r="A429" s="499"/>
      <c r="B429" s="500"/>
      <c r="C429" s="500"/>
      <c r="D429" s="501"/>
      <c r="E429" s="502" t="n">
        <f aca="false">IF($C$3="是",ROUND($A$3*G429/$B$3,2),ROUND($A$3*(G429-AT429)/$B$3,2))</f>
        <v>0</v>
      </c>
      <c r="F429" s="503"/>
      <c r="G429" s="504" t="n">
        <f aca="false">H429+AC429+AT429</f>
        <v>0</v>
      </c>
      <c r="H429" s="505" t="n">
        <f aca="false">SUMIF(I$12:AB$12,"总值",I429:AB429)</f>
        <v>0</v>
      </c>
      <c r="I429" s="506"/>
      <c r="J429" s="506"/>
      <c r="K429" s="506"/>
      <c r="L429" s="506"/>
      <c r="M429" s="506"/>
      <c r="N429" s="506"/>
      <c r="O429" s="506"/>
      <c r="P429" s="506"/>
      <c r="Q429" s="506"/>
      <c r="R429" s="506"/>
      <c r="S429" s="506"/>
      <c r="T429" s="506"/>
      <c r="U429" s="506"/>
      <c r="V429" s="506"/>
      <c r="W429" s="506"/>
      <c r="X429" s="506"/>
      <c r="Y429" s="506"/>
      <c r="Z429" s="506"/>
      <c r="AA429" s="506"/>
      <c r="AB429" s="506"/>
      <c r="AC429" s="502" t="n">
        <f aca="false">SUMIF(AD$12:AS$12,"总值",AD429:AS429)</f>
        <v>0</v>
      </c>
      <c r="AD429" s="507"/>
      <c r="AE429" s="507"/>
      <c r="AF429" s="507"/>
      <c r="AG429" s="507"/>
      <c r="AH429" s="507"/>
      <c r="AI429" s="507"/>
      <c r="AJ429" s="507"/>
      <c r="AK429" s="507"/>
      <c r="AL429" s="507"/>
      <c r="AM429" s="507"/>
      <c r="AN429" s="507"/>
      <c r="AO429" s="507"/>
      <c r="AP429" s="507"/>
      <c r="AQ429" s="507"/>
      <c r="AR429" s="507"/>
      <c r="AS429" s="507"/>
      <c r="AT429" s="508"/>
      <c r="AU429" s="509"/>
      <c r="AV429" s="510" t="n">
        <f aca="false">A429</f>
        <v>0</v>
      </c>
      <c r="AW429" s="510" t="n">
        <f aca="false">B429</f>
        <v>0</v>
      </c>
      <c r="AX429" s="510" t="n">
        <f aca="false">C429</f>
        <v>0</v>
      </c>
      <c r="AY429" s="511" t="n">
        <f aca="false">ROUND($AY$6*AZ429/$AZ$5,2)</f>
        <v>0</v>
      </c>
      <c r="AZ429" s="502" t="n">
        <f aca="false">BA429+BL429</f>
        <v>0</v>
      </c>
      <c r="BA429" s="502" t="n">
        <f aca="false">SUM(BB429:BK429)</f>
        <v>0</v>
      </c>
      <c r="BB429" s="502" t="n">
        <f aca="false">IF($D429="是",I429-J429,0)</f>
        <v>0</v>
      </c>
      <c r="BC429" s="502" t="n">
        <f aca="false">IF($D429="是",K429-L429,0)</f>
        <v>0</v>
      </c>
      <c r="BD429" s="502" t="n">
        <f aca="false">IF($D429="是",M429-N429,0)</f>
        <v>0</v>
      </c>
      <c r="BE429" s="502" t="n">
        <f aca="false">IF($D429="是",O429-P429,0)</f>
        <v>0</v>
      </c>
      <c r="BF429" s="502" t="n">
        <f aca="false">IF($D429="是",Q429-R429,0)</f>
        <v>0</v>
      </c>
      <c r="BG429" s="502" t="n">
        <f aca="false">IF($D429="是",S429-T429,0)</f>
        <v>0</v>
      </c>
      <c r="BH429" s="502" t="n">
        <f aca="false">IF($D429="是",U429-V429,0)</f>
        <v>0</v>
      </c>
      <c r="BI429" s="502" t="n">
        <f aca="false">IF($D429="是",W429-X429,0)</f>
        <v>0</v>
      </c>
      <c r="BJ429" s="502" t="n">
        <f aca="false">IF($D429="是",Y429-Z429,0)</f>
        <v>0</v>
      </c>
      <c r="BK429" s="502" t="n">
        <f aca="false">IF($D429="是",AA429-AB429,0)</f>
        <v>0</v>
      </c>
      <c r="BL429" s="502" t="n">
        <f aca="false">SUM(BM429:BT429)</f>
        <v>0</v>
      </c>
      <c r="BM429" s="502" t="n">
        <f aca="false">IF($D429="是",AD429-AE429,0)</f>
        <v>0</v>
      </c>
      <c r="BN429" s="502" t="n">
        <f aca="false">IF($D429="是",AF429-AG429,0)</f>
        <v>0</v>
      </c>
      <c r="BO429" s="502" t="n">
        <f aca="false">IF($D429="是",AH429-AI429,0)</f>
        <v>0</v>
      </c>
      <c r="BP429" s="502" t="n">
        <f aca="false">IF($D429="是",AJ429-AK429,0)</f>
        <v>0</v>
      </c>
      <c r="BQ429" s="502" t="n">
        <f aca="false">IF($D429="是",AL429-AM429,0)</f>
        <v>0</v>
      </c>
      <c r="BR429" s="502" t="n">
        <f aca="false">IF($D429="是",AN429-AO429,0)</f>
        <v>0</v>
      </c>
      <c r="BS429" s="502" t="n">
        <f aca="false">IF($D429="是",AP429-AQ429,0)</f>
        <v>0</v>
      </c>
      <c r="BT429" s="512" t="n">
        <f aca="false">IF($D429="是",AR429-AS429,0)</f>
        <v>0</v>
      </c>
    </row>
    <row r="430" customFormat="false" ht="14.25" hidden="false" customHeight="false" outlineLevel="0" collapsed="false">
      <c r="A430" s="499"/>
      <c r="B430" s="500"/>
      <c r="C430" s="500"/>
      <c r="D430" s="501"/>
      <c r="E430" s="502" t="n">
        <f aca="false">IF($C$3="是",ROUND($A$3*G430/$B$3,2),ROUND($A$3*(G430-AT430)/$B$3,2))</f>
        <v>0</v>
      </c>
      <c r="F430" s="503"/>
      <c r="G430" s="504" t="n">
        <f aca="false">H430+AC430+AT430</f>
        <v>0</v>
      </c>
      <c r="H430" s="505" t="n">
        <f aca="false">SUMIF(I$12:AB$12,"总值",I430:AB430)</f>
        <v>0</v>
      </c>
      <c r="I430" s="506"/>
      <c r="J430" s="506"/>
      <c r="K430" s="506"/>
      <c r="L430" s="506"/>
      <c r="M430" s="506"/>
      <c r="N430" s="506"/>
      <c r="O430" s="506"/>
      <c r="P430" s="506"/>
      <c r="Q430" s="506"/>
      <c r="R430" s="506"/>
      <c r="S430" s="506"/>
      <c r="T430" s="506"/>
      <c r="U430" s="506"/>
      <c r="V430" s="506"/>
      <c r="W430" s="506"/>
      <c r="X430" s="506"/>
      <c r="Y430" s="506"/>
      <c r="Z430" s="506"/>
      <c r="AA430" s="506"/>
      <c r="AB430" s="506"/>
      <c r="AC430" s="502" t="n">
        <f aca="false">SUMIF(AD$12:AS$12,"总值",AD430:AS430)</f>
        <v>0</v>
      </c>
      <c r="AD430" s="507"/>
      <c r="AE430" s="507"/>
      <c r="AF430" s="507"/>
      <c r="AG430" s="507"/>
      <c r="AH430" s="507"/>
      <c r="AI430" s="507"/>
      <c r="AJ430" s="507"/>
      <c r="AK430" s="507"/>
      <c r="AL430" s="507"/>
      <c r="AM430" s="507"/>
      <c r="AN430" s="507"/>
      <c r="AO430" s="507"/>
      <c r="AP430" s="507"/>
      <c r="AQ430" s="507"/>
      <c r="AR430" s="507"/>
      <c r="AS430" s="507"/>
      <c r="AT430" s="508"/>
      <c r="AU430" s="509"/>
      <c r="AV430" s="510" t="n">
        <f aca="false">A430</f>
        <v>0</v>
      </c>
      <c r="AW430" s="510" t="n">
        <f aca="false">B430</f>
        <v>0</v>
      </c>
      <c r="AX430" s="510" t="n">
        <f aca="false">C430</f>
        <v>0</v>
      </c>
      <c r="AY430" s="511" t="n">
        <f aca="false">ROUND($AY$6*AZ430/$AZ$5,2)</f>
        <v>0</v>
      </c>
      <c r="AZ430" s="502" t="n">
        <f aca="false">BA430+BL430</f>
        <v>0</v>
      </c>
      <c r="BA430" s="502" t="n">
        <f aca="false">SUM(BB430:BK430)</f>
        <v>0</v>
      </c>
      <c r="BB430" s="502" t="n">
        <f aca="false">IF($D430="是",I430-J430,0)</f>
        <v>0</v>
      </c>
      <c r="BC430" s="502" t="n">
        <f aca="false">IF($D430="是",K430-L430,0)</f>
        <v>0</v>
      </c>
      <c r="BD430" s="502" t="n">
        <f aca="false">IF($D430="是",M430-N430,0)</f>
        <v>0</v>
      </c>
      <c r="BE430" s="502" t="n">
        <f aca="false">IF($D430="是",O430-P430,0)</f>
        <v>0</v>
      </c>
      <c r="BF430" s="502" t="n">
        <f aca="false">IF($D430="是",Q430-R430,0)</f>
        <v>0</v>
      </c>
      <c r="BG430" s="502" t="n">
        <f aca="false">IF($D430="是",S430-T430,0)</f>
        <v>0</v>
      </c>
      <c r="BH430" s="502" t="n">
        <f aca="false">IF($D430="是",U430-V430,0)</f>
        <v>0</v>
      </c>
      <c r="BI430" s="502" t="n">
        <f aca="false">IF($D430="是",W430-X430,0)</f>
        <v>0</v>
      </c>
      <c r="BJ430" s="502" t="n">
        <f aca="false">IF($D430="是",Y430-Z430,0)</f>
        <v>0</v>
      </c>
      <c r="BK430" s="502" t="n">
        <f aca="false">IF($D430="是",AA430-AB430,0)</f>
        <v>0</v>
      </c>
      <c r="BL430" s="502" t="n">
        <f aca="false">SUM(BM430:BT430)</f>
        <v>0</v>
      </c>
      <c r="BM430" s="502" t="n">
        <f aca="false">IF($D430="是",AD430-AE430,0)</f>
        <v>0</v>
      </c>
      <c r="BN430" s="502" t="n">
        <f aca="false">IF($D430="是",AF430-AG430,0)</f>
        <v>0</v>
      </c>
      <c r="BO430" s="502" t="n">
        <f aca="false">IF($D430="是",AH430-AI430,0)</f>
        <v>0</v>
      </c>
      <c r="BP430" s="502" t="n">
        <f aca="false">IF($D430="是",AJ430-AK430,0)</f>
        <v>0</v>
      </c>
      <c r="BQ430" s="502" t="n">
        <f aca="false">IF($D430="是",AL430-AM430,0)</f>
        <v>0</v>
      </c>
      <c r="BR430" s="502" t="n">
        <f aca="false">IF($D430="是",AN430-AO430,0)</f>
        <v>0</v>
      </c>
      <c r="BS430" s="502" t="n">
        <f aca="false">IF($D430="是",AP430-AQ430,0)</f>
        <v>0</v>
      </c>
      <c r="BT430" s="512" t="n">
        <f aca="false">IF($D430="是",AR430-AS430,0)</f>
        <v>0</v>
      </c>
    </row>
    <row r="431" customFormat="false" ht="14.25" hidden="false" customHeight="false" outlineLevel="0" collapsed="false">
      <c r="A431" s="499"/>
      <c r="B431" s="500"/>
      <c r="C431" s="500"/>
      <c r="D431" s="501"/>
      <c r="E431" s="502" t="n">
        <f aca="false">IF($C$3="是",ROUND($A$3*G431/$B$3,2),ROUND($A$3*(G431-AT431)/$B$3,2))</f>
        <v>0</v>
      </c>
      <c r="F431" s="503"/>
      <c r="G431" s="504" t="n">
        <f aca="false">H431+AC431+AT431</f>
        <v>0</v>
      </c>
      <c r="H431" s="505" t="n">
        <f aca="false">SUMIF(I$12:AB$12,"总值",I431:AB431)</f>
        <v>0</v>
      </c>
      <c r="I431" s="506"/>
      <c r="J431" s="506"/>
      <c r="K431" s="506"/>
      <c r="L431" s="506"/>
      <c r="M431" s="506"/>
      <c r="N431" s="506"/>
      <c r="O431" s="506"/>
      <c r="P431" s="506"/>
      <c r="Q431" s="506"/>
      <c r="R431" s="506"/>
      <c r="S431" s="506"/>
      <c r="T431" s="506"/>
      <c r="U431" s="506"/>
      <c r="V431" s="506"/>
      <c r="W431" s="506"/>
      <c r="X431" s="506"/>
      <c r="Y431" s="506"/>
      <c r="Z431" s="506"/>
      <c r="AA431" s="506"/>
      <c r="AB431" s="506"/>
      <c r="AC431" s="502" t="n">
        <f aca="false">SUMIF(AD$12:AS$12,"总值",AD431:AS431)</f>
        <v>0</v>
      </c>
      <c r="AD431" s="507"/>
      <c r="AE431" s="507"/>
      <c r="AF431" s="507"/>
      <c r="AG431" s="507"/>
      <c r="AH431" s="507"/>
      <c r="AI431" s="507"/>
      <c r="AJ431" s="507"/>
      <c r="AK431" s="507"/>
      <c r="AL431" s="507"/>
      <c r="AM431" s="507"/>
      <c r="AN431" s="507"/>
      <c r="AO431" s="507"/>
      <c r="AP431" s="507"/>
      <c r="AQ431" s="507"/>
      <c r="AR431" s="507"/>
      <c r="AS431" s="507"/>
      <c r="AT431" s="508"/>
      <c r="AU431" s="509"/>
      <c r="AV431" s="510" t="n">
        <f aca="false">A431</f>
        <v>0</v>
      </c>
      <c r="AW431" s="510" t="n">
        <f aca="false">B431</f>
        <v>0</v>
      </c>
      <c r="AX431" s="510" t="n">
        <f aca="false">C431</f>
        <v>0</v>
      </c>
      <c r="AY431" s="511" t="n">
        <f aca="false">ROUND($AY$6*AZ431/$AZ$5,2)</f>
        <v>0</v>
      </c>
      <c r="AZ431" s="502" t="n">
        <f aca="false">BA431+BL431</f>
        <v>0</v>
      </c>
      <c r="BA431" s="502" t="n">
        <f aca="false">SUM(BB431:BK431)</f>
        <v>0</v>
      </c>
      <c r="BB431" s="502" t="n">
        <f aca="false">IF($D431="是",I431-J431,0)</f>
        <v>0</v>
      </c>
      <c r="BC431" s="502" t="n">
        <f aca="false">IF($D431="是",K431-L431,0)</f>
        <v>0</v>
      </c>
      <c r="BD431" s="502" t="n">
        <f aca="false">IF($D431="是",M431-N431,0)</f>
        <v>0</v>
      </c>
      <c r="BE431" s="502" t="n">
        <f aca="false">IF($D431="是",O431-P431,0)</f>
        <v>0</v>
      </c>
      <c r="BF431" s="502" t="n">
        <f aca="false">IF($D431="是",Q431-R431,0)</f>
        <v>0</v>
      </c>
      <c r="BG431" s="502" t="n">
        <f aca="false">IF($D431="是",S431-T431,0)</f>
        <v>0</v>
      </c>
      <c r="BH431" s="502" t="n">
        <f aca="false">IF($D431="是",U431-V431,0)</f>
        <v>0</v>
      </c>
      <c r="BI431" s="502" t="n">
        <f aca="false">IF($D431="是",W431-X431,0)</f>
        <v>0</v>
      </c>
      <c r="BJ431" s="502" t="n">
        <f aca="false">IF($D431="是",Y431-Z431,0)</f>
        <v>0</v>
      </c>
      <c r="BK431" s="502" t="n">
        <f aca="false">IF($D431="是",AA431-AB431,0)</f>
        <v>0</v>
      </c>
      <c r="BL431" s="502" t="n">
        <f aca="false">SUM(BM431:BT431)</f>
        <v>0</v>
      </c>
      <c r="BM431" s="502" t="n">
        <f aca="false">IF($D431="是",AD431-AE431,0)</f>
        <v>0</v>
      </c>
      <c r="BN431" s="502" t="n">
        <f aca="false">IF($D431="是",AF431-AG431,0)</f>
        <v>0</v>
      </c>
      <c r="BO431" s="502" t="n">
        <f aca="false">IF($D431="是",AH431-AI431,0)</f>
        <v>0</v>
      </c>
      <c r="BP431" s="502" t="n">
        <f aca="false">IF($D431="是",AJ431-AK431,0)</f>
        <v>0</v>
      </c>
      <c r="BQ431" s="502" t="n">
        <f aca="false">IF($D431="是",AL431-AM431,0)</f>
        <v>0</v>
      </c>
      <c r="BR431" s="502" t="n">
        <f aca="false">IF($D431="是",AN431-AO431,0)</f>
        <v>0</v>
      </c>
      <c r="BS431" s="502" t="n">
        <f aca="false">IF($D431="是",AP431-AQ431,0)</f>
        <v>0</v>
      </c>
      <c r="BT431" s="512" t="n">
        <f aca="false">IF($D431="是",AR431-AS431,0)</f>
        <v>0</v>
      </c>
    </row>
    <row r="432" customFormat="false" ht="14.25" hidden="false" customHeight="false" outlineLevel="0" collapsed="false">
      <c r="A432" s="499"/>
      <c r="B432" s="500"/>
      <c r="C432" s="500"/>
      <c r="D432" s="501"/>
      <c r="E432" s="502" t="n">
        <f aca="false">IF($C$3="是",ROUND($A$3*G432/$B$3,2),ROUND($A$3*(G432-AT432)/$B$3,2))</f>
        <v>0</v>
      </c>
      <c r="F432" s="503"/>
      <c r="G432" s="504" t="n">
        <f aca="false">H432+AC432+AT432</f>
        <v>0</v>
      </c>
      <c r="H432" s="505" t="n">
        <f aca="false">SUMIF(I$12:AB$12,"总值",I432:AB432)</f>
        <v>0</v>
      </c>
      <c r="I432" s="506"/>
      <c r="J432" s="506"/>
      <c r="K432" s="506"/>
      <c r="L432" s="506"/>
      <c r="M432" s="506"/>
      <c r="N432" s="506"/>
      <c r="O432" s="506"/>
      <c r="P432" s="506"/>
      <c r="Q432" s="506"/>
      <c r="R432" s="506"/>
      <c r="S432" s="506"/>
      <c r="T432" s="506"/>
      <c r="U432" s="506"/>
      <c r="V432" s="506"/>
      <c r="W432" s="506"/>
      <c r="X432" s="506"/>
      <c r="Y432" s="506"/>
      <c r="Z432" s="506"/>
      <c r="AA432" s="506"/>
      <c r="AB432" s="506"/>
      <c r="AC432" s="502" t="n">
        <f aca="false">SUMIF(AD$12:AS$12,"总值",AD432:AS432)</f>
        <v>0</v>
      </c>
      <c r="AD432" s="507"/>
      <c r="AE432" s="507"/>
      <c r="AF432" s="507"/>
      <c r="AG432" s="507"/>
      <c r="AH432" s="507"/>
      <c r="AI432" s="507"/>
      <c r="AJ432" s="507"/>
      <c r="AK432" s="507"/>
      <c r="AL432" s="507"/>
      <c r="AM432" s="507"/>
      <c r="AN432" s="507"/>
      <c r="AO432" s="507"/>
      <c r="AP432" s="507"/>
      <c r="AQ432" s="507"/>
      <c r="AR432" s="507"/>
      <c r="AS432" s="507"/>
      <c r="AT432" s="508"/>
      <c r="AU432" s="509"/>
      <c r="AV432" s="510" t="n">
        <f aca="false">A432</f>
        <v>0</v>
      </c>
      <c r="AW432" s="510" t="n">
        <f aca="false">B432</f>
        <v>0</v>
      </c>
      <c r="AX432" s="510" t="n">
        <f aca="false">C432</f>
        <v>0</v>
      </c>
      <c r="AY432" s="511" t="n">
        <f aca="false">ROUND($AY$6*AZ432/$AZ$5,2)</f>
        <v>0</v>
      </c>
      <c r="AZ432" s="502" t="n">
        <f aca="false">BA432+BL432</f>
        <v>0</v>
      </c>
      <c r="BA432" s="502" t="n">
        <f aca="false">SUM(BB432:BK432)</f>
        <v>0</v>
      </c>
      <c r="BB432" s="502" t="n">
        <f aca="false">IF($D432="是",I432-J432,0)</f>
        <v>0</v>
      </c>
      <c r="BC432" s="502" t="n">
        <f aca="false">IF($D432="是",K432-L432,0)</f>
        <v>0</v>
      </c>
      <c r="BD432" s="502" t="n">
        <f aca="false">IF($D432="是",M432-N432,0)</f>
        <v>0</v>
      </c>
      <c r="BE432" s="502" t="n">
        <f aca="false">IF($D432="是",O432-P432,0)</f>
        <v>0</v>
      </c>
      <c r="BF432" s="502" t="n">
        <f aca="false">IF($D432="是",Q432-R432,0)</f>
        <v>0</v>
      </c>
      <c r="BG432" s="502" t="n">
        <f aca="false">IF($D432="是",S432-T432,0)</f>
        <v>0</v>
      </c>
      <c r="BH432" s="502" t="n">
        <f aca="false">IF($D432="是",U432-V432,0)</f>
        <v>0</v>
      </c>
      <c r="BI432" s="502" t="n">
        <f aca="false">IF($D432="是",W432-X432,0)</f>
        <v>0</v>
      </c>
      <c r="BJ432" s="502" t="n">
        <f aca="false">IF($D432="是",Y432-Z432,0)</f>
        <v>0</v>
      </c>
      <c r="BK432" s="502" t="n">
        <f aca="false">IF($D432="是",AA432-AB432,0)</f>
        <v>0</v>
      </c>
      <c r="BL432" s="502" t="n">
        <f aca="false">SUM(BM432:BT432)</f>
        <v>0</v>
      </c>
      <c r="BM432" s="502" t="n">
        <f aca="false">IF($D432="是",AD432-AE432,0)</f>
        <v>0</v>
      </c>
      <c r="BN432" s="502" t="n">
        <f aca="false">IF($D432="是",AF432-AG432,0)</f>
        <v>0</v>
      </c>
      <c r="BO432" s="502" t="n">
        <f aca="false">IF($D432="是",AH432-AI432,0)</f>
        <v>0</v>
      </c>
      <c r="BP432" s="502" t="n">
        <f aca="false">IF($D432="是",AJ432-AK432,0)</f>
        <v>0</v>
      </c>
      <c r="BQ432" s="502" t="n">
        <f aca="false">IF($D432="是",AL432-AM432,0)</f>
        <v>0</v>
      </c>
      <c r="BR432" s="502" t="n">
        <f aca="false">IF($D432="是",AN432-AO432,0)</f>
        <v>0</v>
      </c>
      <c r="BS432" s="502" t="n">
        <f aca="false">IF($D432="是",AP432-AQ432,0)</f>
        <v>0</v>
      </c>
      <c r="BT432" s="512" t="n">
        <f aca="false">IF($D432="是",AR432-AS432,0)</f>
        <v>0</v>
      </c>
    </row>
    <row r="433" customFormat="false" ht="14.25" hidden="false" customHeight="false" outlineLevel="0" collapsed="false">
      <c r="A433" s="499"/>
      <c r="B433" s="500"/>
      <c r="C433" s="500"/>
      <c r="D433" s="501"/>
      <c r="E433" s="502" t="n">
        <f aca="false">IF($C$3="是",ROUND($A$3*G433/$B$3,2),ROUND($A$3*(G433-AT433)/$B$3,2))</f>
        <v>0</v>
      </c>
      <c r="F433" s="503"/>
      <c r="G433" s="504" t="n">
        <f aca="false">H433+AC433+AT433</f>
        <v>0</v>
      </c>
      <c r="H433" s="505" t="n">
        <f aca="false">SUMIF(I$12:AB$12,"总值",I433:AB433)</f>
        <v>0</v>
      </c>
      <c r="I433" s="506"/>
      <c r="J433" s="506"/>
      <c r="K433" s="506"/>
      <c r="L433" s="506"/>
      <c r="M433" s="506"/>
      <c r="N433" s="506"/>
      <c r="O433" s="506"/>
      <c r="P433" s="506"/>
      <c r="Q433" s="506"/>
      <c r="R433" s="506"/>
      <c r="S433" s="506"/>
      <c r="T433" s="506"/>
      <c r="U433" s="506"/>
      <c r="V433" s="506"/>
      <c r="W433" s="506"/>
      <c r="X433" s="506"/>
      <c r="Y433" s="506"/>
      <c r="Z433" s="506"/>
      <c r="AA433" s="506"/>
      <c r="AB433" s="506"/>
      <c r="AC433" s="502" t="n">
        <f aca="false">SUMIF(AD$12:AS$12,"总值",AD433:AS433)</f>
        <v>0</v>
      </c>
      <c r="AD433" s="507"/>
      <c r="AE433" s="507"/>
      <c r="AF433" s="507"/>
      <c r="AG433" s="507"/>
      <c r="AH433" s="507"/>
      <c r="AI433" s="507"/>
      <c r="AJ433" s="507"/>
      <c r="AK433" s="507"/>
      <c r="AL433" s="507"/>
      <c r="AM433" s="507"/>
      <c r="AN433" s="507"/>
      <c r="AO433" s="507"/>
      <c r="AP433" s="507"/>
      <c r="AQ433" s="507"/>
      <c r="AR433" s="507"/>
      <c r="AS433" s="507"/>
      <c r="AT433" s="508"/>
      <c r="AU433" s="509"/>
      <c r="AV433" s="510" t="n">
        <f aca="false">A433</f>
        <v>0</v>
      </c>
      <c r="AW433" s="510" t="n">
        <f aca="false">B433</f>
        <v>0</v>
      </c>
      <c r="AX433" s="510" t="n">
        <f aca="false">C433</f>
        <v>0</v>
      </c>
      <c r="AY433" s="511" t="n">
        <f aca="false">ROUND($AY$6*AZ433/$AZ$5,2)</f>
        <v>0</v>
      </c>
      <c r="AZ433" s="502" t="n">
        <f aca="false">BA433+BL433</f>
        <v>0</v>
      </c>
      <c r="BA433" s="502" t="n">
        <f aca="false">SUM(BB433:BK433)</f>
        <v>0</v>
      </c>
      <c r="BB433" s="502" t="n">
        <f aca="false">IF($D433="是",I433-J433,0)</f>
        <v>0</v>
      </c>
      <c r="BC433" s="502" t="n">
        <f aca="false">IF($D433="是",K433-L433,0)</f>
        <v>0</v>
      </c>
      <c r="BD433" s="502" t="n">
        <f aca="false">IF($D433="是",M433-N433,0)</f>
        <v>0</v>
      </c>
      <c r="BE433" s="502" t="n">
        <f aca="false">IF($D433="是",O433-P433,0)</f>
        <v>0</v>
      </c>
      <c r="BF433" s="502" t="n">
        <f aca="false">IF($D433="是",Q433-R433,0)</f>
        <v>0</v>
      </c>
      <c r="BG433" s="502" t="n">
        <f aca="false">IF($D433="是",S433-T433,0)</f>
        <v>0</v>
      </c>
      <c r="BH433" s="502" t="n">
        <f aca="false">IF($D433="是",U433-V433,0)</f>
        <v>0</v>
      </c>
      <c r="BI433" s="502" t="n">
        <f aca="false">IF($D433="是",W433-X433,0)</f>
        <v>0</v>
      </c>
      <c r="BJ433" s="502" t="n">
        <f aca="false">IF($D433="是",Y433-Z433,0)</f>
        <v>0</v>
      </c>
      <c r="BK433" s="502" t="n">
        <f aca="false">IF($D433="是",AA433-AB433,0)</f>
        <v>0</v>
      </c>
      <c r="BL433" s="502" t="n">
        <f aca="false">SUM(BM433:BT433)</f>
        <v>0</v>
      </c>
      <c r="BM433" s="502" t="n">
        <f aca="false">IF($D433="是",AD433-AE433,0)</f>
        <v>0</v>
      </c>
      <c r="BN433" s="502" t="n">
        <f aca="false">IF($D433="是",AF433-AG433,0)</f>
        <v>0</v>
      </c>
      <c r="BO433" s="502" t="n">
        <f aca="false">IF($D433="是",AH433-AI433,0)</f>
        <v>0</v>
      </c>
      <c r="BP433" s="502" t="n">
        <f aca="false">IF($D433="是",AJ433-AK433,0)</f>
        <v>0</v>
      </c>
      <c r="BQ433" s="502" t="n">
        <f aca="false">IF($D433="是",AL433-AM433,0)</f>
        <v>0</v>
      </c>
      <c r="BR433" s="502" t="n">
        <f aca="false">IF($D433="是",AN433-AO433,0)</f>
        <v>0</v>
      </c>
      <c r="BS433" s="502" t="n">
        <f aca="false">IF($D433="是",AP433-AQ433,0)</f>
        <v>0</v>
      </c>
      <c r="BT433" s="512" t="n">
        <f aca="false">IF($D433="是",AR433-AS433,0)</f>
        <v>0</v>
      </c>
    </row>
    <row r="434" customFormat="false" ht="14.25" hidden="false" customHeight="false" outlineLevel="0" collapsed="false">
      <c r="A434" s="499"/>
      <c r="B434" s="500"/>
      <c r="C434" s="500"/>
      <c r="D434" s="501"/>
      <c r="E434" s="502" t="n">
        <f aca="false">IF($C$3="是",ROUND($A$3*G434/$B$3,2),ROUND($A$3*(G434-AT434)/$B$3,2))</f>
        <v>0</v>
      </c>
      <c r="F434" s="503"/>
      <c r="G434" s="504" t="n">
        <f aca="false">H434+AC434+AT434</f>
        <v>0</v>
      </c>
      <c r="H434" s="505" t="n">
        <f aca="false">SUMIF(I$12:AB$12,"总值",I434:AB434)</f>
        <v>0</v>
      </c>
      <c r="I434" s="506"/>
      <c r="J434" s="506"/>
      <c r="K434" s="506"/>
      <c r="L434" s="506"/>
      <c r="M434" s="506"/>
      <c r="N434" s="506"/>
      <c r="O434" s="506"/>
      <c r="P434" s="506"/>
      <c r="Q434" s="506"/>
      <c r="R434" s="506"/>
      <c r="S434" s="506"/>
      <c r="T434" s="506"/>
      <c r="U434" s="506"/>
      <c r="V434" s="506"/>
      <c r="W434" s="506"/>
      <c r="X434" s="506"/>
      <c r="Y434" s="506"/>
      <c r="Z434" s="506"/>
      <c r="AA434" s="506"/>
      <c r="AB434" s="506"/>
      <c r="AC434" s="502" t="n">
        <f aca="false">SUMIF(AD$12:AS$12,"总值",AD434:AS434)</f>
        <v>0</v>
      </c>
      <c r="AD434" s="507"/>
      <c r="AE434" s="507"/>
      <c r="AF434" s="507"/>
      <c r="AG434" s="507"/>
      <c r="AH434" s="507"/>
      <c r="AI434" s="507"/>
      <c r="AJ434" s="507"/>
      <c r="AK434" s="507"/>
      <c r="AL434" s="507"/>
      <c r="AM434" s="507"/>
      <c r="AN434" s="507"/>
      <c r="AO434" s="507"/>
      <c r="AP434" s="507"/>
      <c r="AQ434" s="507"/>
      <c r="AR434" s="507"/>
      <c r="AS434" s="507"/>
      <c r="AT434" s="508"/>
      <c r="AU434" s="509"/>
      <c r="AV434" s="510" t="n">
        <f aca="false">A434</f>
        <v>0</v>
      </c>
      <c r="AW434" s="510" t="n">
        <f aca="false">B434</f>
        <v>0</v>
      </c>
      <c r="AX434" s="510" t="n">
        <f aca="false">C434</f>
        <v>0</v>
      </c>
      <c r="AY434" s="511" t="n">
        <f aca="false">ROUND($AY$6*AZ434/$AZ$5,2)</f>
        <v>0</v>
      </c>
      <c r="AZ434" s="502" t="n">
        <f aca="false">BA434+BL434</f>
        <v>0</v>
      </c>
      <c r="BA434" s="502" t="n">
        <f aca="false">SUM(BB434:BK434)</f>
        <v>0</v>
      </c>
      <c r="BB434" s="502" t="n">
        <f aca="false">IF($D434="是",I434-J434,0)</f>
        <v>0</v>
      </c>
      <c r="BC434" s="502" t="n">
        <f aca="false">IF($D434="是",K434-L434,0)</f>
        <v>0</v>
      </c>
      <c r="BD434" s="502" t="n">
        <f aca="false">IF($D434="是",M434-N434,0)</f>
        <v>0</v>
      </c>
      <c r="BE434" s="502" t="n">
        <f aca="false">IF($D434="是",O434-P434,0)</f>
        <v>0</v>
      </c>
      <c r="BF434" s="502" t="n">
        <f aca="false">IF($D434="是",Q434-R434,0)</f>
        <v>0</v>
      </c>
      <c r="BG434" s="502" t="n">
        <f aca="false">IF($D434="是",S434-T434,0)</f>
        <v>0</v>
      </c>
      <c r="BH434" s="502" t="n">
        <f aca="false">IF($D434="是",U434-V434,0)</f>
        <v>0</v>
      </c>
      <c r="BI434" s="502" t="n">
        <f aca="false">IF($D434="是",W434-X434,0)</f>
        <v>0</v>
      </c>
      <c r="BJ434" s="502" t="n">
        <f aca="false">IF($D434="是",Y434-Z434,0)</f>
        <v>0</v>
      </c>
      <c r="BK434" s="502" t="n">
        <f aca="false">IF($D434="是",AA434-AB434,0)</f>
        <v>0</v>
      </c>
      <c r="BL434" s="502" t="n">
        <f aca="false">SUM(BM434:BT434)</f>
        <v>0</v>
      </c>
      <c r="BM434" s="502" t="n">
        <f aca="false">IF($D434="是",AD434-AE434,0)</f>
        <v>0</v>
      </c>
      <c r="BN434" s="502" t="n">
        <f aca="false">IF($D434="是",AF434-AG434,0)</f>
        <v>0</v>
      </c>
      <c r="BO434" s="502" t="n">
        <f aca="false">IF($D434="是",AH434-AI434,0)</f>
        <v>0</v>
      </c>
      <c r="BP434" s="502" t="n">
        <f aca="false">IF($D434="是",AJ434-AK434,0)</f>
        <v>0</v>
      </c>
      <c r="BQ434" s="502" t="n">
        <f aca="false">IF($D434="是",AL434-AM434,0)</f>
        <v>0</v>
      </c>
      <c r="BR434" s="502" t="n">
        <f aca="false">IF($D434="是",AN434-AO434,0)</f>
        <v>0</v>
      </c>
      <c r="BS434" s="502" t="n">
        <f aca="false">IF($D434="是",AP434-AQ434,0)</f>
        <v>0</v>
      </c>
      <c r="BT434" s="512" t="n">
        <f aca="false">IF($D434="是",AR434-AS434,0)</f>
        <v>0</v>
      </c>
    </row>
    <row r="435" customFormat="false" ht="14.25" hidden="false" customHeight="false" outlineLevel="0" collapsed="false">
      <c r="A435" s="499"/>
      <c r="B435" s="500"/>
      <c r="C435" s="500"/>
      <c r="D435" s="501"/>
      <c r="E435" s="502" t="n">
        <f aca="false">IF($C$3="是",ROUND($A$3*G435/$B$3,2),ROUND($A$3*(G435-AT435)/$B$3,2))</f>
        <v>0</v>
      </c>
      <c r="F435" s="503"/>
      <c r="G435" s="504" t="n">
        <f aca="false">H435+AC435+AT435</f>
        <v>0</v>
      </c>
      <c r="H435" s="505" t="n">
        <f aca="false">SUMIF(I$12:AB$12,"总值",I435:AB435)</f>
        <v>0</v>
      </c>
      <c r="I435" s="506"/>
      <c r="J435" s="506"/>
      <c r="K435" s="506"/>
      <c r="L435" s="506"/>
      <c r="M435" s="506"/>
      <c r="N435" s="506"/>
      <c r="O435" s="506"/>
      <c r="P435" s="506"/>
      <c r="Q435" s="506"/>
      <c r="R435" s="506"/>
      <c r="S435" s="506"/>
      <c r="T435" s="506"/>
      <c r="U435" s="506"/>
      <c r="V435" s="506"/>
      <c r="W435" s="506"/>
      <c r="X435" s="506"/>
      <c r="Y435" s="506"/>
      <c r="Z435" s="506"/>
      <c r="AA435" s="506"/>
      <c r="AB435" s="506"/>
      <c r="AC435" s="502" t="n">
        <f aca="false">SUMIF(AD$12:AS$12,"总值",AD435:AS435)</f>
        <v>0</v>
      </c>
      <c r="AD435" s="507"/>
      <c r="AE435" s="507"/>
      <c r="AF435" s="507"/>
      <c r="AG435" s="507"/>
      <c r="AH435" s="507"/>
      <c r="AI435" s="507"/>
      <c r="AJ435" s="507"/>
      <c r="AK435" s="507"/>
      <c r="AL435" s="507"/>
      <c r="AM435" s="507"/>
      <c r="AN435" s="507"/>
      <c r="AO435" s="507"/>
      <c r="AP435" s="507"/>
      <c r="AQ435" s="507"/>
      <c r="AR435" s="507"/>
      <c r="AS435" s="507"/>
      <c r="AT435" s="508"/>
      <c r="AU435" s="509"/>
      <c r="AV435" s="510" t="n">
        <f aca="false">A435</f>
        <v>0</v>
      </c>
      <c r="AW435" s="510" t="n">
        <f aca="false">B435</f>
        <v>0</v>
      </c>
      <c r="AX435" s="510" t="n">
        <f aca="false">C435</f>
        <v>0</v>
      </c>
      <c r="AY435" s="511" t="n">
        <f aca="false">ROUND($AY$6*AZ435/$AZ$5,2)</f>
        <v>0</v>
      </c>
      <c r="AZ435" s="502" t="n">
        <f aca="false">BA435+BL435</f>
        <v>0</v>
      </c>
      <c r="BA435" s="502" t="n">
        <f aca="false">SUM(BB435:BK435)</f>
        <v>0</v>
      </c>
      <c r="BB435" s="502" t="n">
        <f aca="false">IF($D435="是",I435-J435,0)</f>
        <v>0</v>
      </c>
      <c r="BC435" s="502" t="n">
        <f aca="false">IF($D435="是",K435-L435,0)</f>
        <v>0</v>
      </c>
      <c r="BD435" s="502" t="n">
        <f aca="false">IF($D435="是",M435-N435,0)</f>
        <v>0</v>
      </c>
      <c r="BE435" s="502" t="n">
        <f aca="false">IF($D435="是",O435-P435,0)</f>
        <v>0</v>
      </c>
      <c r="BF435" s="502" t="n">
        <f aca="false">IF($D435="是",Q435-R435,0)</f>
        <v>0</v>
      </c>
      <c r="BG435" s="502" t="n">
        <f aca="false">IF($D435="是",S435-T435,0)</f>
        <v>0</v>
      </c>
      <c r="BH435" s="502" t="n">
        <f aca="false">IF($D435="是",U435-V435,0)</f>
        <v>0</v>
      </c>
      <c r="BI435" s="502" t="n">
        <f aca="false">IF($D435="是",W435-X435,0)</f>
        <v>0</v>
      </c>
      <c r="BJ435" s="502" t="n">
        <f aca="false">IF($D435="是",Y435-Z435,0)</f>
        <v>0</v>
      </c>
      <c r="BK435" s="502" t="n">
        <f aca="false">IF($D435="是",AA435-AB435,0)</f>
        <v>0</v>
      </c>
      <c r="BL435" s="502" t="n">
        <f aca="false">SUM(BM435:BT435)</f>
        <v>0</v>
      </c>
      <c r="BM435" s="502" t="n">
        <f aca="false">IF($D435="是",AD435-AE435,0)</f>
        <v>0</v>
      </c>
      <c r="BN435" s="502" t="n">
        <f aca="false">IF($D435="是",AF435-AG435,0)</f>
        <v>0</v>
      </c>
      <c r="BO435" s="502" t="n">
        <f aca="false">IF($D435="是",AH435-AI435,0)</f>
        <v>0</v>
      </c>
      <c r="BP435" s="502" t="n">
        <f aca="false">IF($D435="是",AJ435-AK435,0)</f>
        <v>0</v>
      </c>
      <c r="BQ435" s="502" t="n">
        <f aca="false">IF($D435="是",AL435-AM435,0)</f>
        <v>0</v>
      </c>
      <c r="BR435" s="502" t="n">
        <f aca="false">IF($D435="是",AN435-AO435,0)</f>
        <v>0</v>
      </c>
      <c r="BS435" s="502" t="n">
        <f aca="false">IF($D435="是",AP435-AQ435,0)</f>
        <v>0</v>
      </c>
      <c r="BT435" s="512" t="n">
        <f aca="false">IF($D435="是",AR435-AS435,0)</f>
        <v>0</v>
      </c>
    </row>
    <row r="436" customFormat="false" ht="14.25" hidden="false" customHeight="false" outlineLevel="0" collapsed="false">
      <c r="A436" s="499"/>
      <c r="B436" s="500"/>
      <c r="C436" s="500"/>
      <c r="D436" s="501"/>
      <c r="E436" s="502" t="n">
        <f aca="false">IF($C$3="是",ROUND($A$3*G436/$B$3,2),ROUND($A$3*(G436-AT436)/$B$3,2))</f>
        <v>0</v>
      </c>
      <c r="F436" s="503"/>
      <c r="G436" s="504" t="n">
        <f aca="false">H436+AC436+AT436</f>
        <v>0</v>
      </c>
      <c r="H436" s="505" t="n">
        <f aca="false">SUMIF(I$12:AB$12,"总值",I436:AB436)</f>
        <v>0</v>
      </c>
      <c r="I436" s="506"/>
      <c r="J436" s="506"/>
      <c r="K436" s="506"/>
      <c r="L436" s="506"/>
      <c r="M436" s="506"/>
      <c r="N436" s="506"/>
      <c r="O436" s="506"/>
      <c r="P436" s="506"/>
      <c r="Q436" s="506"/>
      <c r="R436" s="506"/>
      <c r="S436" s="506"/>
      <c r="T436" s="506"/>
      <c r="U436" s="506"/>
      <c r="V436" s="506"/>
      <c r="W436" s="506"/>
      <c r="X436" s="506"/>
      <c r="Y436" s="506"/>
      <c r="Z436" s="506"/>
      <c r="AA436" s="506"/>
      <c r="AB436" s="506"/>
      <c r="AC436" s="502" t="n">
        <f aca="false">SUMIF(AD$12:AS$12,"总值",AD436:AS436)</f>
        <v>0</v>
      </c>
      <c r="AD436" s="507"/>
      <c r="AE436" s="507"/>
      <c r="AF436" s="507"/>
      <c r="AG436" s="507"/>
      <c r="AH436" s="507"/>
      <c r="AI436" s="507"/>
      <c r="AJ436" s="507"/>
      <c r="AK436" s="507"/>
      <c r="AL436" s="507"/>
      <c r="AM436" s="507"/>
      <c r="AN436" s="507"/>
      <c r="AO436" s="507"/>
      <c r="AP436" s="507"/>
      <c r="AQ436" s="507"/>
      <c r="AR436" s="507"/>
      <c r="AS436" s="507"/>
      <c r="AT436" s="508"/>
      <c r="AU436" s="509"/>
      <c r="AV436" s="510" t="n">
        <f aca="false">A436</f>
        <v>0</v>
      </c>
      <c r="AW436" s="510" t="n">
        <f aca="false">B436</f>
        <v>0</v>
      </c>
      <c r="AX436" s="510" t="n">
        <f aca="false">C436</f>
        <v>0</v>
      </c>
      <c r="AY436" s="511" t="n">
        <f aca="false">ROUND($AY$6*AZ436/$AZ$5,2)</f>
        <v>0</v>
      </c>
      <c r="AZ436" s="502" t="n">
        <f aca="false">BA436+BL436</f>
        <v>0</v>
      </c>
      <c r="BA436" s="502" t="n">
        <f aca="false">SUM(BB436:BK436)</f>
        <v>0</v>
      </c>
      <c r="BB436" s="502" t="n">
        <f aca="false">IF($D436="是",I436-J436,0)</f>
        <v>0</v>
      </c>
      <c r="BC436" s="502" t="n">
        <f aca="false">IF($D436="是",K436-L436,0)</f>
        <v>0</v>
      </c>
      <c r="BD436" s="502" t="n">
        <f aca="false">IF($D436="是",M436-N436,0)</f>
        <v>0</v>
      </c>
      <c r="BE436" s="502" t="n">
        <f aca="false">IF($D436="是",O436-P436,0)</f>
        <v>0</v>
      </c>
      <c r="BF436" s="502" t="n">
        <f aca="false">IF($D436="是",Q436-R436,0)</f>
        <v>0</v>
      </c>
      <c r="BG436" s="502" t="n">
        <f aca="false">IF($D436="是",S436-T436,0)</f>
        <v>0</v>
      </c>
      <c r="BH436" s="502" t="n">
        <f aca="false">IF($D436="是",U436-V436,0)</f>
        <v>0</v>
      </c>
      <c r="BI436" s="502" t="n">
        <f aca="false">IF($D436="是",W436-X436,0)</f>
        <v>0</v>
      </c>
      <c r="BJ436" s="502" t="n">
        <f aca="false">IF($D436="是",Y436-Z436,0)</f>
        <v>0</v>
      </c>
      <c r="BK436" s="502" t="n">
        <f aca="false">IF($D436="是",AA436-AB436,0)</f>
        <v>0</v>
      </c>
      <c r="BL436" s="502" t="n">
        <f aca="false">SUM(BM436:BT436)</f>
        <v>0</v>
      </c>
      <c r="BM436" s="502" t="n">
        <f aca="false">IF($D436="是",AD436-AE436,0)</f>
        <v>0</v>
      </c>
      <c r="BN436" s="502" t="n">
        <f aca="false">IF($D436="是",AF436-AG436,0)</f>
        <v>0</v>
      </c>
      <c r="BO436" s="502" t="n">
        <f aca="false">IF($D436="是",AH436-AI436,0)</f>
        <v>0</v>
      </c>
      <c r="BP436" s="502" t="n">
        <f aca="false">IF($D436="是",AJ436-AK436,0)</f>
        <v>0</v>
      </c>
      <c r="BQ436" s="502" t="n">
        <f aca="false">IF($D436="是",AL436-AM436,0)</f>
        <v>0</v>
      </c>
      <c r="BR436" s="502" t="n">
        <f aca="false">IF($D436="是",AN436-AO436,0)</f>
        <v>0</v>
      </c>
      <c r="BS436" s="502" t="n">
        <f aca="false">IF($D436="是",AP436-AQ436,0)</f>
        <v>0</v>
      </c>
      <c r="BT436" s="512" t="n">
        <f aca="false">IF($D436="是",AR436-AS436,0)</f>
        <v>0</v>
      </c>
    </row>
    <row r="437" customFormat="false" ht="14.25" hidden="false" customHeight="false" outlineLevel="0" collapsed="false">
      <c r="A437" s="499"/>
      <c r="B437" s="500"/>
      <c r="C437" s="500"/>
      <c r="D437" s="501"/>
      <c r="E437" s="502" t="n">
        <f aca="false">IF($C$3="是",ROUND($A$3*G437/$B$3,2),ROUND($A$3*(G437-AT437)/$B$3,2))</f>
        <v>0</v>
      </c>
      <c r="F437" s="503"/>
      <c r="G437" s="504" t="n">
        <f aca="false">H437+AC437+AT437</f>
        <v>0</v>
      </c>
      <c r="H437" s="505" t="n">
        <f aca="false">SUMIF(I$12:AB$12,"总值",I437:AB437)</f>
        <v>0</v>
      </c>
      <c r="I437" s="506"/>
      <c r="J437" s="506"/>
      <c r="K437" s="506"/>
      <c r="L437" s="506"/>
      <c r="M437" s="506"/>
      <c r="N437" s="506"/>
      <c r="O437" s="506"/>
      <c r="P437" s="506"/>
      <c r="Q437" s="506"/>
      <c r="R437" s="506"/>
      <c r="S437" s="506"/>
      <c r="T437" s="506"/>
      <c r="U437" s="506"/>
      <c r="V437" s="506"/>
      <c r="W437" s="506"/>
      <c r="X437" s="506"/>
      <c r="Y437" s="506"/>
      <c r="Z437" s="506"/>
      <c r="AA437" s="506"/>
      <c r="AB437" s="506"/>
      <c r="AC437" s="502" t="n">
        <f aca="false">SUMIF(AD$12:AS$12,"总值",AD437:AS437)</f>
        <v>0</v>
      </c>
      <c r="AD437" s="507"/>
      <c r="AE437" s="507"/>
      <c r="AF437" s="507"/>
      <c r="AG437" s="507"/>
      <c r="AH437" s="507"/>
      <c r="AI437" s="507"/>
      <c r="AJ437" s="507"/>
      <c r="AK437" s="507"/>
      <c r="AL437" s="507"/>
      <c r="AM437" s="507"/>
      <c r="AN437" s="507"/>
      <c r="AO437" s="507"/>
      <c r="AP437" s="507"/>
      <c r="AQ437" s="507"/>
      <c r="AR437" s="507"/>
      <c r="AS437" s="507"/>
      <c r="AT437" s="508"/>
      <c r="AU437" s="509"/>
      <c r="AV437" s="510" t="n">
        <f aca="false">A437</f>
        <v>0</v>
      </c>
      <c r="AW437" s="510" t="n">
        <f aca="false">B437</f>
        <v>0</v>
      </c>
      <c r="AX437" s="510" t="n">
        <f aca="false">C437</f>
        <v>0</v>
      </c>
      <c r="AY437" s="511" t="n">
        <f aca="false">ROUND($AY$6*AZ437/$AZ$5,2)</f>
        <v>0</v>
      </c>
      <c r="AZ437" s="502" t="n">
        <f aca="false">BA437+BL437</f>
        <v>0</v>
      </c>
      <c r="BA437" s="502" t="n">
        <f aca="false">SUM(BB437:BK437)</f>
        <v>0</v>
      </c>
      <c r="BB437" s="502" t="n">
        <f aca="false">IF($D437="是",I437-J437,0)</f>
        <v>0</v>
      </c>
      <c r="BC437" s="502" t="n">
        <f aca="false">IF($D437="是",K437-L437,0)</f>
        <v>0</v>
      </c>
      <c r="BD437" s="502" t="n">
        <f aca="false">IF($D437="是",M437-N437,0)</f>
        <v>0</v>
      </c>
      <c r="BE437" s="502" t="n">
        <f aca="false">IF($D437="是",O437-P437,0)</f>
        <v>0</v>
      </c>
      <c r="BF437" s="502" t="n">
        <f aca="false">IF($D437="是",Q437-R437,0)</f>
        <v>0</v>
      </c>
      <c r="BG437" s="502" t="n">
        <f aca="false">IF($D437="是",S437-T437,0)</f>
        <v>0</v>
      </c>
      <c r="BH437" s="502" t="n">
        <f aca="false">IF($D437="是",U437-V437,0)</f>
        <v>0</v>
      </c>
      <c r="BI437" s="502" t="n">
        <f aca="false">IF($D437="是",W437-X437,0)</f>
        <v>0</v>
      </c>
      <c r="BJ437" s="502" t="n">
        <f aca="false">IF($D437="是",Y437-Z437,0)</f>
        <v>0</v>
      </c>
      <c r="BK437" s="502" t="n">
        <f aca="false">IF($D437="是",AA437-AB437,0)</f>
        <v>0</v>
      </c>
      <c r="BL437" s="502" t="n">
        <f aca="false">SUM(BM437:BT437)</f>
        <v>0</v>
      </c>
      <c r="BM437" s="502" t="n">
        <f aca="false">IF($D437="是",AD437-AE437,0)</f>
        <v>0</v>
      </c>
      <c r="BN437" s="502" t="n">
        <f aca="false">IF($D437="是",AF437-AG437,0)</f>
        <v>0</v>
      </c>
      <c r="BO437" s="502" t="n">
        <f aca="false">IF($D437="是",AH437-AI437,0)</f>
        <v>0</v>
      </c>
      <c r="BP437" s="502" t="n">
        <f aca="false">IF($D437="是",AJ437-AK437,0)</f>
        <v>0</v>
      </c>
      <c r="BQ437" s="502" t="n">
        <f aca="false">IF($D437="是",AL437-AM437,0)</f>
        <v>0</v>
      </c>
      <c r="BR437" s="502" t="n">
        <f aca="false">IF($D437="是",AN437-AO437,0)</f>
        <v>0</v>
      </c>
      <c r="BS437" s="502" t="n">
        <f aca="false">IF($D437="是",AP437-AQ437,0)</f>
        <v>0</v>
      </c>
      <c r="BT437" s="512" t="n">
        <f aca="false">IF($D437="是",AR437-AS437,0)</f>
        <v>0</v>
      </c>
    </row>
    <row r="438" customFormat="false" ht="14.25" hidden="false" customHeight="false" outlineLevel="0" collapsed="false">
      <c r="A438" s="499"/>
      <c r="B438" s="500"/>
      <c r="C438" s="500"/>
      <c r="D438" s="501"/>
      <c r="E438" s="502" t="n">
        <f aca="false">IF($C$3="是",ROUND($A$3*G438/$B$3,2),ROUND($A$3*(G438-AT438)/$B$3,2))</f>
        <v>0</v>
      </c>
      <c r="F438" s="503"/>
      <c r="G438" s="504" t="n">
        <f aca="false">H438+AC438+AT438</f>
        <v>0</v>
      </c>
      <c r="H438" s="505" t="n">
        <f aca="false">SUMIF(I$12:AB$12,"总值",I438:AB438)</f>
        <v>0</v>
      </c>
      <c r="I438" s="506"/>
      <c r="J438" s="506"/>
      <c r="K438" s="506"/>
      <c r="L438" s="506"/>
      <c r="M438" s="506"/>
      <c r="N438" s="506"/>
      <c r="O438" s="506"/>
      <c r="P438" s="506"/>
      <c r="Q438" s="506"/>
      <c r="R438" s="506"/>
      <c r="S438" s="506"/>
      <c r="T438" s="506"/>
      <c r="U438" s="506"/>
      <c r="V438" s="506"/>
      <c r="W438" s="506"/>
      <c r="X438" s="506"/>
      <c r="Y438" s="506"/>
      <c r="Z438" s="506"/>
      <c r="AA438" s="506"/>
      <c r="AB438" s="506"/>
      <c r="AC438" s="502" t="n">
        <f aca="false">SUMIF(AD$12:AS$12,"总值",AD438:AS438)</f>
        <v>0</v>
      </c>
      <c r="AD438" s="507"/>
      <c r="AE438" s="507"/>
      <c r="AF438" s="507"/>
      <c r="AG438" s="507"/>
      <c r="AH438" s="507"/>
      <c r="AI438" s="507"/>
      <c r="AJ438" s="507"/>
      <c r="AK438" s="507"/>
      <c r="AL438" s="507"/>
      <c r="AM438" s="507"/>
      <c r="AN438" s="507"/>
      <c r="AO438" s="507"/>
      <c r="AP438" s="507"/>
      <c r="AQ438" s="507"/>
      <c r="AR438" s="507"/>
      <c r="AS438" s="507"/>
      <c r="AT438" s="508"/>
      <c r="AU438" s="509"/>
      <c r="AV438" s="510" t="n">
        <f aca="false">A438</f>
        <v>0</v>
      </c>
      <c r="AW438" s="510" t="n">
        <f aca="false">B438</f>
        <v>0</v>
      </c>
      <c r="AX438" s="510" t="n">
        <f aca="false">C438</f>
        <v>0</v>
      </c>
      <c r="AY438" s="511" t="n">
        <f aca="false">ROUND($AY$6*AZ438/$AZ$5,2)</f>
        <v>0</v>
      </c>
      <c r="AZ438" s="502" t="n">
        <f aca="false">BA438+BL438</f>
        <v>0</v>
      </c>
      <c r="BA438" s="502" t="n">
        <f aca="false">SUM(BB438:BK438)</f>
        <v>0</v>
      </c>
      <c r="BB438" s="502" t="n">
        <f aca="false">IF($D438="是",I438-J438,0)</f>
        <v>0</v>
      </c>
      <c r="BC438" s="502" t="n">
        <f aca="false">IF($D438="是",K438-L438,0)</f>
        <v>0</v>
      </c>
      <c r="BD438" s="502" t="n">
        <f aca="false">IF($D438="是",M438-N438,0)</f>
        <v>0</v>
      </c>
      <c r="BE438" s="502" t="n">
        <f aca="false">IF($D438="是",O438-P438,0)</f>
        <v>0</v>
      </c>
      <c r="BF438" s="502" t="n">
        <f aca="false">IF($D438="是",Q438-R438,0)</f>
        <v>0</v>
      </c>
      <c r="BG438" s="502" t="n">
        <f aca="false">IF($D438="是",S438-T438,0)</f>
        <v>0</v>
      </c>
      <c r="BH438" s="502" t="n">
        <f aca="false">IF($D438="是",U438-V438,0)</f>
        <v>0</v>
      </c>
      <c r="BI438" s="502" t="n">
        <f aca="false">IF($D438="是",W438-X438,0)</f>
        <v>0</v>
      </c>
      <c r="BJ438" s="502" t="n">
        <f aca="false">IF($D438="是",Y438-Z438,0)</f>
        <v>0</v>
      </c>
      <c r="BK438" s="502" t="n">
        <f aca="false">IF($D438="是",AA438-AB438,0)</f>
        <v>0</v>
      </c>
      <c r="BL438" s="502" t="n">
        <f aca="false">SUM(BM438:BT438)</f>
        <v>0</v>
      </c>
      <c r="BM438" s="502" t="n">
        <f aca="false">IF($D438="是",AD438-AE438,0)</f>
        <v>0</v>
      </c>
      <c r="BN438" s="502" t="n">
        <f aca="false">IF($D438="是",AF438-AG438,0)</f>
        <v>0</v>
      </c>
      <c r="BO438" s="502" t="n">
        <f aca="false">IF($D438="是",AH438-AI438,0)</f>
        <v>0</v>
      </c>
      <c r="BP438" s="502" t="n">
        <f aca="false">IF($D438="是",AJ438-AK438,0)</f>
        <v>0</v>
      </c>
      <c r="BQ438" s="502" t="n">
        <f aca="false">IF($D438="是",AL438-AM438,0)</f>
        <v>0</v>
      </c>
      <c r="BR438" s="502" t="n">
        <f aca="false">IF($D438="是",AN438-AO438,0)</f>
        <v>0</v>
      </c>
      <c r="BS438" s="502" t="n">
        <f aca="false">IF($D438="是",AP438-AQ438,0)</f>
        <v>0</v>
      </c>
      <c r="BT438" s="512" t="n">
        <f aca="false">IF($D438="是",AR438-AS438,0)</f>
        <v>0</v>
      </c>
    </row>
    <row r="439" customFormat="false" ht="14.25" hidden="false" customHeight="false" outlineLevel="0" collapsed="false">
      <c r="A439" s="499"/>
      <c r="B439" s="500"/>
      <c r="C439" s="500"/>
      <c r="D439" s="501"/>
      <c r="E439" s="502" t="n">
        <f aca="false">IF($C$3="是",ROUND($A$3*G439/$B$3,2),ROUND($A$3*(G439-AT439)/$B$3,2))</f>
        <v>0</v>
      </c>
      <c r="F439" s="503"/>
      <c r="G439" s="504" t="n">
        <f aca="false">H439+AC439+AT439</f>
        <v>0</v>
      </c>
      <c r="H439" s="505" t="n">
        <f aca="false">SUMIF(I$12:AB$12,"总值",I439:AB439)</f>
        <v>0</v>
      </c>
      <c r="I439" s="506"/>
      <c r="J439" s="506"/>
      <c r="K439" s="506"/>
      <c r="L439" s="506"/>
      <c r="M439" s="506"/>
      <c r="N439" s="506"/>
      <c r="O439" s="506"/>
      <c r="P439" s="506"/>
      <c r="Q439" s="506"/>
      <c r="R439" s="506"/>
      <c r="S439" s="506"/>
      <c r="T439" s="506"/>
      <c r="U439" s="506"/>
      <c r="V439" s="506"/>
      <c r="W439" s="506"/>
      <c r="X439" s="506"/>
      <c r="Y439" s="506"/>
      <c r="Z439" s="506"/>
      <c r="AA439" s="506"/>
      <c r="AB439" s="506"/>
      <c r="AC439" s="502" t="n">
        <f aca="false">SUMIF(AD$12:AS$12,"总值",AD439:AS439)</f>
        <v>0</v>
      </c>
      <c r="AD439" s="507"/>
      <c r="AE439" s="507"/>
      <c r="AF439" s="507"/>
      <c r="AG439" s="507"/>
      <c r="AH439" s="507"/>
      <c r="AI439" s="507"/>
      <c r="AJ439" s="507"/>
      <c r="AK439" s="507"/>
      <c r="AL439" s="507"/>
      <c r="AM439" s="507"/>
      <c r="AN439" s="507"/>
      <c r="AO439" s="507"/>
      <c r="AP439" s="507"/>
      <c r="AQ439" s="507"/>
      <c r="AR439" s="507"/>
      <c r="AS439" s="507"/>
      <c r="AT439" s="508"/>
      <c r="AU439" s="509"/>
      <c r="AV439" s="510" t="n">
        <f aca="false">A439</f>
        <v>0</v>
      </c>
      <c r="AW439" s="510" t="n">
        <f aca="false">B439</f>
        <v>0</v>
      </c>
      <c r="AX439" s="510" t="n">
        <f aca="false">C439</f>
        <v>0</v>
      </c>
      <c r="AY439" s="511" t="n">
        <f aca="false">ROUND($AY$6*AZ439/$AZ$5,2)</f>
        <v>0</v>
      </c>
      <c r="AZ439" s="502" t="n">
        <f aca="false">BA439+BL439</f>
        <v>0</v>
      </c>
      <c r="BA439" s="502" t="n">
        <f aca="false">SUM(BB439:BK439)</f>
        <v>0</v>
      </c>
      <c r="BB439" s="502" t="n">
        <f aca="false">IF($D439="是",I439-J439,0)</f>
        <v>0</v>
      </c>
      <c r="BC439" s="502" t="n">
        <f aca="false">IF($D439="是",K439-L439,0)</f>
        <v>0</v>
      </c>
      <c r="BD439" s="502" t="n">
        <f aca="false">IF($D439="是",M439-N439,0)</f>
        <v>0</v>
      </c>
      <c r="BE439" s="502" t="n">
        <f aca="false">IF($D439="是",O439-P439,0)</f>
        <v>0</v>
      </c>
      <c r="BF439" s="502" t="n">
        <f aca="false">IF($D439="是",Q439-R439,0)</f>
        <v>0</v>
      </c>
      <c r="BG439" s="502" t="n">
        <f aca="false">IF($D439="是",S439-T439,0)</f>
        <v>0</v>
      </c>
      <c r="BH439" s="502" t="n">
        <f aca="false">IF($D439="是",U439-V439,0)</f>
        <v>0</v>
      </c>
      <c r="BI439" s="502" t="n">
        <f aca="false">IF($D439="是",W439-X439,0)</f>
        <v>0</v>
      </c>
      <c r="BJ439" s="502" t="n">
        <f aca="false">IF($D439="是",Y439-Z439,0)</f>
        <v>0</v>
      </c>
      <c r="BK439" s="502" t="n">
        <f aca="false">IF($D439="是",AA439-AB439,0)</f>
        <v>0</v>
      </c>
      <c r="BL439" s="502" t="n">
        <f aca="false">SUM(BM439:BT439)</f>
        <v>0</v>
      </c>
      <c r="BM439" s="502" t="n">
        <f aca="false">IF($D439="是",AD439-AE439,0)</f>
        <v>0</v>
      </c>
      <c r="BN439" s="502" t="n">
        <f aca="false">IF($D439="是",AF439-AG439,0)</f>
        <v>0</v>
      </c>
      <c r="BO439" s="502" t="n">
        <f aca="false">IF($D439="是",AH439-AI439,0)</f>
        <v>0</v>
      </c>
      <c r="BP439" s="502" t="n">
        <f aca="false">IF($D439="是",AJ439-AK439,0)</f>
        <v>0</v>
      </c>
      <c r="BQ439" s="502" t="n">
        <f aca="false">IF($D439="是",AL439-AM439,0)</f>
        <v>0</v>
      </c>
      <c r="BR439" s="502" t="n">
        <f aca="false">IF($D439="是",AN439-AO439,0)</f>
        <v>0</v>
      </c>
      <c r="BS439" s="502" t="n">
        <f aca="false">IF($D439="是",AP439-AQ439,0)</f>
        <v>0</v>
      </c>
      <c r="BT439" s="512" t="n">
        <f aca="false">IF($D439="是",AR439-AS439,0)</f>
        <v>0</v>
      </c>
    </row>
    <row r="440" customFormat="false" ht="14.25" hidden="false" customHeight="false" outlineLevel="0" collapsed="false">
      <c r="A440" s="499"/>
      <c r="B440" s="500"/>
      <c r="C440" s="500"/>
      <c r="D440" s="501"/>
      <c r="E440" s="502" t="n">
        <f aca="false">IF($C$3="是",ROUND($A$3*G440/$B$3,2),ROUND($A$3*(G440-AT440)/$B$3,2))</f>
        <v>0</v>
      </c>
      <c r="F440" s="503"/>
      <c r="G440" s="504" t="n">
        <f aca="false">H440+AC440+AT440</f>
        <v>0</v>
      </c>
      <c r="H440" s="505" t="n">
        <f aca="false">SUMIF(I$12:AB$12,"总值",I440:AB440)</f>
        <v>0</v>
      </c>
      <c r="I440" s="506"/>
      <c r="J440" s="506"/>
      <c r="K440" s="506"/>
      <c r="L440" s="506"/>
      <c r="M440" s="506"/>
      <c r="N440" s="506"/>
      <c r="O440" s="506"/>
      <c r="P440" s="506"/>
      <c r="Q440" s="506"/>
      <c r="R440" s="506"/>
      <c r="S440" s="506"/>
      <c r="T440" s="506"/>
      <c r="U440" s="506"/>
      <c r="V440" s="506"/>
      <c r="W440" s="506"/>
      <c r="X440" s="506"/>
      <c r="Y440" s="506"/>
      <c r="Z440" s="506"/>
      <c r="AA440" s="506"/>
      <c r="AB440" s="506"/>
      <c r="AC440" s="502" t="n">
        <f aca="false">SUMIF(AD$12:AS$12,"总值",AD440:AS440)</f>
        <v>0</v>
      </c>
      <c r="AD440" s="507"/>
      <c r="AE440" s="507"/>
      <c r="AF440" s="507"/>
      <c r="AG440" s="507"/>
      <c r="AH440" s="507"/>
      <c r="AI440" s="507"/>
      <c r="AJ440" s="507"/>
      <c r="AK440" s="507"/>
      <c r="AL440" s="507"/>
      <c r="AM440" s="507"/>
      <c r="AN440" s="507"/>
      <c r="AO440" s="507"/>
      <c r="AP440" s="507"/>
      <c r="AQ440" s="507"/>
      <c r="AR440" s="507"/>
      <c r="AS440" s="507"/>
      <c r="AT440" s="508"/>
      <c r="AU440" s="509"/>
      <c r="AV440" s="510" t="n">
        <f aca="false">A440</f>
        <v>0</v>
      </c>
      <c r="AW440" s="510" t="n">
        <f aca="false">B440</f>
        <v>0</v>
      </c>
      <c r="AX440" s="510" t="n">
        <f aca="false">C440</f>
        <v>0</v>
      </c>
      <c r="AY440" s="511" t="n">
        <f aca="false">ROUND($AY$6*AZ440/$AZ$5,2)</f>
        <v>0</v>
      </c>
      <c r="AZ440" s="502" t="n">
        <f aca="false">BA440+BL440</f>
        <v>0</v>
      </c>
      <c r="BA440" s="502" t="n">
        <f aca="false">SUM(BB440:BK440)</f>
        <v>0</v>
      </c>
      <c r="BB440" s="502" t="n">
        <f aca="false">IF($D440="是",I440-J440,0)</f>
        <v>0</v>
      </c>
      <c r="BC440" s="502" t="n">
        <f aca="false">IF($D440="是",K440-L440,0)</f>
        <v>0</v>
      </c>
      <c r="BD440" s="502" t="n">
        <f aca="false">IF($D440="是",M440-N440,0)</f>
        <v>0</v>
      </c>
      <c r="BE440" s="502" t="n">
        <f aca="false">IF($D440="是",O440-P440,0)</f>
        <v>0</v>
      </c>
      <c r="BF440" s="502" t="n">
        <f aca="false">IF($D440="是",Q440-R440,0)</f>
        <v>0</v>
      </c>
      <c r="BG440" s="502" t="n">
        <f aca="false">IF($D440="是",S440-T440,0)</f>
        <v>0</v>
      </c>
      <c r="BH440" s="502" t="n">
        <f aca="false">IF($D440="是",U440-V440,0)</f>
        <v>0</v>
      </c>
      <c r="BI440" s="502" t="n">
        <f aca="false">IF($D440="是",W440-X440,0)</f>
        <v>0</v>
      </c>
      <c r="BJ440" s="502" t="n">
        <f aca="false">IF($D440="是",Y440-Z440,0)</f>
        <v>0</v>
      </c>
      <c r="BK440" s="502" t="n">
        <f aca="false">IF($D440="是",AA440-AB440,0)</f>
        <v>0</v>
      </c>
      <c r="BL440" s="502" t="n">
        <f aca="false">SUM(BM440:BT440)</f>
        <v>0</v>
      </c>
      <c r="BM440" s="502" t="n">
        <f aca="false">IF($D440="是",AD440-AE440,0)</f>
        <v>0</v>
      </c>
      <c r="BN440" s="502" t="n">
        <f aca="false">IF($D440="是",AF440-AG440,0)</f>
        <v>0</v>
      </c>
      <c r="BO440" s="502" t="n">
        <f aca="false">IF($D440="是",AH440-AI440,0)</f>
        <v>0</v>
      </c>
      <c r="BP440" s="502" t="n">
        <f aca="false">IF($D440="是",AJ440-AK440,0)</f>
        <v>0</v>
      </c>
      <c r="BQ440" s="502" t="n">
        <f aca="false">IF($D440="是",AL440-AM440,0)</f>
        <v>0</v>
      </c>
      <c r="BR440" s="502" t="n">
        <f aca="false">IF($D440="是",AN440-AO440,0)</f>
        <v>0</v>
      </c>
      <c r="BS440" s="502" t="n">
        <f aca="false">IF($D440="是",AP440-AQ440,0)</f>
        <v>0</v>
      </c>
      <c r="BT440" s="512" t="n">
        <f aca="false">IF($D440="是",AR440-AS440,0)</f>
        <v>0</v>
      </c>
    </row>
    <row r="441" customFormat="false" ht="14.25" hidden="false" customHeight="false" outlineLevel="0" collapsed="false">
      <c r="A441" s="499"/>
      <c r="B441" s="500"/>
      <c r="C441" s="500"/>
      <c r="D441" s="501"/>
      <c r="E441" s="502" t="n">
        <f aca="false">IF($C$3="是",ROUND($A$3*G441/$B$3,2),ROUND($A$3*(G441-AT441)/$B$3,2))</f>
        <v>0</v>
      </c>
      <c r="F441" s="503"/>
      <c r="G441" s="504" t="n">
        <f aca="false">H441+AC441+AT441</f>
        <v>0</v>
      </c>
      <c r="H441" s="505" t="n">
        <f aca="false">SUMIF(I$12:AB$12,"总值",I441:AB441)</f>
        <v>0</v>
      </c>
      <c r="I441" s="506"/>
      <c r="J441" s="506"/>
      <c r="K441" s="506"/>
      <c r="L441" s="506"/>
      <c r="M441" s="506"/>
      <c r="N441" s="506"/>
      <c r="O441" s="506"/>
      <c r="P441" s="506"/>
      <c r="Q441" s="506"/>
      <c r="R441" s="506"/>
      <c r="S441" s="506"/>
      <c r="T441" s="506"/>
      <c r="U441" s="506"/>
      <c r="V441" s="506"/>
      <c r="W441" s="506"/>
      <c r="X441" s="506"/>
      <c r="Y441" s="506"/>
      <c r="Z441" s="506"/>
      <c r="AA441" s="506"/>
      <c r="AB441" s="506"/>
      <c r="AC441" s="502" t="n">
        <f aca="false">SUMIF(AD$12:AS$12,"总值",AD441:AS441)</f>
        <v>0</v>
      </c>
      <c r="AD441" s="507"/>
      <c r="AE441" s="507"/>
      <c r="AF441" s="507"/>
      <c r="AG441" s="507"/>
      <c r="AH441" s="507"/>
      <c r="AI441" s="507"/>
      <c r="AJ441" s="507"/>
      <c r="AK441" s="507"/>
      <c r="AL441" s="507"/>
      <c r="AM441" s="507"/>
      <c r="AN441" s="507"/>
      <c r="AO441" s="507"/>
      <c r="AP441" s="507"/>
      <c r="AQ441" s="507"/>
      <c r="AR441" s="507"/>
      <c r="AS441" s="507"/>
      <c r="AT441" s="508"/>
      <c r="AU441" s="509"/>
      <c r="AV441" s="510" t="n">
        <f aca="false">A441</f>
        <v>0</v>
      </c>
      <c r="AW441" s="510" t="n">
        <f aca="false">B441</f>
        <v>0</v>
      </c>
      <c r="AX441" s="510" t="n">
        <f aca="false">C441</f>
        <v>0</v>
      </c>
      <c r="AY441" s="511" t="n">
        <f aca="false">ROUND($AY$6*AZ441/$AZ$5,2)</f>
        <v>0</v>
      </c>
      <c r="AZ441" s="502" t="n">
        <f aca="false">BA441+BL441</f>
        <v>0</v>
      </c>
      <c r="BA441" s="502" t="n">
        <f aca="false">SUM(BB441:BK441)</f>
        <v>0</v>
      </c>
      <c r="BB441" s="502" t="n">
        <f aca="false">IF($D441="是",I441-J441,0)</f>
        <v>0</v>
      </c>
      <c r="BC441" s="502" t="n">
        <f aca="false">IF($D441="是",K441-L441,0)</f>
        <v>0</v>
      </c>
      <c r="BD441" s="502" t="n">
        <f aca="false">IF($D441="是",M441-N441,0)</f>
        <v>0</v>
      </c>
      <c r="BE441" s="502" t="n">
        <f aca="false">IF($D441="是",O441-P441,0)</f>
        <v>0</v>
      </c>
      <c r="BF441" s="502" t="n">
        <f aca="false">IF($D441="是",Q441-R441,0)</f>
        <v>0</v>
      </c>
      <c r="BG441" s="502" t="n">
        <f aca="false">IF($D441="是",S441-T441,0)</f>
        <v>0</v>
      </c>
      <c r="BH441" s="502" t="n">
        <f aca="false">IF($D441="是",U441-V441,0)</f>
        <v>0</v>
      </c>
      <c r="BI441" s="502" t="n">
        <f aca="false">IF($D441="是",W441-X441,0)</f>
        <v>0</v>
      </c>
      <c r="BJ441" s="502" t="n">
        <f aca="false">IF($D441="是",Y441-Z441,0)</f>
        <v>0</v>
      </c>
      <c r="BK441" s="502" t="n">
        <f aca="false">IF($D441="是",AA441-AB441,0)</f>
        <v>0</v>
      </c>
      <c r="BL441" s="502" t="n">
        <f aca="false">SUM(BM441:BT441)</f>
        <v>0</v>
      </c>
      <c r="BM441" s="502" t="n">
        <f aca="false">IF($D441="是",AD441-AE441,0)</f>
        <v>0</v>
      </c>
      <c r="BN441" s="502" t="n">
        <f aca="false">IF($D441="是",AF441-AG441,0)</f>
        <v>0</v>
      </c>
      <c r="BO441" s="502" t="n">
        <f aca="false">IF($D441="是",AH441-AI441,0)</f>
        <v>0</v>
      </c>
      <c r="BP441" s="502" t="n">
        <f aca="false">IF($D441="是",AJ441-AK441,0)</f>
        <v>0</v>
      </c>
      <c r="BQ441" s="502" t="n">
        <f aca="false">IF($D441="是",AL441-AM441,0)</f>
        <v>0</v>
      </c>
      <c r="BR441" s="502" t="n">
        <f aca="false">IF($D441="是",AN441-AO441,0)</f>
        <v>0</v>
      </c>
      <c r="BS441" s="502" t="n">
        <f aca="false">IF($D441="是",AP441-AQ441,0)</f>
        <v>0</v>
      </c>
      <c r="BT441" s="512" t="n">
        <f aca="false">IF($D441="是",AR441-AS441,0)</f>
        <v>0</v>
      </c>
    </row>
    <row r="442" customFormat="false" ht="14.25" hidden="false" customHeight="false" outlineLevel="0" collapsed="false">
      <c r="A442" s="499"/>
      <c r="B442" s="500"/>
      <c r="C442" s="500"/>
      <c r="D442" s="501"/>
      <c r="E442" s="502" t="n">
        <f aca="false">IF($C$3="是",ROUND($A$3*G442/$B$3,2),ROUND($A$3*(G442-AT442)/$B$3,2))</f>
        <v>0</v>
      </c>
      <c r="F442" s="503"/>
      <c r="G442" s="504" t="n">
        <f aca="false">H442+AC442+AT442</f>
        <v>0</v>
      </c>
      <c r="H442" s="505" t="n">
        <f aca="false">SUMIF(I$12:AB$12,"总值",I442:AB442)</f>
        <v>0</v>
      </c>
      <c r="I442" s="506"/>
      <c r="J442" s="506"/>
      <c r="K442" s="506"/>
      <c r="L442" s="506"/>
      <c r="M442" s="506"/>
      <c r="N442" s="506"/>
      <c r="O442" s="506"/>
      <c r="P442" s="506"/>
      <c r="Q442" s="506"/>
      <c r="R442" s="506"/>
      <c r="S442" s="506"/>
      <c r="T442" s="506"/>
      <c r="U442" s="506"/>
      <c r="V442" s="506"/>
      <c r="W442" s="506"/>
      <c r="X442" s="506"/>
      <c r="Y442" s="506"/>
      <c r="Z442" s="506"/>
      <c r="AA442" s="506"/>
      <c r="AB442" s="506"/>
      <c r="AC442" s="502" t="n">
        <f aca="false">SUMIF(AD$12:AS$12,"总值",AD442:AS442)</f>
        <v>0</v>
      </c>
      <c r="AD442" s="507"/>
      <c r="AE442" s="507"/>
      <c r="AF442" s="507"/>
      <c r="AG442" s="507"/>
      <c r="AH442" s="507"/>
      <c r="AI442" s="507"/>
      <c r="AJ442" s="507"/>
      <c r="AK442" s="507"/>
      <c r="AL442" s="507"/>
      <c r="AM442" s="507"/>
      <c r="AN442" s="507"/>
      <c r="AO442" s="507"/>
      <c r="AP442" s="507"/>
      <c r="AQ442" s="507"/>
      <c r="AR442" s="507"/>
      <c r="AS442" s="507"/>
      <c r="AT442" s="508"/>
      <c r="AU442" s="509"/>
      <c r="AV442" s="510" t="n">
        <f aca="false">A442</f>
        <v>0</v>
      </c>
      <c r="AW442" s="510" t="n">
        <f aca="false">B442</f>
        <v>0</v>
      </c>
      <c r="AX442" s="510" t="n">
        <f aca="false">C442</f>
        <v>0</v>
      </c>
      <c r="AY442" s="511" t="n">
        <f aca="false">ROUND($AY$6*AZ442/$AZ$5,2)</f>
        <v>0</v>
      </c>
      <c r="AZ442" s="502" t="n">
        <f aca="false">BA442+BL442</f>
        <v>0</v>
      </c>
      <c r="BA442" s="502" t="n">
        <f aca="false">SUM(BB442:BK442)</f>
        <v>0</v>
      </c>
      <c r="BB442" s="502" t="n">
        <f aca="false">IF($D442="是",I442-J442,0)</f>
        <v>0</v>
      </c>
      <c r="BC442" s="502" t="n">
        <f aca="false">IF($D442="是",K442-L442,0)</f>
        <v>0</v>
      </c>
      <c r="BD442" s="502" t="n">
        <f aca="false">IF($D442="是",M442-N442,0)</f>
        <v>0</v>
      </c>
      <c r="BE442" s="502" t="n">
        <f aca="false">IF($D442="是",O442-P442,0)</f>
        <v>0</v>
      </c>
      <c r="BF442" s="502" t="n">
        <f aca="false">IF($D442="是",Q442-R442,0)</f>
        <v>0</v>
      </c>
      <c r="BG442" s="502" t="n">
        <f aca="false">IF($D442="是",S442-T442,0)</f>
        <v>0</v>
      </c>
      <c r="BH442" s="502" t="n">
        <f aca="false">IF($D442="是",U442-V442,0)</f>
        <v>0</v>
      </c>
      <c r="BI442" s="502" t="n">
        <f aca="false">IF($D442="是",W442-X442,0)</f>
        <v>0</v>
      </c>
      <c r="BJ442" s="502" t="n">
        <f aca="false">IF($D442="是",Y442-Z442,0)</f>
        <v>0</v>
      </c>
      <c r="BK442" s="502" t="n">
        <f aca="false">IF($D442="是",AA442-AB442,0)</f>
        <v>0</v>
      </c>
      <c r="BL442" s="502" t="n">
        <f aca="false">SUM(BM442:BT442)</f>
        <v>0</v>
      </c>
      <c r="BM442" s="502" t="n">
        <f aca="false">IF($D442="是",AD442-AE442,0)</f>
        <v>0</v>
      </c>
      <c r="BN442" s="502" t="n">
        <f aca="false">IF($D442="是",AF442-AG442,0)</f>
        <v>0</v>
      </c>
      <c r="BO442" s="502" t="n">
        <f aca="false">IF($D442="是",AH442-AI442,0)</f>
        <v>0</v>
      </c>
      <c r="BP442" s="502" t="n">
        <f aca="false">IF($D442="是",AJ442-AK442,0)</f>
        <v>0</v>
      </c>
      <c r="BQ442" s="502" t="n">
        <f aca="false">IF($D442="是",AL442-AM442,0)</f>
        <v>0</v>
      </c>
      <c r="BR442" s="502" t="n">
        <f aca="false">IF($D442="是",AN442-AO442,0)</f>
        <v>0</v>
      </c>
      <c r="BS442" s="502" t="n">
        <f aca="false">IF($D442="是",AP442-AQ442,0)</f>
        <v>0</v>
      </c>
      <c r="BT442" s="512" t="n">
        <f aca="false">IF($D442="是",AR442-AS442,0)</f>
        <v>0</v>
      </c>
    </row>
    <row r="443" customFormat="false" ht="14.25" hidden="false" customHeight="false" outlineLevel="0" collapsed="false">
      <c r="A443" s="499"/>
      <c r="B443" s="500"/>
      <c r="C443" s="500"/>
      <c r="D443" s="501"/>
      <c r="E443" s="502" t="n">
        <f aca="false">IF($C$3="是",ROUND($A$3*G443/$B$3,2),ROUND($A$3*(G443-AT443)/$B$3,2))</f>
        <v>0</v>
      </c>
      <c r="F443" s="503"/>
      <c r="G443" s="504" t="n">
        <f aca="false">H443+AC443+AT443</f>
        <v>0</v>
      </c>
      <c r="H443" s="505" t="n">
        <f aca="false">SUMIF(I$12:AB$12,"总值",I443:AB443)</f>
        <v>0</v>
      </c>
      <c r="I443" s="506"/>
      <c r="J443" s="506"/>
      <c r="K443" s="506"/>
      <c r="L443" s="506"/>
      <c r="M443" s="506"/>
      <c r="N443" s="506"/>
      <c r="O443" s="506"/>
      <c r="P443" s="506"/>
      <c r="Q443" s="506"/>
      <c r="R443" s="506"/>
      <c r="S443" s="506"/>
      <c r="T443" s="506"/>
      <c r="U443" s="506"/>
      <c r="V443" s="506"/>
      <c r="W443" s="506"/>
      <c r="X443" s="506"/>
      <c r="Y443" s="506"/>
      <c r="Z443" s="506"/>
      <c r="AA443" s="506"/>
      <c r="AB443" s="506"/>
      <c r="AC443" s="502" t="n">
        <f aca="false">SUMIF(AD$12:AS$12,"总值",AD443:AS443)</f>
        <v>0</v>
      </c>
      <c r="AD443" s="507"/>
      <c r="AE443" s="507"/>
      <c r="AF443" s="507"/>
      <c r="AG443" s="507"/>
      <c r="AH443" s="507"/>
      <c r="AI443" s="507"/>
      <c r="AJ443" s="507"/>
      <c r="AK443" s="507"/>
      <c r="AL443" s="507"/>
      <c r="AM443" s="507"/>
      <c r="AN443" s="507"/>
      <c r="AO443" s="507"/>
      <c r="AP443" s="507"/>
      <c r="AQ443" s="507"/>
      <c r="AR443" s="507"/>
      <c r="AS443" s="507"/>
      <c r="AT443" s="508"/>
      <c r="AU443" s="509"/>
      <c r="AV443" s="510" t="n">
        <f aca="false">A443</f>
        <v>0</v>
      </c>
      <c r="AW443" s="510" t="n">
        <f aca="false">B443</f>
        <v>0</v>
      </c>
      <c r="AX443" s="510" t="n">
        <f aca="false">C443</f>
        <v>0</v>
      </c>
      <c r="AY443" s="511" t="n">
        <f aca="false">ROUND($AY$6*AZ443/$AZ$5,2)</f>
        <v>0</v>
      </c>
      <c r="AZ443" s="502" t="n">
        <f aca="false">BA443+BL443</f>
        <v>0</v>
      </c>
      <c r="BA443" s="502" t="n">
        <f aca="false">SUM(BB443:BK443)</f>
        <v>0</v>
      </c>
      <c r="BB443" s="502" t="n">
        <f aca="false">IF($D443="是",I443-J443,0)</f>
        <v>0</v>
      </c>
      <c r="BC443" s="502" t="n">
        <f aca="false">IF($D443="是",K443-L443,0)</f>
        <v>0</v>
      </c>
      <c r="BD443" s="502" t="n">
        <f aca="false">IF($D443="是",M443-N443,0)</f>
        <v>0</v>
      </c>
      <c r="BE443" s="502" t="n">
        <f aca="false">IF($D443="是",O443-P443,0)</f>
        <v>0</v>
      </c>
      <c r="BF443" s="502" t="n">
        <f aca="false">IF($D443="是",Q443-R443,0)</f>
        <v>0</v>
      </c>
      <c r="BG443" s="502" t="n">
        <f aca="false">IF($D443="是",S443-T443,0)</f>
        <v>0</v>
      </c>
      <c r="BH443" s="502" t="n">
        <f aca="false">IF($D443="是",U443-V443,0)</f>
        <v>0</v>
      </c>
      <c r="BI443" s="502" t="n">
        <f aca="false">IF($D443="是",W443-X443,0)</f>
        <v>0</v>
      </c>
      <c r="BJ443" s="502" t="n">
        <f aca="false">IF($D443="是",Y443-Z443,0)</f>
        <v>0</v>
      </c>
      <c r="BK443" s="502" t="n">
        <f aca="false">IF($D443="是",AA443-AB443,0)</f>
        <v>0</v>
      </c>
      <c r="BL443" s="502" t="n">
        <f aca="false">SUM(BM443:BT443)</f>
        <v>0</v>
      </c>
      <c r="BM443" s="502" t="n">
        <f aca="false">IF($D443="是",AD443-AE443,0)</f>
        <v>0</v>
      </c>
      <c r="BN443" s="502" t="n">
        <f aca="false">IF($D443="是",AF443-AG443,0)</f>
        <v>0</v>
      </c>
      <c r="BO443" s="502" t="n">
        <f aca="false">IF($D443="是",AH443-AI443,0)</f>
        <v>0</v>
      </c>
      <c r="BP443" s="502" t="n">
        <f aca="false">IF($D443="是",AJ443-AK443,0)</f>
        <v>0</v>
      </c>
      <c r="BQ443" s="502" t="n">
        <f aca="false">IF($D443="是",AL443-AM443,0)</f>
        <v>0</v>
      </c>
      <c r="BR443" s="502" t="n">
        <f aca="false">IF($D443="是",AN443-AO443,0)</f>
        <v>0</v>
      </c>
      <c r="BS443" s="502" t="n">
        <f aca="false">IF($D443="是",AP443-AQ443,0)</f>
        <v>0</v>
      </c>
      <c r="BT443" s="512" t="n">
        <f aca="false">IF($D443="是",AR443-AS443,0)</f>
        <v>0</v>
      </c>
    </row>
    <row r="444" customFormat="false" ht="14.25" hidden="false" customHeight="false" outlineLevel="0" collapsed="false">
      <c r="A444" s="499"/>
      <c r="B444" s="500"/>
      <c r="C444" s="500"/>
      <c r="D444" s="501"/>
      <c r="E444" s="502" t="n">
        <f aca="false">IF($C$3="是",ROUND($A$3*G444/$B$3,2),ROUND($A$3*(G444-AT444)/$B$3,2))</f>
        <v>0</v>
      </c>
      <c r="F444" s="503"/>
      <c r="G444" s="504" t="n">
        <f aca="false">H444+AC444+AT444</f>
        <v>0</v>
      </c>
      <c r="H444" s="505" t="n">
        <f aca="false">SUMIF(I$12:AB$12,"总值",I444:AB444)</f>
        <v>0</v>
      </c>
      <c r="I444" s="506"/>
      <c r="J444" s="506"/>
      <c r="K444" s="506"/>
      <c r="L444" s="506"/>
      <c r="M444" s="506"/>
      <c r="N444" s="506"/>
      <c r="O444" s="506"/>
      <c r="P444" s="506"/>
      <c r="Q444" s="506"/>
      <c r="R444" s="506"/>
      <c r="S444" s="506"/>
      <c r="T444" s="506"/>
      <c r="U444" s="506"/>
      <c r="V444" s="506"/>
      <c r="W444" s="506"/>
      <c r="X444" s="506"/>
      <c r="Y444" s="506"/>
      <c r="Z444" s="506"/>
      <c r="AA444" s="506"/>
      <c r="AB444" s="506"/>
      <c r="AC444" s="502" t="n">
        <f aca="false">SUMIF(AD$12:AS$12,"总值",AD444:AS444)</f>
        <v>0</v>
      </c>
      <c r="AD444" s="507"/>
      <c r="AE444" s="507"/>
      <c r="AF444" s="507"/>
      <c r="AG444" s="507"/>
      <c r="AH444" s="507"/>
      <c r="AI444" s="507"/>
      <c r="AJ444" s="507"/>
      <c r="AK444" s="507"/>
      <c r="AL444" s="507"/>
      <c r="AM444" s="507"/>
      <c r="AN444" s="507"/>
      <c r="AO444" s="507"/>
      <c r="AP444" s="507"/>
      <c r="AQ444" s="507"/>
      <c r="AR444" s="507"/>
      <c r="AS444" s="507"/>
      <c r="AT444" s="508"/>
      <c r="AU444" s="509"/>
      <c r="AV444" s="510" t="n">
        <f aca="false">A444</f>
        <v>0</v>
      </c>
      <c r="AW444" s="510" t="n">
        <f aca="false">B444</f>
        <v>0</v>
      </c>
      <c r="AX444" s="510" t="n">
        <f aca="false">C444</f>
        <v>0</v>
      </c>
      <c r="AY444" s="511" t="n">
        <f aca="false">ROUND($AY$6*AZ444/$AZ$5,2)</f>
        <v>0</v>
      </c>
      <c r="AZ444" s="502" t="n">
        <f aca="false">BA444+BL444</f>
        <v>0</v>
      </c>
      <c r="BA444" s="502" t="n">
        <f aca="false">SUM(BB444:BK444)</f>
        <v>0</v>
      </c>
      <c r="BB444" s="502" t="n">
        <f aca="false">IF($D444="是",I444-J444,0)</f>
        <v>0</v>
      </c>
      <c r="BC444" s="502" t="n">
        <f aca="false">IF($D444="是",K444-L444,0)</f>
        <v>0</v>
      </c>
      <c r="BD444" s="502" t="n">
        <f aca="false">IF($D444="是",M444-N444,0)</f>
        <v>0</v>
      </c>
      <c r="BE444" s="502" t="n">
        <f aca="false">IF($D444="是",O444-P444,0)</f>
        <v>0</v>
      </c>
      <c r="BF444" s="502" t="n">
        <f aca="false">IF($D444="是",Q444-R444,0)</f>
        <v>0</v>
      </c>
      <c r="BG444" s="502" t="n">
        <f aca="false">IF($D444="是",S444-T444,0)</f>
        <v>0</v>
      </c>
      <c r="BH444" s="502" t="n">
        <f aca="false">IF($D444="是",U444-V444,0)</f>
        <v>0</v>
      </c>
      <c r="BI444" s="502" t="n">
        <f aca="false">IF($D444="是",W444-X444,0)</f>
        <v>0</v>
      </c>
      <c r="BJ444" s="502" t="n">
        <f aca="false">IF($D444="是",Y444-Z444,0)</f>
        <v>0</v>
      </c>
      <c r="BK444" s="502" t="n">
        <f aca="false">IF($D444="是",AA444-AB444,0)</f>
        <v>0</v>
      </c>
      <c r="BL444" s="502" t="n">
        <f aca="false">SUM(BM444:BT444)</f>
        <v>0</v>
      </c>
      <c r="BM444" s="502" t="n">
        <f aca="false">IF($D444="是",AD444-AE444,0)</f>
        <v>0</v>
      </c>
      <c r="BN444" s="502" t="n">
        <f aca="false">IF($D444="是",AF444-AG444,0)</f>
        <v>0</v>
      </c>
      <c r="BO444" s="502" t="n">
        <f aca="false">IF($D444="是",AH444-AI444,0)</f>
        <v>0</v>
      </c>
      <c r="BP444" s="502" t="n">
        <f aca="false">IF($D444="是",AJ444-AK444,0)</f>
        <v>0</v>
      </c>
      <c r="BQ444" s="502" t="n">
        <f aca="false">IF($D444="是",AL444-AM444,0)</f>
        <v>0</v>
      </c>
      <c r="BR444" s="502" t="n">
        <f aca="false">IF($D444="是",AN444-AO444,0)</f>
        <v>0</v>
      </c>
      <c r="BS444" s="502" t="n">
        <f aca="false">IF($D444="是",AP444-AQ444,0)</f>
        <v>0</v>
      </c>
      <c r="BT444" s="512" t="n">
        <f aca="false">IF($D444="是",AR444-AS444,0)</f>
        <v>0</v>
      </c>
    </row>
    <row r="445" customFormat="false" ht="14.25" hidden="false" customHeight="false" outlineLevel="0" collapsed="false">
      <c r="A445" s="499"/>
      <c r="B445" s="500"/>
      <c r="C445" s="500"/>
      <c r="D445" s="501"/>
      <c r="E445" s="502" t="n">
        <f aca="false">IF($C$3="是",ROUND($A$3*G445/$B$3,2),ROUND($A$3*(G445-AT445)/$B$3,2))</f>
        <v>0</v>
      </c>
      <c r="F445" s="503"/>
      <c r="G445" s="504" t="n">
        <f aca="false">H445+AC445+AT445</f>
        <v>0</v>
      </c>
      <c r="H445" s="505" t="n">
        <f aca="false">SUMIF(I$12:AB$12,"总值",I445:AB445)</f>
        <v>0</v>
      </c>
      <c r="I445" s="506"/>
      <c r="J445" s="506"/>
      <c r="K445" s="506"/>
      <c r="L445" s="506"/>
      <c r="M445" s="506"/>
      <c r="N445" s="506"/>
      <c r="O445" s="506"/>
      <c r="P445" s="506"/>
      <c r="Q445" s="506"/>
      <c r="R445" s="506"/>
      <c r="S445" s="506"/>
      <c r="T445" s="506"/>
      <c r="U445" s="506"/>
      <c r="V445" s="506"/>
      <c r="W445" s="506"/>
      <c r="X445" s="506"/>
      <c r="Y445" s="506"/>
      <c r="Z445" s="506"/>
      <c r="AA445" s="506"/>
      <c r="AB445" s="506"/>
      <c r="AC445" s="502" t="n">
        <f aca="false">SUMIF(AD$12:AS$12,"总值",AD445:AS445)</f>
        <v>0</v>
      </c>
      <c r="AD445" s="507"/>
      <c r="AE445" s="507"/>
      <c r="AF445" s="507"/>
      <c r="AG445" s="507"/>
      <c r="AH445" s="507"/>
      <c r="AI445" s="507"/>
      <c r="AJ445" s="507"/>
      <c r="AK445" s="507"/>
      <c r="AL445" s="507"/>
      <c r="AM445" s="507"/>
      <c r="AN445" s="507"/>
      <c r="AO445" s="507"/>
      <c r="AP445" s="507"/>
      <c r="AQ445" s="507"/>
      <c r="AR445" s="507"/>
      <c r="AS445" s="507"/>
      <c r="AT445" s="508"/>
      <c r="AU445" s="509"/>
      <c r="AV445" s="510" t="n">
        <f aca="false">A445</f>
        <v>0</v>
      </c>
      <c r="AW445" s="510" t="n">
        <f aca="false">B445</f>
        <v>0</v>
      </c>
      <c r="AX445" s="510" t="n">
        <f aca="false">C445</f>
        <v>0</v>
      </c>
      <c r="AY445" s="511" t="n">
        <f aca="false">ROUND($AY$6*AZ445/$AZ$5,2)</f>
        <v>0</v>
      </c>
      <c r="AZ445" s="502" t="n">
        <f aca="false">BA445+BL445</f>
        <v>0</v>
      </c>
      <c r="BA445" s="502" t="n">
        <f aca="false">SUM(BB445:BK445)</f>
        <v>0</v>
      </c>
      <c r="BB445" s="502" t="n">
        <f aca="false">IF($D445="是",I445-J445,0)</f>
        <v>0</v>
      </c>
      <c r="BC445" s="502" t="n">
        <f aca="false">IF($D445="是",K445-L445,0)</f>
        <v>0</v>
      </c>
      <c r="BD445" s="502" t="n">
        <f aca="false">IF($D445="是",M445-N445,0)</f>
        <v>0</v>
      </c>
      <c r="BE445" s="502" t="n">
        <f aca="false">IF($D445="是",O445-P445,0)</f>
        <v>0</v>
      </c>
      <c r="BF445" s="502" t="n">
        <f aca="false">IF($D445="是",Q445-R445,0)</f>
        <v>0</v>
      </c>
      <c r="BG445" s="502" t="n">
        <f aca="false">IF($D445="是",S445-T445,0)</f>
        <v>0</v>
      </c>
      <c r="BH445" s="502" t="n">
        <f aca="false">IF($D445="是",U445-V445,0)</f>
        <v>0</v>
      </c>
      <c r="BI445" s="502" t="n">
        <f aca="false">IF($D445="是",W445-X445,0)</f>
        <v>0</v>
      </c>
      <c r="BJ445" s="502" t="n">
        <f aca="false">IF($D445="是",Y445-Z445,0)</f>
        <v>0</v>
      </c>
      <c r="BK445" s="502" t="n">
        <f aca="false">IF($D445="是",AA445-AB445,0)</f>
        <v>0</v>
      </c>
      <c r="BL445" s="502" t="n">
        <f aca="false">SUM(BM445:BT445)</f>
        <v>0</v>
      </c>
      <c r="BM445" s="502" t="n">
        <f aca="false">IF($D445="是",AD445-AE445,0)</f>
        <v>0</v>
      </c>
      <c r="BN445" s="502" t="n">
        <f aca="false">IF($D445="是",AF445-AG445,0)</f>
        <v>0</v>
      </c>
      <c r="BO445" s="502" t="n">
        <f aca="false">IF($D445="是",AH445-AI445,0)</f>
        <v>0</v>
      </c>
      <c r="BP445" s="502" t="n">
        <f aca="false">IF($D445="是",AJ445-AK445,0)</f>
        <v>0</v>
      </c>
      <c r="BQ445" s="502" t="n">
        <f aca="false">IF($D445="是",AL445-AM445,0)</f>
        <v>0</v>
      </c>
      <c r="BR445" s="502" t="n">
        <f aca="false">IF($D445="是",AN445-AO445,0)</f>
        <v>0</v>
      </c>
      <c r="BS445" s="502" t="n">
        <f aca="false">IF($D445="是",AP445-AQ445,0)</f>
        <v>0</v>
      </c>
      <c r="BT445" s="512" t="n">
        <f aca="false">IF($D445="是",AR445-AS445,0)</f>
        <v>0</v>
      </c>
    </row>
    <row r="446" customFormat="false" ht="14.25" hidden="false" customHeight="false" outlineLevel="0" collapsed="false">
      <c r="A446" s="499"/>
      <c r="B446" s="500"/>
      <c r="C446" s="500"/>
      <c r="D446" s="501"/>
      <c r="E446" s="502" t="n">
        <f aca="false">IF($C$3="是",ROUND($A$3*G446/$B$3,2),ROUND($A$3*(G446-AT446)/$B$3,2))</f>
        <v>0</v>
      </c>
      <c r="F446" s="503"/>
      <c r="G446" s="504" t="n">
        <f aca="false">H446+AC446+AT446</f>
        <v>0</v>
      </c>
      <c r="H446" s="505" t="n">
        <f aca="false">SUMIF(I$12:AB$12,"总值",I446:AB446)</f>
        <v>0</v>
      </c>
      <c r="I446" s="506"/>
      <c r="J446" s="506"/>
      <c r="K446" s="506"/>
      <c r="L446" s="506"/>
      <c r="M446" s="506"/>
      <c r="N446" s="506"/>
      <c r="O446" s="506"/>
      <c r="P446" s="506"/>
      <c r="Q446" s="506"/>
      <c r="R446" s="506"/>
      <c r="S446" s="506"/>
      <c r="T446" s="506"/>
      <c r="U446" s="506"/>
      <c r="V446" s="506"/>
      <c r="W446" s="506"/>
      <c r="X446" s="506"/>
      <c r="Y446" s="506"/>
      <c r="Z446" s="506"/>
      <c r="AA446" s="506"/>
      <c r="AB446" s="506"/>
      <c r="AC446" s="502" t="n">
        <f aca="false">SUMIF(AD$12:AS$12,"总值",AD446:AS446)</f>
        <v>0</v>
      </c>
      <c r="AD446" s="507"/>
      <c r="AE446" s="507"/>
      <c r="AF446" s="507"/>
      <c r="AG446" s="507"/>
      <c r="AH446" s="507"/>
      <c r="AI446" s="507"/>
      <c r="AJ446" s="507"/>
      <c r="AK446" s="507"/>
      <c r="AL446" s="507"/>
      <c r="AM446" s="507"/>
      <c r="AN446" s="507"/>
      <c r="AO446" s="507"/>
      <c r="AP446" s="507"/>
      <c r="AQ446" s="507"/>
      <c r="AR446" s="507"/>
      <c r="AS446" s="507"/>
      <c r="AT446" s="508"/>
      <c r="AU446" s="509"/>
      <c r="AV446" s="510" t="n">
        <f aca="false">A446</f>
        <v>0</v>
      </c>
      <c r="AW446" s="510" t="n">
        <f aca="false">B446</f>
        <v>0</v>
      </c>
      <c r="AX446" s="510" t="n">
        <f aca="false">C446</f>
        <v>0</v>
      </c>
      <c r="AY446" s="511" t="n">
        <f aca="false">ROUND($AY$6*AZ446/$AZ$5,2)</f>
        <v>0</v>
      </c>
      <c r="AZ446" s="502" t="n">
        <f aca="false">BA446+BL446</f>
        <v>0</v>
      </c>
      <c r="BA446" s="502" t="n">
        <f aca="false">SUM(BB446:BK446)</f>
        <v>0</v>
      </c>
      <c r="BB446" s="502" t="n">
        <f aca="false">IF($D446="是",I446-J446,0)</f>
        <v>0</v>
      </c>
      <c r="BC446" s="502" t="n">
        <f aca="false">IF($D446="是",K446-L446,0)</f>
        <v>0</v>
      </c>
      <c r="BD446" s="502" t="n">
        <f aca="false">IF($D446="是",M446-N446,0)</f>
        <v>0</v>
      </c>
      <c r="BE446" s="502" t="n">
        <f aca="false">IF($D446="是",O446-P446,0)</f>
        <v>0</v>
      </c>
      <c r="BF446" s="502" t="n">
        <f aca="false">IF($D446="是",Q446-R446,0)</f>
        <v>0</v>
      </c>
      <c r="BG446" s="502" t="n">
        <f aca="false">IF($D446="是",S446-T446,0)</f>
        <v>0</v>
      </c>
      <c r="BH446" s="502" t="n">
        <f aca="false">IF($D446="是",U446-V446,0)</f>
        <v>0</v>
      </c>
      <c r="BI446" s="502" t="n">
        <f aca="false">IF($D446="是",W446-X446,0)</f>
        <v>0</v>
      </c>
      <c r="BJ446" s="502" t="n">
        <f aca="false">IF($D446="是",Y446-Z446,0)</f>
        <v>0</v>
      </c>
      <c r="BK446" s="502" t="n">
        <f aca="false">IF($D446="是",AA446-AB446,0)</f>
        <v>0</v>
      </c>
      <c r="BL446" s="502" t="n">
        <f aca="false">SUM(BM446:BT446)</f>
        <v>0</v>
      </c>
      <c r="BM446" s="502" t="n">
        <f aca="false">IF($D446="是",AD446-AE446,0)</f>
        <v>0</v>
      </c>
      <c r="BN446" s="502" t="n">
        <f aca="false">IF($D446="是",AF446-AG446,0)</f>
        <v>0</v>
      </c>
      <c r="BO446" s="502" t="n">
        <f aca="false">IF($D446="是",AH446-AI446,0)</f>
        <v>0</v>
      </c>
      <c r="BP446" s="502" t="n">
        <f aca="false">IF($D446="是",AJ446-AK446,0)</f>
        <v>0</v>
      </c>
      <c r="BQ446" s="502" t="n">
        <f aca="false">IF($D446="是",AL446-AM446,0)</f>
        <v>0</v>
      </c>
      <c r="BR446" s="502" t="n">
        <f aca="false">IF($D446="是",AN446-AO446,0)</f>
        <v>0</v>
      </c>
      <c r="BS446" s="502" t="n">
        <f aca="false">IF($D446="是",AP446-AQ446,0)</f>
        <v>0</v>
      </c>
      <c r="BT446" s="512" t="n">
        <f aca="false">IF($D446="是",AR446-AS446,0)</f>
        <v>0</v>
      </c>
    </row>
    <row r="447" customFormat="false" ht="14.25" hidden="false" customHeight="false" outlineLevel="0" collapsed="false">
      <c r="A447" s="499"/>
      <c r="B447" s="500"/>
      <c r="C447" s="500"/>
      <c r="D447" s="501"/>
      <c r="E447" s="502" t="n">
        <f aca="false">IF($C$3="是",ROUND($A$3*G447/$B$3,2),ROUND($A$3*(G447-AT447)/$B$3,2))</f>
        <v>0</v>
      </c>
      <c r="F447" s="503"/>
      <c r="G447" s="504" t="n">
        <f aca="false">H447+AC447+AT447</f>
        <v>0</v>
      </c>
      <c r="H447" s="505" t="n">
        <f aca="false">SUMIF(I$12:AB$12,"总值",I447:AB447)</f>
        <v>0</v>
      </c>
      <c r="I447" s="506"/>
      <c r="J447" s="506"/>
      <c r="K447" s="506"/>
      <c r="L447" s="506"/>
      <c r="M447" s="506"/>
      <c r="N447" s="506"/>
      <c r="O447" s="506"/>
      <c r="P447" s="506"/>
      <c r="Q447" s="506"/>
      <c r="R447" s="506"/>
      <c r="S447" s="506"/>
      <c r="T447" s="506"/>
      <c r="U447" s="506"/>
      <c r="V447" s="506"/>
      <c r="W447" s="506"/>
      <c r="X447" s="506"/>
      <c r="Y447" s="506"/>
      <c r="Z447" s="506"/>
      <c r="AA447" s="506"/>
      <c r="AB447" s="506"/>
      <c r="AC447" s="502" t="n">
        <f aca="false">SUMIF(AD$12:AS$12,"总值",AD447:AS447)</f>
        <v>0</v>
      </c>
      <c r="AD447" s="507"/>
      <c r="AE447" s="507"/>
      <c r="AF447" s="507"/>
      <c r="AG447" s="507"/>
      <c r="AH447" s="507"/>
      <c r="AI447" s="507"/>
      <c r="AJ447" s="507"/>
      <c r="AK447" s="507"/>
      <c r="AL447" s="507"/>
      <c r="AM447" s="507"/>
      <c r="AN447" s="507"/>
      <c r="AO447" s="507"/>
      <c r="AP447" s="507"/>
      <c r="AQ447" s="507"/>
      <c r="AR447" s="507"/>
      <c r="AS447" s="507"/>
      <c r="AT447" s="508"/>
      <c r="AU447" s="509"/>
      <c r="AV447" s="510" t="n">
        <f aca="false">A447</f>
        <v>0</v>
      </c>
      <c r="AW447" s="510" t="n">
        <f aca="false">B447</f>
        <v>0</v>
      </c>
      <c r="AX447" s="510" t="n">
        <f aca="false">C447</f>
        <v>0</v>
      </c>
      <c r="AY447" s="511" t="n">
        <f aca="false">ROUND($AY$6*AZ447/$AZ$5,2)</f>
        <v>0</v>
      </c>
      <c r="AZ447" s="502" t="n">
        <f aca="false">BA447+BL447</f>
        <v>0</v>
      </c>
      <c r="BA447" s="502" t="n">
        <f aca="false">SUM(BB447:BK447)</f>
        <v>0</v>
      </c>
      <c r="BB447" s="502" t="n">
        <f aca="false">IF($D447="是",I447-J447,0)</f>
        <v>0</v>
      </c>
      <c r="BC447" s="502" t="n">
        <f aca="false">IF($D447="是",K447-L447,0)</f>
        <v>0</v>
      </c>
      <c r="BD447" s="502" t="n">
        <f aca="false">IF($D447="是",M447-N447,0)</f>
        <v>0</v>
      </c>
      <c r="BE447" s="502" t="n">
        <f aca="false">IF($D447="是",O447-P447,0)</f>
        <v>0</v>
      </c>
      <c r="BF447" s="502" t="n">
        <f aca="false">IF($D447="是",Q447-R447,0)</f>
        <v>0</v>
      </c>
      <c r="BG447" s="502" t="n">
        <f aca="false">IF($D447="是",S447-T447,0)</f>
        <v>0</v>
      </c>
      <c r="BH447" s="502" t="n">
        <f aca="false">IF($D447="是",U447-V447,0)</f>
        <v>0</v>
      </c>
      <c r="BI447" s="502" t="n">
        <f aca="false">IF($D447="是",W447-X447,0)</f>
        <v>0</v>
      </c>
      <c r="BJ447" s="502" t="n">
        <f aca="false">IF($D447="是",Y447-Z447,0)</f>
        <v>0</v>
      </c>
      <c r="BK447" s="502" t="n">
        <f aca="false">IF($D447="是",AA447-AB447,0)</f>
        <v>0</v>
      </c>
      <c r="BL447" s="502" t="n">
        <f aca="false">SUM(BM447:BT447)</f>
        <v>0</v>
      </c>
      <c r="BM447" s="502" t="n">
        <f aca="false">IF($D447="是",AD447-AE447,0)</f>
        <v>0</v>
      </c>
      <c r="BN447" s="502" t="n">
        <f aca="false">IF($D447="是",AF447-AG447,0)</f>
        <v>0</v>
      </c>
      <c r="BO447" s="502" t="n">
        <f aca="false">IF($D447="是",AH447-AI447,0)</f>
        <v>0</v>
      </c>
      <c r="BP447" s="502" t="n">
        <f aca="false">IF($D447="是",AJ447-AK447,0)</f>
        <v>0</v>
      </c>
      <c r="BQ447" s="502" t="n">
        <f aca="false">IF($D447="是",AL447-AM447,0)</f>
        <v>0</v>
      </c>
      <c r="BR447" s="502" t="n">
        <f aca="false">IF($D447="是",AN447-AO447,0)</f>
        <v>0</v>
      </c>
      <c r="BS447" s="502" t="n">
        <f aca="false">IF($D447="是",AP447-AQ447,0)</f>
        <v>0</v>
      </c>
      <c r="BT447" s="512" t="n">
        <f aca="false">IF($D447="是",AR447-AS447,0)</f>
        <v>0</v>
      </c>
    </row>
    <row r="448" customFormat="false" ht="14.25" hidden="false" customHeight="false" outlineLevel="0" collapsed="false">
      <c r="A448" s="499"/>
      <c r="B448" s="500"/>
      <c r="C448" s="500"/>
      <c r="D448" s="501"/>
      <c r="E448" s="502" t="n">
        <f aca="false">IF($C$3="是",ROUND($A$3*G448/$B$3,2),ROUND($A$3*(G448-AT448)/$B$3,2))</f>
        <v>0</v>
      </c>
      <c r="F448" s="503"/>
      <c r="G448" s="504" t="n">
        <f aca="false">H448+AC448+AT448</f>
        <v>0</v>
      </c>
      <c r="H448" s="505" t="n">
        <f aca="false">SUMIF(I$12:AB$12,"总值",I448:AB448)</f>
        <v>0</v>
      </c>
      <c r="I448" s="506"/>
      <c r="J448" s="506"/>
      <c r="K448" s="506"/>
      <c r="L448" s="506"/>
      <c r="M448" s="506"/>
      <c r="N448" s="506"/>
      <c r="O448" s="506"/>
      <c r="P448" s="506"/>
      <c r="Q448" s="506"/>
      <c r="R448" s="506"/>
      <c r="S448" s="506"/>
      <c r="T448" s="506"/>
      <c r="U448" s="506"/>
      <c r="V448" s="506"/>
      <c r="W448" s="506"/>
      <c r="X448" s="506"/>
      <c r="Y448" s="506"/>
      <c r="Z448" s="506"/>
      <c r="AA448" s="506"/>
      <c r="AB448" s="506"/>
      <c r="AC448" s="502" t="n">
        <f aca="false">SUMIF(AD$12:AS$12,"总值",AD448:AS448)</f>
        <v>0</v>
      </c>
      <c r="AD448" s="507"/>
      <c r="AE448" s="507"/>
      <c r="AF448" s="507"/>
      <c r="AG448" s="507"/>
      <c r="AH448" s="507"/>
      <c r="AI448" s="507"/>
      <c r="AJ448" s="507"/>
      <c r="AK448" s="507"/>
      <c r="AL448" s="507"/>
      <c r="AM448" s="507"/>
      <c r="AN448" s="507"/>
      <c r="AO448" s="507"/>
      <c r="AP448" s="507"/>
      <c r="AQ448" s="507"/>
      <c r="AR448" s="507"/>
      <c r="AS448" s="507"/>
      <c r="AT448" s="508"/>
      <c r="AU448" s="509"/>
      <c r="AV448" s="510" t="n">
        <f aca="false">A448</f>
        <v>0</v>
      </c>
      <c r="AW448" s="510" t="n">
        <f aca="false">B448</f>
        <v>0</v>
      </c>
      <c r="AX448" s="510" t="n">
        <f aca="false">C448</f>
        <v>0</v>
      </c>
      <c r="AY448" s="511" t="n">
        <f aca="false">ROUND($AY$6*AZ448/$AZ$5,2)</f>
        <v>0</v>
      </c>
      <c r="AZ448" s="502" t="n">
        <f aca="false">BA448+BL448</f>
        <v>0</v>
      </c>
      <c r="BA448" s="502" t="n">
        <f aca="false">SUM(BB448:BK448)</f>
        <v>0</v>
      </c>
      <c r="BB448" s="502" t="n">
        <f aca="false">IF($D448="是",I448-J448,0)</f>
        <v>0</v>
      </c>
      <c r="BC448" s="502" t="n">
        <f aca="false">IF($D448="是",K448-L448,0)</f>
        <v>0</v>
      </c>
      <c r="BD448" s="502" t="n">
        <f aca="false">IF($D448="是",M448-N448,0)</f>
        <v>0</v>
      </c>
      <c r="BE448" s="502" t="n">
        <f aca="false">IF($D448="是",O448-P448,0)</f>
        <v>0</v>
      </c>
      <c r="BF448" s="502" t="n">
        <f aca="false">IF($D448="是",Q448-R448,0)</f>
        <v>0</v>
      </c>
      <c r="BG448" s="502" t="n">
        <f aca="false">IF($D448="是",S448-T448,0)</f>
        <v>0</v>
      </c>
      <c r="BH448" s="502" t="n">
        <f aca="false">IF($D448="是",U448-V448,0)</f>
        <v>0</v>
      </c>
      <c r="BI448" s="502" t="n">
        <f aca="false">IF($D448="是",W448-X448,0)</f>
        <v>0</v>
      </c>
      <c r="BJ448" s="502" t="n">
        <f aca="false">IF($D448="是",Y448-Z448,0)</f>
        <v>0</v>
      </c>
      <c r="BK448" s="502" t="n">
        <f aca="false">IF($D448="是",AA448-AB448,0)</f>
        <v>0</v>
      </c>
      <c r="BL448" s="502" t="n">
        <f aca="false">SUM(BM448:BT448)</f>
        <v>0</v>
      </c>
      <c r="BM448" s="502" t="n">
        <f aca="false">IF($D448="是",AD448-AE448,0)</f>
        <v>0</v>
      </c>
      <c r="BN448" s="502" t="n">
        <f aca="false">IF($D448="是",AF448-AG448,0)</f>
        <v>0</v>
      </c>
      <c r="BO448" s="502" t="n">
        <f aca="false">IF($D448="是",AH448-AI448,0)</f>
        <v>0</v>
      </c>
      <c r="BP448" s="502" t="n">
        <f aca="false">IF($D448="是",AJ448-AK448,0)</f>
        <v>0</v>
      </c>
      <c r="BQ448" s="502" t="n">
        <f aca="false">IF($D448="是",AL448-AM448,0)</f>
        <v>0</v>
      </c>
      <c r="BR448" s="502" t="n">
        <f aca="false">IF($D448="是",AN448-AO448,0)</f>
        <v>0</v>
      </c>
      <c r="BS448" s="502" t="n">
        <f aca="false">IF($D448="是",AP448-AQ448,0)</f>
        <v>0</v>
      </c>
      <c r="BT448" s="512" t="n">
        <f aca="false">IF($D448="是",AR448-AS448,0)</f>
        <v>0</v>
      </c>
    </row>
    <row r="449" customFormat="false" ht="14.25" hidden="false" customHeight="false" outlineLevel="0" collapsed="false">
      <c r="A449" s="499"/>
      <c r="B449" s="500"/>
      <c r="C449" s="500"/>
      <c r="D449" s="501"/>
      <c r="E449" s="502" t="n">
        <f aca="false">IF($C$3="是",ROUND($A$3*G449/$B$3,2),ROUND($A$3*(G449-AT449)/$B$3,2))</f>
        <v>0</v>
      </c>
      <c r="F449" s="503"/>
      <c r="G449" s="504" t="n">
        <f aca="false">H449+AC449+AT449</f>
        <v>0</v>
      </c>
      <c r="H449" s="505" t="n">
        <f aca="false">SUMIF(I$12:AB$12,"总值",I449:AB449)</f>
        <v>0</v>
      </c>
      <c r="I449" s="506"/>
      <c r="J449" s="506"/>
      <c r="K449" s="506"/>
      <c r="L449" s="506"/>
      <c r="M449" s="506"/>
      <c r="N449" s="506"/>
      <c r="O449" s="506"/>
      <c r="P449" s="506"/>
      <c r="Q449" s="506"/>
      <c r="R449" s="506"/>
      <c r="S449" s="506"/>
      <c r="T449" s="506"/>
      <c r="U449" s="506"/>
      <c r="V449" s="506"/>
      <c r="W449" s="506"/>
      <c r="X449" s="506"/>
      <c r="Y449" s="506"/>
      <c r="Z449" s="506"/>
      <c r="AA449" s="506"/>
      <c r="AB449" s="506"/>
      <c r="AC449" s="502" t="n">
        <f aca="false">SUMIF(AD$12:AS$12,"总值",AD449:AS449)</f>
        <v>0</v>
      </c>
      <c r="AD449" s="507"/>
      <c r="AE449" s="507"/>
      <c r="AF449" s="507"/>
      <c r="AG449" s="507"/>
      <c r="AH449" s="507"/>
      <c r="AI449" s="507"/>
      <c r="AJ449" s="507"/>
      <c r="AK449" s="507"/>
      <c r="AL449" s="507"/>
      <c r="AM449" s="507"/>
      <c r="AN449" s="507"/>
      <c r="AO449" s="507"/>
      <c r="AP449" s="507"/>
      <c r="AQ449" s="507"/>
      <c r="AR449" s="507"/>
      <c r="AS449" s="507"/>
      <c r="AT449" s="508"/>
      <c r="AU449" s="509"/>
      <c r="AV449" s="510" t="n">
        <f aca="false">A449</f>
        <v>0</v>
      </c>
      <c r="AW449" s="510" t="n">
        <f aca="false">B449</f>
        <v>0</v>
      </c>
      <c r="AX449" s="510" t="n">
        <f aca="false">C449</f>
        <v>0</v>
      </c>
      <c r="AY449" s="511" t="n">
        <f aca="false">ROUND($AY$6*AZ449/$AZ$5,2)</f>
        <v>0</v>
      </c>
      <c r="AZ449" s="502" t="n">
        <f aca="false">BA449+BL449</f>
        <v>0</v>
      </c>
      <c r="BA449" s="502" t="n">
        <f aca="false">SUM(BB449:BK449)</f>
        <v>0</v>
      </c>
      <c r="BB449" s="502" t="n">
        <f aca="false">IF($D449="是",I449-J449,0)</f>
        <v>0</v>
      </c>
      <c r="BC449" s="502" t="n">
        <f aca="false">IF($D449="是",K449-L449,0)</f>
        <v>0</v>
      </c>
      <c r="BD449" s="502" t="n">
        <f aca="false">IF($D449="是",M449-N449,0)</f>
        <v>0</v>
      </c>
      <c r="BE449" s="502" t="n">
        <f aca="false">IF($D449="是",O449-P449,0)</f>
        <v>0</v>
      </c>
      <c r="BF449" s="502" t="n">
        <f aca="false">IF($D449="是",Q449-R449,0)</f>
        <v>0</v>
      </c>
      <c r="BG449" s="502" t="n">
        <f aca="false">IF($D449="是",S449-T449,0)</f>
        <v>0</v>
      </c>
      <c r="BH449" s="502" t="n">
        <f aca="false">IF($D449="是",U449-V449,0)</f>
        <v>0</v>
      </c>
      <c r="BI449" s="502" t="n">
        <f aca="false">IF($D449="是",W449-X449,0)</f>
        <v>0</v>
      </c>
      <c r="BJ449" s="502" t="n">
        <f aca="false">IF($D449="是",Y449-Z449,0)</f>
        <v>0</v>
      </c>
      <c r="BK449" s="502" t="n">
        <f aca="false">IF($D449="是",AA449-AB449,0)</f>
        <v>0</v>
      </c>
      <c r="BL449" s="502" t="n">
        <f aca="false">SUM(BM449:BT449)</f>
        <v>0</v>
      </c>
      <c r="BM449" s="502" t="n">
        <f aca="false">IF($D449="是",AD449-AE449,0)</f>
        <v>0</v>
      </c>
      <c r="BN449" s="502" t="n">
        <f aca="false">IF($D449="是",AF449-AG449,0)</f>
        <v>0</v>
      </c>
      <c r="BO449" s="502" t="n">
        <f aca="false">IF($D449="是",AH449-AI449,0)</f>
        <v>0</v>
      </c>
      <c r="BP449" s="502" t="n">
        <f aca="false">IF($D449="是",AJ449-AK449,0)</f>
        <v>0</v>
      </c>
      <c r="BQ449" s="502" t="n">
        <f aca="false">IF($D449="是",AL449-AM449,0)</f>
        <v>0</v>
      </c>
      <c r="BR449" s="502" t="n">
        <f aca="false">IF($D449="是",AN449-AO449,0)</f>
        <v>0</v>
      </c>
      <c r="BS449" s="502" t="n">
        <f aca="false">IF($D449="是",AP449-AQ449,0)</f>
        <v>0</v>
      </c>
      <c r="BT449" s="512" t="n">
        <f aca="false">IF($D449="是",AR449-AS449,0)</f>
        <v>0</v>
      </c>
    </row>
    <row r="450" customFormat="false" ht="14.25" hidden="false" customHeight="false" outlineLevel="0" collapsed="false">
      <c r="A450" s="499"/>
      <c r="B450" s="500"/>
      <c r="C450" s="500"/>
      <c r="D450" s="501"/>
      <c r="E450" s="502" t="n">
        <f aca="false">IF($C$3="是",ROUND($A$3*G450/$B$3,2),ROUND($A$3*(G450-AT450)/$B$3,2))</f>
        <v>0</v>
      </c>
      <c r="F450" s="503"/>
      <c r="G450" s="504" t="n">
        <f aca="false">H450+AC450+AT450</f>
        <v>0</v>
      </c>
      <c r="H450" s="505" t="n">
        <f aca="false">SUMIF(I$12:AB$12,"总值",I450:AB450)</f>
        <v>0</v>
      </c>
      <c r="I450" s="506"/>
      <c r="J450" s="506"/>
      <c r="K450" s="506"/>
      <c r="L450" s="506"/>
      <c r="M450" s="506"/>
      <c r="N450" s="506"/>
      <c r="O450" s="506"/>
      <c r="P450" s="506"/>
      <c r="Q450" s="506"/>
      <c r="R450" s="506"/>
      <c r="S450" s="506"/>
      <c r="T450" s="506"/>
      <c r="U450" s="506"/>
      <c r="V450" s="506"/>
      <c r="W450" s="506"/>
      <c r="X450" s="506"/>
      <c r="Y450" s="506"/>
      <c r="Z450" s="506"/>
      <c r="AA450" s="506"/>
      <c r="AB450" s="506"/>
      <c r="AC450" s="502" t="n">
        <f aca="false">SUMIF(AD$12:AS$12,"总值",AD450:AS450)</f>
        <v>0</v>
      </c>
      <c r="AD450" s="507"/>
      <c r="AE450" s="507"/>
      <c r="AF450" s="507"/>
      <c r="AG450" s="507"/>
      <c r="AH450" s="507"/>
      <c r="AI450" s="507"/>
      <c r="AJ450" s="507"/>
      <c r="AK450" s="507"/>
      <c r="AL450" s="507"/>
      <c r="AM450" s="507"/>
      <c r="AN450" s="507"/>
      <c r="AO450" s="507"/>
      <c r="AP450" s="507"/>
      <c r="AQ450" s="507"/>
      <c r="AR450" s="507"/>
      <c r="AS450" s="507"/>
      <c r="AT450" s="508"/>
      <c r="AU450" s="509"/>
      <c r="AV450" s="510" t="n">
        <f aca="false">A450</f>
        <v>0</v>
      </c>
      <c r="AW450" s="510" t="n">
        <f aca="false">B450</f>
        <v>0</v>
      </c>
      <c r="AX450" s="510" t="n">
        <f aca="false">C450</f>
        <v>0</v>
      </c>
      <c r="AY450" s="511" t="n">
        <f aca="false">ROUND($AY$6*AZ450/$AZ$5,2)</f>
        <v>0</v>
      </c>
      <c r="AZ450" s="502" t="n">
        <f aca="false">BA450+BL450</f>
        <v>0</v>
      </c>
      <c r="BA450" s="502" t="n">
        <f aca="false">SUM(BB450:BK450)</f>
        <v>0</v>
      </c>
      <c r="BB450" s="502" t="n">
        <f aca="false">IF($D450="是",I450-J450,0)</f>
        <v>0</v>
      </c>
      <c r="BC450" s="502" t="n">
        <f aca="false">IF($D450="是",K450-L450,0)</f>
        <v>0</v>
      </c>
      <c r="BD450" s="502" t="n">
        <f aca="false">IF($D450="是",M450-N450,0)</f>
        <v>0</v>
      </c>
      <c r="BE450" s="502" t="n">
        <f aca="false">IF($D450="是",O450-P450,0)</f>
        <v>0</v>
      </c>
      <c r="BF450" s="502" t="n">
        <f aca="false">IF($D450="是",Q450-R450,0)</f>
        <v>0</v>
      </c>
      <c r="BG450" s="502" t="n">
        <f aca="false">IF($D450="是",S450-T450,0)</f>
        <v>0</v>
      </c>
      <c r="BH450" s="502" t="n">
        <f aca="false">IF($D450="是",U450-V450,0)</f>
        <v>0</v>
      </c>
      <c r="BI450" s="502" t="n">
        <f aca="false">IF($D450="是",W450-X450,0)</f>
        <v>0</v>
      </c>
      <c r="BJ450" s="502" t="n">
        <f aca="false">IF($D450="是",Y450-Z450,0)</f>
        <v>0</v>
      </c>
      <c r="BK450" s="502" t="n">
        <f aca="false">IF($D450="是",AA450-AB450,0)</f>
        <v>0</v>
      </c>
      <c r="BL450" s="502" t="n">
        <f aca="false">SUM(BM450:BT450)</f>
        <v>0</v>
      </c>
      <c r="BM450" s="502" t="n">
        <f aca="false">IF($D450="是",AD450-AE450,0)</f>
        <v>0</v>
      </c>
      <c r="BN450" s="502" t="n">
        <f aca="false">IF($D450="是",AF450-AG450,0)</f>
        <v>0</v>
      </c>
      <c r="BO450" s="502" t="n">
        <f aca="false">IF($D450="是",AH450-AI450,0)</f>
        <v>0</v>
      </c>
      <c r="BP450" s="502" t="n">
        <f aca="false">IF($D450="是",AJ450-AK450,0)</f>
        <v>0</v>
      </c>
      <c r="BQ450" s="502" t="n">
        <f aca="false">IF($D450="是",AL450-AM450,0)</f>
        <v>0</v>
      </c>
      <c r="BR450" s="502" t="n">
        <f aca="false">IF($D450="是",AN450-AO450,0)</f>
        <v>0</v>
      </c>
      <c r="BS450" s="502" t="n">
        <f aca="false">IF($D450="是",AP450-AQ450,0)</f>
        <v>0</v>
      </c>
      <c r="BT450" s="512" t="n">
        <f aca="false">IF($D450="是",AR450-AS450,0)</f>
        <v>0</v>
      </c>
    </row>
    <row r="451" customFormat="false" ht="14.25" hidden="false" customHeight="false" outlineLevel="0" collapsed="false">
      <c r="A451" s="499"/>
      <c r="B451" s="500"/>
      <c r="C451" s="500"/>
      <c r="D451" s="501"/>
      <c r="E451" s="502" t="n">
        <f aca="false">IF($C$3="是",ROUND($A$3*G451/$B$3,2),ROUND($A$3*(G451-AT451)/$B$3,2))</f>
        <v>0</v>
      </c>
      <c r="F451" s="503"/>
      <c r="G451" s="504" t="n">
        <f aca="false">H451+AC451+AT451</f>
        <v>0</v>
      </c>
      <c r="H451" s="505" t="n">
        <f aca="false">SUMIF(I$12:AB$12,"总值",I451:AB451)</f>
        <v>0</v>
      </c>
      <c r="I451" s="506"/>
      <c r="J451" s="506"/>
      <c r="K451" s="506"/>
      <c r="L451" s="506"/>
      <c r="M451" s="506"/>
      <c r="N451" s="506"/>
      <c r="O451" s="506"/>
      <c r="P451" s="506"/>
      <c r="Q451" s="506"/>
      <c r="R451" s="506"/>
      <c r="S451" s="506"/>
      <c r="T451" s="506"/>
      <c r="U451" s="506"/>
      <c r="V451" s="506"/>
      <c r="W451" s="506"/>
      <c r="X451" s="506"/>
      <c r="Y451" s="506"/>
      <c r="Z451" s="506"/>
      <c r="AA451" s="506"/>
      <c r="AB451" s="506"/>
      <c r="AC451" s="502" t="n">
        <f aca="false">SUMIF(AD$12:AS$12,"总值",AD451:AS451)</f>
        <v>0</v>
      </c>
      <c r="AD451" s="507"/>
      <c r="AE451" s="507"/>
      <c r="AF451" s="507"/>
      <c r="AG451" s="507"/>
      <c r="AH451" s="507"/>
      <c r="AI451" s="507"/>
      <c r="AJ451" s="507"/>
      <c r="AK451" s="507"/>
      <c r="AL451" s="507"/>
      <c r="AM451" s="507"/>
      <c r="AN451" s="507"/>
      <c r="AO451" s="507"/>
      <c r="AP451" s="507"/>
      <c r="AQ451" s="507"/>
      <c r="AR451" s="507"/>
      <c r="AS451" s="507"/>
      <c r="AT451" s="508"/>
      <c r="AU451" s="509"/>
      <c r="AV451" s="510" t="n">
        <f aca="false">A451</f>
        <v>0</v>
      </c>
      <c r="AW451" s="510" t="n">
        <f aca="false">B451</f>
        <v>0</v>
      </c>
      <c r="AX451" s="510" t="n">
        <f aca="false">C451</f>
        <v>0</v>
      </c>
      <c r="AY451" s="511" t="n">
        <f aca="false">ROUND($AY$6*AZ451/$AZ$5,2)</f>
        <v>0</v>
      </c>
      <c r="AZ451" s="502" t="n">
        <f aca="false">BA451+BL451</f>
        <v>0</v>
      </c>
      <c r="BA451" s="502" t="n">
        <f aca="false">SUM(BB451:BK451)</f>
        <v>0</v>
      </c>
      <c r="BB451" s="502" t="n">
        <f aca="false">IF($D451="是",I451-J451,0)</f>
        <v>0</v>
      </c>
      <c r="BC451" s="502" t="n">
        <f aca="false">IF($D451="是",K451-L451,0)</f>
        <v>0</v>
      </c>
      <c r="BD451" s="502" t="n">
        <f aca="false">IF($D451="是",M451-N451,0)</f>
        <v>0</v>
      </c>
      <c r="BE451" s="502" t="n">
        <f aca="false">IF($D451="是",O451-P451,0)</f>
        <v>0</v>
      </c>
      <c r="BF451" s="502" t="n">
        <f aca="false">IF($D451="是",Q451-R451,0)</f>
        <v>0</v>
      </c>
      <c r="BG451" s="502" t="n">
        <f aca="false">IF($D451="是",S451-T451,0)</f>
        <v>0</v>
      </c>
      <c r="BH451" s="502" t="n">
        <f aca="false">IF($D451="是",U451-V451,0)</f>
        <v>0</v>
      </c>
      <c r="BI451" s="502" t="n">
        <f aca="false">IF($D451="是",W451-X451,0)</f>
        <v>0</v>
      </c>
      <c r="BJ451" s="502" t="n">
        <f aca="false">IF($D451="是",Y451-Z451,0)</f>
        <v>0</v>
      </c>
      <c r="BK451" s="502" t="n">
        <f aca="false">IF($D451="是",AA451-AB451,0)</f>
        <v>0</v>
      </c>
      <c r="BL451" s="502" t="n">
        <f aca="false">SUM(BM451:BT451)</f>
        <v>0</v>
      </c>
      <c r="BM451" s="502" t="n">
        <f aca="false">IF($D451="是",AD451-AE451,0)</f>
        <v>0</v>
      </c>
      <c r="BN451" s="502" t="n">
        <f aca="false">IF($D451="是",AF451-AG451,0)</f>
        <v>0</v>
      </c>
      <c r="BO451" s="502" t="n">
        <f aca="false">IF($D451="是",AH451-AI451,0)</f>
        <v>0</v>
      </c>
      <c r="BP451" s="502" t="n">
        <f aca="false">IF($D451="是",AJ451-AK451,0)</f>
        <v>0</v>
      </c>
      <c r="BQ451" s="502" t="n">
        <f aca="false">IF($D451="是",AL451-AM451,0)</f>
        <v>0</v>
      </c>
      <c r="BR451" s="502" t="n">
        <f aca="false">IF($D451="是",AN451-AO451,0)</f>
        <v>0</v>
      </c>
      <c r="BS451" s="502" t="n">
        <f aca="false">IF($D451="是",AP451-AQ451,0)</f>
        <v>0</v>
      </c>
      <c r="BT451" s="512" t="n">
        <f aca="false">IF($D451="是",AR451-AS451,0)</f>
        <v>0</v>
      </c>
    </row>
    <row r="452" customFormat="false" ht="14.25" hidden="false" customHeight="false" outlineLevel="0" collapsed="false">
      <c r="A452" s="499"/>
      <c r="B452" s="500"/>
      <c r="C452" s="500"/>
      <c r="D452" s="501"/>
      <c r="E452" s="502" t="n">
        <f aca="false">IF($C$3="是",ROUND($A$3*G452/$B$3,2),ROUND($A$3*(G452-AT452)/$B$3,2))</f>
        <v>0</v>
      </c>
      <c r="F452" s="503"/>
      <c r="G452" s="504" t="n">
        <f aca="false">H452+AC452+AT452</f>
        <v>0</v>
      </c>
      <c r="H452" s="505" t="n">
        <f aca="false">SUMIF(I$12:AB$12,"总值",I452:AB452)</f>
        <v>0</v>
      </c>
      <c r="I452" s="506"/>
      <c r="J452" s="506"/>
      <c r="K452" s="506"/>
      <c r="L452" s="506"/>
      <c r="M452" s="506"/>
      <c r="N452" s="506"/>
      <c r="O452" s="506"/>
      <c r="P452" s="506"/>
      <c r="Q452" s="506"/>
      <c r="R452" s="506"/>
      <c r="S452" s="506"/>
      <c r="T452" s="506"/>
      <c r="U452" s="506"/>
      <c r="V452" s="506"/>
      <c r="W452" s="506"/>
      <c r="X452" s="506"/>
      <c r="Y452" s="506"/>
      <c r="Z452" s="506"/>
      <c r="AA452" s="506"/>
      <c r="AB452" s="506"/>
      <c r="AC452" s="502" t="n">
        <f aca="false">SUMIF(AD$12:AS$12,"总值",AD452:AS452)</f>
        <v>0</v>
      </c>
      <c r="AD452" s="507"/>
      <c r="AE452" s="507"/>
      <c r="AF452" s="507"/>
      <c r="AG452" s="507"/>
      <c r="AH452" s="507"/>
      <c r="AI452" s="507"/>
      <c r="AJ452" s="507"/>
      <c r="AK452" s="507"/>
      <c r="AL452" s="507"/>
      <c r="AM452" s="507"/>
      <c r="AN452" s="507"/>
      <c r="AO452" s="507"/>
      <c r="AP452" s="507"/>
      <c r="AQ452" s="507"/>
      <c r="AR452" s="507"/>
      <c r="AS452" s="507"/>
      <c r="AT452" s="508"/>
      <c r="AU452" s="509"/>
      <c r="AV452" s="510" t="n">
        <f aca="false">A452</f>
        <v>0</v>
      </c>
      <c r="AW452" s="510" t="n">
        <f aca="false">B452</f>
        <v>0</v>
      </c>
      <c r="AX452" s="510" t="n">
        <f aca="false">C452</f>
        <v>0</v>
      </c>
      <c r="AY452" s="511" t="n">
        <f aca="false">ROUND($AY$6*AZ452/$AZ$5,2)</f>
        <v>0</v>
      </c>
      <c r="AZ452" s="502" t="n">
        <f aca="false">BA452+BL452</f>
        <v>0</v>
      </c>
      <c r="BA452" s="502" t="n">
        <f aca="false">SUM(BB452:BK452)</f>
        <v>0</v>
      </c>
      <c r="BB452" s="502" t="n">
        <f aca="false">IF($D452="是",I452-J452,0)</f>
        <v>0</v>
      </c>
      <c r="BC452" s="502" t="n">
        <f aca="false">IF($D452="是",K452-L452,0)</f>
        <v>0</v>
      </c>
      <c r="BD452" s="502" t="n">
        <f aca="false">IF($D452="是",M452-N452,0)</f>
        <v>0</v>
      </c>
      <c r="BE452" s="502" t="n">
        <f aca="false">IF($D452="是",O452-P452,0)</f>
        <v>0</v>
      </c>
      <c r="BF452" s="502" t="n">
        <f aca="false">IF($D452="是",Q452-R452,0)</f>
        <v>0</v>
      </c>
      <c r="BG452" s="502" t="n">
        <f aca="false">IF($D452="是",S452-T452,0)</f>
        <v>0</v>
      </c>
      <c r="BH452" s="502" t="n">
        <f aca="false">IF($D452="是",U452-V452,0)</f>
        <v>0</v>
      </c>
      <c r="BI452" s="502" t="n">
        <f aca="false">IF($D452="是",W452-X452,0)</f>
        <v>0</v>
      </c>
      <c r="BJ452" s="502" t="n">
        <f aca="false">IF($D452="是",Y452-Z452,0)</f>
        <v>0</v>
      </c>
      <c r="BK452" s="502" t="n">
        <f aca="false">IF($D452="是",AA452-AB452,0)</f>
        <v>0</v>
      </c>
      <c r="BL452" s="502" t="n">
        <f aca="false">SUM(BM452:BT452)</f>
        <v>0</v>
      </c>
      <c r="BM452" s="502" t="n">
        <f aca="false">IF($D452="是",AD452-AE452,0)</f>
        <v>0</v>
      </c>
      <c r="BN452" s="502" t="n">
        <f aca="false">IF($D452="是",AF452-AG452,0)</f>
        <v>0</v>
      </c>
      <c r="BO452" s="502" t="n">
        <f aca="false">IF($D452="是",AH452-AI452,0)</f>
        <v>0</v>
      </c>
      <c r="BP452" s="502" t="n">
        <f aca="false">IF($D452="是",AJ452-AK452,0)</f>
        <v>0</v>
      </c>
      <c r="BQ452" s="502" t="n">
        <f aca="false">IF($D452="是",AL452-AM452,0)</f>
        <v>0</v>
      </c>
      <c r="BR452" s="502" t="n">
        <f aca="false">IF($D452="是",AN452-AO452,0)</f>
        <v>0</v>
      </c>
      <c r="BS452" s="502" t="n">
        <f aca="false">IF($D452="是",AP452-AQ452,0)</f>
        <v>0</v>
      </c>
      <c r="BT452" s="512" t="n">
        <f aca="false">IF($D452="是",AR452-AS452,0)</f>
        <v>0</v>
      </c>
    </row>
    <row r="453" customFormat="false" ht="14.25" hidden="false" customHeight="false" outlineLevel="0" collapsed="false">
      <c r="A453" s="499"/>
      <c r="B453" s="500"/>
      <c r="C453" s="500"/>
      <c r="D453" s="501"/>
      <c r="E453" s="502" t="n">
        <f aca="false">IF($C$3="是",ROUND($A$3*G453/$B$3,2),ROUND($A$3*(G453-AT453)/$B$3,2))</f>
        <v>0</v>
      </c>
      <c r="F453" s="503"/>
      <c r="G453" s="504" t="n">
        <f aca="false">H453+AC453+AT453</f>
        <v>0</v>
      </c>
      <c r="H453" s="505" t="n">
        <f aca="false">SUMIF(I$12:AB$12,"总值",I453:AB453)</f>
        <v>0</v>
      </c>
      <c r="I453" s="506"/>
      <c r="J453" s="506"/>
      <c r="K453" s="506"/>
      <c r="L453" s="506"/>
      <c r="M453" s="506"/>
      <c r="N453" s="506"/>
      <c r="O453" s="506"/>
      <c r="P453" s="506"/>
      <c r="Q453" s="506"/>
      <c r="R453" s="506"/>
      <c r="S453" s="506"/>
      <c r="T453" s="506"/>
      <c r="U453" s="506"/>
      <c r="V453" s="506"/>
      <c r="W453" s="506"/>
      <c r="X453" s="506"/>
      <c r="Y453" s="506"/>
      <c r="Z453" s="506"/>
      <c r="AA453" s="506"/>
      <c r="AB453" s="506"/>
      <c r="AC453" s="502" t="n">
        <f aca="false">SUMIF(AD$12:AS$12,"总值",AD453:AS453)</f>
        <v>0</v>
      </c>
      <c r="AD453" s="507"/>
      <c r="AE453" s="507"/>
      <c r="AF453" s="507"/>
      <c r="AG453" s="507"/>
      <c r="AH453" s="507"/>
      <c r="AI453" s="507"/>
      <c r="AJ453" s="507"/>
      <c r="AK453" s="507"/>
      <c r="AL453" s="507"/>
      <c r="AM453" s="507"/>
      <c r="AN453" s="507"/>
      <c r="AO453" s="507"/>
      <c r="AP453" s="507"/>
      <c r="AQ453" s="507"/>
      <c r="AR453" s="507"/>
      <c r="AS453" s="507"/>
      <c r="AT453" s="508"/>
      <c r="AU453" s="509"/>
      <c r="AV453" s="510" t="n">
        <f aca="false">A453</f>
        <v>0</v>
      </c>
      <c r="AW453" s="510" t="n">
        <f aca="false">B453</f>
        <v>0</v>
      </c>
      <c r="AX453" s="510" t="n">
        <f aca="false">C453</f>
        <v>0</v>
      </c>
      <c r="AY453" s="511" t="n">
        <f aca="false">ROUND($AY$6*AZ453/$AZ$5,2)</f>
        <v>0</v>
      </c>
      <c r="AZ453" s="502" t="n">
        <f aca="false">BA453+BL453</f>
        <v>0</v>
      </c>
      <c r="BA453" s="502" t="n">
        <f aca="false">SUM(BB453:BK453)</f>
        <v>0</v>
      </c>
      <c r="BB453" s="502" t="n">
        <f aca="false">IF($D453="是",I453-J453,0)</f>
        <v>0</v>
      </c>
      <c r="BC453" s="502" t="n">
        <f aca="false">IF($D453="是",K453-L453,0)</f>
        <v>0</v>
      </c>
      <c r="BD453" s="502" t="n">
        <f aca="false">IF($D453="是",M453-N453,0)</f>
        <v>0</v>
      </c>
      <c r="BE453" s="502" t="n">
        <f aca="false">IF($D453="是",O453-P453,0)</f>
        <v>0</v>
      </c>
      <c r="BF453" s="502" t="n">
        <f aca="false">IF($D453="是",Q453-R453,0)</f>
        <v>0</v>
      </c>
      <c r="BG453" s="502" t="n">
        <f aca="false">IF($D453="是",S453-T453,0)</f>
        <v>0</v>
      </c>
      <c r="BH453" s="502" t="n">
        <f aca="false">IF($D453="是",U453-V453,0)</f>
        <v>0</v>
      </c>
      <c r="BI453" s="502" t="n">
        <f aca="false">IF($D453="是",W453-X453,0)</f>
        <v>0</v>
      </c>
      <c r="BJ453" s="502" t="n">
        <f aca="false">IF($D453="是",Y453-Z453,0)</f>
        <v>0</v>
      </c>
      <c r="BK453" s="502" t="n">
        <f aca="false">IF($D453="是",AA453-AB453,0)</f>
        <v>0</v>
      </c>
      <c r="BL453" s="502" t="n">
        <f aca="false">SUM(BM453:BT453)</f>
        <v>0</v>
      </c>
      <c r="BM453" s="502" t="n">
        <f aca="false">IF($D453="是",AD453-AE453,0)</f>
        <v>0</v>
      </c>
      <c r="BN453" s="502" t="n">
        <f aca="false">IF($D453="是",AF453-AG453,0)</f>
        <v>0</v>
      </c>
      <c r="BO453" s="502" t="n">
        <f aca="false">IF($D453="是",AH453-AI453,0)</f>
        <v>0</v>
      </c>
      <c r="BP453" s="502" t="n">
        <f aca="false">IF($D453="是",AJ453-AK453,0)</f>
        <v>0</v>
      </c>
      <c r="BQ453" s="502" t="n">
        <f aca="false">IF($D453="是",AL453-AM453,0)</f>
        <v>0</v>
      </c>
      <c r="BR453" s="502" t="n">
        <f aca="false">IF($D453="是",AN453-AO453,0)</f>
        <v>0</v>
      </c>
      <c r="BS453" s="502" t="n">
        <f aca="false">IF($D453="是",AP453-AQ453,0)</f>
        <v>0</v>
      </c>
      <c r="BT453" s="512" t="n">
        <f aca="false">IF($D453="是",AR453-AS453,0)</f>
        <v>0</v>
      </c>
    </row>
    <row r="454" customFormat="false" ht="14.25" hidden="false" customHeight="false" outlineLevel="0" collapsed="false">
      <c r="A454" s="499"/>
      <c r="B454" s="500"/>
      <c r="C454" s="500"/>
      <c r="D454" s="501"/>
      <c r="E454" s="502" t="n">
        <f aca="false">IF($C$3="是",ROUND($A$3*G454/$B$3,2),ROUND($A$3*(G454-AT454)/$B$3,2))</f>
        <v>0</v>
      </c>
      <c r="F454" s="503"/>
      <c r="G454" s="504" t="n">
        <f aca="false">H454+AC454+AT454</f>
        <v>0</v>
      </c>
      <c r="H454" s="505" t="n">
        <f aca="false">SUMIF(I$12:AB$12,"总值",I454:AB454)</f>
        <v>0</v>
      </c>
      <c r="I454" s="506"/>
      <c r="J454" s="506"/>
      <c r="K454" s="506"/>
      <c r="L454" s="506"/>
      <c r="M454" s="506"/>
      <c r="N454" s="506"/>
      <c r="O454" s="506"/>
      <c r="P454" s="506"/>
      <c r="Q454" s="506"/>
      <c r="R454" s="506"/>
      <c r="S454" s="506"/>
      <c r="T454" s="506"/>
      <c r="U454" s="506"/>
      <c r="V454" s="506"/>
      <c r="W454" s="506"/>
      <c r="X454" s="506"/>
      <c r="Y454" s="506"/>
      <c r="Z454" s="506"/>
      <c r="AA454" s="506"/>
      <c r="AB454" s="506"/>
      <c r="AC454" s="502" t="n">
        <f aca="false">SUMIF(AD$12:AS$12,"总值",AD454:AS454)</f>
        <v>0</v>
      </c>
      <c r="AD454" s="507"/>
      <c r="AE454" s="507"/>
      <c r="AF454" s="507"/>
      <c r="AG454" s="507"/>
      <c r="AH454" s="507"/>
      <c r="AI454" s="507"/>
      <c r="AJ454" s="507"/>
      <c r="AK454" s="507"/>
      <c r="AL454" s="507"/>
      <c r="AM454" s="507"/>
      <c r="AN454" s="507"/>
      <c r="AO454" s="507"/>
      <c r="AP454" s="507"/>
      <c r="AQ454" s="507"/>
      <c r="AR454" s="507"/>
      <c r="AS454" s="507"/>
      <c r="AT454" s="508"/>
      <c r="AU454" s="509"/>
      <c r="AV454" s="510" t="n">
        <f aca="false">A454</f>
        <v>0</v>
      </c>
      <c r="AW454" s="510" t="n">
        <f aca="false">B454</f>
        <v>0</v>
      </c>
      <c r="AX454" s="510" t="n">
        <f aca="false">C454</f>
        <v>0</v>
      </c>
      <c r="AY454" s="511" t="n">
        <f aca="false">ROUND($AY$6*AZ454/$AZ$5,2)</f>
        <v>0</v>
      </c>
      <c r="AZ454" s="502" t="n">
        <f aca="false">BA454+BL454</f>
        <v>0</v>
      </c>
      <c r="BA454" s="502" t="n">
        <f aca="false">SUM(BB454:BK454)</f>
        <v>0</v>
      </c>
      <c r="BB454" s="502" t="n">
        <f aca="false">IF($D454="是",I454-J454,0)</f>
        <v>0</v>
      </c>
      <c r="BC454" s="502" t="n">
        <f aca="false">IF($D454="是",K454-L454,0)</f>
        <v>0</v>
      </c>
      <c r="BD454" s="502" t="n">
        <f aca="false">IF($D454="是",M454-N454,0)</f>
        <v>0</v>
      </c>
      <c r="BE454" s="502" t="n">
        <f aca="false">IF($D454="是",O454-P454,0)</f>
        <v>0</v>
      </c>
      <c r="BF454" s="502" t="n">
        <f aca="false">IF($D454="是",Q454-R454,0)</f>
        <v>0</v>
      </c>
      <c r="BG454" s="502" t="n">
        <f aca="false">IF($D454="是",S454-T454,0)</f>
        <v>0</v>
      </c>
      <c r="BH454" s="502" t="n">
        <f aca="false">IF($D454="是",U454-V454,0)</f>
        <v>0</v>
      </c>
      <c r="BI454" s="502" t="n">
        <f aca="false">IF($D454="是",W454-X454,0)</f>
        <v>0</v>
      </c>
      <c r="BJ454" s="502" t="n">
        <f aca="false">IF($D454="是",Y454-Z454,0)</f>
        <v>0</v>
      </c>
      <c r="BK454" s="502" t="n">
        <f aca="false">IF($D454="是",AA454-AB454,0)</f>
        <v>0</v>
      </c>
      <c r="BL454" s="502" t="n">
        <f aca="false">SUM(BM454:BT454)</f>
        <v>0</v>
      </c>
      <c r="BM454" s="502" t="n">
        <f aca="false">IF($D454="是",AD454-AE454,0)</f>
        <v>0</v>
      </c>
      <c r="BN454" s="502" t="n">
        <f aca="false">IF($D454="是",AF454-AG454,0)</f>
        <v>0</v>
      </c>
      <c r="BO454" s="502" t="n">
        <f aca="false">IF($D454="是",AH454-AI454,0)</f>
        <v>0</v>
      </c>
      <c r="BP454" s="502" t="n">
        <f aca="false">IF($D454="是",AJ454-AK454,0)</f>
        <v>0</v>
      </c>
      <c r="BQ454" s="502" t="n">
        <f aca="false">IF($D454="是",AL454-AM454,0)</f>
        <v>0</v>
      </c>
      <c r="BR454" s="502" t="n">
        <f aca="false">IF($D454="是",AN454-AO454,0)</f>
        <v>0</v>
      </c>
      <c r="BS454" s="502" t="n">
        <f aca="false">IF($D454="是",AP454-AQ454,0)</f>
        <v>0</v>
      </c>
      <c r="BT454" s="512" t="n">
        <f aca="false">IF($D454="是",AR454-AS454,0)</f>
        <v>0</v>
      </c>
    </row>
    <row r="455" customFormat="false" ht="14.25" hidden="false" customHeight="false" outlineLevel="0" collapsed="false">
      <c r="A455" s="499"/>
      <c r="B455" s="500"/>
      <c r="C455" s="500"/>
      <c r="D455" s="501"/>
      <c r="E455" s="502" t="n">
        <f aca="false">IF($C$3="是",ROUND($A$3*G455/$B$3,2),ROUND($A$3*(G455-AT455)/$B$3,2))</f>
        <v>0</v>
      </c>
      <c r="F455" s="503"/>
      <c r="G455" s="504" t="n">
        <f aca="false">H455+AC455+AT455</f>
        <v>0</v>
      </c>
      <c r="H455" s="505" t="n">
        <f aca="false">SUMIF(I$12:AB$12,"总值",I455:AB455)</f>
        <v>0</v>
      </c>
      <c r="I455" s="506"/>
      <c r="J455" s="506"/>
      <c r="K455" s="506"/>
      <c r="L455" s="506"/>
      <c r="M455" s="506"/>
      <c r="N455" s="506"/>
      <c r="O455" s="506"/>
      <c r="P455" s="506"/>
      <c r="Q455" s="506"/>
      <c r="R455" s="506"/>
      <c r="S455" s="506"/>
      <c r="T455" s="506"/>
      <c r="U455" s="506"/>
      <c r="V455" s="506"/>
      <c r="W455" s="506"/>
      <c r="X455" s="506"/>
      <c r="Y455" s="506"/>
      <c r="Z455" s="506"/>
      <c r="AA455" s="506"/>
      <c r="AB455" s="506"/>
      <c r="AC455" s="502" t="n">
        <f aca="false">SUMIF(AD$12:AS$12,"总值",AD455:AS455)</f>
        <v>0</v>
      </c>
      <c r="AD455" s="507"/>
      <c r="AE455" s="507"/>
      <c r="AF455" s="507"/>
      <c r="AG455" s="507"/>
      <c r="AH455" s="507"/>
      <c r="AI455" s="507"/>
      <c r="AJ455" s="507"/>
      <c r="AK455" s="507"/>
      <c r="AL455" s="507"/>
      <c r="AM455" s="507"/>
      <c r="AN455" s="507"/>
      <c r="AO455" s="507"/>
      <c r="AP455" s="507"/>
      <c r="AQ455" s="507"/>
      <c r="AR455" s="507"/>
      <c r="AS455" s="507"/>
      <c r="AT455" s="508"/>
      <c r="AU455" s="509"/>
      <c r="AV455" s="510" t="n">
        <f aca="false">A455</f>
        <v>0</v>
      </c>
      <c r="AW455" s="510" t="n">
        <f aca="false">B455</f>
        <v>0</v>
      </c>
      <c r="AX455" s="510" t="n">
        <f aca="false">C455</f>
        <v>0</v>
      </c>
      <c r="AY455" s="511" t="n">
        <f aca="false">ROUND($AY$6*AZ455/$AZ$5,2)</f>
        <v>0</v>
      </c>
      <c r="AZ455" s="502" t="n">
        <f aca="false">BA455+BL455</f>
        <v>0</v>
      </c>
      <c r="BA455" s="502" t="n">
        <f aca="false">SUM(BB455:BK455)</f>
        <v>0</v>
      </c>
      <c r="BB455" s="502" t="n">
        <f aca="false">IF($D455="是",I455-J455,0)</f>
        <v>0</v>
      </c>
      <c r="BC455" s="502" t="n">
        <f aca="false">IF($D455="是",K455-L455,0)</f>
        <v>0</v>
      </c>
      <c r="BD455" s="502" t="n">
        <f aca="false">IF($D455="是",M455-N455,0)</f>
        <v>0</v>
      </c>
      <c r="BE455" s="502" t="n">
        <f aca="false">IF($D455="是",O455-P455,0)</f>
        <v>0</v>
      </c>
      <c r="BF455" s="502" t="n">
        <f aca="false">IF($D455="是",Q455-R455,0)</f>
        <v>0</v>
      </c>
      <c r="BG455" s="502" t="n">
        <f aca="false">IF($D455="是",S455-T455,0)</f>
        <v>0</v>
      </c>
      <c r="BH455" s="502" t="n">
        <f aca="false">IF($D455="是",U455-V455,0)</f>
        <v>0</v>
      </c>
      <c r="BI455" s="502" t="n">
        <f aca="false">IF($D455="是",W455-X455,0)</f>
        <v>0</v>
      </c>
      <c r="BJ455" s="502" t="n">
        <f aca="false">IF($D455="是",Y455-Z455,0)</f>
        <v>0</v>
      </c>
      <c r="BK455" s="502" t="n">
        <f aca="false">IF($D455="是",AA455-AB455,0)</f>
        <v>0</v>
      </c>
      <c r="BL455" s="502" t="n">
        <f aca="false">SUM(BM455:BT455)</f>
        <v>0</v>
      </c>
      <c r="BM455" s="502" t="n">
        <f aca="false">IF($D455="是",AD455-AE455,0)</f>
        <v>0</v>
      </c>
      <c r="BN455" s="502" t="n">
        <f aca="false">IF($D455="是",AF455-AG455,0)</f>
        <v>0</v>
      </c>
      <c r="BO455" s="502" t="n">
        <f aca="false">IF($D455="是",AH455-AI455,0)</f>
        <v>0</v>
      </c>
      <c r="BP455" s="502" t="n">
        <f aca="false">IF($D455="是",AJ455-AK455,0)</f>
        <v>0</v>
      </c>
      <c r="BQ455" s="502" t="n">
        <f aca="false">IF($D455="是",AL455-AM455,0)</f>
        <v>0</v>
      </c>
      <c r="BR455" s="502" t="n">
        <f aca="false">IF($D455="是",AN455-AO455,0)</f>
        <v>0</v>
      </c>
      <c r="BS455" s="502" t="n">
        <f aca="false">IF($D455="是",AP455-AQ455,0)</f>
        <v>0</v>
      </c>
      <c r="BT455" s="512" t="n">
        <f aca="false">IF($D455="是",AR455-AS455,0)</f>
        <v>0</v>
      </c>
    </row>
    <row r="456" customFormat="false" ht="14.25" hidden="false" customHeight="false" outlineLevel="0" collapsed="false">
      <c r="A456" s="499"/>
      <c r="B456" s="500"/>
      <c r="C456" s="500"/>
      <c r="D456" s="501"/>
      <c r="E456" s="502" t="n">
        <f aca="false">IF($C$3="是",ROUND($A$3*G456/$B$3,2),ROUND($A$3*(G456-AT456)/$B$3,2))</f>
        <v>0</v>
      </c>
      <c r="F456" s="503"/>
      <c r="G456" s="504" t="n">
        <f aca="false">H456+AC456+AT456</f>
        <v>0</v>
      </c>
      <c r="H456" s="505" t="n">
        <f aca="false">SUMIF(I$12:AB$12,"总值",I456:AB456)</f>
        <v>0</v>
      </c>
      <c r="I456" s="506"/>
      <c r="J456" s="506"/>
      <c r="K456" s="506"/>
      <c r="L456" s="506"/>
      <c r="M456" s="506"/>
      <c r="N456" s="506"/>
      <c r="O456" s="506"/>
      <c r="P456" s="506"/>
      <c r="Q456" s="506"/>
      <c r="R456" s="506"/>
      <c r="S456" s="506"/>
      <c r="T456" s="506"/>
      <c r="U456" s="506"/>
      <c r="V456" s="506"/>
      <c r="W456" s="506"/>
      <c r="X456" s="506"/>
      <c r="Y456" s="506"/>
      <c r="Z456" s="506"/>
      <c r="AA456" s="506"/>
      <c r="AB456" s="506"/>
      <c r="AC456" s="502" t="n">
        <f aca="false">SUMIF(AD$12:AS$12,"总值",AD456:AS456)</f>
        <v>0</v>
      </c>
      <c r="AD456" s="507"/>
      <c r="AE456" s="507"/>
      <c r="AF456" s="507"/>
      <c r="AG456" s="507"/>
      <c r="AH456" s="507"/>
      <c r="AI456" s="507"/>
      <c r="AJ456" s="507"/>
      <c r="AK456" s="507"/>
      <c r="AL456" s="507"/>
      <c r="AM456" s="507"/>
      <c r="AN456" s="507"/>
      <c r="AO456" s="507"/>
      <c r="AP456" s="507"/>
      <c r="AQ456" s="507"/>
      <c r="AR456" s="507"/>
      <c r="AS456" s="507"/>
      <c r="AT456" s="508"/>
      <c r="AU456" s="509"/>
      <c r="AV456" s="510" t="n">
        <f aca="false">A456</f>
        <v>0</v>
      </c>
      <c r="AW456" s="510" t="n">
        <f aca="false">B456</f>
        <v>0</v>
      </c>
      <c r="AX456" s="510" t="n">
        <f aca="false">C456</f>
        <v>0</v>
      </c>
      <c r="AY456" s="511" t="n">
        <f aca="false">ROUND($AY$6*AZ456/$AZ$5,2)</f>
        <v>0</v>
      </c>
      <c r="AZ456" s="502" t="n">
        <f aca="false">BA456+BL456</f>
        <v>0</v>
      </c>
      <c r="BA456" s="502" t="n">
        <f aca="false">SUM(BB456:BK456)</f>
        <v>0</v>
      </c>
      <c r="BB456" s="502" t="n">
        <f aca="false">IF($D456="是",I456-J456,0)</f>
        <v>0</v>
      </c>
      <c r="BC456" s="502" t="n">
        <f aca="false">IF($D456="是",K456-L456,0)</f>
        <v>0</v>
      </c>
      <c r="BD456" s="502" t="n">
        <f aca="false">IF($D456="是",M456-N456,0)</f>
        <v>0</v>
      </c>
      <c r="BE456" s="502" t="n">
        <f aca="false">IF($D456="是",O456-P456,0)</f>
        <v>0</v>
      </c>
      <c r="BF456" s="502" t="n">
        <f aca="false">IF($D456="是",Q456-R456,0)</f>
        <v>0</v>
      </c>
      <c r="BG456" s="502" t="n">
        <f aca="false">IF($D456="是",S456-T456,0)</f>
        <v>0</v>
      </c>
      <c r="BH456" s="502" t="n">
        <f aca="false">IF($D456="是",U456-V456,0)</f>
        <v>0</v>
      </c>
      <c r="BI456" s="502" t="n">
        <f aca="false">IF($D456="是",W456-X456,0)</f>
        <v>0</v>
      </c>
      <c r="BJ456" s="502" t="n">
        <f aca="false">IF($D456="是",Y456-Z456,0)</f>
        <v>0</v>
      </c>
      <c r="BK456" s="502" t="n">
        <f aca="false">IF($D456="是",AA456-AB456,0)</f>
        <v>0</v>
      </c>
      <c r="BL456" s="502" t="n">
        <f aca="false">SUM(BM456:BT456)</f>
        <v>0</v>
      </c>
      <c r="BM456" s="502" t="n">
        <f aca="false">IF($D456="是",AD456-AE456,0)</f>
        <v>0</v>
      </c>
      <c r="BN456" s="502" t="n">
        <f aca="false">IF($D456="是",AF456-AG456,0)</f>
        <v>0</v>
      </c>
      <c r="BO456" s="502" t="n">
        <f aca="false">IF($D456="是",AH456-AI456,0)</f>
        <v>0</v>
      </c>
      <c r="BP456" s="502" t="n">
        <f aca="false">IF($D456="是",AJ456-AK456,0)</f>
        <v>0</v>
      </c>
      <c r="BQ456" s="502" t="n">
        <f aca="false">IF($D456="是",AL456-AM456,0)</f>
        <v>0</v>
      </c>
      <c r="BR456" s="502" t="n">
        <f aca="false">IF($D456="是",AN456-AO456,0)</f>
        <v>0</v>
      </c>
      <c r="BS456" s="502" t="n">
        <f aca="false">IF($D456="是",AP456-AQ456,0)</f>
        <v>0</v>
      </c>
      <c r="BT456" s="512" t="n">
        <f aca="false">IF($D456="是",AR456-AS456,0)</f>
        <v>0</v>
      </c>
    </row>
    <row r="457" customFormat="false" ht="14.25" hidden="false" customHeight="false" outlineLevel="0" collapsed="false">
      <c r="A457" s="499"/>
      <c r="B457" s="500"/>
      <c r="C457" s="500"/>
      <c r="D457" s="501"/>
      <c r="E457" s="502" t="n">
        <f aca="false">IF($C$3="是",ROUND($A$3*G457/$B$3,2),ROUND($A$3*(G457-AT457)/$B$3,2))</f>
        <v>0</v>
      </c>
      <c r="F457" s="503"/>
      <c r="G457" s="504" t="n">
        <f aca="false">H457+AC457+AT457</f>
        <v>0</v>
      </c>
      <c r="H457" s="505" t="n">
        <f aca="false">SUMIF(I$12:AB$12,"总值",I457:AB457)</f>
        <v>0</v>
      </c>
      <c r="I457" s="506"/>
      <c r="J457" s="506"/>
      <c r="K457" s="506"/>
      <c r="L457" s="506"/>
      <c r="M457" s="506"/>
      <c r="N457" s="506"/>
      <c r="O457" s="506"/>
      <c r="P457" s="506"/>
      <c r="Q457" s="506"/>
      <c r="R457" s="506"/>
      <c r="S457" s="506"/>
      <c r="T457" s="506"/>
      <c r="U457" s="506"/>
      <c r="V457" s="506"/>
      <c r="W457" s="506"/>
      <c r="X457" s="506"/>
      <c r="Y457" s="506"/>
      <c r="Z457" s="506"/>
      <c r="AA457" s="506"/>
      <c r="AB457" s="506"/>
      <c r="AC457" s="502" t="n">
        <f aca="false">SUMIF(AD$12:AS$12,"总值",AD457:AS457)</f>
        <v>0</v>
      </c>
      <c r="AD457" s="507"/>
      <c r="AE457" s="507"/>
      <c r="AF457" s="507"/>
      <c r="AG457" s="507"/>
      <c r="AH457" s="507"/>
      <c r="AI457" s="507"/>
      <c r="AJ457" s="507"/>
      <c r="AK457" s="507"/>
      <c r="AL457" s="507"/>
      <c r="AM457" s="507"/>
      <c r="AN457" s="507"/>
      <c r="AO457" s="507"/>
      <c r="AP457" s="507"/>
      <c r="AQ457" s="507"/>
      <c r="AR457" s="507"/>
      <c r="AS457" s="507"/>
      <c r="AT457" s="508"/>
      <c r="AU457" s="509"/>
      <c r="AV457" s="510" t="n">
        <f aca="false">A457</f>
        <v>0</v>
      </c>
      <c r="AW457" s="510" t="n">
        <f aca="false">B457</f>
        <v>0</v>
      </c>
      <c r="AX457" s="510" t="n">
        <f aca="false">C457</f>
        <v>0</v>
      </c>
      <c r="AY457" s="511" t="n">
        <f aca="false">ROUND($AY$6*AZ457/$AZ$5,2)</f>
        <v>0</v>
      </c>
      <c r="AZ457" s="502" t="n">
        <f aca="false">BA457+BL457</f>
        <v>0</v>
      </c>
      <c r="BA457" s="502" t="n">
        <f aca="false">SUM(BB457:BK457)</f>
        <v>0</v>
      </c>
      <c r="BB457" s="502" t="n">
        <f aca="false">IF($D457="是",I457-J457,0)</f>
        <v>0</v>
      </c>
      <c r="BC457" s="502" t="n">
        <f aca="false">IF($D457="是",K457-L457,0)</f>
        <v>0</v>
      </c>
      <c r="BD457" s="502" t="n">
        <f aca="false">IF($D457="是",M457-N457,0)</f>
        <v>0</v>
      </c>
      <c r="BE457" s="502" t="n">
        <f aca="false">IF($D457="是",O457-P457,0)</f>
        <v>0</v>
      </c>
      <c r="BF457" s="502" t="n">
        <f aca="false">IF($D457="是",Q457-R457,0)</f>
        <v>0</v>
      </c>
      <c r="BG457" s="502" t="n">
        <f aca="false">IF($D457="是",S457-T457,0)</f>
        <v>0</v>
      </c>
      <c r="BH457" s="502" t="n">
        <f aca="false">IF($D457="是",U457-V457,0)</f>
        <v>0</v>
      </c>
      <c r="BI457" s="502" t="n">
        <f aca="false">IF($D457="是",W457-X457,0)</f>
        <v>0</v>
      </c>
      <c r="BJ457" s="502" t="n">
        <f aca="false">IF($D457="是",Y457-Z457,0)</f>
        <v>0</v>
      </c>
      <c r="BK457" s="502" t="n">
        <f aca="false">IF($D457="是",AA457-AB457,0)</f>
        <v>0</v>
      </c>
      <c r="BL457" s="502" t="n">
        <f aca="false">SUM(BM457:BT457)</f>
        <v>0</v>
      </c>
      <c r="BM457" s="502" t="n">
        <f aca="false">IF($D457="是",AD457-AE457,0)</f>
        <v>0</v>
      </c>
      <c r="BN457" s="502" t="n">
        <f aca="false">IF($D457="是",AF457-AG457,0)</f>
        <v>0</v>
      </c>
      <c r="BO457" s="502" t="n">
        <f aca="false">IF($D457="是",AH457-AI457,0)</f>
        <v>0</v>
      </c>
      <c r="BP457" s="502" t="n">
        <f aca="false">IF($D457="是",AJ457-AK457,0)</f>
        <v>0</v>
      </c>
      <c r="BQ457" s="502" t="n">
        <f aca="false">IF($D457="是",AL457-AM457,0)</f>
        <v>0</v>
      </c>
      <c r="BR457" s="502" t="n">
        <f aca="false">IF($D457="是",AN457-AO457,0)</f>
        <v>0</v>
      </c>
      <c r="BS457" s="502" t="n">
        <f aca="false">IF($D457="是",AP457-AQ457,0)</f>
        <v>0</v>
      </c>
      <c r="BT457" s="512" t="n">
        <f aca="false">IF($D457="是",AR457-AS457,0)</f>
        <v>0</v>
      </c>
    </row>
    <row r="458" customFormat="false" ht="14.25" hidden="false" customHeight="false" outlineLevel="0" collapsed="false">
      <c r="A458" s="499"/>
      <c r="B458" s="500"/>
      <c r="C458" s="500"/>
      <c r="D458" s="501"/>
      <c r="E458" s="502" t="n">
        <f aca="false">IF($C$3="是",ROUND($A$3*G458/$B$3,2),ROUND($A$3*(G458-AT458)/$B$3,2))</f>
        <v>0</v>
      </c>
      <c r="F458" s="503"/>
      <c r="G458" s="504" t="n">
        <f aca="false">H458+AC458+AT458</f>
        <v>0</v>
      </c>
      <c r="H458" s="505" t="n">
        <f aca="false">SUMIF(I$12:AB$12,"总值",I458:AB458)</f>
        <v>0</v>
      </c>
      <c r="I458" s="506"/>
      <c r="J458" s="506"/>
      <c r="K458" s="506"/>
      <c r="L458" s="506"/>
      <c r="M458" s="506"/>
      <c r="N458" s="506"/>
      <c r="O458" s="506"/>
      <c r="P458" s="506"/>
      <c r="Q458" s="506"/>
      <c r="R458" s="506"/>
      <c r="S458" s="506"/>
      <c r="T458" s="506"/>
      <c r="U458" s="506"/>
      <c r="V458" s="506"/>
      <c r="W458" s="506"/>
      <c r="X458" s="506"/>
      <c r="Y458" s="506"/>
      <c r="Z458" s="506"/>
      <c r="AA458" s="506"/>
      <c r="AB458" s="506"/>
      <c r="AC458" s="502" t="n">
        <f aca="false">SUMIF(AD$12:AS$12,"总值",AD458:AS458)</f>
        <v>0</v>
      </c>
      <c r="AD458" s="507"/>
      <c r="AE458" s="507"/>
      <c r="AF458" s="507"/>
      <c r="AG458" s="507"/>
      <c r="AH458" s="507"/>
      <c r="AI458" s="507"/>
      <c r="AJ458" s="507"/>
      <c r="AK458" s="507"/>
      <c r="AL458" s="507"/>
      <c r="AM458" s="507"/>
      <c r="AN458" s="507"/>
      <c r="AO458" s="507"/>
      <c r="AP458" s="507"/>
      <c r="AQ458" s="507"/>
      <c r="AR458" s="507"/>
      <c r="AS458" s="507"/>
      <c r="AT458" s="508"/>
      <c r="AU458" s="509"/>
      <c r="AV458" s="510" t="n">
        <f aca="false">A458</f>
        <v>0</v>
      </c>
      <c r="AW458" s="510" t="n">
        <f aca="false">B458</f>
        <v>0</v>
      </c>
      <c r="AX458" s="510" t="n">
        <f aca="false">C458</f>
        <v>0</v>
      </c>
      <c r="AY458" s="511" t="n">
        <f aca="false">ROUND($AY$6*AZ458/$AZ$5,2)</f>
        <v>0</v>
      </c>
      <c r="AZ458" s="502" t="n">
        <f aca="false">BA458+BL458</f>
        <v>0</v>
      </c>
      <c r="BA458" s="502" t="n">
        <f aca="false">SUM(BB458:BK458)</f>
        <v>0</v>
      </c>
      <c r="BB458" s="502" t="n">
        <f aca="false">IF($D458="是",I458-J458,0)</f>
        <v>0</v>
      </c>
      <c r="BC458" s="502" t="n">
        <f aca="false">IF($D458="是",K458-L458,0)</f>
        <v>0</v>
      </c>
      <c r="BD458" s="502" t="n">
        <f aca="false">IF($D458="是",M458-N458,0)</f>
        <v>0</v>
      </c>
      <c r="BE458" s="502" t="n">
        <f aca="false">IF($D458="是",O458-P458,0)</f>
        <v>0</v>
      </c>
      <c r="BF458" s="502" t="n">
        <f aca="false">IF($D458="是",Q458-R458,0)</f>
        <v>0</v>
      </c>
      <c r="BG458" s="502" t="n">
        <f aca="false">IF($D458="是",S458-T458,0)</f>
        <v>0</v>
      </c>
      <c r="BH458" s="502" t="n">
        <f aca="false">IF($D458="是",U458-V458,0)</f>
        <v>0</v>
      </c>
      <c r="BI458" s="502" t="n">
        <f aca="false">IF($D458="是",W458-X458,0)</f>
        <v>0</v>
      </c>
      <c r="BJ458" s="502" t="n">
        <f aca="false">IF($D458="是",Y458-Z458,0)</f>
        <v>0</v>
      </c>
      <c r="BK458" s="502" t="n">
        <f aca="false">IF($D458="是",AA458-AB458,0)</f>
        <v>0</v>
      </c>
      <c r="BL458" s="502" t="n">
        <f aca="false">SUM(BM458:BT458)</f>
        <v>0</v>
      </c>
      <c r="BM458" s="502" t="n">
        <f aca="false">IF($D458="是",AD458-AE458,0)</f>
        <v>0</v>
      </c>
      <c r="BN458" s="502" t="n">
        <f aca="false">IF($D458="是",AF458-AG458,0)</f>
        <v>0</v>
      </c>
      <c r="BO458" s="502" t="n">
        <f aca="false">IF($D458="是",AH458-AI458,0)</f>
        <v>0</v>
      </c>
      <c r="BP458" s="502" t="n">
        <f aca="false">IF($D458="是",AJ458-AK458,0)</f>
        <v>0</v>
      </c>
      <c r="BQ458" s="502" t="n">
        <f aca="false">IF($D458="是",AL458-AM458,0)</f>
        <v>0</v>
      </c>
      <c r="BR458" s="502" t="n">
        <f aca="false">IF($D458="是",AN458-AO458,0)</f>
        <v>0</v>
      </c>
      <c r="BS458" s="502" t="n">
        <f aca="false">IF($D458="是",AP458-AQ458,0)</f>
        <v>0</v>
      </c>
      <c r="BT458" s="512" t="n">
        <f aca="false">IF($D458="是",AR458-AS458,0)</f>
        <v>0</v>
      </c>
    </row>
    <row r="459" customFormat="false" ht="14.25" hidden="false" customHeight="false" outlineLevel="0" collapsed="false">
      <c r="A459" s="499"/>
      <c r="B459" s="500"/>
      <c r="C459" s="500"/>
      <c r="D459" s="501"/>
      <c r="E459" s="502" t="n">
        <f aca="false">IF($C$3="是",ROUND($A$3*G459/$B$3,2),ROUND($A$3*(G459-AT459)/$B$3,2))</f>
        <v>0</v>
      </c>
      <c r="F459" s="503"/>
      <c r="G459" s="504" t="n">
        <f aca="false">H459+AC459+AT459</f>
        <v>0</v>
      </c>
      <c r="H459" s="505" t="n">
        <f aca="false">SUMIF(I$12:AB$12,"总值",I459:AB459)</f>
        <v>0</v>
      </c>
      <c r="I459" s="506"/>
      <c r="J459" s="506"/>
      <c r="K459" s="506"/>
      <c r="L459" s="506"/>
      <c r="M459" s="506"/>
      <c r="N459" s="506"/>
      <c r="O459" s="506"/>
      <c r="P459" s="506"/>
      <c r="Q459" s="506"/>
      <c r="R459" s="506"/>
      <c r="S459" s="506"/>
      <c r="T459" s="506"/>
      <c r="U459" s="506"/>
      <c r="V459" s="506"/>
      <c r="W459" s="506"/>
      <c r="X459" s="506"/>
      <c r="Y459" s="506"/>
      <c r="Z459" s="506"/>
      <c r="AA459" s="506"/>
      <c r="AB459" s="506"/>
      <c r="AC459" s="502" t="n">
        <f aca="false">SUMIF(AD$12:AS$12,"总值",AD459:AS459)</f>
        <v>0</v>
      </c>
      <c r="AD459" s="507"/>
      <c r="AE459" s="507"/>
      <c r="AF459" s="507"/>
      <c r="AG459" s="507"/>
      <c r="AH459" s="507"/>
      <c r="AI459" s="507"/>
      <c r="AJ459" s="507"/>
      <c r="AK459" s="507"/>
      <c r="AL459" s="507"/>
      <c r="AM459" s="507"/>
      <c r="AN459" s="507"/>
      <c r="AO459" s="507"/>
      <c r="AP459" s="507"/>
      <c r="AQ459" s="507"/>
      <c r="AR459" s="507"/>
      <c r="AS459" s="507"/>
      <c r="AT459" s="508"/>
      <c r="AU459" s="509"/>
      <c r="AV459" s="510" t="n">
        <f aca="false">A459</f>
        <v>0</v>
      </c>
      <c r="AW459" s="510" t="n">
        <f aca="false">B459</f>
        <v>0</v>
      </c>
      <c r="AX459" s="510" t="n">
        <f aca="false">C459</f>
        <v>0</v>
      </c>
      <c r="AY459" s="511" t="n">
        <f aca="false">ROUND($AY$6*AZ459/$AZ$5,2)</f>
        <v>0</v>
      </c>
      <c r="AZ459" s="502" t="n">
        <f aca="false">BA459+BL459</f>
        <v>0</v>
      </c>
      <c r="BA459" s="502" t="n">
        <f aca="false">SUM(BB459:BK459)</f>
        <v>0</v>
      </c>
      <c r="BB459" s="502" t="n">
        <f aca="false">IF($D459="是",I459-J459,0)</f>
        <v>0</v>
      </c>
      <c r="BC459" s="502" t="n">
        <f aca="false">IF($D459="是",K459-L459,0)</f>
        <v>0</v>
      </c>
      <c r="BD459" s="502" t="n">
        <f aca="false">IF($D459="是",M459-N459,0)</f>
        <v>0</v>
      </c>
      <c r="BE459" s="502" t="n">
        <f aca="false">IF($D459="是",O459-P459,0)</f>
        <v>0</v>
      </c>
      <c r="BF459" s="502" t="n">
        <f aca="false">IF($D459="是",Q459-R459,0)</f>
        <v>0</v>
      </c>
      <c r="BG459" s="502" t="n">
        <f aca="false">IF($D459="是",S459-T459,0)</f>
        <v>0</v>
      </c>
      <c r="BH459" s="502" t="n">
        <f aca="false">IF($D459="是",U459-V459,0)</f>
        <v>0</v>
      </c>
      <c r="BI459" s="502" t="n">
        <f aca="false">IF($D459="是",W459-X459,0)</f>
        <v>0</v>
      </c>
      <c r="BJ459" s="502" t="n">
        <f aca="false">IF($D459="是",Y459-Z459,0)</f>
        <v>0</v>
      </c>
      <c r="BK459" s="502" t="n">
        <f aca="false">IF($D459="是",AA459-AB459,0)</f>
        <v>0</v>
      </c>
      <c r="BL459" s="502" t="n">
        <f aca="false">SUM(BM459:BT459)</f>
        <v>0</v>
      </c>
      <c r="BM459" s="502" t="n">
        <f aca="false">IF($D459="是",AD459-AE459,0)</f>
        <v>0</v>
      </c>
      <c r="BN459" s="502" t="n">
        <f aca="false">IF($D459="是",AF459-AG459,0)</f>
        <v>0</v>
      </c>
      <c r="BO459" s="502" t="n">
        <f aca="false">IF($D459="是",AH459-AI459,0)</f>
        <v>0</v>
      </c>
      <c r="BP459" s="502" t="n">
        <f aca="false">IF($D459="是",AJ459-AK459,0)</f>
        <v>0</v>
      </c>
      <c r="BQ459" s="502" t="n">
        <f aca="false">IF($D459="是",AL459-AM459,0)</f>
        <v>0</v>
      </c>
      <c r="BR459" s="502" t="n">
        <f aca="false">IF($D459="是",AN459-AO459,0)</f>
        <v>0</v>
      </c>
      <c r="BS459" s="502" t="n">
        <f aca="false">IF($D459="是",AP459-AQ459,0)</f>
        <v>0</v>
      </c>
      <c r="BT459" s="512" t="n">
        <f aca="false">IF($D459="是",AR459-AS459,0)</f>
        <v>0</v>
      </c>
    </row>
    <row r="460" customFormat="false" ht="14.25" hidden="false" customHeight="false" outlineLevel="0" collapsed="false">
      <c r="A460" s="499"/>
      <c r="B460" s="500"/>
      <c r="C460" s="500"/>
      <c r="D460" s="501"/>
      <c r="E460" s="502" t="n">
        <f aca="false">IF($C$3="是",ROUND($A$3*G460/$B$3,2),ROUND($A$3*(G460-AT460)/$B$3,2))</f>
        <v>0</v>
      </c>
      <c r="F460" s="503"/>
      <c r="G460" s="504" t="n">
        <f aca="false">H460+AC460+AT460</f>
        <v>0</v>
      </c>
      <c r="H460" s="505" t="n">
        <f aca="false">SUMIF(I$12:AB$12,"总值",I460:AB460)</f>
        <v>0</v>
      </c>
      <c r="I460" s="506"/>
      <c r="J460" s="506"/>
      <c r="K460" s="506"/>
      <c r="L460" s="506"/>
      <c r="M460" s="506"/>
      <c r="N460" s="506"/>
      <c r="O460" s="506"/>
      <c r="P460" s="506"/>
      <c r="Q460" s="506"/>
      <c r="R460" s="506"/>
      <c r="S460" s="506"/>
      <c r="T460" s="506"/>
      <c r="U460" s="506"/>
      <c r="V460" s="506"/>
      <c r="W460" s="506"/>
      <c r="X460" s="506"/>
      <c r="Y460" s="506"/>
      <c r="Z460" s="506"/>
      <c r="AA460" s="506"/>
      <c r="AB460" s="506"/>
      <c r="AC460" s="502" t="n">
        <f aca="false">SUMIF(AD$12:AS$12,"总值",AD460:AS460)</f>
        <v>0</v>
      </c>
      <c r="AD460" s="507"/>
      <c r="AE460" s="507"/>
      <c r="AF460" s="507"/>
      <c r="AG460" s="507"/>
      <c r="AH460" s="507"/>
      <c r="AI460" s="507"/>
      <c r="AJ460" s="507"/>
      <c r="AK460" s="507"/>
      <c r="AL460" s="507"/>
      <c r="AM460" s="507"/>
      <c r="AN460" s="507"/>
      <c r="AO460" s="507"/>
      <c r="AP460" s="507"/>
      <c r="AQ460" s="507"/>
      <c r="AR460" s="507"/>
      <c r="AS460" s="507"/>
      <c r="AT460" s="508"/>
      <c r="AU460" s="509"/>
      <c r="AV460" s="510" t="n">
        <f aca="false">A460</f>
        <v>0</v>
      </c>
      <c r="AW460" s="510" t="n">
        <f aca="false">B460</f>
        <v>0</v>
      </c>
      <c r="AX460" s="510" t="n">
        <f aca="false">C460</f>
        <v>0</v>
      </c>
      <c r="AY460" s="511" t="n">
        <f aca="false">ROUND($AY$6*AZ460/$AZ$5,2)</f>
        <v>0</v>
      </c>
      <c r="AZ460" s="502" t="n">
        <f aca="false">BA460+BL460</f>
        <v>0</v>
      </c>
      <c r="BA460" s="502" t="n">
        <f aca="false">SUM(BB460:BK460)</f>
        <v>0</v>
      </c>
      <c r="BB460" s="502" t="n">
        <f aca="false">IF($D460="是",I460-J460,0)</f>
        <v>0</v>
      </c>
      <c r="BC460" s="502" t="n">
        <f aca="false">IF($D460="是",K460-L460,0)</f>
        <v>0</v>
      </c>
      <c r="BD460" s="502" t="n">
        <f aca="false">IF($D460="是",M460-N460,0)</f>
        <v>0</v>
      </c>
      <c r="BE460" s="502" t="n">
        <f aca="false">IF($D460="是",O460-P460,0)</f>
        <v>0</v>
      </c>
      <c r="BF460" s="502" t="n">
        <f aca="false">IF($D460="是",Q460-R460,0)</f>
        <v>0</v>
      </c>
      <c r="BG460" s="502" t="n">
        <f aca="false">IF($D460="是",S460-T460,0)</f>
        <v>0</v>
      </c>
      <c r="BH460" s="502" t="n">
        <f aca="false">IF($D460="是",U460-V460,0)</f>
        <v>0</v>
      </c>
      <c r="BI460" s="502" t="n">
        <f aca="false">IF($D460="是",W460-X460,0)</f>
        <v>0</v>
      </c>
      <c r="BJ460" s="502" t="n">
        <f aca="false">IF($D460="是",Y460-Z460,0)</f>
        <v>0</v>
      </c>
      <c r="BK460" s="502" t="n">
        <f aca="false">IF($D460="是",AA460-AB460,0)</f>
        <v>0</v>
      </c>
      <c r="BL460" s="502" t="n">
        <f aca="false">SUM(BM460:BT460)</f>
        <v>0</v>
      </c>
      <c r="BM460" s="502" t="n">
        <f aca="false">IF($D460="是",AD460-AE460,0)</f>
        <v>0</v>
      </c>
      <c r="BN460" s="502" t="n">
        <f aca="false">IF($D460="是",AF460-AG460,0)</f>
        <v>0</v>
      </c>
      <c r="BO460" s="502" t="n">
        <f aca="false">IF($D460="是",AH460-AI460,0)</f>
        <v>0</v>
      </c>
      <c r="BP460" s="502" t="n">
        <f aca="false">IF($D460="是",AJ460-AK460,0)</f>
        <v>0</v>
      </c>
      <c r="BQ460" s="502" t="n">
        <f aca="false">IF($D460="是",AL460-AM460,0)</f>
        <v>0</v>
      </c>
      <c r="BR460" s="502" t="n">
        <f aca="false">IF($D460="是",AN460-AO460,0)</f>
        <v>0</v>
      </c>
      <c r="BS460" s="502" t="n">
        <f aca="false">IF($D460="是",AP460-AQ460,0)</f>
        <v>0</v>
      </c>
      <c r="BT460" s="512" t="n">
        <f aca="false">IF($D460="是",AR460-AS460,0)</f>
        <v>0</v>
      </c>
    </row>
    <row r="461" customFormat="false" ht="14.25" hidden="false" customHeight="false" outlineLevel="0" collapsed="false">
      <c r="A461" s="499"/>
      <c r="B461" s="500"/>
      <c r="C461" s="500"/>
      <c r="D461" s="501"/>
      <c r="E461" s="502" t="n">
        <f aca="false">IF($C$3="是",ROUND($A$3*G461/$B$3,2),ROUND($A$3*(G461-AT461)/$B$3,2))</f>
        <v>0</v>
      </c>
      <c r="F461" s="503"/>
      <c r="G461" s="504" t="n">
        <f aca="false">H461+AC461+AT461</f>
        <v>0</v>
      </c>
      <c r="H461" s="505" t="n">
        <f aca="false">SUMIF(I$12:AB$12,"总值",I461:AB461)</f>
        <v>0</v>
      </c>
      <c r="I461" s="506"/>
      <c r="J461" s="506"/>
      <c r="K461" s="506"/>
      <c r="L461" s="506"/>
      <c r="M461" s="506"/>
      <c r="N461" s="506"/>
      <c r="O461" s="506"/>
      <c r="P461" s="506"/>
      <c r="Q461" s="506"/>
      <c r="R461" s="506"/>
      <c r="S461" s="506"/>
      <c r="T461" s="506"/>
      <c r="U461" s="506"/>
      <c r="V461" s="506"/>
      <c r="W461" s="506"/>
      <c r="X461" s="506"/>
      <c r="Y461" s="506"/>
      <c r="Z461" s="506"/>
      <c r="AA461" s="506"/>
      <c r="AB461" s="506"/>
      <c r="AC461" s="502" t="n">
        <f aca="false">SUMIF(AD$12:AS$12,"总值",AD461:AS461)</f>
        <v>0</v>
      </c>
      <c r="AD461" s="507"/>
      <c r="AE461" s="507"/>
      <c r="AF461" s="507"/>
      <c r="AG461" s="507"/>
      <c r="AH461" s="507"/>
      <c r="AI461" s="507"/>
      <c r="AJ461" s="507"/>
      <c r="AK461" s="507"/>
      <c r="AL461" s="507"/>
      <c r="AM461" s="507"/>
      <c r="AN461" s="507"/>
      <c r="AO461" s="507"/>
      <c r="AP461" s="507"/>
      <c r="AQ461" s="507"/>
      <c r="AR461" s="507"/>
      <c r="AS461" s="507"/>
      <c r="AT461" s="508"/>
      <c r="AU461" s="509"/>
      <c r="AV461" s="510" t="n">
        <f aca="false">A461</f>
        <v>0</v>
      </c>
      <c r="AW461" s="510" t="n">
        <f aca="false">B461</f>
        <v>0</v>
      </c>
      <c r="AX461" s="510" t="n">
        <f aca="false">C461</f>
        <v>0</v>
      </c>
      <c r="AY461" s="511" t="n">
        <f aca="false">ROUND($AY$6*AZ461/$AZ$5,2)</f>
        <v>0</v>
      </c>
      <c r="AZ461" s="502" t="n">
        <f aca="false">BA461+BL461</f>
        <v>0</v>
      </c>
      <c r="BA461" s="502" t="n">
        <f aca="false">SUM(BB461:BK461)</f>
        <v>0</v>
      </c>
      <c r="BB461" s="502" t="n">
        <f aca="false">IF($D461="是",I461-J461,0)</f>
        <v>0</v>
      </c>
      <c r="BC461" s="502" t="n">
        <f aca="false">IF($D461="是",K461-L461,0)</f>
        <v>0</v>
      </c>
      <c r="BD461" s="502" t="n">
        <f aca="false">IF($D461="是",M461-N461,0)</f>
        <v>0</v>
      </c>
      <c r="BE461" s="502" t="n">
        <f aca="false">IF($D461="是",O461-P461,0)</f>
        <v>0</v>
      </c>
      <c r="BF461" s="502" t="n">
        <f aca="false">IF($D461="是",Q461-R461,0)</f>
        <v>0</v>
      </c>
      <c r="BG461" s="502" t="n">
        <f aca="false">IF($D461="是",S461-T461,0)</f>
        <v>0</v>
      </c>
      <c r="BH461" s="502" t="n">
        <f aca="false">IF($D461="是",U461-V461,0)</f>
        <v>0</v>
      </c>
      <c r="BI461" s="502" t="n">
        <f aca="false">IF($D461="是",W461-X461,0)</f>
        <v>0</v>
      </c>
      <c r="BJ461" s="502" t="n">
        <f aca="false">IF($D461="是",Y461-Z461,0)</f>
        <v>0</v>
      </c>
      <c r="BK461" s="502" t="n">
        <f aca="false">IF($D461="是",AA461-AB461,0)</f>
        <v>0</v>
      </c>
      <c r="BL461" s="502" t="n">
        <f aca="false">SUM(BM461:BT461)</f>
        <v>0</v>
      </c>
      <c r="BM461" s="502" t="n">
        <f aca="false">IF($D461="是",AD461-AE461,0)</f>
        <v>0</v>
      </c>
      <c r="BN461" s="502" t="n">
        <f aca="false">IF($D461="是",AF461-AG461,0)</f>
        <v>0</v>
      </c>
      <c r="BO461" s="502" t="n">
        <f aca="false">IF($D461="是",AH461-AI461,0)</f>
        <v>0</v>
      </c>
      <c r="BP461" s="502" t="n">
        <f aca="false">IF($D461="是",AJ461-AK461,0)</f>
        <v>0</v>
      </c>
      <c r="BQ461" s="502" t="n">
        <f aca="false">IF($D461="是",AL461-AM461,0)</f>
        <v>0</v>
      </c>
      <c r="BR461" s="502" t="n">
        <f aca="false">IF($D461="是",AN461-AO461,0)</f>
        <v>0</v>
      </c>
      <c r="BS461" s="502" t="n">
        <f aca="false">IF($D461="是",AP461-AQ461,0)</f>
        <v>0</v>
      </c>
      <c r="BT461" s="512" t="n">
        <f aca="false">IF($D461="是",AR461-AS461,0)</f>
        <v>0</v>
      </c>
    </row>
    <row r="462" customFormat="false" ht="14.25" hidden="false" customHeight="false" outlineLevel="0" collapsed="false">
      <c r="A462" s="499"/>
      <c r="B462" s="500"/>
      <c r="C462" s="500"/>
      <c r="D462" s="501"/>
      <c r="E462" s="502" t="n">
        <f aca="false">IF($C$3="是",ROUND($A$3*G462/$B$3,2),ROUND($A$3*(G462-AT462)/$B$3,2))</f>
        <v>0</v>
      </c>
      <c r="F462" s="503"/>
      <c r="G462" s="504" t="n">
        <f aca="false">H462+AC462+AT462</f>
        <v>0</v>
      </c>
      <c r="H462" s="505" t="n">
        <f aca="false">SUMIF(I$12:AB$12,"总值",I462:AB462)</f>
        <v>0</v>
      </c>
      <c r="I462" s="506"/>
      <c r="J462" s="506"/>
      <c r="K462" s="506"/>
      <c r="L462" s="506"/>
      <c r="M462" s="506"/>
      <c r="N462" s="506"/>
      <c r="O462" s="506"/>
      <c r="P462" s="506"/>
      <c r="Q462" s="506"/>
      <c r="R462" s="506"/>
      <c r="S462" s="506"/>
      <c r="T462" s="506"/>
      <c r="U462" s="506"/>
      <c r="V462" s="506"/>
      <c r="W462" s="506"/>
      <c r="X462" s="506"/>
      <c r="Y462" s="506"/>
      <c r="Z462" s="506"/>
      <c r="AA462" s="506"/>
      <c r="AB462" s="506"/>
      <c r="AC462" s="502" t="n">
        <f aca="false">SUMIF(AD$12:AS$12,"总值",AD462:AS462)</f>
        <v>0</v>
      </c>
      <c r="AD462" s="507"/>
      <c r="AE462" s="507"/>
      <c r="AF462" s="507"/>
      <c r="AG462" s="507"/>
      <c r="AH462" s="507"/>
      <c r="AI462" s="507"/>
      <c r="AJ462" s="507"/>
      <c r="AK462" s="507"/>
      <c r="AL462" s="507"/>
      <c r="AM462" s="507"/>
      <c r="AN462" s="507"/>
      <c r="AO462" s="507"/>
      <c r="AP462" s="507"/>
      <c r="AQ462" s="507"/>
      <c r="AR462" s="507"/>
      <c r="AS462" s="507"/>
      <c r="AT462" s="508"/>
      <c r="AU462" s="509"/>
      <c r="AV462" s="510" t="n">
        <f aca="false">A462</f>
        <v>0</v>
      </c>
      <c r="AW462" s="510" t="n">
        <f aca="false">B462</f>
        <v>0</v>
      </c>
      <c r="AX462" s="510" t="n">
        <f aca="false">C462</f>
        <v>0</v>
      </c>
      <c r="AY462" s="511" t="n">
        <f aca="false">ROUND($AY$6*AZ462/$AZ$5,2)</f>
        <v>0</v>
      </c>
      <c r="AZ462" s="502" t="n">
        <f aca="false">BA462+BL462</f>
        <v>0</v>
      </c>
      <c r="BA462" s="502" t="n">
        <f aca="false">SUM(BB462:BK462)</f>
        <v>0</v>
      </c>
      <c r="BB462" s="502" t="n">
        <f aca="false">IF($D462="是",I462-J462,0)</f>
        <v>0</v>
      </c>
      <c r="BC462" s="502" t="n">
        <f aca="false">IF($D462="是",K462-L462,0)</f>
        <v>0</v>
      </c>
      <c r="BD462" s="502" t="n">
        <f aca="false">IF($D462="是",M462-N462,0)</f>
        <v>0</v>
      </c>
      <c r="BE462" s="502" t="n">
        <f aca="false">IF($D462="是",O462-P462,0)</f>
        <v>0</v>
      </c>
      <c r="BF462" s="502" t="n">
        <f aca="false">IF($D462="是",Q462-R462,0)</f>
        <v>0</v>
      </c>
      <c r="BG462" s="502" t="n">
        <f aca="false">IF($D462="是",S462-T462,0)</f>
        <v>0</v>
      </c>
      <c r="BH462" s="502" t="n">
        <f aca="false">IF($D462="是",U462-V462,0)</f>
        <v>0</v>
      </c>
      <c r="BI462" s="502" t="n">
        <f aca="false">IF($D462="是",W462-X462,0)</f>
        <v>0</v>
      </c>
      <c r="BJ462" s="502" t="n">
        <f aca="false">IF($D462="是",Y462-Z462,0)</f>
        <v>0</v>
      </c>
      <c r="BK462" s="502" t="n">
        <f aca="false">IF($D462="是",AA462-AB462,0)</f>
        <v>0</v>
      </c>
      <c r="BL462" s="502" t="n">
        <f aca="false">SUM(BM462:BT462)</f>
        <v>0</v>
      </c>
      <c r="BM462" s="502" t="n">
        <f aca="false">IF($D462="是",AD462-AE462,0)</f>
        <v>0</v>
      </c>
      <c r="BN462" s="502" t="n">
        <f aca="false">IF($D462="是",AF462-AG462,0)</f>
        <v>0</v>
      </c>
      <c r="BO462" s="502" t="n">
        <f aca="false">IF($D462="是",AH462-AI462,0)</f>
        <v>0</v>
      </c>
      <c r="BP462" s="502" t="n">
        <f aca="false">IF($D462="是",AJ462-AK462,0)</f>
        <v>0</v>
      </c>
      <c r="BQ462" s="502" t="n">
        <f aca="false">IF($D462="是",AL462-AM462,0)</f>
        <v>0</v>
      </c>
      <c r="BR462" s="502" t="n">
        <f aca="false">IF($D462="是",AN462-AO462,0)</f>
        <v>0</v>
      </c>
      <c r="BS462" s="502" t="n">
        <f aca="false">IF($D462="是",AP462-AQ462,0)</f>
        <v>0</v>
      </c>
      <c r="BT462" s="512" t="n">
        <f aca="false">IF($D462="是",AR462-AS462,0)</f>
        <v>0</v>
      </c>
    </row>
    <row r="463" customFormat="false" ht="14.25" hidden="false" customHeight="false" outlineLevel="0" collapsed="false">
      <c r="A463" s="499"/>
      <c r="B463" s="500"/>
      <c r="C463" s="500"/>
      <c r="D463" s="501"/>
      <c r="E463" s="502" t="n">
        <f aca="false">IF($C$3="是",ROUND($A$3*G463/$B$3,2),ROUND($A$3*(G463-AT463)/$B$3,2))</f>
        <v>0</v>
      </c>
      <c r="F463" s="503"/>
      <c r="G463" s="504" t="n">
        <f aca="false">H463+AC463+AT463</f>
        <v>0</v>
      </c>
      <c r="H463" s="505" t="n">
        <f aca="false">SUMIF(I$12:AB$12,"总值",I463:AB463)</f>
        <v>0</v>
      </c>
      <c r="I463" s="506"/>
      <c r="J463" s="506"/>
      <c r="K463" s="506"/>
      <c r="L463" s="506"/>
      <c r="M463" s="506"/>
      <c r="N463" s="506"/>
      <c r="O463" s="506"/>
      <c r="P463" s="506"/>
      <c r="Q463" s="506"/>
      <c r="R463" s="506"/>
      <c r="S463" s="506"/>
      <c r="T463" s="506"/>
      <c r="U463" s="506"/>
      <c r="V463" s="506"/>
      <c r="W463" s="506"/>
      <c r="X463" s="506"/>
      <c r="Y463" s="506"/>
      <c r="Z463" s="506"/>
      <c r="AA463" s="506"/>
      <c r="AB463" s="506"/>
      <c r="AC463" s="502" t="n">
        <f aca="false">SUMIF(AD$12:AS$12,"总值",AD463:AS463)</f>
        <v>0</v>
      </c>
      <c r="AD463" s="507"/>
      <c r="AE463" s="507"/>
      <c r="AF463" s="507"/>
      <c r="AG463" s="507"/>
      <c r="AH463" s="507"/>
      <c r="AI463" s="507"/>
      <c r="AJ463" s="507"/>
      <c r="AK463" s="507"/>
      <c r="AL463" s="507"/>
      <c r="AM463" s="507"/>
      <c r="AN463" s="507"/>
      <c r="AO463" s="507"/>
      <c r="AP463" s="507"/>
      <c r="AQ463" s="507"/>
      <c r="AR463" s="507"/>
      <c r="AS463" s="507"/>
      <c r="AT463" s="508"/>
      <c r="AU463" s="509"/>
      <c r="AV463" s="510" t="n">
        <f aca="false">A463</f>
        <v>0</v>
      </c>
      <c r="AW463" s="510" t="n">
        <f aca="false">B463</f>
        <v>0</v>
      </c>
      <c r="AX463" s="510" t="n">
        <f aca="false">C463</f>
        <v>0</v>
      </c>
      <c r="AY463" s="511" t="n">
        <f aca="false">ROUND($AY$6*AZ463/$AZ$5,2)</f>
        <v>0</v>
      </c>
      <c r="AZ463" s="502" t="n">
        <f aca="false">BA463+BL463</f>
        <v>0</v>
      </c>
      <c r="BA463" s="502" t="n">
        <f aca="false">SUM(BB463:BK463)</f>
        <v>0</v>
      </c>
      <c r="BB463" s="502" t="n">
        <f aca="false">IF($D463="是",I463-J463,0)</f>
        <v>0</v>
      </c>
      <c r="BC463" s="502" t="n">
        <f aca="false">IF($D463="是",K463-L463,0)</f>
        <v>0</v>
      </c>
      <c r="BD463" s="502" t="n">
        <f aca="false">IF($D463="是",M463-N463,0)</f>
        <v>0</v>
      </c>
      <c r="BE463" s="502" t="n">
        <f aca="false">IF($D463="是",O463-P463,0)</f>
        <v>0</v>
      </c>
      <c r="BF463" s="502" t="n">
        <f aca="false">IF($D463="是",Q463-R463,0)</f>
        <v>0</v>
      </c>
      <c r="BG463" s="502" t="n">
        <f aca="false">IF($D463="是",S463-T463,0)</f>
        <v>0</v>
      </c>
      <c r="BH463" s="502" t="n">
        <f aca="false">IF($D463="是",U463-V463,0)</f>
        <v>0</v>
      </c>
      <c r="BI463" s="502" t="n">
        <f aca="false">IF($D463="是",W463-X463,0)</f>
        <v>0</v>
      </c>
      <c r="BJ463" s="502" t="n">
        <f aca="false">IF($D463="是",Y463-Z463,0)</f>
        <v>0</v>
      </c>
      <c r="BK463" s="502" t="n">
        <f aca="false">IF($D463="是",AA463-AB463,0)</f>
        <v>0</v>
      </c>
      <c r="BL463" s="502" t="n">
        <f aca="false">SUM(BM463:BT463)</f>
        <v>0</v>
      </c>
      <c r="BM463" s="502" t="n">
        <f aca="false">IF($D463="是",AD463-AE463,0)</f>
        <v>0</v>
      </c>
      <c r="BN463" s="502" t="n">
        <f aca="false">IF($D463="是",AF463-AG463,0)</f>
        <v>0</v>
      </c>
      <c r="BO463" s="502" t="n">
        <f aca="false">IF($D463="是",AH463-AI463,0)</f>
        <v>0</v>
      </c>
      <c r="BP463" s="502" t="n">
        <f aca="false">IF($D463="是",AJ463-AK463,0)</f>
        <v>0</v>
      </c>
      <c r="BQ463" s="502" t="n">
        <f aca="false">IF($D463="是",AL463-AM463,0)</f>
        <v>0</v>
      </c>
      <c r="BR463" s="502" t="n">
        <f aca="false">IF($D463="是",AN463-AO463,0)</f>
        <v>0</v>
      </c>
      <c r="BS463" s="502" t="n">
        <f aca="false">IF($D463="是",AP463-AQ463,0)</f>
        <v>0</v>
      </c>
      <c r="BT463" s="512" t="n">
        <f aca="false">IF($D463="是",AR463-AS463,0)</f>
        <v>0</v>
      </c>
    </row>
    <row r="464" customFormat="false" ht="14.25" hidden="false" customHeight="false" outlineLevel="0" collapsed="false">
      <c r="A464" s="499"/>
      <c r="B464" s="500"/>
      <c r="C464" s="500"/>
      <c r="D464" s="501"/>
      <c r="E464" s="502" t="n">
        <f aca="false">IF($C$3="是",ROUND($A$3*G464/$B$3,2),ROUND($A$3*(G464-AT464)/$B$3,2))</f>
        <v>0</v>
      </c>
      <c r="F464" s="503"/>
      <c r="G464" s="504" t="n">
        <f aca="false">H464+AC464+AT464</f>
        <v>0</v>
      </c>
      <c r="H464" s="505" t="n">
        <f aca="false">SUMIF(I$12:AB$12,"总值",I464:AB464)</f>
        <v>0</v>
      </c>
      <c r="I464" s="506"/>
      <c r="J464" s="506"/>
      <c r="K464" s="506"/>
      <c r="L464" s="506"/>
      <c r="M464" s="506"/>
      <c r="N464" s="506"/>
      <c r="O464" s="506"/>
      <c r="P464" s="506"/>
      <c r="Q464" s="506"/>
      <c r="R464" s="506"/>
      <c r="S464" s="506"/>
      <c r="T464" s="506"/>
      <c r="U464" s="506"/>
      <c r="V464" s="506"/>
      <c r="W464" s="506"/>
      <c r="X464" s="506"/>
      <c r="Y464" s="506"/>
      <c r="Z464" s="506"/>
      <c r="AA464" s="506"/>
      <c r="AB464" s="506"/>
      <c r="AC464" s="502" t="n">
        <f aca="false">SUMIF(AD$12:AS$12,"总值",AD464:AS464)</f>
        <v>0</v>
      </c>
      <c r="AD464" s="507"/>
      <c r="AE464" s="507"/>
      <c r="AF464" s="507"/>
      <c r="AG464" s="507"/>
      <c r="AH464" s="507"/>
      <c r="AI464" s="507"/>
      <c r="AJ464" s="507"/>
      <c r="AK464" s="507"/>
      <c r="AL464" s="507"/>
      <c r="AM464" s="507"/>
      <c r="AN464" s="507"/>
      <c r="AO464" s="507"/>
      <c r="AP464" s="507"/>
      <c r="AQ464" s="507"/>
      <c r="AR464" s="507"/>
      <c r="AS464" s="507"/>
      <c r="AT464" s="508"/>
      <c r="AU464" s="509"/>
      <c r="AV464" s="510" t="n">
        <f aca="false">A464</f>
        <v>0</v>
      </c>
      <c r="AW464" s="510" t="n">
        <f aca="false">B464</f>
        <v>0</v>
      </c>
      <c r="AX464" s="510" t="n">
        <f aca="false">C464</f>
        <v>0</v>
      </c>
      <c r="AY464" s="511" t="n">
        <f aca="false">ROUND($AY$6*AZ464/$AZ$5,2)</f>
        <v>0</v>
      </c>
      <c r="AZ464" s="502" t="n">
        <f aca="false">BA464+BL464</f>
        <v>0</v>
      </c>
      <c r="BA464" s="502" t="n">
        <f aca="false">SUM(BB464:BK464)</f>
        <v>0</v>
      </c>
      <c r="BB464" s="502" t="n">
        <f aca="false">IF($D464="是",I464-J464,0)</f>
        <v>0</v>
      </c>
      <c r="BC464" s="502" t="n">
        <f aca="false">IF($D464="是",K464-L464,0)</f>
        <v>0</v>
      </c>
      <c r="BD464" s="502" t="n">
        <f aca="false">IF($D464="是",M464-N464,0)</f>
        <v>0</v>
      </c>
      <c r="BE464" s="502" t="n">
        <f aca="false">IF($D464="是",O464-P464,0)</f>
        <v>0</v>
      </c>
      <c r="BF464" s="502" t="n">
        <f aca="false">IF($D464="是",Q464-R464,0)</f>
        <v>0</v>
      </c>
      <c r="BG464" s="502" t="n">
        <f aca="false">IF($D464="是",S464-T464,0)</f>
        <v>0</v>
      </c>
      <c r="BH464" s="502" t="n">
        <f aca="false">IF($D464="是",U464-V464,0)</f>
        <v>0</v>
      </c>
      <c r="BI464" s="502" t="n">
        <f aca="false">IF($D464="是",W464-X464,0)</f>
        <v>0</v>
      </c>
      <c r="BJ464" s="502" t="n">
        <f aca="false">IF($D464="是",Y464-Z464,0)</f>
        <v>0</v>
      </c>
      <c r="BK464" s="502" t="n">
        <f aca="false">IF($D464="是",AA464-AB464,0)</f>
        <v>0</v>
      </c>
      <c r="BL464" s="502" t="n">
        <f aca="false">SUM(BM464:BT464)</f>
        <v>0</v>
      </c>
      <c r="BM464" s="502" t="n">
        <f aca="false">IF($D464="是",AD464-AE464,0)</f>
        <v>0</v>
      </c>
      <c r="BN464" s="502" t="n">
        <f aca="false">IF($D464="是",AF464-AG464,0)</f>
        <v>0</v>
      </c>
      <c r="BO464" s="502" t="n">
        <f aca="false">IF($D464="是",AH464-AI464,0)</f>
        <v>0</v>
      </c>
      <c r="BP464" s="502" t="n">
        <f aca="false">IF($D464="是",AJ464-AK464,0)</f>
        <v>0</v>
      </c>
      <c r="BQ464" s="502" t="n">
        <f aca="false">IF($D464="是",AL464-AM464,0)</f>
        <v>0</v>
      </c>
      <c r="BR464" s="502" t="n">
        <f aca="false">IF($D464="是",AN464-AO464,0)</f>
        <v>0</v>
      </c>
      <c r="BS464" s="502" t="n">
        <f aca="false">IF($D464="是",AP464-AQ464,0)</f>
        <v>0</v>
      </c>
      <c r="BT464" s="512" t="n">
        <f aca="false">IF($D464="是",AR464-AS464,0)</f>
        <v>0</v>
      </c>
    </row>
    <row r="465" customFormat="false" ht="14.25" hidden="false" customHeight="false" outlineLevel="0" collapsed="false">
      <c r="A465" s="499"/>
      <c r="B465" s="500"/>
      <c r="C465" s="500"/>
      <c r="D465" s="501"/>
      <c r="E465" s="502" t="n">
        <f aca="false">IF($C$3="是",ROUND($A$3*G465/$B$3,2),ROUND($A$3*(G465-AT465)/$B$3,2))</f>
        <v>0</v>
      </c>
      <c r="F465" s="503"/>
      <c r="G465" s="504" t="n">
        <f aca="false">H465+AC465+AT465</f>
        <v>0</v>
      </c>
      <c r="H465" s="505" t="n">
        <f aca="false">SUMIF(I$12:AB$12,"总值",I465:AB465)</f>
        <v>0</v>
      </c>
      <c r="I465" s="506"/>
      <c r="J465" s="506"/>
      <c r="K465" s="506"/>
      <c r="L465" s="506"/>
      <c r="M465" s="506"/>
      <c r="N465" s="506"/>
      <c r="O465" s="506"/>
      <c r="P465" s="506"/>
      <c r="Q465" s="506"/>
      <c r="R465" s="506"/>
      <c r="S465" s="506"/>
      <c r="T465" s="506"/>
      <c r="U465" s="506"/>
      <c r="V465" s="506"/>
      <c r="W465" s="506"/>
      <c r="X465" s="506"/>
      <c r="Y465" s="506"/>
      <c r="Z465" s="506"/>
      <c r="AA465" s="506"/>
      <c r="AB465" s="506"/>
      <c r="AC465" s="502" t="n">
        <f aca="false">SUMIF(AD$12:AS$12,"总值",AD465:AS465)</f>
        <v>0</v>
      </c>
      <c r="AD465" s="507"/>
      <c r="AE465" s="507"/>
      <c r="AF465" s="507"/>
      <c r="AG465" s="507"/>
      <c r="AH465" s="507"/>
      <c r="AI465" s="507"/>
      <c r="AJ465" s="507"/>
      <c r="AK465" s="507"/>
      <c r="AL465" s="507"/>
      <c r="AM465" s="507"/>
      <c r="AN465" s="507"/>
      <c r="AO465" s="507"/>
      <c r="AP465" s="507"/>
      <c r="AQ465" s="507"/>
      <c r="AR465" s="507"/>
      <c r="AS465" s="507"/>
      <c r="AT465" s="508"/>
      <c r="AU465" s="509"/>
      <c r="AV465" s="510" t="n">
        <f aca="false">A465</f>
        <v>0</v>
      </c>
      <c r="AW465" s="510" t="n">
        <f aca="false">B465</f>
        <v>0</v>
      </c>
      <c r="AX465" s="510" t="n">
        <f aca="false">C465</f>
        <v>0</v>
      </c>
      <c r="AY465" s="511" t="n">
        <f aca="false">ROUND($AY$6*AZ465/$AZ$5,2)</f>
        <v>0</v>
      </c>
      <c r="AZ465" s="502" t="n">
        <f aca="false">BA465+BL465</f>
        <v>0</v>
      </c>
      <c r="BA465" s="502" t="n">
        <f aca="false">SUM(BB465:BK465)</f>
        <v>0</v>
      </c>
      <c r="BB465" s="502" t="n">
        <f aca="false">IF($D465="是",I465-J465,0)</f>
        <v>0</v>
      </c>
      <c r="BC465" s="502" t="n">
        <f aca="false">IF($D465="是",K465-L465,0)</f>
        <v>0</v>
      </c>
      <c r="BD465" s="502" t="n">
        <f aca="false">IF($D465="是",M465-N465,0)</f>
        <v>0</v>
      </c>
      <c r="BE465" s="502" t="n">
        <f aca="false">IF($D465="是",O465-P465,0)</f>
        <v>0</v>
      </c>
      <c r="BF465" s="502" t="n">
        <f aca="false">IF($D465="是",Q465-R465,0)</f>
        <v>0</v>
      </c>
      <c r="BG465" s="502" t="n">
        <f aca="false">IF($D465="是",S465-T465,0)</f>
        <v>0</v>
      </c>
      <c r="BH465" s="502" t="n">
        <f aca="false">IF($D465="是",U465-V465,0)</f>
        <v>0</v>
      </c>
      <c r="BI465" s="502" t="n">
        <f aca="false">IF($D465="是",W465-X465,0)</f>
        <v>0</v>
      </c>
      <c r="BJ465" s="502" t="n">
        <f aca="false">IF($D465="是",Y465-Z465,0)</f>
        <v>0</v>
      </c>
      <c r="BK465" s="502" t="n">
        <f aca="false">IF($D465="是",AA465-AB465,0)</f>
        <v>0</v>
      </c>
      <c r="BL465" s="502" t="n">
        <f aca="false">SUM(BM465:BT465)</f>
        <v>0</v>
      </c>
      <c r="BM465" s="502" t="n">
        <f aca="false">IF($D465="是",AD465-AE465,0)</f>
        <v>0</v>
      </c>
      <c r="BN465" s="502" t="n">
        <f aca="false">IF($D465="是",AF465-AG465,0)</f>
        <v>0</v>
      </c>
      <c r="BO465" s="502" t="n">
        <f aca="false">IF($D465="是",AH465-AI465,0)</f>
        <v>0</v>
      </c>
      <c r="BP465" s="502" t="n">
        <f aca="false">IF($D465="是",AJ465-AK465,0)</f>
        <v>0</v>
      </c>
      <c r="BQ465" s="502" t="n">
        <f aca="false">IF($D465="是",AL465-AM465,0)</f>
        <v>0</v>
      </c>
      <c r="BR465" s="502" t="n">
        <f aca="false">IF($D465="是",AN465-AO465,0)</f>
        <v>0</v>
      </c>
      <c r="BS465" s="502" t="n">
        <f aca="false">IF($D465="是",AP465-AQ465,0)</f>
        <v>0</v>
      </c>
      <c r="BT465" s="512" t="n">
        <f aca="false">IF($D465="是",AR465-AS465,0)</f>
        <v>0</v>
      </c>
    </row>
    <row r="466" customFormat="false" ht="14.25" hidden="false" customHeight="false" outlineLevel="0" collapsed="false">
      <c r="A466" s="499"/>
      <c r="B466" s="500"/>
      <c r="C466" s="500"/>
      <c r="D466" s="501"/>
      <c r="E466" s="502" t="n">
        <f aca="false">IF($C$3="是",ROUND($A$3*G466/$B$3,2),ROUND($A$3*(G466-AT466)/$B$3,2))</f>
        <v>0</v>
      </c>
      <c r="F466" s="503"/>
      <c r="G466" s="504" t="n">
        <f aca="false">H466+AC466+AT466</f>
        <v>0</v>
      </c>
      <c r="H466" s="505" t="n">
        <f aca="false">SUMIF(I$12:AB$12,"总值",I466:AB466)</f>
        <v>0</v>
      </c>
      <c r="I466" s="506"/>
      <c r="J466" s="506"/>
      <c r="K466" s="506"/>
      <c r="L466" s="506"/>
      <c r="M466" s="506"/>
      <c r="N466" s="506"/>
      <c r="O466" s="506"/>
      <c r="P466" s="506"/>
      <c r="Q466" s="506"/>
      <c r="R466" s="506"/>
      <c r="S466" s="506"/>
      <c r="T466" s="506"/>
      <c r="U466" s="506"/>
      <c r="V466" s="506"/>
      <c r="W466" s="506"/>
      <c r="X466" s="506"/>
      <c r="Y466" s="506"/>
      <c r="Z466" s="506"/>
      <c r="AA466" s="506"/>
      <c r="AB466" s="506"/>
      <c r="AC466" s="502" t="n">
        <f aca="false">SUMIF(AD$12:AS$12,"总值",AD466:AS466)</f>
        <v>0</v>
      </c>
      <c r="AD466" s="507"/>
      <c r="AE466" s="507"/>
      <c r="AF466" s="507"/>
      <c r="AG466" s="507"/>
      <c r="AH466" s="507"/>
      <c r="AI466" s="507"/>
      <c r="AJ466" s="507"/>
      <c r="AK466" s="507"/>
      <c r="AL466" s="507"/>
      <c r="AM466" s="507"/>
      <c r="AN466" s="507"/>
      <c r="AO466" s="507"/>
      <c r="AP466" s="507"/>
      <c r="AQ466" s="507"/>
      <c r="AR466" s="507"/>
      <c r="AS466" s="507"/>
      <c r="AT466" s="508"/>
      <c r="AU466" s="509"/>
      <c r="AV466" s="510" t="n">
        <f aca="false">A466</f>
        <v>0</v>
      </c>
      <c r="AW466" s="510" t="n">
        <f aca="false">B466</f>
        <v>0</v>
      </c>
      <c r="AX466" s="510" t="n">
        <f aca="false">C466</f>
        <v>0</v>
      </c>
      <c r="AY466" s="511" t="n">
        <f aca="false">ROUND($AY$6*AZ466/$AZ$5,2)</f>
        <v>0</v>
      </c>
      <c r="AZ466" s="502" t="n">
        <f aca="false">BA466+BL466</f>
        <v>0</v>
      </c>
      <c r="BA466" s="502" t="n">
        <f aca="false">SUM(BB466:BK466)</f>
        <v>0</v>
      </c>
      <c r="BB466" s="502" t="n">
        <f aca="false">IF($D466="是",I466-J466,0)</f>
        <v>0</v>
      </c>
      <c r="BC466" s="502" t="n">
        <f aca="false">IF($D466="是",K466-L466,0)</f>
        <v>0</v>
      </c>
      <c r="BD466" s="502" t="n">
        <f aca="false">IF($D466="是",M466-N466,0)</f>
        <v>0</v>
      </c>
      <c r="BE466" s="502" t="n">
        <f aca="false">IF($D466="是",O466-P466,0)</f>
        <v>0</v>
      </c>
      <c r="BF466" s="502" t="n">
        <f aca="false">IF($D466="是",Q466-R466,0)</f>
        <v>0</v>
      </c>
      <c r="BG466" s="502" t="n">
        <f aca="false">IF($D466="是",S466-T466,0)</f>
        <v>0</v>
      </c>
      <c r="BH466" s="502" t="n">
        <f aca="false">IF($D466="是",U466-V466,0)</f>
        <v>0</v>
      </c>
      <c r="BI466" s="502" t="n">
        <f aca="false">IF($D466="是",W466-X466,0)</f>
        <v>0</v>
      </c>
      <c r="BJ466" s="502" t="n">
        <f aca="false">IF($D466="是",Y466-Z466,0)</f>
        <v>0</v>
      </c>
      <c r="BK466" s="502" t="n">
        <f aca="false">IF($D466="是",AA466-AB466,0)</f>
        <v>0</v>
      </c>
      <c r="BL466" s="502" t="n">
        <f aca="false">SUM(BM466:BT466)</f>
        <v>0</v>
      </c>
      <c r="BM466" s="502" t="n">
        <f aca="false">IF($D466="是",AD466-AE466,0)</f>
        <v>0</v>
      </c>
      <c r="BN466" s="502" t="n">
        <f aca="false">IF($D466="是",AF466-AG466,0)</f>
        <v>0</v>
      </c>
      <c r="BO466" s="502" t="n">
        <f aca="false">IF($D466="是",AH466-AI466,0)</f>
        <v>0</v>
      </c>
      <c r="BP466" s="502" t="n">
        <f aca="false">IF($D466="是",AJ466-AK466,0)</f>
        <v>0</v>
      </c>
      <c r="BQ466" s="502" t="n">
        <f aca="false">IF($D466="是",AL466-AM466,0)</f>
        <v>0</v>
      </c>
      <c r="BR466" s="502" t="n">
        <f aca="false">IF($D466="是",AN466-AO466,0)</f>
        <v>0</v>
      </c>
      <c r="BS466" s="502" t="n">
        <f aca="false">IF($D466="是",AP466-AQ466,0)</f>
        <v>0</v>
      </c>
      <c r="BT466" s="512" t="n">
        <f aca="false">IF($D466="是",AR466-AS466,0)</f>
        <v>0</v>
      </c>
    </row>
    <row r="467" customFormat="false" ht="14.25" hidden="false" customHeight="false" outlineLevel="0" collapsed="false">
      <c r="A467" s="499"/>
      <c r="B467" s="500"/>
      <c r="C467" s="500"/>
      <c r="D467" s="501"/>
      <c r="E467" s="502" t="n">
        <f aca="false">IF($C$3="是",ROUND($A$3*G467/$B$3,2),ROUND($A$3*(G467-AT467)/$B$3,2))</f>
        <v>0</v>
      </c>
      <c r="F467" s="503"/>
      <c r="G467" s="504" t="n">
        <f aca="false">H467+AC467+AT467</f>
        <v>0</v>
      </c>
      <c r="H467" s="505" t="n">
        <f aca="false">SUMIF(I$12:AB$12,"总值",I467:AB467)</f>
        <v>0</v>
      </c>
      <c r="I467" s="506"/>
      <c r="J467" s="506"/>
      <c r="K467" s="506"/>
      <c r="L467" s="506"/>
      <c r="M467" s="506"/>
      <c r="N467" s="506"/>
      <c r="O467" s="506"/>
      <c r="P467" s="506"/>
      <c r="Q467" s="506"/>
      <c r="R467" s="506"/>
      <c r="S467" s="506"/>
      <c r="T467" s="506"/>
      <c r="U467" s="506"/>
      <c r="V467" s="506"/>
      <c r="W467" s="506"/>
      <c r="X467" s="506"/>
      <c r="Y467" s="506"/>
      <c r="Z467" s="506"/>
      <c r="AA467" s="506"/>
      <c r="AB467" s="506"/>
      <c r="AC467" s="502" t="n">
        <f aca="false">SUMIF(AD$12:AS$12,"总值",AD467:AS467)</f>
        <v>0</v>
      </c>
      <c r="AD467" s="507"/>
      <c r="AE467" s="507"/>
      <c r="AF467" s="507"/>
      <c r="AG467" s="507"/>
      <c r="AH467" s="507"/>
      <c r="AI467" s="507"/>
      <c r="AJ467" s="507"/>
      <c r="AK467" s="507"/>
      <c r="AL467" s="507"/>
      <c r="AM467" s="507"/>
      <c r="AN467" s="507"/>
      <c r="AO467" s="507"/>
      <c r="AP467" s="507"/>
      <c r="AQ467" s="507"/>
      <c r="AR467" s="507"/>
      <c r="AS467" s="507"/>
      <c r="AT467" s="508"/>
      <c r="AU467" s="509"/>
      <c r="AV467" s="510" t="n">
        <f aca="false">A467</f>
        <v>0</v>
      </c>
      <c r="AW467" s="510" t="n">
        <f aca="false">B467</f>
        <v>0</v>
      </c>
      <c r="AX467" s="510" t="n">
        <f aca="false">C467</f>
        <v>0</v>
      </c>
      <c r="AY467" s="511" t="n">
        <f aca="false">ROUND($AY$6*AZ467/$AZ$5,2)</f>
        <v>0</v>
      </c>
      <c r="AZ467" s="502" t="n">
        <f aca="false">BA467+BL467</f>
        <v>0</v>
      </c>
      <c r="BA467" s="502" t="n">
        <f aca="false">SUM(BB467:BK467)</f>
        <v>0</v>
      </c>
      <c r="BB467" s="502" t="n">
        <f aca="false">IF($D467="是",I467-J467,0)</f>
        <v>0</v>
      </c>
      <c r="BC467" s="502" t="n">
        <f aca="false">IF($D467="是",K467-L467,0)</f>
        <v>0</v>
      </c>
      <c r="BD467" s="502" t="n">
        <f aca="false">IF($D467="是",M467-N467,0)</f>
        <v>0</v>
      </c>
      <c r="BE467" s="502" t="n">
        <f aca="false">IF($D467="是",O467-P467,0)</f>
        <v>0</v>
      </c>
      <c r="BF467" s="502" t="n">
        <f aca="false">IF($D467="是",Q467-R467,0)</f>
        <v>0</v>
      </c>
      <c r="BG467" s="502" t="n">
        <f aca="false">IF($D467="是",S467-T467,0)</f>
        <v>0</v>
      </c>
      <c r="BH467" s="502" t="n">
        <f aca="false">IF($D467="是",U467-V467,0)</f>
        <v>0</v>
      </c>
      <c r="BI467" s="502" t="n">
        <f aca="false">IF($D467="是",W467-X467,0)</f>
        <v>0</v>
      </c>
      <c r="BJ467" s="502" t="n">
        <f aca="false">IF($D467="是",Y467-Z467,0)</f>
        <v>0</v>
      </c>
      <c r="BK467" s="502" t="n">
        <f aca="false">IF($D467="是",AA467-AB467,0)</f>
        <v>0</v>
      </c>
      <c r="BL467" s="502" t="n">
        <f aca="false">SUM(BM467:BT467)</f>
        <v>0</v>
      </c>
      <c r="BM467" s="502" t="n">
        <f aca="false">IF($D467="是",AD467-AE467,0)</f>
        <v>0</v>
      </c>
      <c r="BN467" s="502" t="n">
        <f aca="false">IF($D467="是",AF467-AG467,0)</f>
        <v>0</v>
      </c>
      <c r="BO467" s="502" t="n">
        <f aca="false">IF($D467="是",AH467-AI467,0)</f>
        <v>0</v>
      </c>
      <c r="BP467" s="502" t="n">
        <f aca="false">IF($D467="是",AJ467-AK467,0)</f>
        <v>0</v>
      </c>
      <c r="BQ467" s="502" t="n">
        <f aca="false">IF($D467="是",AL467-AM467,0)</f>
        <v>0</v>
      </c>
      <c r="BR467" s="502" t="n">
        <f aca="false">IF($D467="是",AN467-AO467,0)</f>
        <v>0</v>
      </c>
      <c r="BS467" s="502" t="n">
        <f aca="false">IF($D467="是",AP467-AQ467,0)</f>
        <v>0</v>
      </c>
      <c r="BT467" s="512" t="n">
        <f aca="false">IF($D467="是",AR467-AS467,0)</f>
        <v>0</v>
      </c>
    </row>
    <row r="468" customFormat="false" ht="14.25" hidden="false" customHeight="false" outlineLevel="0" collapsed="false">
      <c r="A468" s="499"/>
      <c r="B468" s="500"/>
      <c r="C468" s="500"/>
      <c r="D468" s="501"/>
      <c r="E468" s="502" t="n">
        <f aca="false">IF($C$3="是",ROUND($A$3*G468/$B$3,2),ROUND($A$3*(G468-AT468)/$B$3,2))</f>
        <v>0</v>
      </c>
      <c r="F468" s="503"/>
      <c r="G468" s="504" t="n">
        <f aca="false">H468+AC468+AT468</f>
        <v>0</v>
      </c>
      <c r="H468" s="505" t="n">
        <f aca="false">SUMIF(I$12:AB$12,"总值",I468:AB468)</f>
        <v>0</v>
      </c>
      <c r="I468" s="506"/>
      <c r="J468" s="506"/>
      <c r="K468" s="506"/>
      <c r="L468" s="506"/>
      <c r="M468" s="506"/>
      <c r="N468" s="506"/>
      <c r="O468" s="506"/>
      <c r="P468" s="506"/>
      <c r="Q468" s="506"/>
      <c r="R468" s="506"/>
      <c r="S468" s="506"/>
      <c r="T468" s="506"/>
      <c r="U468" s="506"/>
      <c r="V468" s="506"/>
      <c r="W468" s="506"/>
      <c r="X468" s="506"/>
      <c r="Y468" s="506"/>
      <c r="Z468" s="506"/>
      <c r="AA468" s="506"/>
      <c r="AB468" s="506"/>
      <c r="AC468" s="502" t="n">
        <f aca="false">SUMIF(AD$12:AS$12,"总值",AD468:AS468)</f>
        <v>0</v>
      </c>
      <c r="AD468" s="507"/>
      <c r="AE468" s="507"/>
      <c r="AF468" s="507"/>
      <c r="AG468" s="507"/>
      <c r="AH468" s="507"/>
      <c r="AI468" s="507"/>
      <c r="AJ468" s="507"/>
      <c r="AK468" s="507"/>
      <c r="AL468" s="507"/>
      <c r="AM468" s="507"/>
      <c r="AN468" s="507"/>
      <c r="AO468" s="507"/>
      <c r="AP468" s="507"/>
      <c r="AQ468" s="507"/>
      <c r="AR468" s="507"/>
      <c r="AS468" s="507"/>
      <c r="AT468" s="508"/>
      <c r="AU468" s="509"/>
      <c r="AV468" s="510" t="n">
        <f aca="false">A468</f>
        <v>0</v>
      </c>
      <c r="AW468" s="510" t="n">
        <f aca="false">B468</f>
        <v>0</v>
      </c>
      <c r="AX468" s="510" t="n">
        <f aca="false">C468</f>
        <v>0</v>
      </c>
      <c r="AY468" s="511" t="n">
        <f aca="false">ROUND($AY$6*AZ468/$AZ$5,2)</f>
        <v>0</v>
      </c>
      <c r="AZ468" s="502" t="n">
        <f aca="false">BA468+BL468</f>
        <v>0</v>
      </c>
      <c r="BA468" s="502" t="n">
        <f aca="false">SUM(BB468:BK468)</f>
        <v>0</v>
      </c>
      <c r="BB468" s="502" t="n">
        <f aca="false">IF($D468="是",I468-J468,0)</f>
        <v>0</v>
      </c>
      <c r="BC468" s="502" t="n">
        <f aca="false">IF($D468="是",K468-L468,0)</f>
        <v>0</v>
      </c>
      <c r="BD468" s="502" t="n">
        <f aca="false">IF($D468="是",M468-N468,0)</f>
        <v>0</v>
      </c>
      <c r="BE468" s="502" t="n">
        <f aca="false">IF($D468="是",O468-P468,0)</f>
        <v>0</v>
      </c>
      <c r="BF468" s="502" t="n">
        <f aca="false">IF($D468="是",Q468-R468,0)</f>
        <v>0</v>
      </c>
      <c r="BG468" s="502" t="n">
        <f aca="false">IF($D468="是",S468-T468,0)</f>
        <v>0</v>
      </c>
      <c r="BH468" s="502" t="n">
        <f aca="false">IF($D468="是",U468-V468,0)</f>
        <v>0</v>
      </c>
      <c r="BI468" s="502" t="n">
        <f aca="false">IF($D468="是",W468-X468,0)</f>
        <v>0</v>
      </c>
      <c r="BJ468" s="502" t="n">
        <f aca="false">IF($D468="是",Y468-Z468,0)</f>
        <v>0</v>
      </c>
      <c r="BK468" s="502" t="n">
        <f aca="false">IF($D468="是",AA468-AB468,0)</f>
        <v>0</v>
      </c>
      <c r="BL468" s="502" t="n">
        <f aca="false">SUM(BM468:BT468)</f>
        <v>0</v>
      </c>
      <c r="BM468" s="502" t="n">
        <f aca="false">IF($D468="是",AD468-AE468,0)</f>
        <v>0</v>
      </c>
      <c r="BN468" s="502" t="n">
        <f aca="false">IF($D468="是",AF468-AG468,0)</f>
        <v>0</v>
      </c>
      <c r="BO468" s="502" t="n">
        <f aca="false">IF($D468="是",AH468-AI468,0)</f>
        <v>0</v>
      </c>
      <c r="BP468" s="502" t="n">
        <f aca="false">IF($D468="是",AJ468-AK468,0)</f>
        <v>0</v>
      </c>
      <c r="BQ468" s="502" t="n">
        <f aca="false">IF($D468="是",AL468-AM468,0)</f>
        <v>0</v>
      </c>
      <c r="BR468" s="502" t="n">
        <f aca="false">IF($D468="是",AN468-AO468,0)</f>
        <v>0</v>
      </c>
      <c r="BS468" s="502" t="n">
        <f aca="false">IF($D468="是",AP468-AQ468,0)</f>
        <v>0</v>
      </c>
      <c r="BT468" s="512" t="n">
        <f aca="false">IF($D468="是",AR468-AS468,0)</f>
        <v>0</v>
      </c>
    </row>
    <row r="469" customFormat="false" ht="14.25" hidden="false" customHeight="false" outlineLevel="0" collapsed="false">
      <c r="A469" s="499"/>
      <c r="B469" s="500"/>
      <c r="C469" s="500"/>
      <c r="D469" s="501"/>
      <c r="E469" s="502" t="n">
        <f aca="false">IF($C$3="是",ROUND($A$3*G469/$B$3,2),ROUND($A$3*(G469-AT469)/$B$3,2))</f>
        <v>0</v>
      </c>
      <c r="F469" s="503"/>
      <c r="G469" s="504" t="n">
        <f aca="false">H469+AC469+AT469</f>
        <v>0</v>
      </c>
      <c r="H469" s="505" t="n">
        <f aca="false">SUMIF(I$12:AB$12,"总值",I469:AB469)</f>
        <v>0</v>
      </c>
      <c r="I469" s="506"/>
      <c r="J469" s="506"/>
      <c r="K469" s="506"/>
      <c r="L469" s="506"/>
      <c r="M469" s="506"/>
      <c r="N469" s="506"/>
      <c r="O469" s="506"/>
      <c r="P469" s="506"/>
      <c r="Q469" s="506"/>
      <c r="R469" s="506"/>
      <c r="S469" s="506"/>
      <c r="T469" s="506"/>
      <c r="U469" s="506"/>
      <c r="V469" s="506"/>
      <c r="W469" s="506"/>
      <c r="X469" s="506"/>
      <c r="Y469" s="506"/>
      <c r="Z469" s="506"/>
      <c r="AA469" s="506"/>
      <c r="AB469" s="506"/>
      <c r="AC469" s="502" t="n">
        <f aca="false">SUMIF(AD$12:AS$12,"总值",AD469:AS469)</f>
        <v>0</v>
      </c>
      <c r="AD469" s="507"/>
      <c r="AE469" s="507"/>
      <c r="AF469" s="507"/>
      <c r="AG469" s="507"/>
      <c r="AH469" s="507"/>
      <c r="AI469" s="507"/>
      <c r="AJ469" s="507"/>
      <c r="AK469" s="507"/>
      <c r="AL469" s="507"/>
      <c r="AM469" s="507"/>
      <c r="AN469" s="507"/>
      <c r="AO469" s="507"/>
      <c r="AP469" s="507"/>
      <c r="AQ469" s="507"/>
      <c r="AR469" s="507"/>
      <c r="AS469" s="507"/>
      <c r="AT469" s="508"/>
      <c r="AU469" s="509"/>
      <c r="AV469" s="510" t="n">
        <f aca="false">A469</f>
        <v>0</v>
      </c>
      <c r="AW469" s="510" t="n">
        <f aca="false">B469</f>
        <v>0</v>
      </c>
      <c r="AX469" s="510" t="n">
        <f aca="false">C469</f>
        <v>0</v>
      </c>
      <c r="AY469" s="511" t="n">
        <f aca="false">ROUND($AY$6*AZ469/$AZ$5,2)</f>
        <v>0</v>
      </c>
      <c r="AZ469" s="502" t="n">
        <f aca="false">BA469+BL469</f>
        <v>0</v>
      </c>
      <c r="BA469" s="502" t="n">
        <f aca="false">SUM(BB469:BK469)</f>
        <v>0</v>
      </c>
      <c r="BB469" s="502" t="n">
        <f aca="false">IF($D469="是",I469-J469,0)</f>
        <v>0</v>
      </c>
      <c r="BC469" s="502" t="n">
        <f aca="false">IF($D469="是",K469-L469,0)</f>
        <v>0</v>
      </c>
      <c r="BD469" s="502" t="n">
        <f aca="false">IF($D469="是",M469-N469,0)</f>
        <v>0</v>
      </c>
      <c r="BE469" s="502" t="n">
        <f aca="false">IF($D469="是",O469-P469,0)</f>
        <v>0</v>
      </c>
      <c r="BF469" s="502" t="n">
        <f aca="false">IF($D469="是",Q469-R469,0)</f>
        <v>0</v>
      </c>
      <c r="BG469" s="502" t="n">
        <f aca="false">IF($D469="是",S469-T469,0)</f>
        <v>0</v>
      </c>
      <c r="BH469" s="502" t="n">
        <f aca="false">IF($D469="是",U469-V469,0)</f>
        <v>0</v>
      </c>
      <c r="BI469" s="502" t="n">
        <f aca="false">IF($D469="是",W469-X469,0)</f>
        <v>0</v>
      </c>
      <c r="BJ469" s="502" t="n">
        <f aca="false">IF($D469="是",Y469-Z469,0)</f>
        <v>0</v>
      </c>
      <c r="BK469" s="502" t="n">
        <f aca="false">IF($D469="是",AA469-AB469,0)</f>
        <v>0</v>
      </c>
      <c r="BL469" s="502" t="n">
        <f aca="false">SUM(BM469:BT469)</f>
        <v>0</v>
      </c>
      <c r="BM469" s="502" t="n">
        <f aca="false">IF($D469="是",AD469-AE469,0)</f>
        <v>0</v>
      </c>
      <c r="BN469" s="502" t="n">
        <f aca="false">IF($D469="是",AF469-AG469,0)</f>
        <v>0</v>
      </c>
      <c r="BO469" s="502" t="n">
        <f aca="false">IF($D469="是",AH469-AI469,0)</f>
        <v>0</v>
      </c>
      <c r="BP469" s="502" t="n">
        <f aca="false">IF($D469="是",AJ469-AK469,0)</f>
        <v>0</v>
      </c>
      <c r="BQ469" s="502" t="n">
        <f aca="false">IF($D469="是",AL469-AM469,0)</f>
        <v>0</v>
      </c>
      <c r="BR469" s="502" t="n">
        <f aca="false">IF($D469="是",AN469-AO469,0)</f>
        <v>0</v>
      </c>
      <c r="BS469" s="502" t="n">
        <f aca="false">IF($D469="是",AP469-AQ469,0)</f>
        <v>0</v>
      </c>
      <c r="BT469" s="512" t="n">
        <f aca="false">IF($D469="是",AR469-AS469,0)</f>
        <v>0</v>
      </c>
    </row>
    <row r="470" customFormat="false" ht="14.25" hidden="false" customHeight="false" outlineLevel="0" collapsed="false">
      <c r="A470" s="499"/>
      <c r="B470" s="500"/>
      <c r="C470" s="500"/>
      <c r="D470" s="501"/>
      <c r="E470" s="502" t="n">
        <f aca="false">IF($C$3="是",ROUND($A$3*G470/$B$3,2),ROUND($A$3*(G470-AT470)/$B$3,2))</f>
        <v>0</v>
      </c>
      <c r="F470" s="503"/>
      <c r="G470" s="504" t="n">
        <f aca="false">H470+AC470+AT470</f>
        <v>0</v>
      </c>
      <c r="H470" s="505" t="n">
        <f aca="false">SUMIF(I$12:AB$12,"总值",I470:AB470)</f>
        <v>0</v>
      </c>
      <c r="I470" s="506"/>
      <c r="J470" s="506"/>
      <c r="K470" s="506"/>
      <c r="L470" s="506"/>
      <c r="M470" s="506"/>
      <c r="N470" s="506"/>
      <c r="O470" s="506"/>
      <c r="P470" s="506"/>
      <c r="Q470" s="506"/>
      <c r="R470" s="506"/>
      <c r="S470" s="506"/>
      <c r="T470" s="506"/>
      <c r="U470" s="506"/>
      <c r="V470" s="506"/>
      <c r="W470" s="506"/>
      <c r="X470" s="506"/>
      <c r="Y470" s="506"/>
      <c r="Z470" s="506"/>
      <c r="AA470" s="506"/>
      <c r="AB470" s="506"/>
      <c r="AC470" s="502" t="n">
        <f aca="false">SUMIF(AD$12:AS$12,"总值",AD470:AS470)</f>
        <v>0</v>
      </c>
      <c r="AD470" s="507"/>
      <c r="AE470" s="507"/>
      <c r="AF470" s="507"/>
      <c r="AG470" s="507"/>
      <c r="AH470" s="507"/>
      <c r="AI470" s="507"/>
      <c r="AJ470" s="507"/>
      <c r="AK470" s="507"/>
      <c r="AL470" s="507"/>
      <c r="AM470" s="507"/>
      <c r="AN470" s="507"/>
      <c r="AO470" s="507"/>
      <c r="AP470" s="507"/>
      <c r="AQ470" s="507"/>
      <c r="AR470" s="507"/>
      <c r="AS470" s="507"/>
      <c r="AT470" s="508"/>
      <c r="AU470" s="509"/>
      <c r="AV470" s="510" t="n">
        <f aca="false">A470</f>
        <v>0</v>
      </c>
      <c r="AW470" s="510" t="n">
        <f aca="false">B470</f>
        <v>0</v>
      </c>
      <c r="AX470" s="510" t="n">
        <f aca="false">C470</f>
        <v>0</v>
      </c>
      <c r="AY470" s="511" t="n">
        <f aca="false">ROUND($AY$6*AZ470/$AZ$5,2)</f>
        <v>0</v>
      </c>
      <c r="AZ470" s="502" t="n">
        <f aca="false">BA470+BL470</f>
        <v>0</v>
      </c>
      <c r="BA470" s="502" t="n">
        <f aca="false">SUM(BB470:BK470)</f>
        <v>0</v>
      </c>
      <c r="BB470" s="502" t="n">
        <f aca="false">IF($D470="是",I470-J470,0)</f>
        <v>0</v>
      </c>
      <c r="BC470" s="502" t="n">
        <f aca="false">IF($D470="是",K470-L470,0)</f>
        <v>0</v>
      </c>
      <c r="BD470" s="502" t="n">
        <f aca="false">IF($D470="是",M470-N470,0)</f>
        <v>0</v>
      </c>
      <c r="BE470" s="502" t="n">
        <f aca="false">IF($D470="是",O470-P470,0)</f>
        <v>0</v>
      </c>
      <c r="BF470" s="502" t="n">
        <f aca="false">IF($D470="是",Q470-R470,0)</f>
        <v>0</v>
      </c>
      <c r="BG470" s="502" t="n">
        <f aca="false">IF($D470="是",S470-T470,0)</f>
        <v>0</v>
      </c>
      <c r="BH470" s="502" t="n">
        <f aca="false">IF($D470="是",U470-V470,0)</f>
        <v>0</v>
      </c>
      <c r="BI470" s="502" t="n">
        <f aca="false">IF($D470="是",W470-X470,0)</f>
        <v>0</v>
      </c>
      <c r="BJ470" s="502" t="n">
        <f aca="false">IF($D470="是",Y470-Z470,0)</f>
        <v>0</v>
      </c>
      <c r="BK470" s="502" t="n">
        <f aca="false">IF($D470="是",AA470-AB470,0)</f>
        <v>0</v>
      </c>
      <c r="BL470" s="502" t="n">
        <f aca="false">SUM(BM470:BT470)</f>
        <v>0</v>
      </c>
      <c r="BM470" s="502" t="n">
        <f aca="false">IF($D470="是",AD470-AE470,0)</f>
        <v>0</v>
      </c>
      <c r="BN470" s="502" t="n">
        <f aca="false">IF($D470="是",AF470-AG470,0)</f>
        <v>0</v>
      </c>
      <c r="BO470" s="502" t="n">
        <f aca="false">IF($D470="是",AH470-AI470,0)</f>
        <v>0</v>
      </c>
      <c r="BP470" s="502" t="n">
        <f aca="false">IF($D470="是",AJ470-AK470,0)</f>
        <v>0</v>
      </c>
      <c r="BQ470" s="502" t="n">
        <f aca="false">IF($D470="是",AL470-AM470,0)</f>
        <v>0</v>
      </c>
      <c r="BR470" s="502" t="n">
        <f aca="false">IF($D470="是",AN470-AO470,0)</f>
        <v>0</v>
      </c>
      <c r="BS470" s="502" t="n">
        <f aca="false">IF($D470="是",AP470-AQ470,0)</f>
        <v>0</v>
      </c>
      <c r="BT470" s="512" t="n">
        <f aca="false">IF($D470="是",AR470-AS470,0)</f>
        <v>0</v>
      </c>
    </row>
    <row r="471" customFormat="false" ht="14.25" hidden="false" customHeight="false" outlineLevel="0" collapsed="false">
      <c r="A471" s="499"/>
      <c r="B471" s="500"/>
      <c r="C471" s="500"/>
      <c r="D471" s="501"/>
      <c r="E471" s="502" t="n">
        <f aca="false">IF($C$3="是",ROUND($A$3*G471/$B$3,2),ROUND($A$3*(G471-AT471)/$B$3,2))</f>
        <v>0</v>
      </c>
      <c r="F471" s="503"/>
      <c r="G471" s="504" t="n">
        <f aca="false">H471+AC471+AT471</f>
        <v>0</v>
      </c>
      <c r="H471" s="505" t="n">
        <f aca="false">SUMIF(I$12:AB$12,"总值",I471:AB471)</f>
        <v>0</v>
      </c>
      <c r="I471" s="506"/>
      <c r="J471" s="506"/>
      <c r="K471" s="506"/>
      <c r="L471" s="506"/>
      <c r="M471" s="506"/>
      <c r="N471" s="506"/>
      <c r="O471" s="506"/>
      <c r="P471" s="506"/>
      <c r="Q471" s="506"/>
      <c r="R471" s="506"/>
      <c r="S471" s="506"/>
      <c r="T471" s="506"/>
      <c r="U471" s="506"/>
      <c r="V471" s="506"/>
      <c r="W471" s="506"/>
      <c r="X471" s="506"/>
      <c r="Y471" s="506"/>
      <c r="Z471" s="506"/>
      <c r="AA471" s="506"/>
      <c r="AB471" s="506"/>
      <c r="AC471" s="502" t="n">
        <f aca="false">SUMIF(AD$12:AS$12,"总值",AD471:AS471)</f>
        <v>0</v>
      </c>
      <c r="AD471" s="507"/>
      <c r="AE471" s="507"/>
      <c r="AF471" s="507"/>
      <c r="AG471" s="507"/>
      <c r="AH471" s="507"/>
      <c r="AI471" s="507"/>
      <c r="AJ471" s="507"/>
      <c r="AK471" s="507"/>
      <c r="AL471" s="507"/>
      <c r="AM471" s="507"/>
      <c r="AN471" s="507"/>
      <c r="AO471" s="507"/>
      <c r="AP471" s="507"/>
      <c r="AQ471" s="507"/>
      <c r="AR471" s="507"/>
      <c r="AS471" s="507"/>
      <c r="AT471" s="508"/>
      <c r="AU471" s="509"/>
      <c r="AV471" s="510" t="n">
        <f aca="false">A471</f>
        <v>0</v>
      </c>
      <c r="AW471" s="510" t="n">
        <f aca="false">B471</f>
        <v>0</v>
      </c>
      <c r="AX471" s="510" t="n">
        <f aca="false">C471</f>
        <v>0</v>
      </c>
      <c r="AY471" s="511" t="n">
        <f aca="false">ROUND($AY$6*AZ471/$AZ$5,2)</f>
        <v>0</v>
      </c>
      <c r="AZ471" s="502" t="n">
        <f aca="false">BA471+BL471</f>
        <v>0</v>
      </c>
      <c r="BA471" s="502" t="n">
        <f aca="false">SUM(BB471:BK471)</f>
        <v>0</v>
      </c>
      <c r="BB471" s="502" t="n">
        <f aca="false">IF($D471="是",I471-J471,0)</f>
        <v>0</v>
      </c>
      <c r="BC471" s="502" t="n">
        <f aca="false">IF($D471="是",K471-L471,0)</f>
        <v>0</v>
      </c>
      <c r="BD471" s="502" t="n">
        <f aca="false">IF($D471="是",M471-N471,0)</f>
        <v>0</v>
      </c>
      <c r="BE471" s="502" t="n">
        <f aca="false">IF($D471="是",O471-P471,0)</f>
        <v>0</v>
      </c>
      <c r="BF471" s="502" t="n">
        <f aca="false">IF($D471="是",Q471-R471,0)</f>
        <v>0</v>
      </c>
      <c r="BG471" s="502" t="n">
        <f aca="false">IF($D471="是",S471-T471,0)</f>
        <v>0</v>
      </c>
      <c r="BH471" s="502" t="n">
        <f aca="false">IF($D471="是",U471-V471,0)</f>
        <v>0</v>
      </c>
      <c r="BI471" s="502" t="n">
        <f aca="false">IF($D471="是",W471-X471,0)</f>
        <v>0</v>
      </c>
      <c r="BJ471" s="502" t="n">
        <f aca="false">IF($D471="是",Y471-Z471,0)</f>
        <v>0</v>
      </c>
      <c r="BK471" s="502" t="n">
        <f aca="false">IF($D471="是",AA471-AB471,0)</f>
        <v>0</v>
      </c>
      <c r="BL471" s="502" t="n">
        <f aca="false">SUM(BM471:BT471)</f>
        <v>0</v>
      </c>
      <c r="BM471" s="502" t="n">
        <f aca="false">IF($D471="是",AD471-AE471,0)</f>
        <v>0</v>
      </c>
      <c r="BN471" s="502" t="n">
        <f aca="false">IF($D471="是",AF471-AG471,0)</f>
        <v>0</v>
      </c>
      <c r="BO471" s="502" t="n">
        <f aca="false">IF($D471="是",AH471-AI471,0)</f>
        <v>0</v>
      </c>
      <c r="BP471" s="502" t="n">
        <f aca="false">IF($D471="是",AJ471-AK471,0)</f>
        <v>0</v>
      </c>
      <c r="BQ471" s="502" t="n">
        <f aca="false">IF($D471="是",AL471-AM471,0)</f>
        <v>0</v>
      </c>
      <c r="BR471" s="502" t="n">
        <f aca="false">IF($D471="是",AN471-AO471,0)</f>
        <v>0</v>
      </c>
      <c r="BS471" s="502" t="n">
        <f aca="false">IF($D471="是",AP471-AQ471,0)</f>
        <v>0</v>
      </c>
      <c r="BT471" s="512" t="n">
        <f aca="false">IF($D471="是",AR471-AS471,0)</f>
        <v>0</v>
      </c>
    </row>
    <row r="472" customFormat="false" ht="14.25" hidden="false" customHeight="false" outlineLevel="0" collapsed="false">
      <c r="A472" s="499"/>
      <c r="B472" s="500"/>
      <c r="C472" s="500"/>
      <c r="D472" s="501"/>
      <c r="E472" s="502" t="n">
        <f aca="false">IF($C$3="是",ROUND($A$3*G472/$B$3,2),ROUND($A$3*(G472-AT472)/$B$3,2))</f>
        <v>0</v>
      </c>
      <c r="F472" s="503"/>
      <c r="G472" s="504" t="n">
        <f aca="false">H472+AC472+AT472</f>
        <v>0</v>
      </c>
      <c r="H472" s="505" t="n">
        <f aca="false">SUMIF(I$12:AB$12,"总值",I472:AB472)</f>
        <v>0</v>
      </c>
      <c r="I472" s="506"/>
      <c r="J472" s="506"/>
      <c r="K472" s="506"/>
      <c r="L472" s="506"/>
      <c r="M472" s="506"/>
      <c r="N472" s="506"/>
      <c r="O472" s="506"/>
      <c r="P472" s="506"/>
      <c r="Q472" s="506"/>
      <c r="R472" s="506"/>
      <c r="S472" s="506"/>
      <c r="T472" s="506"/>
      <c r="U472" s="506"/>
      <c r="V472" s="506"/>
      <c r="W472" s="506"/>
      <c r="X472" s="506"/>
      <c r="Y472" s="506"/>
      <c r="Z472" s="506"/>
      <c r="AA472" s="506"/>
      <c r="AB472" s="506"/>
      <c r="AC472" s="502" t="n">
        <f aca="false">SUMIF(AD$12:AS$12,"总值",AD472:AS472)</f>
        <v>0</v>
      </c>
      <c r="AD472" s="507"/>
      <c r="AE472" s="507"/>
      <c r="AF472" s="507"/>
      <c r="AG472" s="507"/>
      <c r="AH472" s="507"/>
      <c r="AI472" s="507"/>
      <c r="AJ472" s="507"/>
      <c r="AK472" s="507"/>
      <c r="AL472" s="507"/>
      <c r="AM472" s="507"/>
      <c r="AN472" s="507"/>
      <c r="AO472" s="507"/>
      <c r="AP472" s="507"/>
      <c r="AQ472" s="507"/>
      <c r="AR472" s="507"/>
      <c r="AS472" s="507"/>
      <c r="AT472" s="508"/>
      <c r="AU472" s="509"/>
      <c r="AV472" s="510" t="n">
        <f aca="false">A472</f>
        <v>0</v>
      </c>
      <c r="AW472" s="510" t="n">
        <f aca="false">B472</f>
        <v>0</v>
      </c>
      <c r="AX472" s="510" t="n">
        <f aca="false">C472</f>
        <v>0</v>
      </c>
      <c r="AY472" s="511" t="n">
        <f aca="false">ROUND($AY$6*AZ472/$AZ$5,2)</f>
        <v>0</v>
      </c>
      <c r="AZ472" s="502" t="n">
        <f aca="false">BA472+BL472</f>
        <v>0</v>
      </c>
      <c r="BA472" s="502" t="n">
        <f aca="false">SUM(BB472:BK472)</f>
        <v>0</v>
      </c>
      <c r="BB472" s="502" t="n">
        <f aca="false">IF($D472="是",I472-J472,0)</f>
        <v>0</v>
      </c>
      <c r="BC472" s="502" t="n">
        <f aca="false">IF($D472="是",K472-L472,0)</f>
        <v>0</v>
      </c>
      <c r="BD472" s="502" t="n">
        <f aca="false">IF($D472="是",M472-N472,0)</f>
        <v>0</v>
      </c>
      <c r="BE472" s="502" t="n">
        <f aca="false">IF($D472="是",O472-P472,0)</f>
        <v>0</v>
      </c>
      <c r="BF472" s="502" t="n">
        <f aca="false">IF($D472="是",Q472-R472,0)</f>
        <v>0</v>
      </c>
      <c r="BG472" s="502" t="n">
        <f aca="false">IF($D472="是",S472-T472,0)</f>
        <v>0</v>
      </c>
      <c r="BH472" s="502" t="n">
        <f aca="false">IF($D472="是",U472-V472,0)</f>
        <v>0</v>
      </c>
      <c r="BI472" s="502" t="n">
        <f aca="false">IF($D472="是",W472-X472,0)</f>
        <v>0</v>
      </c>
      <c r="BJ472" s="502" t="n">
        <f aca="false">IF($D472="是",Y472-Z472,0)</f>
        <v>0</v>
      </c>
      <c r="BK472" s="502" t="n">
        <f aca="false">IF($D472="是",AA472-AB472,0)</f>
        <v>0</v>
      </c>
      <c r="BL472" s="502" t="n">
        <f aca="false">SUM(BM472:BT472)</f>
        <v>0</v>
      </c>
      <c r="BM472" s="502" t="n">
        <f aca="false">IF($D472="是",AD472-AE472,0)</f>
        <v>0</v>
      </c>
      <c r="BN472" s="502" t="n">
        <f aca="false">IF($D472="是",AF472-AG472,0)</f>
        <v>0</v>
      </c>
      <c r="BO472" s="502" t="n">
        <f aca="false">IF($D472="是",AH472-AI472,0)</f>
        <v>0</v>
      </c>
      <c r="BP472" s="502" t="n">
        <f aca="false">IF($D472="是",AJ472-AK472,0)</f>
        <v>0</v>
      </c>
      <c r="BQ472" s="502" t="n">
        <f aca="false">IF($D472="是",AL472-AM472,0)</f>
        <v>0</v>
      </c>
      <c r="BR472" s="502" t="n">
        <f aca="false">IF($D472="是",AN472-AO472,0)</f>
        <v>0</v>
      </c>
      <c r="BS472" s="502" t="n">
        <f aca="false">IF($D472="是",AP472-AQ472,0)</f>
        <v>0</v>
      </c>
      <c r="BT472" s="512" t="n">
        <f aca="false">IF($D472="是",AR472-AS472,0)</f>
        <v>0</v>
      </c>
    </row>
    <row r="473" customFormat="false" ht="14.25" hidden="false" customHeight="false" outlineLevel="0" collapsed="false">
      <c r="A473" s="499"/>
      <c r="B473" s="500"/>
      <c r="C473" s="500"/>
      <c r="D473" s="501"/>
      <c r="E473" s="502" t="n">
        <f aca="false">IF($C$3="是",ROUND($A$3*G473/$B$3,2),ROUND($A$3*(G473-AT473)/$B$3,2))</f>
        <v>0</v>
      </c>
      <c r="F473" s="503"/>
      <c r="G473" s="504" t="n">
        <f aca="false">H473+AC473+AT473</f>
        <v>0</v>
      </c>
      <c r="H473" s="505" t="n">
        <f aca="false">SUMIF(I$12:AB$12,"总值",I473:AB473)</f>
        <v>0</v>
      </c>
      <c r="I473" s="506"/>
      <c r="J473" s="506"/>
      <c r="K473" s="506"/>
      <c r="L473" s="506"/>
      <c r="M473" s="506"/>
      <c r="N473" s="506"/>
      <c r="O473" s="506"/>
      <c r="P473" s="506"/>
      <c r="Q473" s="506"/>
      <c r="R473" s="506"/>
      <c r="S473" s="506"/>
      <c r="T473" s="506"/>
      <c r="U473" s="506"/>
      <c r="V473" s="506"/>
      <c r="W473" s="506"/>
      <c r="X473" s="506"/>
      <c r="Y473" s="506"/>
      <c r="Z473" s="506"/>
      <c r="AA473" s="506"/>
      <c r="AB473" s="506"/>
      <c r="AC473" s="502" t="n">
        <f aca="false">SUMIF(AD$12:AS$12,"总值",AD473:AS473)</f>
        <v>0</v>
      </c>
      <c r="AD473" s="507"/>
      <c r="AE473" s="507"/>
      <c r="AF473" s="507"/>
      <c r="AG473" s="507"/>
      <c r="AH473" s="507"/>
      <c r="AI473" s="507"/>
      <c r="AJ473" s="507"/>
      <c r="AK473" s="507"/>
      <c r="AL473" s="507"/>
      <c r="AM473" s="507"/>
      <c r="AN473" s="507"/>
      <c r="AO473" s="507"/>
      <c r="AP473" s="507"/>
      <c r="AQ473" s="507"/>
      <c r="AR473" s="507"/>
      <c r="AS473" s="507"/>
      <c r="AT473" s="508"/>
      <c r="AU473" s="509"/>
      <c r="AV473" s="510" t="n">
        <f aca="false">A473</f>
        <v>0</v>
      </c>
      <c r="AW473" s="510" t="n">
        <f aca="false">B473</f>
        <v>0</v>
      </c>
      <c r="AX473" s="510" t="n">
        <f aca="false">C473</f>
        <v>0</v>
      </c>
      <c r="AY473" s="511" t="n">
        <f aca="false">ROUND($AY$6*AZ473/$AZ$5,2)</f>
        <v>0</v>
      </c>
      <c r="AZ473" s="502" t="n">
        <f aca="false">BA473+BL473</f>
        <v>0</v>
      </c>
      <c r="BA473" s="502" t="n">
        <f aca="false">SUM(BB473:BK473)</f>
        <v>0</v>
      </c>
      <c r="BB473" s="502" t="n">
        <f aca="false">IF($D473="是",I473-J473,0)</f>
        <v>0</v>
      </c>
      <c r="BC473" s="502" t="n">
        <f aca="false">IF($D473="是",K473-L473,0)</f>
        <v>0</v>
      </c>
      <c r="BD473" s="502" t="n">
        <f aca="false">IF($D473="是",M473-N473,0)</f>
        <v>0</v>
      </c>
      <c r="BE473" s="502" t="n">
        <f aca="false">IF($D473="是",O473-P473,0)</f>
        <v>0</v>
      </c>
      <c r="BF473" s="502" t="n">
        <f aca="false">IF($D473="是",Q473-R473,0)</f>
        <v>0</v>
      </c>
      <c r="BG473" s="502" t="n">
        <f aca="false">IF($D473="是",S473-T473,0)</f>
        <v>0</v>
      </c>
      <c r="BH473" s="502" t="n">
        <f aca="false">IF($D473="是",U473-V473,0)</f>
        <v>0</v>
      </c>
      <c r="BI473" s="502" t="n">
        <f aca="false">IF($D473="是",W473-X473,0)</f>
        <v>0</v>
      </c>
      <c r="BJ473" s="502" t="n">
        <f aca="false">IF($D473="是",Y473-Z473,0)</f>
        <v>0</v>
      </c>
      <c r="BK473" s="502" t="n">
        <f aca="false">IF($D473="是",AA473-AB473,0)</f>
        <v>0</v>
      </c>
      <c r="BL473" s="502" t="n">
        <f aca="false">SUM(BM473:BT473)</f>
        <v>0</v>
      </c>
      <c r="BM473" s="502" t="n">
        <f aca="false">IF($D473="是",AD473-AE473,0)</f>
        <v>0</v>
      </c>
      <c r="BN473" s="502" t="n">
        <f aca="false">IF($D473="是",AF473-AG473,0)</f>
        <v>0</v>
      </c>
      <c r="BO473" s="502" t="n">
        <f aca="false">IF($D473="是",AH473-AI473,0)</f>
        <v>0</v>
      </c>
      <c r="BP473" s="502" t="n">
        <f aca="false">IF($D473="是",AJ473-AK473,0)</f>
        <v>0</v>
      </c>
      <c r="BQ473" s="502" t="n">
        <f aca="false">IF($D473="是",AL473-AM473,0)</f>
        <v>0</v>
      </c>
      <c r="BR473" s="502" t="n">
        <f aca="false">IF($D473="是",AN473-AO473,0)</f>
        <v>0</v>
      </c>
      <c r="BS473" s="502" t="n">
        <f aca="false">IF($D473="是",AP473-AQ473,0)</f>
        <v>0</v>
      </c>
      <c r="BT473" s="512" t="n">
        <f aca="false">IF($D473="是",AR473-AS473,0)</f>
        <v>0</v>
      </c>
    </row>
    <row r="474" customFormat="false" ht="14.25" hidden="false" customHeight="false" outlineLevel="0" collapsed="false">
      <c r="A474" s="499"/>
      <c r="B474" s="500"/>
      <c r="C474" s="500"/>
      <c r="D474" s="501"/>
      <c r="E474" s="502" t="n">
        <f aca="false">IF($C$3="是",ROUND($A$3*G474/$B$3,2),ROUND($A$3*(G474-AT474)/$B$3,2))</f>
        <v>0</v>
      </c>
      <c r="F474" s="503"/>
      <c r="G474" s="504" t="n">
        <f aca="false">H474+AC474+AT474</f>
        <v>0</v>
      </c>
      <c r="H474" s="505" t="n">
        <f aca="false">SUMIF(I$12:AB$12,"总值",I474:AB474)</f>
        <v>0</v>
      </c>
      <c r="I474" s="506"/>
      <c r="J474" s="506"/>
      <c r="K474" s="506"/>
      <c r="L474" s="506"/>
      <c r="M474" s="506"/>
      <c r="N474" s="506"/>
      <c r="O474" s="506"/>
      <c r="P474" s="506"/>
      <c r="Q474" s="506"/>
      <c r="R474" s="506"/>
      <c r="S474" s="506"/>
      <c r="T474" s="506"/>
      <c r="U474" s="506"/>
      <c r="V474" s="506"/>
      <c r="W474" s="506"/>
      <c r="X474" s="506"/>
      <c r="Y474" s="506"/>
      <c r="Z474" s="506"/>
      <c r="AA474" s="506"/>
      <c r="AB474" s="506"/>
      <c r="AC474" s="502" t="n">
        <f aca="false">SUMIF(AD$12:AS$12,"总值",AD474:AS474)</f>
        <v>0</v>
      </c>
      <c r="AD474" s="507"/>
      <c r="AE474" s="507"/>
      <c r="AF474" s="507"/>
      <c r="AG474" s="507"/>
      <c r="AH474" s="507"/>
      <c r="AI474" s="507"/>
      <c r="AJ474" s="507"/>
      <c r="AK474" s="507"/>
      <c r="AL474" s="507"/>
      <c r="AM474" s="507"/>
      <c r="AN474" s="507"/>
      <c r="AO474" s="507"/>
      <c r="AP474" s="507"/>
      <c r="AQ474" s="507"/>
      <c r="AR474" s="507"/>
      <c r="AS474" s="507"/>
      <c r="AT474" s="508"/>
      <c r="AU474" s="509"/>
      <c r="AV474" s="510" t="n">
        <f aca="false">A474</f>
        <v>0</v>
      </c>
      <c r="AW474" s="510" t="n">
        <f aca="false">B474</f>
        <v>0</v>
      </c>
      <c r="AX474" s="510" t="n">
        <f aca="false">C474</f>
        <v>0</v>
      </c>
      <c r="AY474" s="511" t="n">
        <f aca="false">ROUND($AY$6*AZ474/$AZ$5,2)</f>
        <v>0</v>
      </c>
      <c r="AZ474" s="502" t="n">
        <f aca="false">BA474+BL474</f>
        <v>0</v>
      </c>
      <c r="BA474" s="502" t="n">
        <f aca="false">SUM(BB474:BK474)</f>
        <v>0</v>
      </c>
      <c r="BB474" s="502" t="n">
        <f aca="false">IF($D474="是",I474-J474,0)</f>
        <v>0</v>
      </c>
      <c r="BC474" s="502" t="n">
        <f aca="false">IF($D474="是",K474-L474,0)</f>
        <v>0</v>
      </c>
      <c r="BD474" s="502" t="n">
        <f aca="false">IF($D474="是",M474-N474,0)</f>
        <v>0</v>
      </c>
      <c r="BE474" s="502" t="n">
        <f aca="false">IF($D474="是",O474-P474,0)</f>
        <v>0</v>
      </c>
      <c r="BF474" s="502" t="n">
        <f aca="false">IF($D474="是",Q474-R474,0)</f>
        <v>0</v>
      </c>
      <c r="BG474" s="502" t="n">
        <f aca="false">IF($D474="是",S474-T474,0)</f>
        <v>0</v>
      </c>
      <c r="BH474" s="502" t="n">
        <f aca="false">IF($D474="是",U474-V474,0)</f>
        <v>0</v>
      </c>
      <c r="BI474" s="502" t="n">
        <f aca="false">IF($D474="是",W474-X474,0)</f>
        <v>0</v>
      </c>
      <c r="BJ474" s="502" t="n">
        <f aca="false">IF($D474="是",Y474-Z474,0)</f>
        <v>0</v>
      </c>
      <c r="BK474" s="502" t="n">
        <f aca="false">IF($D474="是",AA474-AB474,0)</f>
        <v>0</v>
      </c>
      <c r="BL474" s="502" t="n">
        <f aca="false">SUM(BM474:BT474)</f>
        <v>0</v>
      </c>
      <c r="BM474" s="502" t="n">
        <f aca="false">IF($D474="是",AD474-AE474,0)</f>
        <v>0</v>
      </c>
      <c r="BN474" s="502" t="n">
        <f aca="false">IF($D474="是",AF474-AG474,0)</f>
        <v>0</v>
      </c>
      <c r="BO474" s="502" t="n">
        <f aca="false">IF($D474="是",AH474-AI474,0)</f>
        <v>0</v>
      </c>
      <c r="BP474" s="502" t="n">
        <f aca="false">IF($D474="是",AJ474-AK474,0)</f>
        <v>0</v>
      </c>
      <c r="BQ474" s="502" t="n">
        <f aca="false">IF($D474="是",AL474-AM474,0)</f>
        <v>0</v>
      </c>
      <c r="BR474" s="502" t="n">
        <f aca="false">IF($D474="是",AN474-AO474,0)</f>
        <v>0</v>
      </c>
      <c r="BS474" s="502" t="n">
        <f aca="false">IF($D474="是",AP474-AQ474,0)</f>
        <v>0</v>
      </c>
      <c r="BT474" s="512" t="n">
        <f aca="false">IF($D474="是",AR474-AS474,0)</f>
        <v>0</v>
      </c>
    </row>
    <row r="475" customFormat="false" ht="14.25" hidden="false" customHeight="false" outlineLevel="0" collapsed="false">
      <c r="A475" s="499"/>
      <c r="B475" s="500"/>
      <c r="C475" s="500"/>
      <c r="D475" s="501"/>
      <c r="E475" s="502" t="n">
        <f aca="false">IF($C$3="是",ROUND($A$3*G475/$B$3,2),ROUND($A$3*(G475-AT475)/$B$3,2))</f>
        <v>0</v>
      </c>
      <c r="F475" s="503"/>
      <c r="G475" s="504" t="n">
        <f aca="false">H475+AC475+AT475</f>
        <v>0</v>
      </c>
      <c r="H475" s="505" t="n">
        <f aca="false">SUMIF(I$12:AB$12,"总值",I475:AB475)</f>
        <v>0</v>
      </c>
      <c r="I475" s="506"/>
      <c r="J475" s="506"/>
      <c r="K475" s="506"/>
      <c r="L475" s="506"/>
      <c r="M475" s="506"/>
      <c r="N475" s="506"/>
      <c r="O475" s="506"/>
      <c r="P475" s="506"/>
      <c r="Q475" s="506"/>
      <c r="R475" s="506"/>
      <c r="S475" s="506"/>
      <c r="T475" s="506"/>
      <c r="U475" s="506"/>
      <c r="V475" s="506"/>
      <c r="W475" s="506"/>
      <c r="X475" s="506"/>
      <c r="Y475" s="506"/>
      <c r="Z475" s="506"/>
      <c r="AA475" s="506"/>
      <c r="AB475" s="506"/>
      <c r="AC475" s="502" t="n">
        <f aca="false">SUMIF(AD$12:AS$12,"总值",AD475:AS475)</f>
        <v>0</v>
      </c>
      <c r="AD475" s="507"/>
      <c r="AE475" s="507"/>
      <c r="AF475" s="507"/>
      <c r="AG475" s="507"/>
      <c r="AH475" s="507"/>
      <c r="AI475" s="507"/>
      <c r="AJ475" s="507"/>
      <c r="AK475" s="507"/>
      <c r="AL475" s="507"/>
      <c r="AM475" s="507"/>
      <c r="AN475" s="507"/>
      <c r="AO475" s="507"/>
      <c r="AP475" s="507"/>
      <c r="AQ475" s="507"/>
      <c r="AR475" s="507"/>
      <c r="AS475" s="507"/>
      <c r="AT475" s="508"/>
      <c r="AU475" s="509"/>
      <c r="AV475" s="510" t="n">
        <f aca="false">A475</f>
        <v>0</v>
      </c>
      <c r="AW475" s="510" t="n">
        <f aca="false">B475</f>
        <v>0</v>
      </c>
      <c r="AX475" s="510" t="n">
        <f aca="false">C475</f>
        <v>0</v>
      </c>
      <c r="AY475" s="511" t="n">
        <f aca="false">ROUND($AY$6*AZ475/$AZ$5,2)</f>
        <v>0</v>
      </c>
      <c r="AZ475" s="502" t="n">
        <f aca="false">BA475+BL475</f>
        <v>0</v>
      </c>
      <c r="BA475" s="502" t="n">
        <f aca="false">SUM(BB475:BK475)</f>
        <v>0</v>
      </c>
      <c r="BB475" s="502" t="n">
        <f aca="false">IF($D475="是",I475-J475,0)</f>
        <v>0</v>
      </c>
      <c r="BC475" s="502" t="n">
        <f aca="false">IF($D475="是",K475-L475,0)</f>
        <v>0</v>
      </c>
      <c r="BD475" s="502" t="n">
        <f aca="false">IF($D475="是",M475-N475,0)</f>
        <v>0</v>
      </c>
      <c r="BE475" s="502" t="n">
        <f aca="false">IF($D475="是",O475-P475,0)</f>
        <v>0</v>
      </c>
      <c r="BF475" s="502" t="n">
        <f aca="false">IF($D475="是",Q475-R475,0)</f>
        <v>0</v>
      </c>
      <c r="BG475" s="502" t="n">
        <f aca="false">IF($D475="是",S475-T475,0)</f>
        <v>0</v>
      </c>
      <c r="BH475" s="502" t="n">
        <f aca="false">IF($D475="是",U475-V475,0)</f>
        <v>0</v>
      </c>
      <c r="BI475" s="502" t="n">
        <f aca="false">IF($D475="是",W475-X475,0)</f>
        <v>0</v>
      </c>
      <c r="BJ475" s="502" t="n">
        <f aca="false">IF($D475="是",Y475-Z475,0)</f>
        <v>0</v>
      </c>
      <c r="BK475" s="502" t="n">
        <f aca="false">IF($D475="是",AA475-AB475,0)</f>
        <v>0</v>
      </c>
      <c r="BL475" s="502" t="n">
        <f aca="false">SUM(BM475:BT475)</f>
        <v>0</v>
      </c>
      <c r="BM475" s="502" t="n">
        <f aca="false">IF($D475="是",AD475-AE475,0)</f>
        <v>0</v>
      </c>
      <c r="BN475" s="502" t="n">
        <f aca="false">IF($D475="是",AF475-AG475,0)</f>
        <v>0</v>
      </c>
      <c r="BO475" s="502" t="n">
        <f aca="false">IF($D475="是",AH475-AI475,0)</f>
        <v>0</v>
      </c>
      <c r="BP475" s="502" t="n">
        <f aca="false">IF($D475="是",AJ475-AK475,0)</f>
        <v>0</v>
      </c>
      <c r="BQ475" s="502" t="n">
        <f aca="false">IF($D475="是",AL475-AM475,0)</f>
        <v>0</v>
      </c>
      <c r="BR475" s="502" t="n">
        <f aca="false">IF($D475="是",AN475-AO475,0)</f>
        <v>0</v>
      </c>
      <c r="BS475" s="502" t="n">
        <f aca="false">IF($D475="是",AP475-AQ475,0)</f>
        <v>0</v>
      </c>
      <c r="BT475" s="512" t="n">
        <f aca="false">IF($D475="是",AR475-AS475,0)</f>
        <v>0</v>
      </c>
    </row>
    <row r="476" customFormat="false" ht="14.25" hidden="false" customHeight="false" outlineLevel="0" collapsed="false">
      <c r="A476" s="499"/>
      <c r="B476" s="500"/>
      <c r="C476" s="500"/>
      <c r="D476" s="501"/>
      <c r="E476" s="502" t="n">
        <f aca="false">IF($C$3="是",ROUND($A$3*G476/$B$3,2),ROUND($A$3*(G476-AT476)/$B$3,2))</f>
        <v>0</v>
      </c>
      <c r="F476" s="503"/>
      <c r="G476" s="504" t="n">
        <f aca="false">H476+AC476+AT476</f>
        <v>0</v>
      </c>
      <c r="H476" s="505" t="n">
        <f aca="false">SUMIF(I$12:AB$12,"总值",I476:AB476)</f>
        <v>0</v>
      </c>
      <c r="I476" s="506"/>
      <c r="J476" s="506"/>
      <c r="K476" s="506"/>
      <c r="L476" s="506"/>
      <c r="M476" s="506"/>
      <c r="N476" s="506"/>
      <c r="O476" s="506"/>
      <c r="P476" s="506"/>
      <c r="Q476" s="506"/>
      <c r="R476" s="506"/>
      <c r="S476" s="506"/>
      <c r="T476" s="506"/>
      <c r="U476" s="506"/>
      <c r="V476" s="506"/>
      <c r="W476" s="506"/>
      <c r="X476" s="506"/>
      <c r="Y476" s="506"/>
      <c r="Z476" s="506"/>
      <c r="AA476" s="506"/>
      <c r="AB476" s="506"/>
      <c r="AC476" s="502" t="n">
        <f aca="false">SUMIF(AD$12:AS$12,"总值",AD476:AS476)</f>
        <v>0</v>
      </c>
      <c r="AD476" s="507"/>
      <c r="AE476" s="507"/>
      <c r="AF476" s="507"/>
      <c r="AG476" s="507"/>
      <c r="AH476" s="507"/>
      <c r="AI476" s="507"/>
      <c r="AJ476" s="507"/>
      <c r="AK476" s="507"/>
      <c r="AL476" s="507"/>
      <c r="AM476" s="507"/>
      <c r="AN476" s="507"/>
      <c r="AO476" s="507"/>
      <c r="AP476" s="507"/>
      <c r="AQ476" s="507"/>
      <c r="AR476" s="507"/>
      <c r="AS476" s="507"/>
      <c r="AT476" s="508"/>
      <c r="AU476" s="509"/>
      <c r="AV476" s="510" t="n">
        <f aca="false">A476</f>
        <v>0</v>
      </c>
      <c r="AW476" s="510" t="n">
        <f aca="false">B476</f>
        <v>0</v>
      </c>
      <c r="AX476" s="510" t="n">
        <f aca="false">C476</f>
        <v>0</v>
      </c>
      <c r="AY476" s="511" t="n">
        <f aca="false">ROUND($AY$6*AZ476/$AZ$5,2)</f>
        <v>0</v>
      </c>
      <c r="AZ476" s="502" t="n">
        <f aca="false">BA476+BL476</f>
        <v>0</v>
      </c>
      <c r="BA476" s="502" t="n">
        <f aca="false">SUM(BB476:BK476)</f>
        <v>0</v>
      </c>
      <c r="BB476" s="502" t="n">
        <f aca="false">IF($D476="是",I476-J476,0)</f>
        <v>0</v>
      </c>
      <c r="BC476" s="502" t="n">
        <f aca="false">IF($D476="是",K476-L476,0)</f>
        <v>0</v>
      </c>
      <c r="BD476" s="502" t="n">
        <f aca="false">IF($D476="是",M476-N476,0)</f>
        <v>0</v>
      </c>
      <c r="BE476" s="502" t="n">
        <f aca="false">IF($D476="是",O476-P476,0)</f>
        <v>0</v>
      </c>
      <c r="BF476" s="502" t="n">
        <f aca="false">IF($D476="是",Q476-R476,0)</f>
        <v>0</v>
      </c>
      <c r="BG476" s="502" t="n">
        <f aca="false">IF($D476="是",S476-T476,0)</f>
        <v>0</v>
      </c>
      <c r="BH476" s="502" t="n">
        <f aca="false">IF($D476="是",U476-V476,0)</f>
        <v>0</v>
      </c>
      <c r="BI476" s="502" t="n">
        <f aca="false">IF($D476="是",W476-X476,0)</f>
        <v>0</v>
      </c>
      <c r="BJ476" s="502" t="n">
        <f aca="false">IF($D476="是",Y476-Z476,0)</f>
        <v>0</v>
      </c>
      <c r="BK476" s="502" t="n">
        <f aca="false">IF($D476="是",AA476-AB476,0)</f>
        <v>0</v>
      </c>
      <c r="BL476" s="502" t="n">
        <f aca="false">SUM(BM476:BT476)</f>
        <v>0</v>
      </c>
      <c r="BM476" s="502" t="n">
        <f aca="false">IF($D476="是",AD476-AE476,0)</f>
        <v>0</v>
      </c>
      <c r="BN476" s="502" t="n">
        <f aca="false">IF($D476="是",AF476-AG476,0)</f>
        <v>0</v>
      </c>
      <c r="BO476" s="502" t="n">
        <f aca="false">IF($D476="是",AH476-AI476,0)</f>
        <v>0</v>
      </c>
      <c r="BP476" s="502" t="n">
        <f aca="false">IF($D476="是",AJ476-AK476,0)</f>
        <v>0</v>
      </c>
      <c r="BQ476" s="502" t="n">
        <f aca="false">IF($D476="是",AL476-AM476,0)</f>
        <v>0</v>
      </c>
      <c r="BR476" s="502" t="n">
        <f aca="false">IF($D476="是",AN476-AO476,0)</f>
        <v>0</v>
      </c>
      <c r="BS476" s="502" t="n">
        <f aca="false">IF($D476="是",AP476-AQ476,0)</f>
        <v>0</v>
      </c>
      <c r="BT476" s="512" t="n">
        <f aca="false">IF($D476="是",AR476-AS476,0)</f>
        <v>0</v>
      </c>
    </row>
    <row r="477" customFormat="false" ht="14.25" hidden="false" customHeight="false" outlineLevel="0" collapsed="false">
      <c r="A477" s="499"/>
      <c r="B477" s="500"/>
      <c r="C477" s="500"/>
      <c r="D477" s="501"/>
      <c r="E477" s="502" t="n">
        <f aca="false">IF($C$3="是",ROUND($A$3*G477/$B$3,2),ROUND($A$3*(G477-AT477)/$B$3,2))</f>
        <v>0</v>
      </c>
      <c r="F477" s="503"/>
      <c r="G477" s="504" t="n">
        <f aca="false">H477+AC477+AT477</f>
        <v>0</v>
      </c>
      <c r="H477" s="505" t="n">
        <f aca="false">SUMIF(I$12:AB$12,"总值",I477:AB477)</f>
        <v>0</v>
      </c>
      <c r="I477" s="506"/>
      <c r="J477" s="506"/>
      <c r="K477" s="506"/>
      <c r="L477" s="506"/>
      <c r="M477" s="506"/>
      <c r="N477" s="506"/>
      <c r="O477" s="506"/>
      <c r="P477" s="506"/>
      <c r="Q477" s="506"/>
      <c r="R477" s="506"/>
      <c r="S477" s="506"/>
      <c r="T477" s="506"/>
      <c r="U477" s="506"/>
      <c r="V477" s="506"/>
      <c r="W477" s="506"/>
      <c r="X477" s="506"/>
      <c r="Y477" s="506"/>
      <c r="Z477" s="506"/>
      <c r="AA477" s="506"/>
      <c r="AB477" s="506"/>
      <c r="AC477" s="502" t="n">
        <f aca="false">SUMIF(AD$12:AS$12,"总值",AD477:AS477)</f>
        <v>0</v>
      </c>
      <c r="AD477" s="507"/>
      <c r="AE477" s="507"/>
      <c r="AF477" s="507"/>
      <c r="AG477" s="507"/>
      <c r="AH477" s="507"/>
      <c r="AI477" s="507"/>
      <c r="AJ477" s="507"/>
      <c r="AK477" s="507"/>
      <c r="AL477" s="507"/>
      <c r="AM477" s="507"/>
      <c r="AN477" s="507"/>
      <c r="AO477" s="507"/>
      <c r="AP477" s="507"/>
      <c r="AQ477" s="507"/>
      <c r="AR477" s="507"/>
      <c r="AS477" s="507"/>
      <c r="AT477" s="508"/>
      <c r="AU477" s="509"/>
      <c r="AV477" s="510" t="n">
        <f aca="false">A477</f>
        <v>0</v>
      </c>
      <c r="AW477" s="510" t="n">
        <f aca="false">B477</f>
        <v>0</v>
      </c>
      <c r="AX477" s="510" t="n">
        <f aca="false">C477</f>
        <v>0</v>
      </c>
      <c r="AY477" s="511" t="n">
        <f aca="false">ROUND($AY$6*AZ477/$AZ$5,2)</f>
        <v>0</v>
      </c>
      <c r="AZ477" s="502" t="n">
        <f aca="false">BA477+BL477</f>
        <v>0</v>
      </c>
      <c r="BA477" s="502" t="n">
        <f aca="false">SUM(BB477:BK477)</f>
        <v>0</v>
      </c>
      <c r="BB477" s="502" t="n">
        <f aca="false">IF($D477="是",I477-J477,0)</f>
        <v>0</v>
      </c>
      <c r="BC477" s="502" t="n">
        <f aca="false">IF($D477="是",K477-L477,0)</f>
        <v>0</v>
      </c>
      <c r="BD477" s="502" t="n">
        <f aca="false">IF($D477="是",M477-N477,0)</f>
        <v>0</v>
      </c>
      <c r="BE477" s="502" t="n">
        <f aca="false">IF($D477="是",O477-P477,0)</f>
        <v>0</v>
      </c>
      <c r="BF477" s="502" t="n">
        <f aca="false">IF($D477="是",Q477-R477,0)</f>
        <v>0</v>
      </c>
      <c r="BG477" s="502" t="n">
        <f aca="false">IF($D477="是",S477-T477,0)</f>
        <v>0</v>
      </c>
      <c r="BH477" s="502" t="n">
        <f aca="false">IF($D477="是",U477-V477,0)</f>
        <v>0</v>
      </c>
      <c r="BI477" s="502" t="n">
        <f aca="false">IF($D477="是",W477-X477,0)</f>
        <v>0</v>
      </c>
      <c r="BJ477" s="502" t="n">
        <f aca="false">IF($D477="是",Y477-Z477,0)</f>
        <v>0</v>
      </c>
      <c r="BK477" s="502" t="n">
        <f aca="false">IF($D477="是",AA477-AB477,0)</f>
        <v>0</v>
      </c>
      <c r="BL477" s="502" t="n">
        <f aca="false">SUM(BM477:BT477)</f>
        <v>0</v>
      </c>
      <c r="BM477" s="502" t="n">
        <f aca="false">IF($D477="是",AD477-AE477,0)</f>
        <v>0</v>
      </c>
      <c r="BN477" s="502" t="n">
        <f aca="false">IF($D477="是",AF477-AG477,0)</f>
        <v>0</v>
      </c>
      <c r="BO477" s="502" t="n">
        <f aca="false">IF($D477="是",AH477-AI477,0)</f>
        <v>0</v>
      </c>
      <c r="BP477" s="502" t="n">
        <f aca="false">IF($D477="是",AJ477-AK477,0)</f>
        <v>0</v>
      </c>
      <c r="BQ477" s="502" t="n">
        <f aca="false">IF($D477="是",AL477-AM477,0)</f>
        <v>0</v>
      </c>
      <c r="BR477" s="502" t="n">
        <f aca="false">IF($D477="是",AN477-AO477,0)</f>
        <v>0</v>
      </c>
      <c r="BS477" s="502" t="n">
        <f aca="false">IF($D477="是",AP477-AQ477,0)</f>
        <v>0</v>
      </c>
      <c r="BT477" s="512" t="n">
        <f aca="false">IF($D477="是",AR477-AS477,0)</f>
        <v>0</v>
      </c>
    </row>
    <row r="478" customFormat="false" ht="14.25" hidden="false" customHeight="false" outlineLevel="0" collapsed="false">
      <c r="A478" s="499"/>
      <c r="B478" s="500"/>
      <c r="C478" s="500"/>
      <c r="D478" s="501"/>
      <c r="E478" s="502" t="n">
        <f aca="false">IF($C$3="是",ROUND($A$3*G478/$B$3,2),ROUND($A$3*(G478-AT478)/$B$3,2))</f>
        <v>0</v>
      </c>
      <c r="F478" s="503"/>
      <c r="G478" s="504" t="n">
        <f aca="false">H478+AC478+AT478</f>
        <v>0</v>
      </c>
      <c r="H478" s="505" t="n">
        <f aca="false">SUMIF(I$12:AB$12,"总值",I478:AB478)</f>
        <v>0</v>
      </c>
      <c r="I478" s="506"/>
      <c r="J478" s="506"/>
      <c r="K478" s="506"/>
      <c r="L478" s="506"/>
      <c r="M478" s="506"/>
      <c r="N478" s="506"/>
      <c r="O478" s="506"/>
      <c r="P478" s="506"/>
      <c r="Q478" s="506"/>
      <c r="R478" s="506"/>
      <c r="S478" s="506"/>
      <c r="T478" s="506"/>
      <c r="U478" s="506"/>
      <c r="V478" s="506"/>
      <c r="W478" s="506"/>
      <c r="X478" s="506"/>
      <c r="Y478" s="506"/>
      <c r="Z478" s="506"/>
      <c r="AA478" s="506"/>
      <c r="AB478" s="506"/>
      <c r="AC478" s="502" t="n">
        <f aca="false">SUMIF(AD$12:AS$12,"总值",AD478:AS478)</f>
        <v>0</v>
      </c>
      <c r="AD478" s="507"/>
      <c r="AE478" s="507"/>
      <c r="AF478" s="507"/>
      <c r="AG478" s="507"/>
      <c r="AH478" s="507"/>
      <c r="AI478" s="507"/>
      <c r="AJ478" s="507"/>
      <c r="AK478" s="507"/>
      <c r="AL478" s="507"/>
      <c r="AM478" s="507"/>
      <c r="AN478" s="507"/>
      <c r="AO478" s="507"/>
      <c r="AP478" s="507"/>
      <c r="AQ478" s="507"/>
      <c r="AR478" s="507"/>
      <c r="AS478" s="507"/>
      <c r="AT478" s="508"/>
      <c r="AU478" s="509"/>
      <c r="AV478" s="510" t="n">
        <f aca="false">A478</f>
        <v>0</v>
      </c>
      <c r="AW478" s="510" t="n">
        <f aca="false">B478</f>
        <v>0</v>
      </c>
      <c r="AX478" s="510" t="n">
        <f aca="false">C478</f>
        <v>0</v>
      </c>
      <c r="AY478" s="511" t="n">
        <f aca="false">ROUND($AY$6*AZ478/$AZ$5,2)</f>
        <v>0</v>
      </c>
      <c r="AZ478" s="502" t="n">
        <f aca="false">BA478+BL478</f>
        <v>0</v>
      </c>
      <c r="BA478" s="502" t="n">
        <f aca="false">SUM(BB478:BK478)</f>
        <v>0</v>
      </c>
      <c r="BB478" s="502" t="n">
        <f aca="false">IF($D478="是",I478-J478,0)</f>
        <v>0</v>
      </c>
      <c r="BC478" s="502" t="n">
        <f aca="false">IF($D478="是",K478-L478,0)</f>
        <v>0</v>
      </c>
      <c r="BD478" s="502" t="n">
        <f aca="false">IF($D478="是",M478-N478,0)</f>
        <v>0</v>
      </c>
      <c r="BE478" s="502" t="n">
        <f aca="false">IF($D478="是",O478-P478,0)</f>
        <v>0</v>
      </c>
      <c r="BF478" s="502" t="n">
        <f aca="false">IF($D478="是",Q478-R478,0)</f>
        <v>0</v>
      </c>
      <c r="BG478" s="502" t="n">
        <f aca="false">IF($D478="是",S478-T478,0)</f>
        <v>0</v>
      </c>
      <c r="BH478" s="502" t="n">
        <f aca="false">IF($D478="是",U478-V478,0)</f>
        <v>0</v>
      </c>
      <c r="BI478" s="502" t="n">
        <f aca="false">IF($D478="是",W478-X478,0)</f>
        <v>0</v>
      </c>
      <c r="BJ478" s="502" t="n">
        <f aca="false">IF($D478="是",Y478-Z478,0)</f>
        <v>0</v>
      </c>
      <c r="BK478" s="502" t="n">
        <f aca="false">IF($D478="是",AA478-AB478,0)</f>
        <v>0</v>
      </c>
      <c r="BL478" s="502" t="n">
        <f aca="false">SUM(BM478:BT478)</f>
        <v>0</v>
      </c>
      <c r="BM478" s="502" t="n">
        <f aca="false">IF($D478="是",AD478-AE478,0)</f>
        <v>0</v>
      </c>
      <c r="BN478" s="502" t="n">
        <f aca="false">IF($D478="是",AF478-AG478,0)</f>
        <v>0</v>
      </c>
      <c r="BO478" s="502" t="n">
        <f aca="false">IF($D478="是",AH478-AI478,0)</f>
        <v>0</v>
      </c>
      <c r="BP478" s="502" t="n">
        <f aca="false">IF($D478="是",AJ478-AK478,0)</f>
        <v>0</v>
      </c>
      <c r="BQ478" s="502" t="n">
        <f aca="false">IF($D478="是",AL478-AM478,0)</f>
        <v>0</v>
      </c>
      <c r="BR478" s="502" t="n">
        <f aca="false">IF($D478="是",AN478-AO478,0)</f>
        <v>0</v>
      </c>
      <c r="BS478" s="502" t="n">
        <f aca="false">IF($D478="是",AP478-AQ478,0)</f>
        <v>0</v>
      </c>
      <c r="BT478" s="512" t="n">
        <f aca="false">IF($D478="是",AR478-AS478,0)</f>
        <v>0</v>
      </c>
    </row>
    <row r="479" customFormat="false" ht="14.25" hidden="false" customHeight="false" outlineLevel="0" collapsed="false">
      <c r="A479" s="499"/>
      <c r="B479" s="500"/>
      <c r="C479" s="500"/>
      <c r="D479" s="501"/>
      <c r="E479" s="502" t="n">
        <f aca="false">IF($C$3="是",ROUND($A$3*G479/$B$3,2),ROUND($A$3*(G479-AT479)/$B$3,2))</f>
        <v>0</v>
      </c>
      <c r="F479" s="503"/>
      <c r="G479" s="504" t="n">
        <f aca="false">H479+AC479+AT479</f>
        <v>0</v>
      </c>
      <c r="H479" s="505" t="n">
        <f aca="false">SUMIF(I$12:AB$12,"总值",I479:AB479)</f>
        <v>0</v>
      </c>
      <c r="I479" s="506"/>
      <c r="J479" s="506"/>
      <c r="K479" s="506"/>
      <c r="L479" s="506"/>
      <c r="M479" s="506"/>
      <c r="N479" s="506"/>
      <c r="O479" s="506"/>
      <c r="P479" s="506"/>
      <c r="Q479" s="506"/>
      <c r="R479" s="506"/>
      <c r="S479" s="506"/>
      <c r="T479" s="506"/>
      <c r="U479" s="506"/>
      <c r="V479" s="506"/>
      <c r="W479" s="506"/>
      <c r="X479" s="506"/>
      <c r="Y479" s="506"/>
      <c r="Z479" s="506"/>
      <c r="AA479" s="506"/>
      <c r="AB479" s="506"/>
      <c r="AC479" s="502" t="n">
        <f aca="false">SUMIF(AD$12:AS$12,"总值",AD479:AS479)</f>
        <v>0</v>
      </c>
      <c r="AD479" s="507"/>
      <c r="AE479" s="507"/>
      <c r="AF479" s="507"/>
      <c r="AG479" s="507"/>
      <c r="AH479" s="507"/>
      <c r="AI479" s="507"/>
      <c r="AJ479" s="507"/>
      <c r="AK479" s="507"/>
      <c r="AL479" s="507"/>
      <c r="AM479" s="507"/>
      <c r="AN479" s="507"/>
      <c r="AO479" s="507"/>
      <c r="AP479" s="507"/>
      <c r="AQ479" s="507"/>
      <c r="AR479" s="507"/>
      <c r="AS479" s="507"/>
      <c r="AT479" s="508"/>
      <c r="AU479" s="509"/>
      <c r="AV479" s="510" t="n">
        <f aca="false">A479</f>
        <v>0</v>
      </c>
      <c r="AW479" s="510" t="n">
        <f aca="false">B479</f>
        <v>0</v>
      </c>
      <c r="AX479" s="510" t="n">
        <f aca="false">C479</f>
        <v>0</v>
      </c>
      <c r="AY479" s="511" t="n">
        <f aca="false">ROUND($AY$6*AZ479/$AZ$5,2)</f>
        <v>0</v>
      </c>
      <c r="AZ479" s="502" t="n">
        <f aca="false">BA479+BL479</f>
        <v>0</v>
      </c>
      <c r="BA479" s="502" t="n">
        <f aca="false">SUM(BB479:BK479)</f>
        <v>0</v>
      </c>
      <c r="BB479" s="502" t="n">
        <f aca="false">IF($D479="是",I479-J479,0)</f>
        <v>0</v>
      </c>
      <c r="BC479" s="502" t="n">
        <f aca="false">IF($D479="是",K479-L479,0)</f>
        <v>0</v>
      </c>
      <c r="BD479" s="502" t="n">
        <f aca="false">IF($D479="是",M479-N479,0)</f>
        <v>0</v>
      </c>
      <c r="BE479" s="502" t="n">
        <f aca="false">IF($D479="是",O479-P479,0)</f>
        <v>0</v>
      </c>
      <c r="BF479" s="502" t="n">
        <f aca="false">IF($D479="是",Q479-R479,0)</f>
        <v>0</v>
      </c>
      <c r="BG479" s="502" t="n">
        <f aca="false">IF($D479="是",S479-T479,0)</f>
        <v>0</v>
      </c>
      <c r="BH479" s="502" t="n">
        <f aca="false">IF($D479="是",U479-V479,0)</f>
        <v>0</v>
      </c>
      <c r="BI479" s="502" t="n">
        <f aca="false">IF($D479="是",W479-X479,0)</f>
        <v>0</v>
      </c>
      <c r="BJ479" s="502" t="n">
        <f aca="false">IF($D479="是",Y479-Z479,0)</f>
        <v>0</v>
      </c>
      <c r="BK479" s="502" t="n">
        <f aca="false">IF($D479="是",AA479-AB479,0)</f>
        <v>0</v>
      </c>
      <c r="BL479" s="502" t="n">
        <f aca="false">SUM(BM479:BT479)</f>
        <v>0</v>
      </c>
      <c r="BM479" s="502" t="n">
        <f aca="false">IF($D479="是",AD479-AE479,0)</f>
        <v>0</v>
      </c>
      <c r="BN479" s="502" t="n">
        <f aca="false">IF($D479="是",AF479-AG479,0)</f>
        <v>0</v>
      </c>
      <c r="BO479" s="502" t="n">
        <f aca="false">IF($D479="是",AH479-AI479,0)</f>
        <v>0</v>
      </c>
      <c r="BP479" s="502" t="n">
        <f aca="false">IF($D479="是",AJ479-AK479,0)</f>
        <v>0</v>
      </c>
      <c r="BQ479" s="502" t="n">
        <f aca="false">IF($D479="是",AL479-AM479,0)</f>
        <v>0</v>
      </c>
      <c r="BR479" s="502" t="n">
        <f aca="false">IF($D479="是",AN479-AO479,0)</f>
        <v>0</v>
      </c>
      <c r="BS479" s="502" t="n">
        <f aca="false">IF($D479="是",AP479-AQ479,0)</f>
        <v>0</v>
      </c>
      <c r="BT479" s="512" t="n">
        <f aca="false">IF($D479="是",AR479-AS479,0)</f>
        <v>0</v>
      </c>
    </row>
    <row r="480" customFormat="false" ht="14.25" hidden="false" customHeight="false" outlineLevel="0" collapsed="false">
      <c r="A480" s="499"/>
      <c r="B480" s="500"/>
      <c r="C480" s="500"/>
      <c r="D480" s="501"/>
      <c r="E480" s="502" t="n">
        <f aca="false">IF($C$3="是",ROUND($A$3*G480/$B$3,2),ROUND($A$3*(G480-AT480)/$B$3,2))</f>
        <v>0</v>
      </c>
      <c r="F480" s="503"/>
      <c r="G480" s="504" t="n">
        <f aca="false">H480+AC480+AT480</f>
        <v>0</v>
      </c>
      <c r="H480" s="505" t="n">
        <f aca="false">SUMIF(I$12:AB$12,"总值",I480:AB480)</f>
        <v>0</v>
      </c>
      <c r="I480" s="506"/>
      <c r="J480" s="506"/>
      <c r="K480" s="506"/>
      <c r="L480" s="506"/>
      <c r="M480" s="506"/>
      <c r="N480" s="506"/>
      <c r="O480" s="506"/>
      <c r="P480" s="506"/>
      <c r="Q480" s="506"/>
      <c r="R480" s="506"/>
      <c r="S480" s="506"/>
      <c r="T480" s="506"/>
      <c r="U480" s="506"/>
      <c r="V480" s="506"/>
      <c r="W480" s="506"/>
      <c r="X480" s="506"/>
      <c r="Y480" s="506"/>
      <c r="Z480" s="506"/>
      <c r="AA480" s="506"/>
      <c r="AB480" s="506"/>
      <c r="AC480" s="502" t="n">
        <f aca="false">SUMIF(AD$12:AS$12,"总值",AD480:AS480)</f>
        <v>0</v>
      </c>
      <c r="AD480" s="507"/>
      <c r="AE480" s="507"/>
      <c r="AF480" s="507"/>
      <c r="AG480" s="507"/>
      <c r="AH480" s="507"/>
      <c r="AI480" s="507"/>
      <c r="AJ480" s="507"/>
      <c r="AK480" s="507"/>
      <c r="AL480" s="507"/>
      <c r="AM480" s="507"/>
      <c r="AN480" s="507"/>
      <c r="AO480" s="507"/>
      <c r="AP480" s="507"/>
      <c r="AQ480" s="507"/>
      <c r="AR480" s="507"/>
      <c r="AS480" s="507"/>
      <c r="AT480" s="508"/>
      <c r="AU480" s="509"/>
      <c r="AV480" s="510" t="n">
        <f aca="false">A480</f>
        <v>0</v>
      </c>
      <c r="AW480" s="510" t="n">
        <f aca="false">B480</f>
        <v>0</v>
      </c>
      <c r="AX480" s="510" t="n">
        <f aca="false">C480</f>
        <v>0</v>
      </c>
      <c r="AY480" s="511" t="n">
        <f aca="false">ROUND($AY$6*AZ480/$AZ$5,2)</f>
        <v>0</v>
      </c>
      <c r="AZ480" s="502" t="n">
        <f aca="false">BA480+BL480</f>
        <v>0</v>
      </c>
      <c r="BA480" s="502" t="n">
        <f aca="false">SUM(BB480:BK480)</f>
        <v>0</v>
      </c>
      <c r="BB480" s="502" t="n">
        <f aca="false">IF($D480="是",I480-J480,0)</f>
        <v>0</v>
      </c>
      <c r="BC480" s="502" t="n">
        <f aca="false">IF($D480="是",K480-L480,0)</f>
        <v>0</v>
      </c>
      <c r="BD480" s="502" t="n">
        <f aca="false">IF($D480="是",M480-N480,0)</f>
        <v>0</v>
      </c>
      <c r="BE480" s="502" t="n">
        <f aca="false">IF($D480="是",O480-P480,0)</f>
        <v>0</v>
      </c>
      <c r="BF480" s="502" t="n">
        <f aca="false">IF($D480="是",Q480-R480,0)</f>
        <v>0</v>
      </c>
      <c r="BG480" s="502" t="n">
        <f aca="false">IF($D480="是",S480-T480,0)</f>
        <v>0</v>
      </c>
      <c r="BH480" s="502" t="n">
        <f aca="false">IF($D480="是",U480-V480,0)</f>
        <v>0</v>
      </c>
      <c r="BI480" s="502" t="n">
        <f aca="false">IF($D480="是",W480-X480,0)</f>
        <v>0</v>
      </c>
      <c r="BJ480" s="502" t="n">
        <f aca="false">IF($D480="是",Y480-Z480,0)</f>
        <v>0</v>
      </c>
      <c r="BK480" s="502" t="n">
        <f aca="false">IF($D480="是",AA480-AB480,0)</f>
        <v>0</v>
      </c>
      <c r="BL480" s="502" t="n">
        <f aca="false">SUM(BM480:BT480)</f>
        <v>0</v>
      </c>
      <c r="BM480" s="502" t="n">
        <f aca="false">IF($D480="是",AD480-AE480,0)</f>
        <v>0</v>
      </c>
      <c r="BN480" s="502" t="n">
        <f aca="false">IF($D480="是",AF480-AG480,0)</f>
        <v>0</v>
      </c>
      <c r="BO480" s="502" t="n">
        <f aca="false">IF($D480="是",AH480-AI480,0)</f>
        <v>0</v>
      </c>
      <c r="BP480" s="502" t="n">
        <f aca="false">IF($D480="是",AJ480-AK480,0)</f>
        <v>0</v>
      </c>
      <c r="BQ480" s="502" t="n">
        <f aca="false">IF($D480="是",AL480-AM480,0)</f>
        <v>0</v>
      </c>
      <c r="BR480" s="502" t="n">
        <f aca="false">IF($D480="是",AN480-AO480,0)</f>
        <v>0</v>
      </c>
      <c r="BS480" s="502" t="n">
        <f aca="false">IF($D480="是",AP480-AQ480,0)</f>
        <v>0</v>
      </c>
      <c r="BT480" s="512" t="n">
        <f aca="false">IF($D480="是",AR480-AS480,0)</f>
        <v>0</v>
      </c>
    </row>
    <row r="481" customFormat="false" ht="14.25" hidden="false" customHeight="false" outlineLevel="0" collapsed="false">
      <c r="A481" s="499"/>
      <c r="B481" s="500"/>
      <c r="C481" s="500"/>
      <c r="D481" s="501"/>
      <c r="E481" s="502" t="n">
        <f aca="false">IF($C$3="是",ROUND($A$3*G481/$B$3,2),ROUND($A$3*(G481-AT481)/$B$3,2))</f>
        <v>0</v>
      </c>
      <c r="F481" s="503"/>
      <c r="G481" s="504" t="n">
        <f aca="false">H481+AC481+AT481</f>
        <v>0</v>
      </c>
      <c r="H481" s="505" t="n">
        <f aca="false">SUMIF(I$12:AB$12,"总值",I481:AB481)</f>
        <v>0</v>
      </c>
      <c r="I481" s="506"/>
      <c r="J481" s="506"/>
      <c r="K481" s="506"/>
      <c r="L481" s="506"/>
      <c r="M481" s="506"/>
      <c r="N481" s="506"/>
      <c r="O481" s="506"/>
      <c r="P481" s="506"/>
      <c r="Q481" s="506"/>
      <c r="R481" s="506"/>
      <c r="S481" s="506"/>
      <c r="T481" s="506"/>
      <c r="U481" s="506"/>
      <c r="V481" s="506"/>
      <c r="W481" s="506"/>
      <c r="X481" s="506"/>
      <c r="Y481" s="506"/>
      <c r="Z481" s="506"/>
      <c r="AA481" s="506"/>
      <c r="AB481" s="506"/>
      <c r="AC481" s="502" t="n">
        <f aca="false">SUMIF(AD$12:AS$12,"总值",AD481:AS481)</f>
        <v>0</v>
      </c>
      <c r="AD481" s="507"/>
      <c r="AE481" s="507"/>
      <c r="AF481" s="507"/>
      <c r="AG481" s="507"/>
      <c r="AH481" s="507"/>
      <c r="AI481" s="507"/>
      <c r="AJ481" s="507"/>
      <c r="AK481" s="507"/>
      <c r="AL481" s="507"/>
      <c r="AM481" s="507"/>
      <c r="AN481" s="507"/>
      <c r="AO481" s="507"/>
      <c r="AP481" s="507"/>
      <c r="AQ481" s="507"/>
      <c r="AR481" s="507"/>
      <c r="AS481" s="507"/>
      <c r="AT481" s="508"/>
      <c r="AU481" s="509"/>
      <c r="AV481" s="510" t="n">
        <f aca="false">A481</f>
        <v>0</v>
      </c>
      <c r="AW481" s="510" t="n">
        <f aca="false">B481</f>
        <v>0</v>
      </c>
      <c r="AX481" s="510" t="n">
        <f aca="false">C481</f>
        <v>0</v>
      </c>
      <c r="AY481" s="511" t="n">
        <f aca="false">ROUND($AY$6*AZ481/$AZ$5,2)</f>
        <v>0</v>
      </c>
      <c r="AZ481" s="502" t="n">
        <f aca="false">BA481+BL481</f>
        <v>0</v>
      </c>
      <c r="BA481" s="502" t="n">
        <f aca="false">SUM(BB481:BK481)</f>
        <v>0</v>
      </c>
      <c r="BB481" s="502" t="n">
        <f aca="false">IF($D481="是",I481-J481,0)</f>
        <v>0</v>
      </c>
      <c r="BC481" s="502" t="n">
        <f aca="false">IF($D481="是",K481-L481,0)</f>
        <v>0</v>
      </c>
      <c r="BD481" s="502" t="n">
        <f aca="false">IF($D481="是",M481-N481,0)</f>
        <v>0</v>
      </c>
      <c r="BE481" s="502" t="n">
        <f aca="false">IF($D481="是",O481-P481,0)</f>
        <v>0</v>
      </c>
      <c r="BF481" s="502" t="n">
        <f aca="false">IF($D481="是",Q481-R481,0)</f>
        <v>0</v>
      </c>
      <c r="BG481" s="502" t="n">
        <f aca="false">IF($D481="是",S481-T481,0)</f>
        <v>0</v>
      </c>
      <c r="BH481" s="502" t="n">
        <f aca="false">IF($D481="是",U481-V481,0)</f>
        <v>0</v>
      </c>
      <c r="BI481" s="502" t="n">
        <f aca="false">IF($D481="是",W481-X481,0)</f>
        <v>0</v>
      </c>
      <c r="BJ481" s="502" t="n">
        <f aca="false">IF($D481="是",Y481-Z481,0)</f>
        <v>0</v>
      </c>
      <c r="BK481" s="502" t="n">
        <f aca="false">IF($D481="是",AA481-AB481,0)</f>
        <v>0</v>
      </c>
      <c r="BL481" s="502" t="n">
        <f aca="false">SUM(BM481:BT481)</f>
        <v>0</v>
      </c>
      <c r="BM481" s="502" t="n">
        <f aca="false">IF($D481="是",AD481-AE481,0)</f>
        <v>0</v>
      </c>
      <c r="BN481" s="502" t="n">
        <f aca="false">IF($D481="是",AF481-AG481,0)</f>
        <v>0</v>
      </c>
      <c r="BO481" s="502" t="n">
        <f aca="false">IF($D481="是",AH481-AI481,0)</f>
        <v>0</v>
      </c>
      <c r="BP481" s="502" t="n">
        <f aca="false">IF($D481="是",AJ481-AK481,0)</f>
        <v>0</v>
      </c>
      <c r="BQ481" s="502" t="n">
        <f aca="false">IF($D481="是",AL481-AM481,0)</f>
        <v>0</v>
      </c>
      <c r="BR481" s="502" t="n">
        <f aca="false">IF($D481="是",AN481-AO481,0)</f>
        <v>0</v>
      </c>
      <c r="BS481" s="502" t="n">
        <f aca="false">IF($D481="是",AP481-AQ481,0)</f>
        <v>0</v>
      </c>
      <c r="BT481" s="512" t="n">
        <f aca="false">IF($D481="是",AR481-AS481,0)</f>
        <v>0</v>
      </c>
    </row>
    <row r="482" customFormat="false" ht="14.25" hidden="false" customHeight="false" outlineLevel="0" collapsed="false">
      <c r="A482" s="499"/>
      <c r="B482" s="500"/>
      <c r="C482" s="500"/>
      <c r="D482" s="501"/>
      <c r="E482" s="502" t="n">
        <f aca="false">IF($C$3="是",ROUND($A$3*G482/$B$3,2),ROUND($A$3*(G482-AT482)/$B$3,2))</f>
        <v>0</v>
      </c>
      <c r="F482" s="503"/>
      <c r="G482" s="504" t="n">
        <f aca="false">H482+AC482+AT482</f>
        <v>0</v>
      </c>
      <c r="H482" s="505" t="n">
        <f aca="false">SUMIF(I$12:AB$12,"总值",I482:AB482)</f>
        <v>0</v>
      </c>
      <c r="I482" s="506"/>
      <c r="J482" s="506"/>
      <c r="K482" s="506"/>
      <c r="L482" s="506"/>
      <c r="M482" s="506"/>
      <c r="N482" s="506"/>
      <c r="O482" s="506"/>
      <c r="P482" s="506"/>
      <c r="Q482" s="506"/>
      <c r="R482" s="506"/>
      <c r="S482" s="506"/>
      <c r="T482" s="506"/>
      <c r="U482" s="506"/>
      <c r="V482" s="506"/>
      <c r="W482" s="506"/>
      <c r="X482" s="506"/>
      <c r="Y482" s="506"/>
      <c r="Z482" s="506"/>
      <c r="AA482" s="506"/>
      <c r="AB482" s="506"/>
      <c r="AC482" s="502" t="n">
        <f aca="false">SUMIF(AD$12:AS$12,"总值",AD482:AS482)</f>
        <v>0</v>
      </c>
      <c r="AD482" s="507"/>
      <c r="AE482" s="507"/>
      <c r="AF482" s="507"/>
      <c r="AG482" s="507"/>
      <c r="AH482" s="507"/>
      <c r="AI482" s="507"/>
      <c r="AJ482" s="507"/>
      <c r="AK482" s="507"/>
      <c r="AL482" s="507"/>
      <c r="AM482" s="507"/>
      <c r="AN482" s="507"/>
      <c r="AO482" s="507"/>
      <c r="AP482" s="507"/>
      <c r="AQ482" s="507"/>
      <c r="AR482" s="507"/>
      <c r="AS482" s="507"/>
      <c r="AT482" s="508"/>
      <c r="AU482" s="509"/>
      <c r="AV482" s="510" t="n">
        <f aca="false">A482</f>
        <v>0</v>
      </c>
      <c r="AW482" s="510" t="n">
        <f aca="false">B482</f>
        <v>0</v>
      </c>
      <c r="AX482" s="510" t="n">
        <f aca="false">C482</f>
        <v>0</v>
      </c>
      <c r="AY482" s="511" t="n">
        <f aca="false">ROUND($AY$6*AZ482/$AZ$5,2)</f>
        <v>0</v>
      </c>
      <c r="AZ482" s="502" t="n">
        <f aca="false">BA482+BL482</f>
        <v>0</v>
      </c>
      <c r="BA482" s="502" t="n">
        <f aca="false">SUM(BB482:BK482)</f>
        <v>0</v>
      </c>
      <c r="BB482" s="502" t="n">
        <f aca="false">IF($D482="是",I482-J482,0)</f>
        <v>0</v>
      </c>
      <c r="BC482" s="502" t="n">
        <f aca="false">IF($D482="是",K482-L482,0)</f>
        <v>0</v>
      </c>
      <c r="BD482" s="502" t="n">
        <f aca="false">IF($D482="是",M482-N482,0)</f>
        <v>0</v>
      </c>
      <c r="BE482" s="502" t="n">
        <f aca="false">IF($D482="是",O482-P482,0)</f>
        <v>0</v>
      </c>
      <c r="BF482" s="502" t="n">
        <f aca="false">IF($D482="是",Q482-R482,0)</f>
        <v>0</v>
      </c>
      <c r="BG482" s="502" t="n">
        <f aca="false">IF($D482="是",S482-T482,0)</f>
        <v>0</v>
      </c>
      <c r="BH482" s="502" t="n">
        <f aca="false">IF($D482="是",U482-V482,0)</f>
        <v>0</v>
      </c>
      <c r="BI482" s="502" t="n">
        <f aca="false">IF($D482="是",W482-X482,0)</f>
        <v>0</v>
      </c>
      <c r="BJ482" s="502" t="n">
        <f aca="false">IF($D482="是",Y482-Z482,0)</f>
        <v>0</v>
      </c>
      <c r="BK482" s="502" t="n">
        <f aca="false">IF($D482="是",AA482-AB482,0)</f>
        <v>0</v>
      </c>
      <c r="BL482" s="502" t="n">
        <f aca="false">SUM(BM482:BT482)</f>
        <v>0</v>
      </c>
      <c r="BM482" s="502" t="n">
        <f aca="false">IF($D482="是",AD482-AE482,0)</f>
        <v>0</v>
      </c>
      <c r="BN482" s="502" t="n">
        <f aca="false">IF($D482="是",AF482-AG482,0)</f>
        <v>0</v>
      </c>
      <c r="BO482" s="502" t="n">
        <f aca="false">IF($D482="是",AH482-AI482,0)</f>
        <v>0</v>
      </c>
      <c r="BP482" s="502" t="n">
        <f aca="false">IF($D482="是",AJ482-AK482,0)</f>
        <v>0</v>
      </c>
      <c r="BQ482" s="502" t="n">
        <f aca="false">IF($D482="是",AL482-AM482,0)</f>
        <v>0</v>
      </c>
      <c r="BR482" s="502" t="n">
        <f aca="false">IF($D482="是",AN482-AO482,0)</f>
        <v>0</v>
      </c>
      <c r="BS482" s="502" t="n">
        <f aca="false">IF($D482="是",AP482-AQ482,0)</f>
        <v>0</v>
      </c>
      <c r="BT482" s="512" t="n">
        <f aca="false">IF($D482="是",AR482-AS482,0)</f>
        <v>0</v>
      </c>
    </row>
    <row r="483" customFormat="false" ht="14.25" hidden="false" customHeight="false" outlineLevel="0" collapsed="false">
      <c r="A483" s="499"/>
      <c r="B483" s="500"/>
      <c r="C483" s="500"/>
      <c r="D483" s="501"/>
      <c r="E483" s="502" t="n">
        <f aca="false">IF($C$3="是",ROUND($A$3*G483/$B$3,2),ROUND($A$3*(G483-AT483)/$B$3,2))</f>
        <v>0</v>
      </c>
      <c r="F483" s="503"/>
      <c r="G483" s="504" t="n">
        <f aca="false">H483+AC483+AT483</f>
        <v>0</v>
      </c>
      <c r="H483" s="505" t="n">
        <f aca="false">SUMIF(I$12:AB$12,"总值",I483:AB483)</f>
        <v>0</v>
      </c>
      <c r="I483" s="506"/>
      <c r="J483" s="506"/>
      <c r="K483" s="506"/>
      <c r="L483" s="506"/>
      <c r="M483" s="506"/>
      <c r="N483" s="506"/>
      <c r="O483" s="506"/>
      <c r="P483" s="506"/>
      <c r="Q483" s="506"/>
      <c r="R483" s="506"/>
      <c r="S483" s="506"/>
      <c r="T483" s="506"/>
      <c r="U483" s="506"/>
      <c r="V483" s="506"/>
      <c r="W483" s="506"/>
      <c r="X483" s="506"/>
      <c r="Y483" s="506"/>
      <c r="Z483" s="506"/>
      <c r="AA483" s="506"/>
      <c r="AB483" s="506"/>
      <c r="AC483" s="502" t="n">
        <f aca="false">SUMIF(AD$12:AS$12,"总值",AD483:AS483)</f>
        <v>0</v>
      </c>
      <c r="AD483" s="507"/>
      <c r="AE483" s="507"/>
      <c r="AF483" s="507"/>
      <c r="AG483" s="507"/>
      <c r="AH483" s="507"/>
      <c r="AI483" s="507"/>
      <c r="AJ483" s="507"/>
      <c r="AK483" s="507"/>
      <c r="AL483" s="507"/>
      <c r="AM483" s="507"/>
      <c r="AN483" s="507"/>
      <c r="AO483" s="507"/>
      <c r="AP483" s="507"/>
      <c r="AQ483" s="507"/>
      <c r="AR483" s="507"/>
      <c r="AS483" s="507"/>
      <c r="AT483" s="508"/>
      <c r="AU483" s="509"/>
      <c r="AV483" s="510" t="n">
        <f aca="false">A483</f>
        <v>0</v>
      </c>
      <c r="AW483" s="510" t="n">
        <f aca="false">B483</f>
        <v>0</v>
      </c>
      <c r="AX483" s="510" t="n">
        <f aca="false">C483</f>
        <v>0</v>
      </c>
      <c r="AY483" s="511" t="n">
        <f aca="false">ROUND($AY$6*AZ483/$AZ$5,2)</f>
        <v>0</v>
      </c>
      <c r="AZ483" s="502" t="n">
        <f aca="false">BA483+BL483</f>
        <v>0</v>
      </c>
      <c r="BA483" s="502" t="n">
        <f aca="false">SUM(BB483:BK483)</f>
        <v>0</v>
      </c>
      <c r="BB483" s="502" t="n">
        <f aca="false">IF($D483="是",I483-J483,0)</f>
        <v>0</v>
      </c>
      <c r="BC483" s="502" t="n">
        <f aca="false">IF($D483="是",K483-L483,0)</f>
        <v>0</v>
      </c>
      <c r="BD483" s="502" t="n">
        <f aca="false">IF($D483="是",M483-N483,0)</f>
        <v>0</v>
      </c>
      <c r="BE483" s="502" t="n">
        <f aca="false">IF($D483="是",O483-P483,0)</f>
        <v>0</v>
      </c>
      <c r="BF483" s="502" t="n">
        <f aca="false">IF($D483="是",Q483-R483,0)</f>
        <v>0</v>
      </c>
      <c r="BG483" s="502" t="n">
        <f aca="false">IF($D483="是",S483-T483,0)</f>
        <v>0</v>
      </c>
      <c r="BH483" s="502" t="n">
        <f aca="false">IF($D483="是",U483-V483,0)</f>
        <v>0</v>
      </c>
      <c r="BI483" s="502" t="n">
        <f aca="false">IF($D483="是",W483-X483,0)</f>
        <v>0</v>
      </c>
      <c r="BJ483" s="502" t="n">
        <f aca="false">IF($D483="是",Y483-Z483,0)</f>
        <v>0</v>
      </c>
      <c r="BK483" s="502" t="n">
        <f aca="false">IF($D483="是",AA483-AB483,0)</f>
        <v>0</v>
      </c>
      <c r="BL483" s="502" t="n">
        <f aca="false">SUM(BM483:BT483)</f>
        <v>0</v>
      </c>
      <c r="BM483" s="502" t="n">
        <f aca="false">IF($D483="是",AD483-AE483,0)</f>
        <v>0</v>
      </c>
      <c r="BN483" s="502" t="n">
        <f aca="false">IF($D483="是",AF483-AG483,0)</f>
        <v>0</v>
      </c>
      <c r="BO483" s="502" t="n">
        <f aca="false">IF($D483="是",AH483-AI483,0)</f>
        <v>0</v>
      </c>
      <c r="BP483" s="502" t="n">
        <f aca="false">IF($D483="是",AJ483-AK483,0)</f>
        <v>0</v>
      </c>
      <c r="BQ483" s="502" t="n">
        <f aca="false">IF($D483="是",AL483-AM483,0)</f>
        <v>0</v>
      </c>
      <c r="BR483" s="502" t="n">
        <f aca="false">IF($D483="是",AN483-AO483,0)</f>
        <v>0</v>
      </c>
      <c r="BS483" s="502" t="n">
        <f aca="false">IF($D483="是",AP483-AQ483,0)</f>
        <v>0</v>
      </c>
      <c r="BT483" s="512" t="n">
        <f aca="false">IF($D483="是",AR483-AS483,0)</f>
        <v>0</v>
      </c>
    </row>
    <row r="484" customFormat="false" ht="14.25" hidden="false" customHeight="false" outlineLevel="0" collapsed="false">
      <c r="A484" s="499"/>
      <c r="B484" s="500"/>
      <c r="C484" s="500"/>
      <c r="D484" s="501"/>
      <c r="E484" s="502" t="n">
        <f aca="false">IF($C$3="是",ROUND($A$3*G484/$B$3,2),ROUND($A$3*(G484-AT484)/$B$3,2))</f>
        <v>0</v>
      </c>
      <c r="F484" s="503"/>
      <c r="G484" s="504" t="n">
        <f aca="false">H484+AC484+AT484</f>
        <v>0</v>
      </c>
      <c r="H484" s="505" t="n">
        <f aca="false">SUMIF(I$12:AB$12,"总值",I484:AB484)</f>
        <v>0</v>
      </c>
      <c r="I484" s="506"/>
      <c r="J484" s="506"/>
      <c r="K484" s="506"/>
      <c r="L484" s="506"/>
      <c r="M484" s="506"/>
      <c r="N484" s="506"/>
      <c r="O484" s="506"/>
      <c r="P484" s="506"/>
      <c r="Q484" s="506"/>
      <c r="R484" s="506"/>
      <c r="S484" s="506"/>
      <c r="T484" s="506"/>
      <c r="U484" s="506"/>
      <c r="V484" s="506"/>
      <c r="W484" s="506"/>
      <c r="X484" s="506"/>
      <c r="Y484" s="506"/>
      <c r="Z484" s="506"/>
      <c r="AA484" s="506"/>
      <c r="AB484" s="506"/>
      <c r="AC484" s="502" t="n">
        <f aca="false">SUMIF(AD$12:AS$12,"总值",AD484:AS484)</f>
        <v>0</v>
      </c>
      <c r="AD484" s="507"/>
      <c r="AE484" s="507"/>
      <c r="AF484" s="507"/>
      <c r="AG484" s="507"/>
      <c r="AH484" s="507"/>
      <c r="AI484" s="507"/>
      <c r="AJ484" s="507"/>
      <c r="AK484" s="507"/>
      <c r="AL484" s="507"/>
      <c r="AM484" s="507"/>
      <c r="AN484" s="507"/>
      <c r="AO484" s="507"/>
      <c r="AP484" s="507"/>
      <c r="AQ484" s="507"/>
      <c r="AR484" s="507"/>
      <c r="AS484" s="507"/>
      <c r="AT484" s="508"/>
      <c r="AU484" s="509"/>
      <c r="AV484" s="510" t="n">
        <f aca="false">A484</f>
        <v>0</v>
      </c>
      <c r="AW484" s="510" t="n">
        <f aca="false">B484</f>
        <v>0</v>
      </c>
      <c r="AX484" s="510" t="n">
        <f aca="false">C484</f>
        <v>0</v>
      </c>
      <c r="AY484" s="511" t="n">
        <f aca="false">ROUND($AY$6*AZ484/$AZ$5,2)</f>
        <v>0</v>
      </c>
      <c r="AZ484" s="502" t="n">
        <f aca="false">BA484+BL484</f>
        <v>0</v>
      </c>
      <c r="BA484" s="502" t="n">
        <f aca="false">SUM(BB484:BK484)</f>
        <v>0</v>
      </c>
      <c r="BB484" s="502" t="n">
        <f aca="false">IF($D484="是",I484-J484,0)</f>
        <v>0</v>
      </c>
      <c r="BC484" s="502" t="n">
        <f aca="false">IF($D484="是",K484-L484,0)</f>
        <v>0</v>
      </c>
      <c r="BD484" s="502" t="n">
        <f aca="false">IF($D484="是",M484-N484,0)</f>
        <v>0</v>
      </c>
      <c r="BE484" s="502" t="n">
        <f aca="false">IF($D484="是",O484-P484,0)</f>
        <v>0</v>
      </c>
      <c r="BF484" s="502" t="n">
        <f aca="false">IF($D484="是",Q484-R484,0)</f>
        <v>0</v>
      </c>
      <c r="BG484" s="502" t="n">
        <f aca="false">IF($D484="是",S484-T484,0)</f>
        <v>0</v>
      </c>
      <c r="BH484" s="502" t="n">
        <f aca="false">IF($D484="是",U484-V484,0)</f>
        <v>0</v>
      </c>
      <c r="BI484" s="502" t="n">
        <f aca="false">IF($D484="是",W484-X484,0)</f>
        <v>0</v>
      </c>
      <c r="BJ484" s="502" t="n">
        <f aca="false">IF($D484="是",Y484-Z484,0)</f>
        <v>0</v>
      </c>
      <c r="BK484" s="502" t="n">
        <f aca="false">IF($D484="是",AA484-AB484,0)</f>
        <v>0</v>
      </c>
      <c r="BL484" s="502" t="n">
        <f aca="false">SUM(BM484:BT484)</f>
        <v>0</v>
      </c>
      <c r="BM484" s="502" t="n">
        <f aca="false">IF($D484="是",AD484-AE484,0)</f>
        <v>0</v>
      </c>
      <c r="BN484" s="502" t="n">
        <f aca="false">IF($D484="是",AF484-AG484,0)</f>
        <v>0</v>
      </c>
      <c r="BO484" s="502" t="n">
        <f aca="false">IF($D484="是",AH484-AI484,0)</f>
        <v>0</v>
      </c>
      <c r="BP484" s="502" t="n">
        <f aca="false">IF($D484="是",AJ484-AK484,0)</f>
        <v>0</v>
      </c>
      <c r="BQ484" s="502" t="n">
        <f aca="false">IF($D484="是",AL484-AM484,0)</f>
        <v>0</v>
      </c>
      <c r="BR484" s="502" t="n">
        <f aca="false">IF($D484="是",AN484-AO484,0)</f>
        <v>0</v>
      </c>
      <c r="BS484" s="502" t="n">
        <f aca="false">IF($D484="是",AP484-AQ484,0)</f>
        <v>0</v>
      </c>
      <c r="BT484" s="512" t="n">
        <f aca="false">IF($D484="是",AR484-AS484,0)</f>
        <v>0</v>
      </c>
    </row>
    <row r="485" customFormat="false" ht="14.25" hidden="false" customHeight="false" outlineLevel="0" collapsed="false">
      <c r="A485" s="499"/>
      <c r="B485" s="500"/>
      <c r="C485" s="500"/>
      <c r="D485" s="501"/>
      <c r="E485" s="502" t="n">
        <f aca="false">IF($C$3="是",ROUND($A$3*G485/$B$3,2),ROUND($A$3*(G485-AT485)/$B$3,2))</f>
        <v>0</v>
      </c>
      <c r="F485" s="503"/>
      <c r="G485" s="504" t="n">
        <f aca="false">H485+AC485+AT485</f>
        <v>0</v>
      </c>
      <c r="H485" s="505" t="n">
        <f aca="false">SUMIF(I$12:AB$12,"总值",I485:AB485)</f>
        <v>0</v>
      </c>
      <c r="I485" s="506"/>
      <c r="J485" s="506"/>
      <c r="K485" s="506"/>
      <c r="L485" s="506"/>
      <c r="M485" s="506"/>
      <c r="N485" s="506"/>
      <c r="O485" s="506"/>
      <c r="P485" s="506"/>
      <c r="Q485" s="506"/>
      <c r="R485" s="506"/>
      <c r="S485" s="506"/>
      <c r="T485" s="506"/>
      <c r="U485" s="506"/>
      <c r="V485" s="506"/>
      <c r="W485" s="506"/>
      <c r="X485" s="506"/>
      <c r="Y485" s="506"/>
      <c r="Z485" s="506"/>
      <c r="AA485" s="506"/>
      <c r="AB485" s="506"/>
      <c r="AC485" s="502" t="n">
        <f aca="false">SUMIF(AD$12:AS$12,"总值",AD485:AS485)</f>
        <v>0</v>
      </c>
      <c r="AD485" s="507"/>
      <c r="AE485" s="507"/>
      <c r="AF485" s="507"/>
      <c r="AG485" s="507"/>
      <c r="AH485" s="507"/>
      <c r="AI485" s="507"/>
      <c r="AJ485" s="507"/>
      <c r="AK485" s="507"/>
      <c r="AL485" s="507"/>
      <c r="AM485" s="507"/>
      <c r="AN485" s="507"/>
      <c r="AO485" s="507"/>
      <c r="AP485" s="507"/>
      <c r="AQ485" s="507"/>
      <c r="AR485" s="507"/>
      <c r="AS485" s="507"/>
      <c r="AT485" s="508"/>
      <c r="AU485" s="509"/>
      <c r="AV485" s="510" t="n">
        <f aca="false">A485</f>
        <v>0</v>
      </c>
      <c r="AW485" s="510" t="n">
        <f aca="false">B485</f>
        <v>0</v>
      </c>
      <c r="AX485" s="510" t="n">
        <f aca="false">C485</f>
        <v>0</v>
      </c>
      <c r="AY485" s="511" t="n">
        <f aca="false">ROUND($AY$6*AZ485/$AZ$5,2)</f>
        <v>0</v>
      </c>
      <c r="AZ485" s="502" t="n">
        <f aca="false">BA485+BL485</f>
        <v>0</v>
      </c>
      <c r="BA485" s="502" t="n">
        <f aca="false">SUM(BB485:BK485)</f>
        <v>0</v>
      </c>
      <c r="BB485" s="502" t="n">
        <f aca="false">IF($D485="是",I485-J485,0)</f>
        <v>0</v>
      </c>
      <c r="BC485" s="502" t="n">
        <f aca="false">IF($D485="是",K485-L485,0)</f>
        <v>0</v>
      </c>
      <c r="BD485" s="502" t="n">
        <f aca="false">IF($D485="是",M485-N485,0)</f>
        <v>0</v>
      </c>
      <c r="BE485" s="502" t="n">
        <f aca="false">IF($D485="是",O485-P485,0)</f>
        <v>0</v>
      </c>
      <c r="BF485" s="502" t="n">
        <f aca="false">IF($D485="是",Q485-R485,0)</f>
        <v>0</v>
      </c>
      <c r="BG485" s="502" t="n">
        <f aca="false">IF($D485="是",S485-T485,0)</f>
        <v>0</v>
      </c>
      <c r="BH485" s="502" t="n">
        <f aca="false">IF($D485="是",U485-V485,0)</f>
        <v>0</v>
      </c>
      <c r="BI485" s="502" t="n">
        <f aca="false">IF($D485="是",W485-X485,0)</f>
        <v>0</v>
      </c>
      <c r="BJ485" s="502" t="n">
        <f aca="false">IF($D485="是",Y485-Z485,0)</f>
        <v>0</v>
      </c>
      <c r="BK485" s="502" t="n">
        <f aca="false">IF($D485="是",AA485-AB485,0)</f>
        <v>0</v>
      </c>
      <c r="BL485" s="502" t="n">
        <f aca="false">SUM(BM485:BT485)</f>
        <v>0</v>
      </c>
      <c r="BM485" s="502" t="n">
        <f aca="false">IF($D485="是",AD485-AE485,0)</f>
        <v>0</v>
      </c>
      <c r="BN485" s="502" t="n">
        <f aca="false">IF($D485="是",AF485-AG485,0)</f>
        <v>0</v>
      </c>
      <c r="BO485" s="502" t="n">
        <f aca="false">IF($D485="是",AH485-AI485,0)</f>
        <v>0</v>
      </c>
      <c r="BP485" s="502" t="n">
        <f aca="false">IF($D485="是",AJ485-AK485,0)</f>
        <v>0</v>
      </c>
      <c r="BQ485" s="502" t="n">
        <f aca="false">IF($D485="是",AL485-AM485,0)</f>
        <v>0</v>
      </c>
      <c r="BR485" s="502" t="n">
        <f aca="false">IF($D485="是",AN485-AO485,0)</f>
        <v>0</v>
      </c>
      <c r="BS485" s="502" t="n">
        <f aca="false">IF($D485="是",AP485-AQ485,0)</f>
        <v>0</v>
      </c>
      <c r="BT485" s="512" t="n">
        <f aca="false">IF($D485="是",AR485-AS485,0)</f>
        <v>0</v>
      </c>
    </row>
    <row r="486" customFormat="false" ht="14.25" hidden="false" customHeight="false" outlineLevel="0" collapsed="false">
      <c r="A486" s="499"/>
      <c r="B486" s="500"/>
      <c r="C486" s="500"/>
      <c r="D486" s="501"/>
      <c r="E486" s="502" t="n">
        <f aca="false">IF($C$3="是",ROUND($A$3*G486/$B$3,2),ROUND($A$3*(G486-AT486)/$B$3,2))</f>
        <v>0</v>
      </c>
      <c r="F486" s="503"/>
      <c r="G486" s="504" t="n">
        <f aca="false">H486+AC486+AT486</f>
        <v>0</v>
      </c>
      <c r="H486" s="505" t="n">
        <f aca="false">SUMIF(I$12:AB$12,"总值",I486:AB486)</f>
        <v>0</v>
      </c>
      <c r="I486" s="506"/>
      <c r="J486" s="506"/>
      <c r="K486" s="506"/>
      <c r="L486" s="506"/>
      <c r="M486" s="506"/>
      <c r="N486" s="506"/>
      <c r="O486" s="506"/>
      <c r="P486" s="506"/>
      <c r="Q486" s="506"/>
      <c r="R486" s="506"/>
      <c r="S486" s="506"/>
      <c r="T486" s="506"/>
      <c r="U486" s="506"/>
      <c r="V486" s="506"/>
      <c r="W486" s="506"/>
      <c r="X486" s="506"/>
      <c r="Y486" s="506"/>
      <c r="Z486" s="506"/>
      <c r="AA486" s="506"/>
      <c r="AB486" s="506"/>
      <c r="AC486" s="502" t="n">
        <f aca="false">SUMIF(AD$12:AS$12,"总值",AD486:AS486)</f>
        <v>0</v>
      </c>
      <c r="AD486" s="507"/>
      <c r="AE486" s="507"/>
      <c r="AF486" s="507"/>
      <c r="AG486" s="507"/>
      <c r="AH486" s="507"/>
      <c r="AI486" s="507"/>
      <c r="AJ486" s="507"/>
      <c r="AK486" s="507"/>
      <c r="AL486" s="507"/>
      <c r="AM486" s="507"/>
      <c r="AN486" s="507"/>
      <c r="AO486" s="507"/>
      <c r="AP486" s="507"/>
      <c r="AQ486" s="507"/>
      <c r="AR486" s="507"/>
      <c r="AS486" s="507"/>
      <c r="AT486" s="508"/>
      <c r="AU486" s="509"/>
      <c r="AV486" s="510" t="n">
        <f aca="false">A486</f>
        <v>0</v>
      </c>
      <c r="AW486" s="510" t="n">
        <f aca="false">B486</f>
        <v>0</v>
      </c>
      <c r="AX486" s="510" t="n">
        <f aca="false">C486</f>
        <v>0</v>
      </c>
      <c r="AY486" s="511" t="n">
        <f aca="false">ROUND($AY$6*AZ486/$AZ$5,2)</f>
        <v>0</v>
      </c>
      <c r="AZ486" s="502" t="n">
        <f aca="false">BA486+BL486</f>
        <v>0</v>
      </c>
      <c r="BA486" s="502" t="n">
        <f aca="false">SUM(BB486:BK486)</f>
        <v>0</v>
      </c>
      <c r="BB486" s="502" t="n">
        <f aca="false">IF($D486="是",I486-J486,0)</f>
        <v>0</v>
      </c>
      <c r="BC486" s="502" t="n">
        <f aca="false">IF($D486="是",K486-L486,0)</f>
        <v>0</v>
      </c>
      <c r="BD486" s="502" t="n">
        <f aca="false">IF($D486="是",M486-N486,0)</f>
        <v>0</v>
      </c>
      <c r="BE486" s="502" t="n">
        <f aca="false">IF($D486="是",O486-P486,0)</f>
        <v>0</v>
      </c>
      <c r="BF486" s="502" t="n">
        <f aca="false">IF($D486="是",Q486-R486,0)</f>
        <v>0</v>
      </c>
      <c r="BG486" s="502" t="n">
        <f aca="false">IF($D486="是",S486-T486,0)</f>
        <v>0</v>
      </c>
      <c r="BH486" s="502" t="n">
        <f aca="false">IF($D486="是",U486-V486,0)</f>
        <v>0</v>
      </c>
      <c r="BI486" s="502" t="n">
        <f aca="false">IF($D486="是",W486-X486,0)</f>
        <v>0</v>
      </c>
      <c r="BJ486" s="502" t="n">
        <f aca="false">IF($D486="是",Y486-Z486,0)</f>
        <v>0</v>
      </c>
      <c r="BK486" s="502" t="n">
        <f aca="false">IF($D486="是",AA486-AB486,0)</f>
        <v>0</v>
      </c>
      <c r="BL486" s="502" t="n">
        <f aca="false">SUM(BM486:BT486)</f>
        <v>0</v>
      </c>
      <c r="BM486" s="502" t="n">
        <f aca="false">IF($D486="是",AD486-AE486,0)</f>
        <v>0</v>
      </c>
      <c r="BN486" s="502" t="n">
        <f aca="false">IF($D486="是",AF486-AG486,0)</f>
        <v>0</v>
      </c>
      <c r="BO486" s="502" t="n">
        <f aca="false">IF($D486="是",AH486-AI486,0)</f>
        <v>0</v>
      </c>
      <c r="BP486" s="502" t="n">
        <f aca="false">IF($D486="是",AJ486-AK486,0)</f>
        <v>0</v>
      </c>
      <c r="BQ486" s="502" t="n">
        <f aca="false">IF($D486="是",AL486-AM486,0)</f>
        <v>0</v>
      </c>
      <c r="BR486" s="502" t="n">
        <f aca="false">IF($D486="是",AN486-AO486,0)</f>
        <v>0</v>
      </c>
      <c r="BS486" s="502" t="n">
        <f aca="false">IF($D486="是",AP486-AQ486,0)</f>
        <v>0</v>
      </c>
      <c r="BT486" s="512" t="n">
        <f aca="false">IF($D486="是",AR486-AS486,0)</f>
        <v>0</v>
      </c>
    </row>
    <row r="487" customFormat="false" ht="14.25" hidden="false" customHeight="false" outlineLevel="0" collapsed="false">
      <c r="A487" s="499"/>
      <c r="B487" s="500"/>
      <c r="C487" s="500"/>
      <c r="D487" s="501"/>
      <c r="E487" s="502" t="n">
        <f aca="false">IF($C$3="是",ROUND($A$3*G487/$B$3,2),ROUND($A$3*(G487-AT487)/$B$3,2))</f>
        <v>0</v>
      </c>
      <c r="F487" s="503"/>
      <c r="G487" s="504" t="n">
        <f aca="false">H487+AC487+AT487</f>
        <v>0</v>
      </c>
      <c r="H487" s="505" t="n">
        <f aca="false">SUMIF(I$12:AB$12,"总值",I487:AB487)</f>
        <v>0</v>
      </c>
      <c r="I487" s="506"/>
      <c r="J487" s="506"/>
      <c r="K487" s="506"/>
      <c r="L487" s="506"/>
      <c r="M487" s="506"/>
      <c r="N487" s="506"/>
      <c r="O487" s="506"/>
      <c r="P487" s="506"/>
      <c r="Q487" s="506"/>
      <c r="R487" s="506"/>
      <c r="S487" s="506"/>
      <c r="T487" s="506"/>
      <c r="U487" s="506"/>
      <c r="V487" s="506"/>
      <c r="W487" s="506"/>
      <c r="X487" s="506"/>
      <c r="Y487" s="506"/>
      <c r="Z487" s="506"/>
      <c r="AA487" s="506"/>
      <c r="AB487" s="506"/>
      <c r="AC487" s="502" t="n">
        <f aca="false">SUMIF(AD$12:AS$12,"总值",AD487:AS487)</f>
        <v>0</v>
      </c>
      <c r="AD487" s="507"/>
      <c r="AE487" s="507"/>
      <c r="AF487" s="507"/>
      <c r="AG487" s="507"/>
      <c r="AH487" s="507"/>
      <c r="AI487" s="507"/>
      <c r="AJ487" s="507"/>
      <c r="AK487" s="507"/>
      <c r="AL487" s="507"/>
      <c r="AM487" s="507"/>
      <c r="AN487" s="507"/>
      <c r="AO487" s="507"/>
      <c r="AP487" s="507"/>
      <c r="AQ487" s="507"/>
      <c r="AR487" s="507"/>
      <c r="AS487" s="507"/>
      <c r="AT487" s="508"/>
      <c r="AU487" s="509"/>
      <c r="AV487" s="510" t="n">
        <f aca="false">A487</f>
        <v>0</v>
      </c>
      <c r="AW487" s="510" t="n">
        <f aca="false">B487</f>
        <v>0</v>
      </c>
      <c r="AX487" s="510" t="n">
        <f aca="false">C487</f>
        <v>0</v>
      </c>
      <c r="AY487" s="511" t="n">
        <f aca="false">ROUND($AY$6*AZ487/$AZ$5,2)</f>
        <v>0</v>
      </c>
      <c r="AZ487" s="502" t="n">
        <f aca="false">BA487+BL487</f>
        <v>0</v>
      </c>
      <c r="BA487" s="502" t="n">
        <f aca="false">SUM(BB487:BK487)</f>
        <v>0</v>
      </c>
      <c r="BB487" s="502" t="n">
        <f aca="false">IF($D487="是",I487-J487,0)</f>
        <v>0</v>
      </c>
      <c r="BC487" s="502" t="n">
        <f aca="false">IF($D487="是",K487-L487,0)</f>
        <v>0</v>
      </c>
      <c r="BD487" s="502" t="n">
        <f aca="false">IF($D487="是",M487-N487,0)</f>
        <v>0</v>
      </c>
      <c r="BE487" s="502" t="n">
        <f aca="false">IF($D487="是",O487-P487,0)</f>
        <v>0</v>
      </c>
      <c r="BF487" s="502" t="n">
        <f aca="false">IF($D487="是",Q487-R487,0)</f>
        <v>0</v>
      </c>
      <c r="BG487" s="502" t="n">
        <f aca="false">IF($D487="是",S487-T487,0)</f>
        <v>0</v>
      </c>
      <c r="BH487" s="502" t="n">
        <f aca="false">IF($D487="是",U487-V487,0)</f>
        <v>0</v>
      </c>
      <c r="BI487" s="502" t="n">
        <f aca="false">IF($D487="是",W487-X487,0)</f>
        <v>0</v>
      </c>
      <c r="BJ487" s="502" t="n">
        <f aca="false">IF($D487="是",Y487-Z487,0)</f>
        <v>0</v>
      </c>
      <c r="BK487" s="502" t="n">
        <f aca="false">IF($D487="是",AA487-AB487,0)</f>
        <v>0</v>
      </c>
      <c r="BL487" s="502" t="n">
        <f aca="false">SUM(BM487:BT487)</f>
        <v>0</v>
      </c>
      <c r="BM487" s="502" t="n">
        <f aca="false">IF($D487="是",AD487-AE487,0)</f>
        <v>0</v>
      </c>
      <c r="BN487" s="502" t="n">
        <f aca="false">IF($D487="是",AF487-AG487,0)</f>
        <v>0</v>
      </c>
      <c r="BO487" s="502" t="n">
        <f aca="false">IF($D487="是",AH487-AI487,0)</f>
        <v>0</v>
      </c>
      <c r="BP487" s="502" t="n">
        <f aca="false">IF($D487="是",AJ487-AK487,0)</f>
        <v>0</v>
      </c>
      <c r="BQ487" s="502" t="n">
        <f aca="false">IF($D487="是",AL487-AM487,0)</f>
        <v>0</v>
      </c>
      <c r="BR487" s="502" t="n">
        <f aca="false">IF($D487="是",AN487-AO487,0)</f>
        <v>0</v>
      </c>
      <c r="BS487" s="502" t="n">
        <f aca="false">IF($D487="是",AP487-AQ487,0)</f>
        <v>0</v>
      </c>
      <c r="BT487" s="512" t="n">
        <f aca="false">IF($D487="是",AR487-AS487,0)</f>
        <v>0</v>
      </c>
    </row>
    <row r="488" customFormat="false" ht="14.25" hidden="false" customHeight="false" outlineLevel="0" collapsed="false">
      <c r="A488" s="499"/>
      <c r="B488" s="500"/>
      <c r="C488" s="500"/>
      <c r="D488" s="501"/>
      <c r="E488" s="502" t="n">
        <f aca="false">IF($C$3="是",ROUND($A$3*G488/$B$3,2),ROUND($A$3*(G488-AT488)/$B$3,2))</f>
        <v>0</v>
      </c>
      <c r="F488" s="503"/>
      <c r="G488" s="504" t="n">
        <f aca="false">H488+AC488+AT488</f>
        <v>0</v>
      </c>
      <c r="H488" s="505" t="n">
        <f aca="false">SUMIF(I$12:AB$12,"总值",I488:AB488)</f>
        <v>0</v>
      </c>
      <c r="I488" s="506"/>
      <c r="J488" s="506"/>
      <c r="K488" s="506"/>
      <c r="L488" s="506"/>
      <c r="M488" s="506"/>
      <c r="N488" s="506"/>
      <c r="O488" s="506"/>
      <c r="P488" s="506"/>
      <c r="Q488" s="506"/>
      <c r="R488" s="506"/>
      <c r="S488" s="506"/>
      <c r="T488" s="506"/>
      <c r="U488" s="506"/>
      <c r="V488" s="506"/>
      <c r="W488" s="506"/>
      <c r="X488" s="506"/>
      <c r="Y488" s="506"/>
      <c r="Z488" s="506"/>
      <c r="AA488" s="506"/>
      <c r="AB488" s="506"/>
      <c r="AC488" s="502" t="n">
        <f aca="false">SUMIF(AD$12:AS$12,"总值",AD488:AS488)</f>
        <v>0</v>
      </c>
      <c r="AD488" s="507"/>
      <c r="AE488" s="507"/>
      <c r="AF488" s="507"/>
      <c r="AG488" s="507"/>
      <c r="AH488" s="507"/>
      <c r="AI488" s="507"/>
      <c r="AJ488" s="507"/>
      <c r="AK488" s="507"/>
      <c r="AL488" s="507"/>
      <c r="AM488" s="507"/>
      <c r="AN488" s="507"/>
      <c r="AO488" s="507"/>
      <c r="AP488" s="507"/>
      <c r="AQ488" s="507"/>
      <c r="AR488" s="507"/>
      <c r="AS488" s="507"/>
      <c r="AT488" s="508"/>
      <c r="AU488" s="509"/>
      <c r="AV488" s="510" t="n">
        <f aca="false">A488</f>
        <v>0</v>
      </c>
      <c r="AW488" s="510" t="n">
        <f aca="false">B488</f>
        <v>0</v>
      </c>
      <c r="AX488" s="510" t="n">
        <f aca="false">C488</f>
        <v>0</v>
      </c>
      <c r="AY488" s="511" t="n">
        <f aca="false">ROUND($AY$6*AZ488/$AZ$5,2)</f>
        <v>0</v>
      </c>
      <c r="AZ488" s="502" t="n">
        <f aca="false">BA488+BL488</f>
        <v>0</v>
      </c>
      <c r="BA488" s="502" t="n">
        <f aca="false">SUM(BB488:BK488)</f>
        <v>0</v>
      </c>
      <c r="BB488" s="502" t="n">
        <f aca="false">IF($D488="是",I488-J488,0)</f>
        <v>0</v>
      </c>
      <c r="BC488" s="502" t="n">
        <f aca="false">IF($D488="是",K488-L488,0)</f>
        <v>0</v>
      </c>
      <c r="BD488" s="502" t="n">
        <f aca="false">IF($D488="是",M488-N488,0)</f>
        <v>0</v>
      </c>
      <c r="BE488" s="502" t="n">
        <f aca="false">IF($D488="是",O488-P488,0)</f>
        <v>0</v>
      </c>
      <c r="BF488" s="502" t="n">
        <f aca="false">IF($D488="是",Q488-R488,0)</f>
        <v>0</v>
      </c>
      <c r="BG488" s="502" t="n">
        <f aca="false">IF($D488="是",S488-T488,0)</f>
        <v>0</v>
      </c>
      <c r="BH488" s="502" t="n">
        <f aca="false">IF($D488="是",U488-V488,0)</f>
        <v>0</v>
      </c>
      <c r="BI488" s="502" t="n">
        <f aca="false">IF($D488="是",W488-X488,0)</f>
        <v>0</v>
      </c>
      <c r="BJ488" s="502" t="n">
        <f aca="false">IF($D488="是",Y488-Z488,0)</f>
        <v>0</v>
      </c>
      <c r="BK488" s="502" t="n">
        <f aca="false">IF($D488="是",AA488-AB488,0)</f>
        <v>0</v>
      </c>
      <c r="BL488" s="502" t="n">
        <f aca="false">SUM(BM488:BT488)</f>
        <v>0</v>
      </c>
      <c r="BM488" s="502" t="n">
        <f aca="false">IF($D488="是",AD488-AE488,0)</f>
        <v>0</v>
      </c>
      <c r="BN488" s="502" t="n">
        <f aca="false">IF($D488="是",AF488-AG488,0)</f>
        <v>0</v>
      </c>
      <c r="BO488" s="502" t="n">
        <f aca="false">IF($D488="是",AH488-AI488,0)</f>
        <v>0</v>
      </c>
      <c r="BP488" s="502" t="n">
        <f aca="false">IF($D488="是",AJ488-AK488,0)</f>
        <v>0</v>
      </c>
      <c r="BQ488" s="502" t="n">
        <f aca="false">IF($D488="是",AL488-AM488,0)</f>
        <v>0</v>
      </c>
      <c r="BR488" s="502" t="n">
        <f aca="false">IF($D488="是",AN488-AO488,0)</f>
        <v>0</v>
      </c>
      <c r="BS488" s="502" t="n">
        <f aca="false">IF($D488="是",AP488-AQ488,0)</f>
        <v>0</v>
      </c>
      <c r="BT488" s="512" t="n">
        <f aca="false">IF($D488="是",AR488-AS488,0)</f>
        <v>0</v>
      </c>
    </row>
    <row r="489" customFormat="false" ht="14.25" hidden="false" customHeight="false" outlineLevel="0" collapsed="false">
      <c r="A489" s="499"/>
      <c r="B489" s="500"/>
      <c r="C489" s="500"/>
      <c r="D489" s="501"/>
      <c r="E489" s="502" t="n">
        <f aca="false">IF($C$3="是",ROUND($A$3*G489/$B$3,2),ROUND($A$3*(G489-AT489)/$B$3,2))</f>
        <v>0</v>
      </c>
      <c r="F489" s="503"/>
      <c r="G489" s="504" t="n">
        <f aca="false">H489+AC489+AT489</f>
        <v>0</v>
      </c>
      <c r="H489" s="505" t="n">
        <f aca="false">SUMIF(I$12:AB$12,"总值",I489:AB489)</f>
        <v>0</v>
      </c>
      <c r="I489" s="506"/>
      <c r="J489" s="506"/>
      <c r="K489" s="506"/>
      <c r="L489" s="506"/>
      <c r="M489" s="506"/>
      <c r="N489" s="506"/>
      <c r="O489" s="506"/>
      <c r="P489" s="506"/>
      <c r="Q489" s="506"/>
      <c r="R489" s="506"/>
      <c r="S489" s="506"/>
      <c r="T489" s="506"/>
      <c r="U489" s="506"/>
      <c r="V489" s="506"/>
      <c r="W489" s="506"/>
      <c r="X489" s="506"/>
      <c r="Y489" s="506"/>
      <c r="Z489" s="506"/>
      <c r="AA489" s="506"/>
      <c r="AB489" s="506"/>
      <c r="AC489" s="502" t="n">
        <f aca="false">SUMIF(AD$12:AS$12,"总值",AD489:AS489)</f>
        <v>0</v>
      </c>
      <c r="AD489" s="507"/>
      <c r="AE489" s="507"/>
      <c r="AF489" s="507"/>
      <c r="AG489" s="507"/>
      <c r="AH489" s="507"/>
      <c r="AI489" s="507"/>
      <c r="AJ489" s="507"/>
      <c r="AK489" s="507"/>
      <c r="AL489" s="507"/>
      <c r="AM489" s="507"/>
      <c r="AN489" s="507"/>
      <c r="AO489" s="507"/>
      <c r="AP489" s="507"/>
      <c r="AQ489" s="507"/>
      <c r="AR489" s="507"/>
      <c r="AS489" s="507"/>
      <c r="AT489" s="508"/>
      <c r="AU489" s="509"/>
      <c r="AV489" s="510" t="n">
        <f aca="false">A489</f>
        <v>0</v>
      </c>
      <c r="AW489" s="510" t="n">
        <f aca="false">B489</f>
        <v>0</v>
      </c>
      <c r="AX489" s="510" t="n">
        <f aca="false">C489</f>
        <v>0</v>
      </c>
      <c r="AY489" s="511" t="n">
        <f aca="false">ROUND($AY$6*AZ489/$AZ$5,2)</f>
        <v>0</v>
      </c>
      <c r="AZ489" s="502" t="n">
        <f aca="false">BA489+BL489</f>
        <v>0</v>
      </c>
      <c r="BA489" s="502" t="n">
        <f aca="false">SUM(BB489:BK489)</f>
        <v>0</v>
      </c>
      <c r="BB489" s="502" t="n">
        <f aca="false">IF($D489="是",I489-J489,0)</f>
        <v>0</v>
      </c>
      <c r="BC489" s="502" t="n">
        <f aca="false">IF($D489="是",K489-L489,0)</f>
        <v>0</v>
      </c>
      <c r="BD489" s="502" t="n">
        <f aca="false">IF($D489="是",M489-N489,0)</f>
        <v>0</v>
      </c>
      <c r="BE489" s="502" t="n">
        <f aca="false">IF($D489="是",O489-P489,0)</f>
        <v>0</v>
      </c>
      <c r="BF489" s="502" t="n">
        <f aca="false">IF($D489="是",Q489-R489,0)</f>
        <v>0</v>
      </c>
      <c r="BG489" s="502" t="n">
        <f aca="false">IF($D489="是",S489-T489,0)</f>
        <v>0</v>
      </c>
      <c r="BH489" s="502" t="n">
        <f aca="false">IF($D489="是",U489-V489,0)</f>
        <v>0</v>
      </c>
      <c r="BI489" s="502" t="n">
        <f aca="false">IF($D489="是",W489-X489,0)</f>
        <v>0</v>
      </c>
      <c r="BJ489" s="502" t="n">
        <f aca="false">IF($D489="是",Y489-Z489,0)</f>
        <v>0</v>
      </c>
      <c r="BK489" s="502" t="n">
        <f aca="false">IF($D489="是",AA489-AB489,0)</f>
        <v>0</v>
      </c>
      <c r="BL489" s="502" t="n">
        <f aca="false">SUM(BM489:BT489)</f>
        <v>0</v>
      </c>
      <c r="BM489" s="502" t="n">
        <f aca="false">IF($D489="是",AD489-AE489,0)</f>
        <v>0</v>
      </c>
      <c r="BN489" s="502" t="n">
        <f aca="false">IF($D489="是",AF489-AG489,0)</f>
        <v>0</v>
      </c>
      <c r="BO489" s="502" t="n">
        <f aca="false">IF($D489="是",AH489-AI489,0)</f>
        <v>0</v>
      </c>
      <c r="BP489" s="502" t="n">
        <f aca="false">IF($D489="是",AJ489-AK489,0)</f>
        <v>0</v>
      </c>
      <c r="BQ489" s="502" t="n">
        <f aca="false">IF($D489="是",AL489-AM489,0)</f>
        <v>0</v>
      </c>
      <c r="BR489" s="502" t="n">
        <f aca="false">IF($D489="是",AN489-AO489,0)</f>
        <v>0</v>
      </c>
      <c r="BS489" s="502" t="n">
        <f aca="false">IF($D489="是",AP489-AQ489,0)</f>
        <v>0</v>
      </c>
      <c r="BT489" s="512" t="n">
        <f aca="false">IF($D489="是",AR489-AS489,0)</f>
        <v>0</v>
      </c>
    </row>
    <row r="490" customFormat="false" ht="14.25" hidden="false" customHeight="false" outlineLevel="0" collapsed="false">
      <c r="A490" s="499"/>
      <c r="B490" s="499"/>
      <c r="C490" s="499"/>
      <c r="D490" s="501"/>
      <c r="E490" s="502" t="n">
        <f aca="false">IF($C$3="是",ROUND($A$3*G490/$B$3,2),ROUND($A$3*(G490-AT490)/$B$3,2))</f>
        <v>0</v>
      </c>
      <c r="F490" s="513"/>
      <c r="G490" s="504" t="n">
        <f aca="false">H490+AC490+AT490</f>
        <v>0</v>
      </c>
      <c r="H490" s="505" t="n">
        <f aca="false">SUMIF(I$12:AB$12,"总值",I490:AB490)</f>
        <v>0</v>
      </c>
      <c r="I490" s="514"/>
      <c r="J490" s="514"/>
      <c r="K490" s="506"/>
      <c r="L490" s="506"/>
      <c r="M490" s="506"/>
      <c r="N490" s="506"/>
      <c r="O490" s="506"/>
      <c r="P490" s="506"/>
      <c r="Q490" s="506"/>
      <c r="R490" s="506"/>
      <c r="S490" s="506"/>
      <c r="T490" s="506"/>
      <c r="U490" s="506"/>
      <c r="V490" s="506"/>
      <c r="W490" s="506"/>
      <c r="X490" s="506"/>
      <c r="Y490" s="506"/>
      <c r="Z490" s="506"/>
      <c r="AA490" s="506"/>
      <c r="AB490" s="506"/>
      <c r="AC490" s="502" t="n">
        <f aca="false">SUMIF(AD$12:AS$12,"总值",AD490:AS490)</f>
        <v>0</v>
      </c>
      <c r="AD490" s="507"/>
      <c r="AE490" s="507"/>
      <c r="AF490" s="507"/>
      <c r="AG490" s="507"/>
      <c r="AH490" s="507"/>
      <c r="AI490" s="507"/>
      <c r="AJ490" s="507"/>
      <c r="AK490" s="507"/>
      <c r="AL490" s="507"/>
      <c r="AM490" s="507"/>
      <c r="AN490" s="507"/>
      <c r="AO490" s="507"/>
      <c r="AP490" s="507"/>
      <c r="AQ490" s="507"/>
      <c r="AR490" s="507"/>
      <c r="AS490" s="507"/>
      <c r="AT490" s="507"/>
      <c r="AU490" s="515"/>
      <c r="AV490" s="510" t="n">
        <f aca="false">A490</f>
        <v>0</v>
      </c>
      <c r="AW490" s="510" t="n">
        <f aca="false">B490</f>
        <v>0</v>
      </c>
      <c r="AX490" s="510" t="n">
        <f aca="false">C490</f>
        <v>0</v>
      </c>
      <c r="AY490" s="511" t="n">
        <f aca="false">ROUND($AY$6*AZ490/$AZ$5,2)</f>
        <v>0</v>
      </c>
      <c r="AZ490" s="502" t="n">
        <f aca="false">BA490+BL490</f>
        <v>0</v>
      </c>
      <c r="BA490" s="502" t="n">
        <f aca="false">SUM(BB490:BK490)</f>
        <v>0</v>
      </c>
      <c r="BB490" s="502" t="n">
        <f aca="false">IF($D490="是",I490-J490,0)</f>
        <v>0</v>
      </c>
      <c r="BC490" s="502" t="n">
        <f aca="false">IF($D490="是",K490-L490,0)</f>
        <v>0</v>
      </c>
      <c r="BD490" s="502" t="n">
        <f aca="false">IF($D490="是",M490-N490,0)</f>
        <v>0</v>
      </c>
      <c r="BE490" s="502" t="n">
        <f aca="false">IF($D490="是",O490-P490,0)</f>
        <v>0</v>
      </c>
      <c r="BF490" s="502" t="n">
        <f aca="false">IF($D490="是",Q490-R490,0)</f>
        <v>0</v>
      </c>
      <c r="BG490" s="502" t="n">
        <f aca="false">IF($D490="是",S490-T490,0)</f>
        <v>0</v>
      </c>
      <c r="BH490" s="502" t="n">
        <f aca="false">IF($D490="是",U490-V490,0)</f>
        <v>0</v>
      </c>
      <c r="BI490" s="502" t="n">
        <f aca="false">IF($D490="是",W490-X490,0)</f>
        <v>0</v>
      </c>
      <c r="BJ490" s="502" t="n">
        <f aca="false">IF($D490="是",Y490-Z490,0)</f>
        <v>0</v>
      </c>
      <c r="BK490" s="502" t="n">
        <f aca="false">IF($D490="是",AA490-AB490,0)</f>
        <v>0</v>
      </c>
      <c r="BL490" s="502" t="n">
        <f aca="false">SUM(BM490:BT490)</f>
        <v>0</v>
      </c>
      <c r="BM490" s="502" t="n">
        <f aca="false">IF($D490="是",AD490-AE490,0)</f>
        <v>0</v>
      </c>
      <c r="BN490" s="502" t="n">
        <f aca="false">IF($D490="是",AF490-AG490,0)</f>
        <v>0</v>
      </c>
      <c r="BO490" s="502" t="n">
        <f aca="false">IF($D490="是",AH490-AI490,0)</f>
        <v>0</v>
      </c>
      <c r="BP490" s="502" t="n">
        <f aca="false">IF($D490="是",AJ490-AK490,0)</f>
        <v>0</v>
      </c>
      <c r="BQ490" s="502" t="n">
        <f aca="false">IF($D490="是",AL490-AM490,0)</f>
        <v>0</v>
      </c>
      <c r="BR490" s="502" t="n">
        <f aca="false">IF($D490="是",AN490-AO490,0)</f>
        <v>0</v>
      </c>
      <c r="BS490" s="502" t="n">
        <f aca="false">IF($D490="是",AP490-AQ490,0)</f>
        <v>0</v>
      </c>
      <c r="BT490" s="512" t="n">
        <f aca="false">IF($D490="是",AR490-AS490,0)</f>
        <v>0</v>
      </c>
    </row>
    <row r="491" customFormat="false" ht="14.25" hidden="false" customHeight="false" outlineLevel="0" collapsed="false">
      <c r="A491" s="499"/>
      <c r="B491" s="499"/>
      <c r="C491" s="499"/>
      <c r="D491" s="501"/>
      <c r="E491" s="502" t="n">
        <f aca="false">IF($C$3="是",ROUND($A$3*G491/$B$3,2),ROUND($A$3*(G491-AT491)/$B$3,2))</f>
        <v>0</v>
      </c>
      <c r="F491" s="513"/>
      <c r="G491" s="504" t="n">
        <f aca="false">H491+AC491+AT491</f>
        <v>0</v>
      </c>
      <c r="H491" s="505" t="n">
        <f aca="false">SUMIF(I$12:AB$12,"总值",I491:AB491)</f>
        <v>0</v>
      </c>
      <c r="I491" s="506"/>
      <c r="J491" s="506"/>
      <c r="K491" s="506"/>
      <c r="L491" s="506"/>
      <c r="M491" s="506"/>
      <c r="N491" s="506"/>
      <c r="O491" s="506"/>
      <c r="P491" s="506"/>
      <c r="Q491" s="506"/>
      <c r="R491" s="506"/>
      <c r="S491" s="506"/>
      <c r="T491" s="506"/>
      <c r="U491" s="506"/>
      <c r="V491" s="506"/>
      <c r="W491" s="506"/>
      <c r="X491" s="506"/>
      <c r="Y491" s="506"/>
      <c r="Z491" s="506"/>
      <c r="AA491" s="506"/>
      <c r="AB491" s="506"/>
      <c r="AC491" s="502" t="n">
        <f aca="false">SUMIF(AD$12:AS$12,"总值",AD491:AS491)</f>
        <v>0</v>
      </c>
      <c r="AD491" s="507"/>
      <c r="AE491" s="507"/>
      <c r="AF491" s="507"/>
      <c r="AG491" s="507"/>
      <c r="AH491" s="507"/>
      <c r="AI491" s="507"/>
      <c r="AJ491" s="507"/>
      <c r="AK491" s="507"/>
      <c r="AL491" s="507"/>
      <c r="AM491" s="507"/>
      <c r="AN491" s="507"/>
      <c r="AO491" s="507"/>
      <c r="AP491" s="507"/>
      <c r="AQ491" s="507"/>
      <c r="AR491" s="507"/>
      <c r="AS491" s="507"/>
      <c r="AT491" s="507"/>
      <c r="AU491" s="515"/>
      <c r="AV491" s="510" t="n">
        <f aca="false">A491</f>
        <v>0</v>
      </c>
      <c r="AW491" s="510" t="n">
        <f aca="false">B491</f>
        <v>0</v>
      </c>
      <c r="AX491" s="510" t="n">
        <f aca="false">C491</f>
        <v>0</v>
      </c>
      <c r="AY491" s="511" t="n">
        <f aca="false">ROUND($AY$6*AZ491/$AZ$5,2)</f>
        <v>0</v>
      </c>
      <c r="AZ491" s="502" t="n">
        <f aca="false">BA491+BL491</f>
        <v>0</v>
      </c>
      <c r="BA491" s="502" t="n">
        <f aca="false">SUM(BB491:BK491)</f>
        <v>0</v>
      </c>
      <c r="BB491" s="502" t="n">
        <f aca="false">IF($D491="是",I491-J491,0)</f>
        <v>0</v>
      </c>
      <c r="BC491" s="502" t="n">
        <f aca="false">IF($D491="是",K491-L491,0)</f>
        <v>0</v>
      </c>
      <c r="BD491" s="502" t="n">
        <f aca="false">IF($D491="是",M491-N491,0)</f>
        <v>0</v>
      </c>
      <c r="BE491" s="502" t="n">
        <f aca="false">IF($D491="是",O491-P491,0)</f>
        <v>0</v>
      </c>
      <c r="BF491" s="502" t="n">
        <f aca="false">IF($D491="是",Q491-R491,0)</f>
        <v>0</v>
      </c>
      <c r="BG491" s="502" t="n">
        <f aca="false">IF($D491="是",S491-T491,0)</f>
        <v>0</v>
      </c>
      <c r="BH491" s="502" t="n">
        <f aca="false">IF($D491="是",U491-V491,0)</f>
        <v>0</v>
      </c>
      <c r="BI491" s="502" t="n">
        <f aca="false">IF($D491="是",W491-X491,0)</f>
        <v>0</v>
      </c>
      <c r="BJ491" s="502" t="n">
        <f aca="false">IF($D491="是",Y491-Z491,0)</f>
        <v>0</v>
      </c>
      <c r="BK491" s="502" t="n">
        <f aca="false">IF($D491="是",AA491-AB491,0)</f>
        <v>0</v>
      </c>
      <c r="BL491" s="502" t="n">
        <f aca="false">SUM(BM491:BT491)</f>
        <v>0</v>
      </c>
      <c r="BM491" s="502" t="n">
        <f aca="false">IF($D491="是",AD491-AE491,0)</f>
        <v>0</v>
      </c>
      <c r="BN491" s="502" t="n">
        <f aca="false">IF($D491="是",AF491-AG491,0)</f>
        <v>0</v>
      </c>
      <c r="BO491" s="502" t="n">
        <f aca="false">IF($D491="是",AH491-AI491,0)</f>
        <v>0</v>
      </c>
      <c r="BP491" s="502" t="n">
        <f aca="false">IF($D491="是",AJ491-AK491,0)</f>
        <v>0</v>
      </c>
      <c r="BQ491" s="502" t="n">
        <f aca="false">IF($D491="是",AL491-AM491,0)</f>
        <v>0</v>
      </c>
      <c r="BR491" s="502" t="n">
        <f aca="false">IF($D491="是",AN491-AO491,0)</f>
        <v>0</v>
      </c>
      <c r="BS491" s="502" t="n">
        <f aca="false">IF($D491="是",AP491-AQ491,0)</f>
        <v>0</v>
      </c>
      <c r="BT491" s="512" t="n">
        <f aca="false">IF($D491="是",AR491-AS491,0)</f>
        <v>0</v>
      </c>
    </row>
    <row r="492" customFormat="false" ht="14.25" hidden="false" customHeight="false" outlineLevel="0" collapsed="false">
      <c r="A492" s="499"/>
      <c r="B492" s="499"/>
      <c r="C492" s="499"/>
      <c r="D492" s="501"/>
      <c r="E492" s="502" t="n">
        <f aca="false">IF($C$3="是",ROUND($A$3*G492/$B$3,2),ROUND($A$3*(G492-AT492)/$B$3,2))</f>
        <v>0</v>
      </c>
      <c r="F492" s="513"/>
      <c r="G492" s="504" t="n">
        <f aca="false">H492+AC492+AT492</f>
        <v>0</v>
      </c>
      <c r="H492" s="505" t="n">
        <f aca="false">SUMIF(I$12:AB$12,"总值",I492:AB492)</f>
        <v>0</v>
      </c>
      <c r="I492" s="506"/>
      <c r="J492" s="506"/>
      <c r="K492" s="506"/>
      <c r="L492" s="506"/>
      <c r="M492" s="506"/>
      <c r="N492" s="506"/>
      <c r="O492" s="506"/>
      <c r="P492" s="506"/>
      <c r="Q492" s="506"/>
      <c r="R492" s="506"/>
      <c r="S492" s="506"/>
      <c r="T492" s="506"/>
      <c r="U492" s="506"/>
      <c r="V492" s="506"/>
      <c r="W492" s="506"/>
      <c r="X492" s="506"/>
      <c r="Y492" s="506"/>
      <c r="Z492" s="506"/>
      <c r="AA492" s="506"/>
      <c r="AB492" s="506"/>
      <c r="AC492" s="502" t="n">
        <f aca="false">SUMIF(AD$12:AS$12,"总值",AD492:AS492)</f>
        <v>0</v>
      </c>
      <c r="AD492" s="507"/>
      <c r="AE492" s="507"/>
      <c r="AF492" s="507"/>
      <c r="AG492" s="507"/>
      <c r="AH492" s="507"/>
      <c r="AI492" s="507"/>
      <c r="AJ492" s="507"/>
      <c r="AK492" s="507"/>
      <c r="AL492" s="507"/>
      <c r="AM492" s="507"/>
      <c r="AN492" s="507"/>
      <c r="AO492" s="507"/>
      <c r="AP492" s="507"/>
      <c r="AQ492" s="507"/>
      <c r="AR492" s="507"/>
      <c r="AS492" s="507"/>
      <c r="AT492" s="507"/>
      <c r="AU492" s="515"/>
      <c r="AV492" s="510" t="n">
        <f aca="false">A492</f>
        <v>0</v>
      </c>
      <c r="AW492" s="510" t="n">
        <f aca="false">B492</f>
        <v>0</v>
      </c>
      <c r="AX492" s="510" t="n">
        <f aca="false">C492</f>
        <v>0</v>
      </c>
      <c r="AY492" s="511" t="n">
        <f aca="false">ROUND($AY$6*AZ492/$AZ$5,2)</f>
        <v>0</v>
      </c>
      <c r="AZ492" s="502" t="n">
        <f aca="false">BA492+BL492</f>
        <v>0</v>
      </c>
      <c r="BA492" s="502" t="n">
        <f aca="false">SUM(BB492:BK492)</f>
        <v>0</v>
      </c>
      <c r="BB492" s="502" t="n">
        <f aca="false">IF($D492="是",I492-J492,0)</f>
        <v>0</v>
      </c>
      <c r="BC492" s="502" t="n">
        <f aca="false">IF($D492="是",K492-L492,0)</f>
        <v>0</v>
      </c>
      <c r="BD492" s="502" t="n">
        <f aca="false">IF($D492="是",M492-N492,0)</f>
        <v>0</v>
      </c>
      <c r="BE492" s="502" t="n">
        <f aca="false">IF($D492="是",O492-P492,0)</f>
        <v>0</v>
      </c>
      <c r="BF492" s="502" t="n">
        <f aca="false">IF($D492="是",Q492-R492,0)</f>
        <v>0</v>
      </c>
      <c r="BG492" s="502" t="n">
        <f aca="false">IF($D492="是",S492-T492,0)</f>
        <v>0</v>
      </c>
      <c r="BH492" s="502" t="n">
        <f aca="false">IF($D492="是",U492-V492,0)</f>
        <v>0</v>
      </c>
      <c r="BI492" s="502" t="n">
        <f aca="false">IF($D492="是",W492-X492,0)</f>
        <v>0</v>
      </c>
      <c r="BJ492" s="502" t="n">
        <f aca="false">IF($D492="是",Y492-Z492,0)</f>
        <v>0</v>
      </c>
      <c r="BK492" s="502" t="n">
        <f aca="false">IF($D492="是",AA492-AB492,0)</f>
        <v>0</v>
      </c>
      <c r="BL492" s="502" t="n">
        <f aca="false">SUM(BM492:BT492)</f>
        <v>0</v>
      </c>
      <c r="BM492" s="502" t="n">
        <f aca="false">IF($D492="是",AD492-AE492,0)</f>
        <v>0</v>
      </c>
      <c r="BN492" s="502" t="n">
        <f aca="false">IF($D492="是",AF492-AG492,0)</f>
        <v>0</v>
      </c>
      <c r="BO492" s="502" t="n">
        <f aca="false">IF($D492="是",AH492-AI492,0)</f>
        <v>0</v>
      </c>
      <c r="BP492" s="502" t="n">
        <f aca="false">IF($D492="是",AJ492-AK492,0)</f>
        <v>0</v>
      </c>
      <c r="BQ492" s="502" t="n">
        <f aca="false">IF($D492="是",AL492-AM492,0)</f>
        <v>0</v>
      </c>
      <c r="BR492" s="502" t="n">
        <f aca="false">IF($D492="是",AN492-AO492,0)</f>
        <v>0</v>
      </c>
      <c r="BS492" s="502" t="n">
        <f aca="false">IF($D492="是",AP492-AQ492,0)</f>
        <v>0</v>
      </c>
      <c r="BT492" s="512" t="n">
        <f aca="false">IF($D492="是",AR492-AS492,0)</f>
        <v>0</v>
      </c>
    </row>
    <row r="493" customFormat="false" ht="14.25" hidden="false" customHeight="false" outlineLevel="0" collapsed="false">
      <c r="A493" s="499"/>
      <c r="B493" s="500"/>
      <c r="C493" s="500"/>
      <c r="D493" s="501"/>
      <c r="E493" s="502" t="n">
        <f aca="false">IF($C$3="是",ROUND($A$3*G493/$B$3,2),ROUND($A$3*(G493-AT493)/$B$3,2))</f>
        <v>0</v>
      </c>
      <c r="F493" s="503"/>
      <c r="G493" s="504" t="n">
        <f aca="false">H493+AC493+AT493</f>
        <v>0</v>
      </c>
      <c r="H493" s="505" t="n">
        <f aca="false">SUMIF(I$12:AB$12,"总值",I493:AB493)</f>
        <v>0</v>
      </c>
      <c r="I493" s="506"/>
      <c r="J493" s="506"/>
      <c r="K493" s="506"/>
      <c r="L493" s="506"/>
      <c r="M493" s="506"/>
      <c r="N493" s="506"/>
      <c r="O493" s="506"/>
      <c r="P493" s="506"/>
      <c r="Q493" s="506"/>
      <c r="R493" s="506"/>
      <c r="S493" s="506"/>
      <c r="T493" s="506"/>
      <c r="U493" s="506"/>
      <c r="V493" s="506"/>
      <c r="W493" s="506"/>
      <c r="X493" s="506"/>
      <c r="Y493" s="506"/>
      <c r="Z493" s="506"/>
      <c r="AA493" s="506"/>
      <c r="AB493" s="506"/>
      <c r="AC493" s="502" t="n">
        <f aca="false">SUMIF(AD$12:AS$12,"总值",AD493:AS493)</f>
        <v>0</v>
      </c>
      <c r="AD493" s="507"/>
      <c r="AE493" s="507"/>
      <c r="AF493" s="507"/>
      <c r="AG493" s="507"/>
      <c r="AH493" s="507"/>
      <c r="AI493" s="507"/>
      <c r="AJ493" s="507"/>
      <c r="AK493" s="507"/>
      <c r="AL493" s="507"/>
      <c r="AM493" s="507"/>
      <c r="AN493" s="507"/>
      <c r="AO493" s="507"/>
      <c r="AP493" s="507"/>
      <c r="AQ493" s="507"/>
      <c r="AR493" s="507"/>
      <c r="AS493" s="507"/>
      <c r="AT493" s="508"/>
      <c r="AU493" s="509"/>
      <c r="AV493" s="510" t="n">
        <f aca="false">A493</f>
        <v>0</v>
      </c>
      <c r="AW493" s="510" t="n">
        <f aca="false">B493</f>
        <v>0</v>
      </c>
      <c r="AX493" s="510" t="n">
        <f aca="false">C493</f>
        <v>0</v>
      </c>
      <c r="AY493" s="511" t="n">
        <f aca="false">ROUND($AY$6*AZ493/$AZ$5,2)</f>
        <v>0</v>
      </c>
      <c r="AZ493" s="502" t="n">
        <f aca="false">BA493+BL493</f>
        <v>0</v>
      </c>
      <c r="BA493" s="502" t="n">
        <f aca="false">SUM(BB493:BK493)</f>
        <v>0</v>
      </c>
      <c r="BB493" s="502" t="n">
        <f aca="false">IF($D493="是",I493-J493,0)</f>
        <v>0</v>
      </c>
      <c r="BC493" s="502" t="n">
        <f aca="false">IF($D493="是",K493-L493,0)</f>
        <v>0</v>
      </c>
      <c r="BD493" s="502" t="n">
        <f aca="false">IF($D493="是",M493-N493,0)</f>
        <v>0</v>
      </c>
      <c r="BE493" s="502" t="n">
        <f aca="false">IF($D493="是",O493-P493,0)</f>
        <v>0</v>
      </c>
      <c r="BF493" s="502" t="n">
        <f aca="false">IF($D493="是",Q493-R493,0)</f>
        <v>0</v>
      </c>
      <c r="BG493" s="502" t="n">
        <f aca="false">IF($D493="是",S493-T493,0)</f>
        <v>0</v>
      </c>
      <c r="BH493" s="502" t="n">
        <f aca="false">IF($D493="是",U493-V493,0)</f>
        <v>0</v>
      </c>
      <c r="BI493" s="502" t="n">
        <f aca="false">IF($D493="是",W493-X493,0)</f>
        <v>0</v>
      </c>
      <c r="BJ493" s="502" t="n">
        <f aca="false">IF($D493="是",Y493-Z493,0)</f>
        <v>0</v>
      </c>
      <c r="BK493" s="502" t="n">
        <f aca="false">IF($D493="是",AA493-AB493,0)</f>
        <v>0</v>
      </c>
      <c r="BL493" s="502" t="n">
        <f aca="false">SUM(BM493:BT493)</f>
        <v>0</v>
      </c>
      <c r="BM493" s="502" t="n">
        <f aca="false">IF($D493="是",AD493-AE493,0)</f>
        <v>0</v>
      </c>
      <c r="BN493" s="502" t="n">
        <f aca="false">IF($D493="是",AF493-AG493,0)</f>
        <v>0</v>
      </c>
      <c r="BO493" s="502" t="n">
        <f aca="false">IF($D493="是",AH493-AI493,0)</f>
        <v>0</v>
      </c>
      <c r="BP493" s="502" t="n">
        <f aca="false">IF($D493="是",AJ493-AK493,0)</f>
        <v>0</v>
      </c>
      <c r="BQ493" s="502" t="n">
        <f aca="false">IF($D493="是",AL493-AM493,0)</f>
        <v>0</v>
      </c>
      <c r="BR493" s="502" t="n">
        <f aca="false">IF($D493="是",AN493-AO493,0)</f>
        <v>0</v>
      </c>
      <c r="BS493" s="502" t="n">
        <f aca="false">IF($D493="是",AP493-AQ493,0)</f>
        <v>0</v>
      </c>
      <c r="BT493" s="512" t="n">
        <f aca="false">IF($D493="是",AR493-AS493,0)</f>
        <v>0</v>
      </c>
    </row>
    <row r="494" customFormat="false" ht="14.25" hidden="false" customHeight="false" outlineLevel="0" collapsed="false">
      <c r="A494" s="499"/>
      <c r="B494" s="500"/>
      <c r="C494" s="500"/>
      <c r="D494" s="501"/>
      <c r="E494" s="502" t="n">
        <f aca="false">IF($C$3="是",ROUND($A$3*G494/$B$3,2),ROUND($A$3*(G494-AT494)/$B$3,2))</f>
        <v>0</v>
      </c>
      <c r="F494" s="503"/>
      <c r="G494" s="504" t="n">
        <f aca="false">H494+AC494+AT494</f>
        <v>0</v>
      </c>
      <c r="H494" s="505" t="n">
        <f aca="false">SUMIF(I$12:AB$12,"总值",I494:AB494)</f>
        <v>0</v>
      </c>
      <c r="I494" s="506"/>
      <c r="J494" s="506"/>
      <c r="K494" s="506"/>
      <c r="L494" s="506"/>
      <c r="M494" s="506"/>
      <c r="N494" s="506"/>
      <c r="O494" s="506"/>
      <c r="P494" s="506"/>
      <c r="Q494" s="506"/>
      <c r="R494" s="506"/>
      <c r="S494" s="506"/>
      <c r="T494" s="506"/>
      <c r="U494" s="506"/>
      <c r="V494" s="506"/>
      <c r="W494" s="506"/>
      <c r="X494" s="506"/>
      <c r="Y494" s="506"/>
      <c r="Z494" s="506"/>
      <c r="AA494" s="506"/>
      <c r="AB494" s="506"/>
      <c r="AC494" s="502" t="n">
        <f aca="false">SUMIF(AD$12:AS$12,"总值",AD494:AS494)</f>
        <v>0</v>
      </c>
      <c r="AD494" s="507"/>
      <c r="AE494" s="507"/>
      <c r="AF494" s="507"/>
      <c r="AG494" s="507"/>
      <c r="AH494" s="507"/>
      <c r="AI494" s="507"/>
      <c r="AJ494" s="507"/>
      <c r="AK494" s="507"/>
      <c r="AL494" s="507"/>
      <c r="AM494" s="507"/>
      <c r="AN494" s="507"/>
      <c r="AO494" s="507"/>
      <c r="AP494" s="507"/>
      <c r="AQ494" s="507"/>
      <c r="AR494" s="507"/>
      <c r="AS494" s="507"/>
      <c r="AT494" s="508"/>
      <c r="AU494" s="509"/>
      <c r="AV494" s="510" t="n">
        <f aca="false">A494</f>
        <v>0</v>
      </c>
      <c r="AW494" s="510" t="n">
        <f aca="false">B494</f>
        <v>0</v>
      </c>
      <c r="AX494" s="510" t="n">
        <f aca="false">C494</f>
        <v>0</v>
      </c>
      <c r="AY494" s="511" t="n">
        <f aca="false">ROUND($AY$6*AZ494/$AZ$5,2)</f>
        <v>0</v>
      </c>
      <c r="AZ494" s="502" t="n">
        <f aca="false">BA494+BL494</f>
        <v>0</v>
      </c>
      <c r="BA494" s="502" t="n">
        <f aca="false">SUM(BB494:BK494)</f>
        <v>0</v>
      </c>
      <c r="BB494" s="502" t="n">
        <f aca="false">IF($D494="是",I494-J494,0)</f>
        <v>0</v>
      </c>
      <c r="BC494" s="502" t="n">
        <f aca="false">IF($D494="是",K494-L494,0)</f>
        <v>0</v>
      </c>
      <c r="BD494" s="502" t="n">
        <f aca="false">IF($D494="是",M494-N494,0)</f>
        <v>0</v>
      </c>
      <c r="BE494" s="502" t="n">
        <f aca="false">IF($D494="是",O494-P494,0)</f>
        <v>0</v>
      </c>
      <c r="BF494" s="502" t="n">
        <f aca="false">IF($D494="是",Q494-R494,0)</f>
        <v>0</v>
      </c>
      <c r="BG494" s="502" t="n">
        <f aca="false">IF($D494="是",S494-T494,0)</f>
        <v>0</v>
      </c>
      <c r="BH494" s="502" t="n">
        <f aca="false">IF($D494="是",U494-V494,0)</f>
        <v>0</v>
      </c>
      <c r="BI494" s="502" t="n">
        <f aca="false">IF($D494="是",W494-X494,0)</f>
        <v>0</v>
      </c>
      <c r="BJ494" s="502" t="n">
        <f aca="false">IF($D494="是",Y494-Z494,0)</f>
        <v>0</v>
      </c>
      <c r="BK494" s="502" t="n">
        <f aca="false">IF($D494="是",AA494-AB494,0)</f>
        <v>0</v>
      </c>
      <c r="BL494" s="502" t="n">
        <f aca="false">SUM(BM494:BT494)</f>
        <v>0</v>
      </c>
      <c r="BM494" s="502" t="n">
        <f aca="false">IF($D494="是",AD494-AE494,0)</f>
        <v>0</v>
      </c>
      <c r="BN494" s="502" t="n">
        <f aca="false">IF($D494="是",AF494-AG494,0)</f>
        <v>0</v>
      </c>
      <c r="BO494" s="502" t="n">
        <f aca="false">IF($D494="是",AH494-AI494,0)</f>
        <v>0</v>
      </c>
      <c r="BP494" s="502" t="n">
        <f aca="false">IF($D494="是",AJ494-AK494,0)</f>
        <v>0</v>
      </c>
      <c r="BQ494" s="502" t="n">
        <f aca="false">IF($D494="是",AL494-AM494,0)</f>
        <v>0</v>
      </c>
      <c r="BR494" s="502" t="n">
        <f aca="false">IF($D494="是",AN494-AO494,0)</f>
        <v>0</v>
      </c>
      <c r="BS494" s="502" t="n">
        <f aca="false">IF($D494="是",AP494-AQ494,0)</f>
        <v>0</v>
      </c>
      <c r="BT494" s="512" t="n">
        <f aca="false">IF($D494="是",AR494-AS494,0)</f>
        <v>0</v>
      </c>
    </row>
    <row r="495" customFormat="false" ht="14.25" hidden="false" customHeight="false" outlineLevel="0" collapsed="false">
      <c r="A495" s="499"/>
      <c r="B495" s="500"/>
      <c r="C495" s="500"/>
      <c r="D495" s="501"/>
      <c r="E495" s="502" t="n">
        <f aca="false">IF($C$3="是",ROUND($A$3*G495/$B$3,2),ROUND($A$3*(G495-AT495)/$B$3,2))</f>
        <v>0</v>
      </c>
      <c r="F495" s="503"/>
      <c r="G495" s="504" t="n">
        <f aca="false">H495+AC495+AT495</f>
        <v>0</v>
      </c>
      <c r="H495" s="505" t="n">
        <f aca="false">SUMIF(I$12:AB$12,"总值",I495:AB495)</f>
        <v>0</v>
      </c>
      <c r="I495" s="506"/>
      <c r="J495" s="506"/>
      <c r="K495" s="506"/>
      <c r="L495" s="506"/>
      <c r="M495" s="506"/>
      <c r="N495" s="506"/>
      <c r="O495" s="506"/>
      <c r="P495" s="506"/>
      <c r="Q495" s="506"/>
      <c r="R495" s="506"/>
      <c r="S495" s="506"/>
      <c r="T495" s="506"/>
      <c r="U495" s="506"/>
      <c r="V495" s="506"/>
      <c r="W495" s="506"/>
      <c r="X495" s="506"/>
      <c r="Y495" s="506"/>
      <c r="Z495" s="506"/>
      <c r="AA495" s="506"/>
      <c r="AB495" s="506"/>
      <c r="AC495" s="502" t="n">
        <f aca="false">SUMIF(AD$12:AS$12,"总值",AD495:AS495)</f>
        <v>0</v>
      </c>
      <c r="AD495" s="507"/>
      <c r="AE495" s="507"/>
      <c r="AF495" s="507"/>
      <c r="AG495" s="507"/>
      <c r="AH495" s="507"/>
      <c r="AI495" s="507"/>
      <c r="AJ495" s="507"/>
      <c r="AK495" s="507"/>
      <c r="AL495" s="507"/>
      <c r="AM495" s="507"/>
      <c r="AN495" s="507"/>
      <c r="AO495" s="507"/>
      <c r="AP495" s="507"/>
      <c r="AQ495" s="507"/>
      <c r="AR495" s="507"/>
      <c r="AS495" s="507"/>
      <c r="AT495" s="508"/>
      <c r="AU495" s="509"/>
      <c r="AV495" s="510" t="n">
        <f aca="false">A495</f>
        <v>0</v>
      </c>
      <c r="AW495" s="510" t="n">
        <f aca="false">B495</f>
        <v>0</v>
      </c>
      <c r="AX495" s="510" t="n">
        <f aca="false">C495</f>
        <v>0</v>
      </c>
      <c r="AY495" s="511" t="n">
        <f aca="false">ROUND($AY$6*AZ495/$AZ$5,2)</f>
        <v>0</v>
      </c>
      <c r="AZ495" s="502" t="n">
        <f aca="false">BA495+BL495</f>
        <v>0</v>
      </c>
      <c r="BA495" s="502" t="n">
        <f aca="false">SUM(BB495:BK495)</f>
        <v>0</v>
      </c>
      <c r="BB495" s="502" t="n">
        <f aca="false">IF($D495="是",I495-J495,0)</f>
        <v>0</v>
      </c>
      <c r="BC495" s="502" t="n">
        <f aca="false">IF($D495="是",K495-L495,0)</f>
        <v>0</v>
      </c>
      <c r="BD495" s="502" t="n">
        <f aca="false">IF($D495="是",M495-N495,0)</f>
        <v>0</v>
      </c>
      <c r="BE495" s="502" t="n">
        <f aca="false">IF($D495="是",O495-P495,0)</f>
        <v>0</v>
      </c>
      <c r="BF495" s="502" t="n">
        <f aca="false">IF($D495="是",Q495-R495,0)</f>
        <v>0</v>
      </c>
      <c r="BG495" s="502" t="n">
        <f aca="false">IF($D495="是",S495-T495,0)</f>
        <v>0</v>
      </c>
      <c r="BH495" s="502" t="n">
        <f aca="false">IF($D495="是",U495-V495,0)</f>
        <v>0</v>
      </c>
      <c r="BI495" s="502" t="n">
        <f aca="false">IF($D495="是",W495-X495,0)</f>
        <v>0</v>
      </c>
      <c r="BJ495" s="502" t="n">
        <f aca="false">IF($D495="是",Y495-Z495,0)</f>
        <v>0</v>
      </c>
      <c r="BK495" s="502" t="n">
        <f aca="false">IF($D495="是",AA495-AB495,0)</f>
        <v>0</v>
      </c>
      <c r="BL495" s="502" t="n">
        <f aca="false">SUM(BM495:BT495)</f>
        <v>0</v>
      </c>
      <c r="BM495" s="502" t="n">
        <f aca="false">IF($D495="是",AD495-AE495,0)</f>
        <v>0</v>
      </c>
      <c r="BN495" s="502" t="n">
        <f aca="false">IF($D495="是",AF495-AG495,0)</f>
        <v>0</v>
      </c>
      <c r="BO495" s="502" t="n">
        <f aca="false">IF($D495="是",AH495-AI495,0)</f>
        <v>0</v>
      </c>
      <c r="BP495" s="502" t="n">
        <f aca="false">IF($D495="是",AJ495-AK495,0)</f>
        <v>0</v>
      </c>
      <c r="BQ495" s="502" t="n">
        <f aca="false">IF($D495="是",AL495-AM495,0)</f>
        <v>0</v>
      </c>
      <c r="BR495" s="502" t="n">
        <f aca="false">IF($D495="是",AN495-AO495,0)</f>
        <v>0</v>
      </c>
      <c r="BS495" s="502" t="n">
        <f aca="false">IF($D495="是",AP495-AQ495,0)</f>
        <v>0</v>
      </c>
      <c r="BT495" s="512" t="n">
        <f aca="false">IF($D495="是",AR495-AS495,0)</f>
        <v>0</v>
      </c>
    </row>
    <row r="496" customFormat="false" ht="14.25" hidden="false" customHeight="false" outlineLevel="0" collapsed="false">
      <c r="A496" s="499"/>
      <c r="B496" s="500"/>
      <c r="C496" s="500"/>
      <c r="D496" s="501"/>
      <c r="E496" s="502" t="n">
        <f aca="false">IF($C$3="是",ROUND($A$3*G496/$B$3,2),ROUND($A$3*(G496-AT496)/$B$3,2))</f>
        <v>0</v>
      </c>
      <c r="F496" s="503"/>
      <c r="G496" s="504" t="n">
        <f aca="false">H496+AC496+AT496</f>
        <v>0</v>
      </c>
      <c r="H496" s="505" t="n">
        <f aca="false">SUMIF(I$12:AB$12,"总值",I496:AB496)</f>
        <v>0</v>
      </c>
      <c r="I496" s="506"/>
      <c r="J496" s="506"/>
      <c r="K496" s="506"/>
      <c r="L496" s="506"/>
      <c r="M496" s="506"/>
      <c r="N496" s="506"/>
      <c r="O496" s="506"/>
      <c r="P496" s="506"/>
      <c r="Q496" s="506"/>
      <c r="R496" s="506"/>
      <c r="S496" s="506"/>
      <c r="T496" s="506"/>
      <c r="U496" s="506"/>
      <c r="V496" s="506"/>
      <c r="W496" s="506"/>
      <c r="X496" s="506"/>
      <c r="Y496" s="506"/>
      <c r="Z496" s="506"/>
      <c r="AA496" s="506"/>
      <c r="AB496" s="506"/>
      <c r="AC496" s="502" t="n">
        <f aca="false">SUMIF(AD$12:AS$12,"总值",AD496:AS496)</f>
        <v>0</v>
      </c>
      <c r="AD496" s="507"/>
      <c r="AE496" s="507"/>
      <c r="AF496" s="507"/>
      <c r="AG496" s="507"/>
      <c r="AH496" s="507"/>
      <c r="AI496" s="507"/>
      <c r="AJ496" s="507"/>
      <c r="AK496" s="507"/>
      <c r="AL496" s="507"/>
      <c r="AM496" s="507"/>
      <c r="AN496" s="507"/>
      <c r="AO496" s="507"/>
      <c r="AP496" s="507"/>
      <c r="AQ496" s="507"/>
      <c r="AR496" s="507"/>
      <c r="AS496" s="507"/>
      <c r="AT496" s="508"/>
      <c r="AU496" s="509"/>
      <c r="AV496" s="510" t="n">
        <f aca="false">A496</f>
        <v>0</v>
      </c>
      <c r="AW496" s="510" t="n">
        <f aca="false">B496</f>
        <v>0</v>
      </c>
      <c r="AX496" s="510" t="n">
        <f aca="false">C496</f>
        <v>0</v>
      </c>
      <c r="AY496" s="511" t="n">
        <f aca="false">ROUND($AY$6*AZ496/$AZ$5,2)</f>
        <v>0</v>
      </c>
      <c r="AZ496" s="502" t="n">
        <f aca="false">BA496+BL496</f>
        <v>0</v>
      </c>
      <c r="BA496" s="502" t="n">
        <f aca="false">SUM(BB496:BK496)</f>
        <v>0</v>
      </c>
      <c r="BB496" s="502" t="n">
        <f aca="false">IF($D496="是",I496-J496,0)</f>
        <v>0</v>
      </c>
      <c r="BC496" s="502" t="n">
        <f aca="false">IF($D496="是",K496-L496,0)</f>
        <v>0</v>
      </c>
      <c r="BD496" s="502" t="n">
        <f aca="false">IF($D496="是",M496-N496,0)</f>
        <v>0</v>
      </c>
      <c r="BE496" s="502" t="n">
        <f aca="false">IF($D496="是",O496-P496,0)</f>
        <v>0</v>
      </c>
      <c r="BF496" s="502" t="n">
        <f aca="false">IF($D496="是",Q496-R496,0)</f>
        <v>0</v>
      </c>
      <c r="BG496" s="502" t="n">
        <f aca="false">IF($D496="是",S496-T496,0)</f>
        <v>0</v>
      </c>
      <c r="BH496" s="502" t="n">
        <f aca="false">IF($D496="是",U496-V496,0)</f>
        <v>0</v>
      </c>
      <c r="BI496" s="502" t="n">
        <f aca="false">IF($D496="是",W496-X496,0)</f>
        <v>0</v>
      </c>
      <c r="BJ496" s="502" t="n">
        <f aca="false">IF($D496="是",Y496-Z496,0)</f>
        <v>0</v>
      </c>
      <c r="BK496" s="502" t="n">
        <f aca="false">IF($D496="是",AA496-AB496,0)</f>
        <v>0</v>
      </c>
      <c r="BL496" s="502" t="n">
        <f aca="false">SUM(BM496:BT496)</f>
        <v>0</v>
      </c>
      <c r="BM496" s="502" t="n">
        <f aca="false">IF($D496="是",AD496-AE496,0)</f>
        <v>0</v>
      </c>
      <c r="BN496" s="502" t="n">
        <f aca="false">IF($D496="是",AF496-AG496,0)</f>
        <v>0</v>
      </c>
      <c r="BO496" s="502" t="n">
        <f aca="false">IF($D496="是",AH496-AI496,0)</f>
        <v>0</v>
      </c>
      <c r="BP496" s="502" t="n">
        <f aca="false">IF($D496="是",AJ496-AK496,0)</f>
        <v>0</v>
      </c>
      <c r="BQ496" s="502" t="n">
        <f aca="false">IF($D496="是",AL496-AM496,0)</f>
        <v>0</v>
      </c>
      <c r="BR496" s="502" t="n">
        <f aca="false">IF($D496="是",AN496-AO496,0)</f>
        <v>0</v>
      </c>
      <c r="BS496" s="502" t="n">
        <f aca="false">IF($D496="是",AP496-AQ496,0)</f>
        <v>0</v>
      </c>
      <c r="BT496" s="512" t="n">
        <f aca="false">IF($D496="是",AR496-AS496,0)</f>
        <v>0</v>
      </c>
    </row>
    <row r="497" customFormat="false" ht="14.25" hidden="false" customHeight="false" outlineLevel="0" collapsed="false">
      <c r="A497" s="499"/>
      <c r="B497" s="500"/>
      <c r="C497" s="500"/>
      <c r="D497" s="501"/>
      <c r="E497" s="502" t="n">
        <f aca="false">IF($C$3="是",ROUND($A$3*G497/$B$3,2),ROUND($A$3*(G497-AT497)/$B$3,2))</f>
        <v>0</v>
      </c>
      <c r="F497" s="503"/>
      <c r="G497" s="504" t="n">
        <f aca="false">H497+AC497+AT497</f>
        <v>0</v>
      </c>
      <c r="H497" s="505" t="n">
        <f aca="false">SUMIF(I$12:AB$12,"总值",I497:AB497)</f>
        <v>0</v>
      </c>
      <c r="I497" s="506"/>
      <c r="J497" s="506"/>
      <c r="K497" s="506"/>
      <c r="L497" s="506"/>
      <c r="M497" s="506"/>
      <c r="N497" s="506"/>
      <c r="O497" s="506"/>
      <c r="P497" s="506"/>
      <c r="Q497" s="506"/>
      <c r="R497" s="506"/>
      <c r="S497" s="506"/>
      <c r="T497" s="506"/>
      <c r="U497" s="506"/>
      <c r="V497" s="506"/>
      <c r="W497" s="506"/>
      <c r="X497" s="506"/>
      <c r="Y497" s="506"/>
      <c r="Z497" s="506"/>
      <c r="AA497" s="506"/>
      <c r="AB497" s="506"/>
      <c r="AC497" s="502" t="n">
        <f aca="false">SUMIF(AD$12:AS$12,"总值",AD497:AS497)</f>
        <v>0</v>
      </c>
      <c r="AD497" s="507"/>
      <c r="AE497" s="507"/>
      <c r="AF497" s="507"/>
      <c r="AG497" s="507"/>
      <c r="AH497" s="507"/>
      <c r="AI497" s="507"/>
      <c r="AJ497" s="507"/>
      <c r="AK497" s="507"/>
      <c r="AL497" s="507"/>
      <c r="AM497" s="507"/>
      <c r="AN497" s="507"/>
      <c r="AO497" s="507"/>
      <c r="AP497" s="507"/>
      <c r="AQ497" s="507"/>
      <c r="AR497" s="507"/>
      <c r="AS497" s="507"/>
      <c r="AT497" s="508"/>
      <c r="AU497" s="509"/>
      <c r="AV497" s="510" t="n">
        <f aca="false">A497</f>
        <v>0</v>
      </c>
      <c r="AW497" s="510" t="n">
        <f aca="false">B497</f>
        <v>0</v>
      </c>
      <c r="AX497" s="510" t="n">
        <f aca="false">C497</f>
        <v>0</v>
      </c>
      <c r="AY497" s="511" t="n">
        <f aca="false">ROUND($AY$6*AZ497/$AZ$5,2)</f>
        <v>0</v>
      </c>
      <c r="AZ497" s="502" t="n">
        <f aca="false">BA497+BL497</f>
        <v>0</v>
      </c>
      <c r="BA497" s="502" t="n">
        <f aca="false">SUM(BB497:BK497)</f>
        <v>0</v>
      </c>
      <c r="BB497" s="502" t="n">
        <f aca="false">IF($D497="是",I497-J497,0)</f>
        <v>0</v>
      </c>
      <c r="BC497" s="502" t="n">
        <f aca="false">IF($D497="是",K497-L497,0)</f>
        <v>0</v>
      </c>
      <c r="BD497" s="502" t="n">
        <f aca="false">IF($D497="是",M497-N497,0)</f>
        <v>0</v>
      </c>
      <c r="BE497" s="502" t="n">
        <f aca="false">IF($D497="是",O497-P497,0)</f>
        <v>0</v>
      </c>
      <c r="BF497" s="502" t="n">
        <f aca="false">IF($D497="是",Q497-R497,0)</f>
        <v>0</v>
      </c>
      <c r="BG497" s="502" t="n">
        <f aca="false">IF($D497="是",S497-T497,0)</f>
        <v>0</v>
      </c>
      <c r="BH497" s="502" t="n">
        <f aca="false">IF($D497="是",U497-V497,0)</f>
        <v>0</v>
      </c>
      <c r="BI497" s="502" t="n">
        <f aca="false">IF($D497="是",W497-X497,0)</f>
        <v>0</v>
      </c>
      <c r="BJ497" s="502" t="n">
        <f aca="false">IF($D497="是",Y497-Z497,0)</f>
        <v>0</v>
      </c>
      <c r="BK497" s="502" t="n">
        <f aca="false">IF($D497="是",AA497-AB497,0)</f>
        <v>0</v>
      </c>
      <c r="BL497" s="502" t="n">
        <f aca="false">SUM(BM497:BT497)</f>
        <v>0</v>
      </c>
      <c r="BM497" s="502" t="n">
        <f aca="false">IF($D497="是",AD497-AE497,0)</f>
        <v>0</v>
      </c>
      <c r="BN497" s="502" t="n">
        <f aca="false">IF($D497="是",AF497-AG497,0)</f>
        <v>0</v>
      </c>
      <c r="BO497" s="502" t="n">
        <f aca="false">IF($D497="是",AH497-AI497,0)</f>
        <v>0</v>
      </c>
      <c r="BP497" s="502" t="n">
        <f aca="false">IF($D497="是",AJ497-AK497,0)</f>
        <v>0</v>
      </c>
      <c r="BQ497" s="502" t="n">
        <f aca="false">IF($D497="是",AL497-AM497,0)</f>
        <v>0</v>
      </c>
      <c r="BR497" s="502" t="n">
        <f aca="false">IF($D497="是",AN497-AO497,0)</f>
        <v>0</v>
      </c>
      <c r="BS497" s="502" t="n">
        <f aca="false">IF($D497="是",AP497-AQ497,0)</f>
        <v>0</v>
      </c>
      <c r="BT497" s="512" t="n">
        <f aca="false">IF($D497="是",AR497-AS497,0)</f>
        <v>0</v>
      </c>
    </row>
    <row r="498" customFormat="false" ht="14.25" hidden="false" customHeight="false" outlineLevel="0" collapsed="false">
      <c r="A498" s="499"/>
      <c r="B498" s="500"/>
      <c r="C498" s="500"/>
      <c r="D498" s="501"/>
      <c r="E498" s="502" t="n">
        <f aca="false">IF($C$3="是",ROUND($A$3*G498/$B$3,2),ROUND($A$3*(G498-AT498)/$B$3,2))</f>
        <v>0</v>
      </c>
      <c r="F498" s="503"/>
      <c r="G498" s="504" t="n">
        <f aca="false">H498+AC498+AT498</f>
        <v>0</v>
      </c>
      <c r="H498" s="505" t="n">
        <f aca="false">SUMIF(I$12:AB$12,"总值",I498:AB498)</f>
        <v>0</v>
      </c>
      <c r="I498" s="506"/>
      <c r="J498" s="506"/>
      <c r="K498" s="506"/>
      <c r="L498" s="506"/>
      <c r="M498" s="506"/>
      <c r="N498" s="506"/>
      <c r="O498" s="506"/>
      <c r="P498" s="506"/>
      <c r="Q498" s="506"/>
      <c r="R498" s="506"/>
      <c r="S498" s="506"/>
      <c r="T498" s="506"/>
      <c r="U498" s="506"/>
      <c r="V498" s="506"/>
      <c r="W498" s="506"/>
      <c r="X498" s="506"/>
      <c r="Y498" s="506"/>
      <c r="Z498" s="506"/>
      <c r="AA498" s="506"/>
      <c r="AB498" s="506"/>
      <c r="AC498" s="502" t="n">
        <f aca="false">SUMIF(AD$12:AS$12,"总值",AD498:AS498)</f>
        <v>0</v>
      </c>
      <c r="AD498" s="507"/>
      <c r="AE498" s="507"/>
      <c r="AF498" s="507"/>
      <c r="AG498" s="507"/>
      <c r="AH498" s="507"/>
      <c r="AI498" s="507"/>
      <c r="AJ498" s="507"/>
      <c r="AK498" s="507"/>
      <c r="AL498" s="507"/>
      <c r="AM498" s="507"/>
      <c r="AN498" s="507"/>
      <c r="AO498" s="507"/>
      <c r="AP498" s="507"/>
      <c r="AQ498" s="507"/>
      <c r="AR498" s="507"/>
      <c r="AS498" s="507"/>
      <c r="AT498" s="508"/>
      <c r="AU498" s="509"/>
      <c r="AV498" s="510" t="n">
        <f aca="false">A498</f>
        <v>0</v>
      </c>
      <c r="AW498" s="510" t="n">
        <f aca="false">B498</f>
        <v>0</v>
      </c>
      <c r="AX498" s="510" t="n">
        <f aca="false">C498</f>
        <v>0</v>
      </c>
      <c r="AY498" s="511" t="n">
        <f aca="false">ROUND($AY$6*AZ498/$AZ$5,2)</f>
        <v>0</v>
      </c>
      <c r="AZ498" s="502" t="n">
        <f aca="false">BA498+BL498</f>
        <v>0</v>
      </c>
      <c r="BA498" s="502" t="n">
        <f aca="false">SUM(BB498:BK498)</f>
        <v>0</v>
      </c>
      <c r="BB498" s="502" t="n">
        <f aca="false">IF($D498="是",I498-J498,0)</f>
        <v>0</v>
      </c>
      <c r="BC498" s="502" t="n">
        <f aca="false">IF($D498="是",K498-L498,0)</f>
        <v>0</v>
      </c>
      <c r="BD498" s="502" t="n">
        <f aca="false">IF($D498="是",M498-N498,0)</f>
        <v>0</v>
      </c>
      <c r="BE498" s="502" t="n">
        <f aca="false">IF($D498="是",O498-P498,0)</f>
        <v>0</v>
      </c>
      <c r="BF498" s="502" t="n">
        <f aca="false">IF($D498="是",Q498-R498,0)</f>
        <v>0</v>
      </c>
      <c r="BG498" s="502" t="n">
        <f aca="false">IF($D498="是",S498-T498,0)</f>
        <v>0</v>
      </c>
      <c r="BH498" s="502" t="n">
        <f aca="false">IF($D498="是",U498-V498,0)</f>
        <v>0</v>
      </c>
      <c r="BI498" s="502" t="n">
        <f aca="false">IF($D498="是",W498-X498,0)</f>
        <v>0</v>
      </c>
      <c r="BJ498" s="502" t="n">
        <f aca="false">IF($D498="是",Y498-Z498,0)</f>
        <v>0</v>
      </c>
      <c r="BK498" s="502" t="n">
        <f aca="false">IF($D498="是",AA498-AB498,0)</f>
        <v>0</v>
      </c>
      <c r="BL498" s="502" t="n">
        <f aca="false">SUM(BM498:BT498)</f>
        <v>0</v>
      </c>
      <c r="BM498" s="502" t="n">
        <f aca="false">IF($D498="是",AD498-AE498,0)</f>
        <v>0</v>
      </c>
      <c r="BN498" s="502" t="n">
        <f aca="false">IF($D498="是",AF498-AG498,0)</f>
        <v>0</v>
      </c>
      <c r="BO498" s="502" t="n">
        <f aca="false">IF($D498="是",AH498-AI498,0)</f>
        <v>0</v>
      </c>
      <c r="BP498" s="502" t="n">
        <f aca="false">IF($D498="是",AJ498-AK498,0)</f>
        <v>0</v>
      </c>
      <c r="BQ498" s="502" t="n">
        <f aca="false">IF($D498="是",AL498-AM498,0)</f>
        <v>0</v>
      </c>
      <c r="BR498" s="502" t="n">
        <f aca="false">IF($D498="是",AN498-AO498,0)</f>
        <v>0</v>
      </c>
      <c r="BS498" s="502" t="n">
        <f aca="false">IF($D498="是",AP498-AQ498,0)</f>
        <v>0</v>
      </c>
      <c r="BT498" s="512" t="n">
        <f aca="false">IF($D498="是",AR498-AS498,0)</f>
        <v>0</v>
      </c>
    </row>
    <row r="499" customFormat="false" ht="14.25" hidden="false" customHeight="false" outlineLevel="0" collapsed="false">
      <c r="A499" s="499"/>
      <c r="B499" s="500"/>
      <c r="C499" s="500"/>
      <c r="D499" s="501"/>
      <c r="E499" s="502" t="n">
        <f aca="false">IF($C$3="是",ROUND($A$3*G499/$B$3,2),ROUND($A$3*(G499-AT499)/$B$3,2))</f>
        <v>0</v>
      </c>
      <c r="F499" s="503"/>
      <c r="G499" s="504" t="n">
        <f aca="false">H499+AC499+AT499</f>
        <v>0</v>
      </c>
      <c r="H499" s="505" t="n">
        <f aca="false">SUMIF(I$12:AB$12,"总值",I499:AB499)</f>
        <v>0</v>
      </c>
      <c r="I499" s="506"/>
      <c r="J499" s="506"/>
      <c r="K499" s="506"/>
      <c r="L499" s="506"/>
      <c r="M499" s="506"/>
      <c r="N499" s="506"/>
      <c r="O499" s="506"/>
      <c r="P499" s="506"/>
      <c r="Q499" s="506"/>
      <c r="R499" s="506"/>
      <c r="S499" s="506"/>
      <c r="T499" s="506"/>
      <c r="U499" s="506"/>
      <c r="V499" s="506"/>
      <c r="W499" s="506"/>
      <c r="X499" s="506"/>
      <c r="Y499" s="506"/>
      <c r="Z499" s="506"/>
      <c r="AA499" s="506"/>
      <c r="AB499" s="506"/>
      <c r="AC499" s="502" t="n">
        <f aca="false">SUMIF(AD$12:AS$12,"总值",AD499:AS499)</f>
        <v>0</v>
      </c>
      <c r="AD499" s="507"/>
      <c r="AE499" s="507"/>
      <c r="AF499" s="507"/>
      <c r="AG499" s="507"/>
      <c r="AH499" s="507"/>
      <c r="AI499" s="507"/>
      <c r="AJ499" s="507"/>
      <c r="AK499" s="507"/>
      <c r="AL499" s="507"/>
      <c r="AM499" s="507"/>
      <c r="AN499" s="507"/>
      <c r="AO499" s="507"/>
      <c r="AP499" s="507"/>
      <c r="AQ499" s="507"/>
      <c r="AR499" s="507"/>
      <c r="AS499" s="507"/>
      <c r="AT499" s="508"/>
      <c r="AU499" s="509"/>
      <c r="AV499" s="510" t="n">
        <f aca="false">A499</f>
        <v>0</v>
      </c>
      <c r="AW499" s="510" t="n">
        <f aca="false">B499</f>
        <v>0</v>
      </c>
      <c r="AX499" s="510" t="n">
        <f aca="false">C499</f>
        <v>0</v>
      </c>
      <c r="AY499" s="511" t="n">
        <f aca="false">ROUND($AY$6*AZ499/$AZ$5,2)</f>
        <v>0</v>
      </c>
      <c r="AZ499" s="502" t="n">
        <f aca="false">BA499+BL499</f>
        <v>0</v>
      </c>
      <c r="BA499" s="502" t="n">
        <f aca="false">SUM(BB499:BK499)</f>
        <v>0</v>
      </c>
      <c r="BB499" s="502" t="n">
        <f aca="false">IF($D499="是",I499-J499,0)</f>
        <v>0</v>
      </c>
      <c r="BC499" s="502" t="n">
        <f aca="false">IF($D499="是",K499-L499,0)</f>
        <v>0</v>
      </c>
      <c r="BD499" s="502" t="n">
        <f aca="false">IF($D499="是",M499-N499,0)</f>
        <v>0</v>
      </c>
      <c r="BE499" s="502" t="n">
        <f aca="false">IF($D499="是",O499-P499,0)</f>
        <v>0</v>
      </c>
      <c r="BF499" s="502" t="n">
        <f aca="false">IF($D499="是",Q499-R499,0)</f>
        <v>0</v>
      </c>
      <c r="BG499" s="502" t="n">
        <f aca="false">IF($D499="是",S499-T499,0)</f>
        <v>0</v>
      </c>
      <c r="BH499" s="502" t="n">
        <f aca="false">IF($D499="是",U499-V499,0)</f>
        <v>0</v>
      </c>
      <c r="BI499" s="502" t="n">
        <f aca="false">IF($D499="是",W499-X499,0)</f>
        <v>0</v>
      </c>
      <c r="BJ499" s="502" t="n">
        <f aca="false">IF($D499="是",Y499-Z499,0)</f>
        <v>0</v>
      </c>
      <c r="BK499" s="502" t="n">
        <f aca="false">IF($D499="是",AA499-AB499,0)</f>
        <v>0</v>
      </c>
      <c r="BL499" s="502" t="n">
        <f aca="false">SUM(BM499:BT499)</f>
        <v>0</v>
      </c>
      <c r="BM499" s="502" t="n">
        <f aca="false">IF($D499="是",AD499-AE499,0)</f>
        <v>0</v>
      </c>
      <c r="BN499" s="502" t="n">
        <f aca="false">IF($D499="是",AF499-AG499,0)</f>
        <v>0</v>
      </c>
      <c r="BO499" s="502" t="n">
        <f aca="false">IF($D499="是",AH499-AI499,0)</f>
        <v>0</v>
      </c>
      <c r="BP499" s="502" t="n">
        <f aca="false">IF($D499="是",AJ499-AK499,0)</f>
        <v>0</v>
      </c>
      <c r="BQ499" s="502" t="n">
        <f aca="false">IF($D499="是",AL499-AM499,0)</f>
        <v>0</v>
      </c>
      <c r="BR499" s="502" t="n">
        <f aca="false">IF($D499="是",AN499-AO499,0)</f>
        <v>0</v>
      </c>
      <c r="BS499" s="502" t="n">
        <f aca="false">IF($D499="是",AP499-AQ499,0)</f>
        <v>0</v>
      </c>
      <c r="BT499" s="512" t="n">
        <f aca="false">IF($D499="是",AR499-AS499,0)</f>
        <v>0</v>
      </c>
    </row>
    <row r="500" customFormat="false" ht="14.25" hidden="false" customHeight="false" outlineLevel="0" collapsed="false">
      <c r="A500" s="499"/>
      <c r="B500" s="500"/>
      <c r="C500" s="500"/>
      <c r="D500" s="501"/>
      <c r="E500" s="502" t="n">
        <f aca="false">IF($C$3="是",ROUND($A$3*G500/$B$3,2),ROUND($A$3*(G500-AT500)/$B$3,2))</f>
        <v>0</v>
      </c>
      <c r="F500" s="503"/>
      <c r="G500" s="504" t="n">
        <f aca="false">H500+AC500+AT500</f>
        <v>0</v>
      </c>
      <c r="H500" s="505" t="n">
        <f aca="false">SUMIF(I$12:AB$12,"总值",I500:AB500)</f>
        <v>0</v>
      </c>
      <c r="I500" s="506"/>
      <c r="J500" s="506"/>
      <c r="K500" s="506"/>
      <c r="L500" s="506"/>
      <c r="M500" s="506"/>
      <c r="N500" s="506"/>
      <c r="O500" s="506"/>
      <c r="P500" s="506"/>
      <c r="Q500" s="506"/>
      <c r="R500" s="506"/>
      <c r="S500" s="506"/>
      <c r="T500" s="506"/>
      <c r="U500" s="506"/>
      <c r="V500" s="506"/>
      <c r="W500" s="506"/>
      <c r="X500" s="506"/>
      <c r="Y500" s="506"/>
      <c r="Z500" s="506"/>
      <c r="AA500" s="506"/>
      <c r="AB500" s="506"/>
      <c r="AC500" s="502" t="n">
        <f aca="false">SUMIF(AD$12:AS$12,"总值",AD500:AS500)</f>
        <v>0</v>
      </c>
      <c r="AD500" s="507"/>
      <c r="AE500" s="507"/>
      <c r="AF500" s="507"/>
      <c r="AG500" s="507"/>
      <c r="AH500" s="507"/>
      <c r="AI500" s="507"/>
      <c r="AJ500" s="507"/>
      <c r="AK500" s="507"/>
      <c r="AL500" s="507"/>
      <c r="AM500" s="507"/>
      <c r="AN500" s="507"/>
      <c r="AO500" s="507"/>
      <c r="AP500" s="507"/>
      <c r="AQ500" s="507"/>
      <c r="AR500" s="507"/>
      <c r="AS500" s="507"/>
      <c r="AT500" s="508"/>
      <c r="AU500" s="509"/>
      <c r="AV500" s="510" t="n">
        <f aca="false">A500</f>
        <v>0</v>
      </c>
      <c r="AW500" s="510" t="n">
        <f aca="false">B500</f>
        <v>0</v>
      </c>
      <c r="AX500" s="510" t="n">
        <f aca="false">C500</f>
        <v>0</v>
      </c>
      <c r="AY500" s="511" t="n">
        <f aca="false">ROUND($AY$6*AZ500/$AZ$5,2)</f>
        <v>0</v>
      </c>
      <c r="AZ500" s="502" t="n">
        <f aca="false">BA500+BL500</f>
        <v>0</v>
      </c>
      <c r="BA500" s="502" t="n">
        <f aca="false">SUM(BB500:BK500)</f>
        <v>0</v>
      </c>
      <c r="BB500" s="502" t="n">
        <f aca="false">IF($D500="是",I500-J500,0)</f>
        <v>0</v>
      </c>
      <c r="BC500" s="502" t="n">
        <f aca="false">IF($D500="是",K500-L500,0)</f>
        <v>0</v>
      </c>
      <c r="BD500" s="502" t="n">
        <f aca="false">IF($D500="是",M500-N500,0)</f>
        <v>0</v>
      </c>
      <c r="BE500" s="502" t="n">
        <f aca="false">IF($D500="是",O500-P500,0)</f>
        <v>0</v>
      </c>
      <c r="BF500" s="502" t="n">
        <f aca="false">IF($D500="是",Q500-R500,0)</f>
        <v>0</v>
      </c>
      <c r="BG500" s="502" t="n">
        <f aca="false">IF($D500="是",S500-T500,0)</f>
        <v>0</v>
      </c>
      <c r="BH500" s="502" t="n">
        <f aca="false">IF($D500="是",U500-V500,0)</f>
        <v>0</v>
      </c>
      <c r="BI500" s="502" t="n">
        <f aca="false">IF($D500="是",W500-X500,0)</f>
        <v>0</v>
      </c>
      <c r="BJ500" s="502" t="n">
        <f aca="false">IF($D500="是",Y500-Z500,0)</f>
        <v>0</v>
      </c>
      <c r="BK500" s="502" t="n">
        <f aca="false">IF($D500="是",AA500-AB500,0)</f>
        <v>0</v>
      </c>
      <c r="BL500" s="502" t="n">
        <f aca="false">SUM(BM500:BT500)</f>
        <v>0</v>
      </c>
      <c r="BM500" s="502" t="n">
        <f aca="false">IF($D500="是",AD500-AE500,0)</f>
        <v>0</v>
      </c>
      <c r="BN500" s="502" t="n">
        <f aca="false">IF($D500="是",AF500-AG500,0)</f>
        <v>0</v>
      </c>
      <c r="BO500" s="502" t="n">
        <f aca="false">IF($D500="是",AH500-AI500,0)</f>
        <v>0</v>
      </c>
      <c r="BP500" s="502" t="n">
        <f aca="false">IF($D500="是",AJ500-AK500,0)</f>
        <v>0</v>
      </c>
      <c r="BQ500" s="502" t="n">
        <f aca="false">IF($D500="是",AL500-AM500,0)</f>
        <v>0</v>
      </c>
      <c r="BR500" s="502" t="n">
        <f aca="false">IF($D500="是",AN500-AO500,0)</f>
        <v>0</v>
      </c>
      <c r="BS500" s="502" t="n">
        <f aca="false">IF($D500="是",AP500-AQ500,0)</f>
        <v>0</v>
      </c>
      <c r="BT500" s="512" t="n">
        <f aca="false">IF($D500="是",AR500-AS500,0)</f>
        <v>0</v>
      </c>
    </row>
    <row r="501" customFormat="false" ht="14.25" hidden="false" customHeight="false" outlineLevel="0" collapsed="false">
      <c r="A501" s="499"/>
      <c r="B501" s="500"/>
      <c r="C501" s="500"/>
      <c r="D501" s="501"/>
      <c r="E501" s="502" t="n">
        <f aca="false">IF($C$3="是",ROUND($A$3*G501/$B$3,2),ROUND($A$3*(G501-AT501)/$B$3,2))</f>
        <v>0</v>
      </c>
      <c r="F501" s="503"/>
      <c r="G501" s="504" t="n">
        <f aca="false">H501+AC501+AT501</f>
        <v>0</v>
      </c>
      <c r="H501" s="505" t="n">
        <f aca="false">SUMIF(I$12:AB$12,"总值",I501:AB501)</f>
        <v>0</v>
      </c>
      <c r="I501" s="506"/>
      <c r="J501" s="506"/>
      <c r="K501" s="506"/>
      <c r="L501" s="506"/>
      <c r="M501" s="506"/>
      <c r="N501" s="506"/>
      <c r="O501" s="506"/>
      <c r="P501" s="506"/>
      <c r="Q501" s="506"/>
      <c r="R501" s="506"/>
      <c r="S501" s="506"/>
      <c r="T501" s="506"/>
      <c r="U501" s="506"/>
      <c r="V501" s="506"/>
      <c r="W501" s="506"/>
      <c r="X501" s="506"/>
      <c r="Y501" s="506"/>
      <c r="Z501" s="506"/>
      <c r="AA501" s="506"/>
      <c r="AB501" s="506"/>
      <c r="AC501" s="502" t="n">
        <f aca="false">SUMIF(AD$12:AS$12,"总值",AD501:AS501)</f>
        <v>0</v>
      </c>
      <c r="AD501" s="507"/>
      <c r="AE501" s="507"/>
      <c r="AF501" s="507"/>
      <c r="AG501" s="507"/>
      <c r="AH501" s="507"/>
      <c r="AI501" s="507"/>
      <c r="AJ501" s="507"/>
      <c r="AK501" s="507"/>
      <c r="AL501" s="507"/>
      <c r="AM501" s="507"/>
      <c r="AN501" s="507"/>
      <c r="AO501" s="507"/>
      <c r="AP501" s="507"/>
      <c r="AQ501" s="507"/>
      <c r="AR501" s="507"/>
      <c r="AS501" s="507"/>
      <c r="AT501" s="508"/>
      <c r="AU501" s="509"/>
      <c r="AV501" s="510" t="n">
        <f aca="false">A501</f>
        <v>0</v>
      </c>
      <c r="AW501" s="510" t="n">
        <f aca="false">B501</f>
        <v>0</v>
      </c>
      <c r="AX501" s="510" t="n">
        <f aca="false">C501</f>
        <v>0</v>
      </c>
      <c r="AY501" s="511" t="n">
        <f aca="false">ROUND($AY$6*AZ501/$AZ$5,2)</f>
        <v>0</v>
      </c>
      <c r="AZ501" s="502" t="n">
        <f aca="false">BA501+BL501</f>
        <v>0</v>
      </c>
      <c r="BA501" s="502" t="n">
        <f aca="false">SUM(BB501:BK501)</f>
        <v>0</v>
      </c>
      <c r="BB501" s="502" t="n">
        <f aca="false">IF($D501="是",I501-J501,0)</f>
        <v>0</v>
      </c>
      <c r="BC501" s="502" t="n">
        <f aca="false">IF($D501="是",K501-L501,0)</f>
        <v>0</v>
      </c>
      <c r="BD501" s="502" t="n">
        <f aca="false">IF($D501="是",M501-N501,0)</f>
        <v>0</v>
      </c>
      <c r="BE501" s="502" t="n">
        <f aca="false">IF($D501="是",O501-P501,0)</f>
        <v>0</v>
      </c>
      <c r="BF501" s="502" t="n">
        <f aca="false">IF($D501="是",Q501-R501,0)</f>
        <v>0</v>
      </c>
      <c r="BG501" s="502" t="n">
        <f aca="false">IF($D501="是",S501-T501,0)</f>
        <v>0</v>
      </c>
      <c r="BH501" s="502" t="n">
        <f aca="false">IF($D501="是",U501-V501,0)</f>
        <v>0</v>
      </c>
      <c r="BI501" s="502" t="n">
        <f aca="false">IF($D501="是",W501-X501,0)</f>
        <v>0</v>
      </c>
      <c r="BJ501" s="502" t="n">
        <f aca="false">IF($D501="是",Y501-Z501,0)</f>
        <v>0</v>
      </c>
      <c r="BK501" s="502" t="n">
        <f aca="false">IF($D501="是",AA501-AB501,0)</f>
        <v>0</v>
      </c>
      <c r="BL501" s="502" t="n">
        <f aca="false">SUM(BM501:BT501)</f>
        <v>0</v>
      </c>
      <c r="BM501" s="502" t="n">
        <f aca="false">IF($D501="是",AD501-AE501,0)</f>
        <v>0</v>
      </c>
      <c r="BN501" s="502" t="n">
        <f aca="false">IF($D501="是",AF501-AG501,0)</f>
        <v>0</v>
      </c>
      <c r="BO501" s="502" t="n">
        <f aca="false">IF($D501="是",AH501-AI501,0)</f>
        <v>0</v>
      </c>
      <c r="BP501" s="502" t="n">
        <f aca="false">IF($D501="是",AJ501-AK501,0)</f>
        <v>0</v>
      </c>
      <c r="BQ501" s="502" t="n">
        <f aca="false">IF($D501="是",AL501-AM501,0)</f>
        <v>0</v>
      </c>
      <c r="BR501" s="502" t="n">
        <f aca="false">IF($D501="是",AN501-AO501,0)</f>
        <v>0</v>
      </c>
      <c r="BS501" s="502" t="n">
        <f aca="false">IF($D501="是",AP501-AQ501,0)</f>
        <v>0</v>
      </c>
      <c r="BT501" s="512" t="n">
        <f aca="false">IF($D501="是",AR501-AS501,0)</f>
        <v>0</v>
      </c>
    </row>
    <row r="502" customFormat="false" ht="14.25" hidden="false" customHeight="false" outlineLevel="0" collapsed="false">
      <c r="A502" s="499"/>
      <c r="B502" s="500"/>
      <c r="C502" s="500"/>
      <c r="D502" s="501"/>
      <c r="E502" s="502" t="n">
        <f aca="false">IF($C$3="是",ROUND($A$3*G502/$B$3,2),ROUND($A$3*(G502-AT502)/$B$3,2))</f>
        <v>0</v>
      </c>
      <c r="F502" s="503"/>
      <c r="G502" s="504" t="n">
        <f aca="false">H502+AC502+AT502</f>
        <v>0</v>
      </c>
      <c r="H502" s="505" t="n">
        <f aca="false">SUMIF(I$12:AB$12,"总值",I502:AB502)</f>
        <v>0</v>
      </c>
      <c r="I502" s="506"/>
      <c r="J502" s="506"/>
      <c r="K502" s="506"/>
      <c r="L502" s="506"/>
      <c r="M502" s="506"/>
      <c r="N502" s="506"/>
      <c r="O502" s="506"/>
      <c r="P502" s="506"/>
      <c r="Q502" s="506"/>
      <c r="R502" s="506"/>
      <c r="S502" s="506"/>
      <c r="T502" s="506"/>
      <c r="U502" s="506"/>
      <c r="V502" s="506"/>
      <c r="W502" s="506"/>
      <c r="X502" s="506"/>
      <c r="Y502" s="506"/>
      <c r="Z502" s="506"/>
      <c r="AA502" s="506"/>
      <c r="AB502" s="506"/>
      <c r="AC502" s="502" t="n">
        <f aca="false">SUMIF(AD$12:AS$12,"总值",AD502:AS502)</f>
        <v>0</v>
      </c>
      <c r="AD502" s="507"/>
      <c r="AE502" s="507"/>
      <c r="AF502" s="507"/>
      <c r="AG502" s="507"/>
      <c r="AH502" s="507"/>
      <c r="AI502" s="507"/>
      <c r="AJ502" s="507"/>
      <c r="AK502" s="507"/>
      <c r="AL502" s="507"/>
      <c r="AM502" s="507"/>
      <c r="AN502" s="507"/>
      <c r="AO502" s="507"/>
      <c r="AP502" s="507"/>
      <c r="AQ502" s="507"/>
      <c r="AR502" s="507"/>
      <c r="AS502" s="507"/>
      <c r="AT502" s="508"/>
      <c r="AU502" s="509"/>
      <c r="AV502" s="510" t="n">
        <f aca="false">A502</f>
        <v>0</v>
      </c>
      <c r="AW502" s="510" t="n">
        <f aca="false">B502</f>
        <v>0</v>
      </c>
      <c r="AX502" s="510" t="n">
        <f aca="false">C502</f>
        <v>0</v>
      </c>
      <c r="AY502" s="511" t="n">
        <f aca="false">ROUND($AY$6*AZ502/$AZ$5,2)</f>
        <v>0</v>
      </c>
      <c r="AZ502" s="502" t="n">
        <f aca="false">BA502+BL502</f>
        <v>0</v>
      </c>
      <c r="BA502" s="502" t="n">
        <f aca="false">SUM(BB502:BK502)</f>
        <v>0</v>
      </c>
      <c r="BB502" s="502" t="n">
        <f aca="false">IF($D502="是",I502-J502,0)</f>
        <v>0</v>
      </c>
      <c r="BC502" s="502" t="n">
        <f aca="false">IF($D502="是",K502-L502,0)</f>
        <v>0</v>
      </c>
      <c r="BD502" s="502" t="n">
        <f aca="false">IF($D502="是",M502-N502,0)</f>
        <v>0</v>
      </c>
      <c r="BE502" s="502" t="n">
        <f aca="false">IF($D502="是",O502-P502,0)</f>
        <v>0</v>
      </c>
      <c r="BF502" s="502" t="n">
        <f aca="false">IF($D502="是",Q502-R502,0)</f>
        <v>0</v>
      </c>
      <c r="BG502" s="502" t="n">
        <f aca="false">IF($D502="是",S502-T502,0)</f>
        <v>0</v>
      </c>
      <c r="BH502" s="502" t="n">
        <f aca="false">IF($D502="是",U502-V502,0)</f>
        <v>0</v>
      </c>
      <c r="BI502" s="502" t="n">
        <f aca="false">IF($D502="是",W502-X502,0)</f>
        <v>0</v>
      </c>
      <c r="BJ502" s="502" t="n">
        <f aca="false">IF($D502="是",Y502-Z502,0)</f>
        <v>0</v>
      </c>
      <c r="BK502" s="502" t="n">
        <f aca="false">IF($D502="是",AA502-AB502,0)</f>
        <v>0</v>
      </c>
      <c r="BL502" s="502" t="n">
        <f aca="false">SUM(BM502:BT502)</f>
        <v>0</v>
      </c>
      <c r="BM502" s="502" t="n">
        <f aca="false">IF($D502="是",AD502-AE502,0)</f>
        <v>0</v>
      </c>
      <c r="BN502" s="502" t="n">
        <f aca="false">IF($D502="是",AF502-AG502,0)</f>
        <v>0</v>
      </c>
      <c r="BO502" s="502" t="n">
        <f aca="false">IF($D502="是",AH502-AI502,0)</f>
        <v>0</v>
      </c>
      <c r="BP502" s="502" t="n">
        <f aca="false">IF($D502="是",AJ502-AK502,0)</f>
        <v>0</v>
      </c>
      <c r="BQ502" s="502" t="n">
        <f aca="false">IF($D502="是",AL502-AM502,0)</f>
        <v>0</v>
      </c>
      <c r="BR502" s="502" t="n">
        <f aca="false">IF($D502="是",AN502-AO502,0)</f>
        <v>0</v>
      </c>
      <c r="BS502" s="502" t="n">
        <f aca="false">IF($D502="是",AP502-AQ502,0)</f>
        <v>0</v>
      </c>
      <c r="BT502" s="512" t="n">
        <f aca="false">IF($D502="是",AR502-AS502,0)</f>
        <v>0</v>
      </c>
    </row>
    <row r="503" customFormat="false" ht="14.25" hidden="false" customHeight="false" outlineLevel="0" collapsed="false">
      <c r="A503" s="499"/>
      <c r="B503" s="500"/>
      <c r="C503" s="500"/>
      <c r="D503" s="501"/>
      <c r="E503" s="502" t="n">
        <f aca="false">IF($C$3="是",ROUND($A$3*G503/$B$3,2),ROUND($A$3*(G503-AT503)/$B$3,2))</f>
        <v>0</v>
      </c>
      <c r="F503" s="503"/>
      <c r="G503" s="504" t="n">
        <f aca="false">H503+AC503+AT503</f>
        <v>0</v>
      </c>
      <c r="H503" s="505" t="n">
        <f aca="false">SUMIF(I$12:AB$12,"总值",I503:AB503)</f>
        <v>0</v>
      </c>
      <c r="I503" s="506"/>
      <c r="J503" s="506"/>
      <c r="K503" s="506"/>
      <c r="L503" s="506"/>
      <c r="M503" s="506"/>
      <c r="N503" s="506"/>
      <c r="O503" s="506"/>
      <c r="P503" s="506"/>
      <c r="Q503" s="506"/>
      <c r="R503" s="506"/>
      <c r="S503" s="506"/>
      <c r="T503" s="506"/>
      <c r="U503" s="506"/>
      <c r="V503" s="506"/>
      <c r="W503" s="506"/>
      <c r="X503" s="506"/>
      <c r="Y503" s="506"/>
      <c r="Z503" s="506"/>
      <c r="AA503" s="506"/>
      <c r="AB503" s="506"/>
      <c r="AC503" s="502" t="n">
        <f aca="false">SUMIF(AD$12:AS$12,"总值",AD503:AS503)</f>
        <v>0</v>
      </c>
      <c r="AD503" s="507"/>
      <c r="AE503" s="507"/>
      <c r="AF503" s="507"/>
      <c r="AG503" s="507"/>
      <c r="AH503" s="507"/>
      <c r="AI503" s="507"/>
      <c r="AJ503" s="507"/>
      <c r="AK503" s="507"/>
      <c r="AL503" s="507"/>
      <c r="AM503" s="507"/>
      <c r="AN503" s="507"/>
      <c r="AO503" s="507"/>
      <c r="AP503" s="507"/>
      <c r="AQ503" s="507"/>
      <c r="AR503" s="507"/>
      <c r="AS503" s="507"/>
      <c r="AT503" s="508"/>
      <c r="AU503" s="509"/>
      <c r="AV503" s="510" t="n">
        <f aca="false">A503</f>
        <v>0</v>
      </c>
      <c r="AW503" s="510" t="n">
        <f aca="false">B503</f>
        <v>0</v>
      </c>
      <c r="AX503" s="510" t="n">
        <f aca="false">C503</f>
        <v>0</v>
      </c>
      <c r="AY503" s="511" t="n">
        <f aca="false">ROUND($AY$6*AZ503/$AZ$5,2)</f>
        <v>0</v>
      </c>
      <c r="AZ503" s="502" t="n">
        <f aca="false">BA503+BL503</f>
        <v>0</v>
      </c>
      <c r="BA503" s="502" t="n">
        <f aca="false">SUM(BB503:BK503)</f>
        <v>0</v>
      </c>
      <c r="BB503" s="502" t="n">
        <f aca="false">IF($D503="是",I503-J503,0)</f>
        <v>0</v>
      </c>
      <c r="BC503" s="502" t="n">
        <f aca="false">IF($D503="是",K503-L503,0)</f>
        <v>0</v>
      </c>
      <c r="BD503" s="502" t="n">
        <f aca="false">IF($D503="是",M503-N503,0)</f>
        <v>0</v>
      </c>
      <c r="BE503" s="502" t="n">
        <f aca="false">IF($D503="是",O503-P503,0)</f>
        <v>0</v>
      </c>
      <c r="BF503" s="502" t="n">
        <f aca="false">IF($D503="是",Q503-R503,0)</f>
        <v>0</v>
      </c>
      <c r="BG503" s="502" t="n">
        <f aca="false">IF($D503="是",S503-T503,0)</f>
        <v>0</v>
      </c>
      <c r="BH503" s="502" t="n">
        <f aca="false">IF($D503="是",U503-V503,0)</f>
        <v>0</v>
      </c>
      <c r="BI503" s="502" t="n">
        <f aca="false">IF($D503="是",W503-X503,0)</f>
        <v>0</v>
      </c>
      <c r="BJ503" s="502" t="n">
        <f aca="false">IF($D503="是",Y503-Z503,0)</f>
        <v>0</v>
      </c>
      <c r="BK503" s="502" t="n">
        <f aca="false">IF($D503="是",AA503-AB503,0)</f>
        <v>0</v>
      </c>
      <c r="BL503" s="502" t="n">
        <f aca="false">SUM(BM503:BT503)</f>
        <v>0</v>
      </c>
      <c r="BM503" s="502" t="n">
        <f aca="false">IF($D503="是",AD503-AE503,0)</f>
        <v>0</v>
      </c>
      <c r="BN503" s="502" t="n">
        <f aca="false">IF($D503="是",AF503-AG503,0)</f>
        <v>0</v>
      </c>
      <c r="BO503" s="502" t="n">
        <f aca="false">IF($D503="是",AH503-AI503,0)</f>
        <v>0</v>
      </c>
      <c r="BP503" s="502" t="n">
        <f aca="false">IF($D503="是",AJ503-AK503,0)</f>
        <v>0</v>
      </c>
      <c r="BQ503" s="502" t="n">
        <f aca="false">IF($D503="是",AL503-AM503,0)</f>
        <v>0</v>
      </c>
      <c r="BR503" s="502" t="n">
        <f aca="false">IF($D503="是",AN503-AO503,0)</f>
        <v>0</v>
      </c>
      <c r="BS503" s="502" t="n">
        <f aca="false">IF($D503="是",AP503-AQ503,0)</f>
        <v>0</v>
      </c>
      <c r="BT503" s="512" t="n">
        <f aca="false">IF($D503="是",AR503-AS503,0)</f>
        <v>0</v>
      </c>
    </row>
    <row r="504" customFormat="false" ht="14.25" hidden="false" customHeight="false" outlineLevel="0" collapsed="false">
      <c r="A504" s="499"/>
      <c r="B504" s="500"/>
      <c r="C504" s="500"/>
      <c r="D504" s="501"/>
      <c r="E504" s="502" t="n">
        <f aca="false">IF($C$3="是",ROUND($A$3*G504/$B$3,2),ROUND($A$3*(G504-AT504)/$B$3,2))</f>
        <v>0</v>
      </c>
      <c r="F504" s="503"/>
      <c r="G504" s="504" t="n">
        <f aca="false">H504+AC504+AT504</f>
        <v>0</v>
      </c>
      <c r="H504" s="505" t="n">
        <f aca="false">SUMIF(I$12:AB$12,"总值",I504:AB504)</f>
        <v>0</v>
      </c>
      <c r="I504" s="506"/>
      <c r="J504" s="506"/>
      <c r="K504" s="506"/>
      <c r="L504" s="506"/>
      <c r="M504" s="506"/>
      <c r="N504" s="506"/>
      <c r="O504" s="506"/>
      <c r="P504" s="506"/>
      <c r="Q504" s="506"/>
      <c r="R504" s="506"/>
      <c r="S504" s="506"/>
      <c r="T504" s="506"/>
      <c r="U504" s="506"/>
      <c r="V504" s="506"/>
      <c r="W504" s="506"/>
      <c r="X504" s="506"/>
      <c r="Y504" s="506"/>
      <c r="Z504" s="506"/>
      <c r="AA504" s="506"/>
      <c r="AB504" s="506"/>
      <c r="AC504" s="502" t="n">
        <f aca="false">SUMIF(AD$12:AS$12,"总值",AD504:AS504)</f>
        <v>0</v>
      </c>
      <c r="AD504" s="507"/>
      <c r="AE504" s="507"/>
      <c r="AF504" s="507"/>
      <c r="AG504" s="507"/>
      <c r="AH504" s="507"/>
      <c r="AI504" s="507"/>
      <c r="AJ504" s="507"/>
      <c r="AK504" s="507"/>
      <c r="AL504" s="507"/>
      <c r="AM504" s="507"/>
      <c r="AN504" s="507"/>
      <c r="AO504" s="507"/>
      <c r="AP504" s="507"/>
      <c r="AQ504" s="507"/>
      <c r="AR504" s="507"/>
      <c r="AS504" s="507"/>
      <c r="AT504" s="508"/>
      <c r="AU504" s="509"/>
      <c r="AV504" s="510" t="n">
        <f aca="false">A504</f>
        <v>0</v>
      </c>
      <c r="AW504" s="510" t="n">
        <f aca="false">B504</f>
        <v>0</v>
      </c>
      <c r="AX504" s="510" t="n">
        <f aca="false">C504</f>
        <v>0</v>
      </c>
      <c r="AY504" s="511" t="n">
        <f aca="false">ROUND($AY$6*AZ504/$AZ$5,2)</f>
        <v>0</v>
      </c>
      <c r="AZ504" s="502" t="n">
        <f aca="false">BA504+BL504</f>
        <v>0</v>
      </c>
      <c r="BA504" s="502" t="n">
        <f aca="false">SUM(BB504:BK504)</f>
        <v>0</v>
      </c>
      <c r="BB504" s="502" t="n">
        <f aca="false">IF($D504="是",I504-J504,0)</f>
        <v>0</v>
      </c>
      <c r="BC504" s="502" t="n">
        <f aca="false">IF($D504="是",K504-L504,0)</f>
        <v>0</v>
      </c>
      <c r="BD504" s="502" t="n">
        <f aca="false">IF($D504="是",M504-N504,0)</f>
        <v>0</v>
      </c>
      <c r="BE504" s="502" t="n">
        <f aca="false">IF($D504="是",O504-P504,0)</f>
        <v>0</v>
      </c>
      <c r="BF504" s="502" t="n">
        <f aca="false">IF($D504="是",Q504-R504,0)</f>
        <v>0</v>
      </c>
      <c r="BG504" s="502" t="n">
        <f aca="false">IF($D504="是",S504-T504,0)</f>
        <v>0</v>
      </c>
      <c r="BH504" s="502" t="n">
        <f aca="false">IF($D504="是",U504-V504,0)</f>
        <v>0</v>
      </c>
      <c r="BI504" s="502" t="n">
        <f aca="false">IF($D504="是",W504-X504,0)</f>
        <v>0</v>
      </c>
      <c r="BJ504" s="502" t="n">
        <f aca="false">IF($D504="是",Y504-Z504,0)</f>
        <v>0</v>
      </c>
      <c r="BK504" s="502" t="n">
        <f aca="false">IF($D504="是",AA504-AB504,0)</f>
        <v>0</v>
      </c>
      <c r="BL504" s="502" t="n">
        <f aca="false">SUM(BM504:BT504)</f>
        <v>0</v>
      </c>
      <c r="BM504" s="502" t="n">
        <f aca="false">IF($D504="是",AD504-AE504,0)</f>
        <v>0</v>
      </c>
      <c r="BN504" s="502" t="n">
        <f aca="false">IF($D504="是",AF504-AG504,0)</f>
        <v>0</v>
      </c>
      <c r="BO504" s="502" t="n">
        <f aca="false">IF($D504="是",AH504-AI504,0)</f>
        <v>0</v>
      </c>
      <c r="BP504" s="502" t="n">
        <f aca="false">IF($D504="是",AJ504-AK504,0)</f>
        <v>0</v>
      </c>
      <c r="BQ504" s="502" t="n">
        <f aca="false">IF($D504="是",AL504-AM504,0)</f>
        <v>0</v>
      </c>
      <c r="BR504" s="502" t="n">
        <f aca="false">IF($D504="是",AN504-AO504,0)</f>
        <v>0</v>
      </c>
      <c r="BS504" s="502" t="n">
        <f aca="false">IF($D504="是",AP504-AQ504,0)</f>
        <v>0</v>
      </c>
      <c r="BT504" s="512" t="n">
        <f aca="false">IF($D504="是",AR504-AS504,0)</f>
        <v>0</v>
      </c>
    </row>
    <row r="505" customFormat="false" ht="14.25" hidden="false" customHeight="false" outlineLevel="0" collapsed="false">
      <c r="A505" s="499"/>
      <c r="B505" s="500"/>
      <c r="C505" s="500"/>
      <c r="D505" s="501"/>
      <c r="E505" s="502" t="n">
        <f aca="false">IF($C$3="是",ROUND($A$3*G505/$B$3,2),ROUND($A$3*(G505-AT505)/$B$3,2))</f>
        <v>0</v>
      </c>
      <c r="F505" s="503"/>
      <c r="G505" s="504" t="n">
        <f aca="false">H505+AC505+AT505</f>
        <v>0</v>
      </c>
      <c r="H505" s="505" t="n">
        <f aca="false">SUMIF(I$12:AB$12,"总值",I505:AB505)</f>
        <v>0</v>
      </c>
      <c r="I505" s="506"/>
      <c r="J505" s="506"/>
      <c r="K505" s="506"/>
      <c r="L505" s="506"/>
      <c r="M505" s="506"/>
      <c r="N505" s="506"/>
      <c r="O505" s="506"/>
      <c r="P505" s="506"/>
      <c r="Q505" s="506"/>
      <c r="R505" s="506"/>
      <c r="S505" s="506"/>
      <c r="T505" s="506"/>
      <c r="U505" s="506"/>
      <c r="V505" s="506"/>
      <c r="W505" s="506"/>
      <c r="X505" s="506"/>
      <c r="Y505" s="506"/>
      <c r="Z505" s="506"/>
      <c r="AA505" s="506"/>
      <c r="AB505" s="506"/>
      <c r="AC505" s="502" t="n">
        <f aca="false">SUMIF(AD$12:AS$12,"总值",AD505:AS505)</f>
        <v>0</v>
      </c>
      <c r="AD505" s="507"/>
      <c r="AE505" s="507"/>
      <c r="AF505" s="507"/>
      <c r="AG505" s="507"/>
      <c r="AH505" s="507"/>
      <c r="AI505" s="507"/>
      <c r="AJ505" s="507"/>
      <c r="AK505" s="507"/>
      <c r="AL505" s="507"/>
      <c r="AM505" s="507"/>
      <c r="AN505" s="507"/>
      <c r="AO505" s="507"/>
      <c r="AP505" s="507"/>
      <c r="AQ505" s="507"/>
      <c r="AR505" s="507"/>
      <c r="AS505" s="507"/>
      <c r="AT505" s="508"/>
      <c r="AU505" s="509"/>
      <c r="AV505" s="510" t="n">
        <f aca="false">A505</f>
        <v>0</v>
      </c>
      <c r="AW505" s="510" t="n">
        <f aca="false">B505</f>
        <v>0</v>
      </c>
      <c r="AX505" s="510" t="n">
        <f aca="false">C505</f>
        <v>0</v>
      </c>
      <c r="AY505" s="511" t="n">
        <f aca="false">ROUND($AY$6*AZ505/$AZ$5,2)</f>
        <v>0</v>
      </c>
      <c r="AZ505" s="502" t="n">
        <f aca="false">BA505+BL505</f>
        <v>0</v>
      </c>
      <c r="BA505" s="502" t="n">
        <f aca="false">SUM(BB505:BK505)</f>
        <v>0</v>
      </c>
      <c r="BB505" s="502" t="n">
        <f aca="false">IF($D505="是",I505-J505,0)</f>
        <v>0</v>
      </c>
      <c r="BC505" s="502" t="n">
        <f aca="false">IF($D505="是",K505-L505,0)</f>
        <v>0</v>
      </c>
      <c r="BD505" s="502" t="n">
        <f aca="false">IF($D505="是",M505-N505,0)</f>
        <v>0</v>
      </c>
      <c r="BE505" s="502" t="n">
        <f aca="false">IF($D505="是",O505-P505,0)</f>
        <v>0</v>
      </c>
      <c r="BF505" s="502" t="n">
        <f aca="false">IF($D505="是",Q505-R505,0)</f>
        <v>0</v>
      </c>
      <c r="BG505" s="502" t="n">
        <f aca="false">IF($D505="是",S505-T505,0)</f>
        <v>0</v>
      </c>
      <c r="BH505" s="502" t="n">
        <f aca="false">IF($D505="是",U505-V505,0)</f>
        <v>0</v>
      </c>
      <c r="BI505" s="502" t="n">
        <f aca="false">IF($D505="是",W505-X505,0)</f>
        <v>0</v>
      </c>
      <c r="BJ505" s="502" t="n">
        <f aca="false">IF($D505="是",Y505-Z505,0)</f>
        <v>0</v>
      </c>
      <c r="BK505" s="502" t="n">
        <f aca="false">IF($D505="是",AA505-AB505,0)</f>
        <v>0</v>
      </c>
      <c r="BL505" s="502" t="n">
        <f aca="false">SUM(BM505:BT505)</f>
        <v>0</v>
      </c>
      <c r="BM505" s="502" t="n">
        <f aca="false">IF($D505="是",AD505-AE505,0)</f>
        <v>0</v>
      </c>
      <c r="BN505" s="502" t="n">
        <f aca="false">IF($D505="是",AF505-AG505,0)</f>
        <v>0</v>
      </c>
      <c r="BO505" s="502" t="n">
        <f aca="false">IF($D505="是",AH505-AI505,0)</f>
        <v>0</v>
      </c>
      <c r="BP505" s="502" t="n">
        <f aca="false">IF($D505="是",AJ505-AK505,0)</f>
        <v>0</v>
      </c>
      <c r="BQ505" s="502" t="n">
        <f aca="false">IF($D505="是",AL505-AM505,0)</f>
        <v>0</v>
      </c>
      <c r="BR505" s="502" t="n">
        <f aca="false">IF($D505="是",AN505-AO505,0)</f>
        <v>0</v>
      </c>
      <c r="BS505" s="502" t="n">
        <f aca="false">IF($D505="是",AP505-AQ505,0)</f>
        <v>0</v>
      </c>
      <c r="BT505" s="512" t="n">
        <f aca="false">IF($D505="是",AR505-AS505,0)</f>
        <v>0</v>
      </c>
    </row>
    <row r="506" customFormat="false" ht="14.25" hidden="false" customHeight="false" outlineLevel="0" collapsed="false">
      <c r="A506" s="499"/>
      <c r="B506" s="500"/>
      <c r="C506" s="500"/>
      <c r="D506" s="501"/>
      <c r="E506" s="502" t="n">
        <f aca="false">IF($C$3="是",ROUND($A$3*G506/$B$3,2),ROUND($A$3*(G506-AT506)/$B$3,2))</f>
        <v>0</v>
      </c>
      <c r="F506" s="503"/>
      <c r="G506" s="504" t="n">
        <f aca="false">H506+AC506+AT506</f>
        <v>0</v>
      </c>
      <c r="H506" s="505" t="n">
        <f aca="false">SUMIF(I$12:AB$12,"总值",I506:AB506)</f>
        <v>0</v>
      </c>
      <c r="I506" s="506"/>
      <c r="J506" s="506"/>
      <c r="K506" s="506"/>
      <c r="L506" s="506"/>
      <c r="M506" s="506"/>
      <c r="N506" s="506"/>
      <c r="O506" s="506"/>
      <c r="P506" s="506"/>
      <c r="Q506" s="506"/>
      <c r="R506" s="506"/>
      <c r="S506" s="506"/>
      <c r="T506" s="506"/>
      <c r="U506" s="506"/>
      <c r="V506" s="506"/>
      <c r="W506" s="506"/>
      <c r="X506" s="506"/>
      <c r="Y506" s="506"/>
      <c r="Z506" s="506"/>
      <c r="AA506" s="506"/>
      <c r="AB506" s="506"/>
      <c r="AC506" s="502" t="n">
        <f aca="false">SUMIF(AD$12:AS$12,"总值",AD506:AS506)</f>
        <v>0</v>
      </c>
      <c r="AD506" s="507"/>
      <c r="AE506" s="507"/>
      <c r="AF506" s="507"/>
      <c r="AG506" s="507"/>
      <c r="AH506" s="507"/>
      <c r="AI506" s="507"/>
      <c r="AJ506" s="507"/>
      <c r="AK506" s="507"/>
      <c r="AL506" s="507"/>
      <c r="AM506" s="507"/>
      <c r="AN506" s="507"/>
      <c r="AO506" s="507"/>
      <c r="AP506" s="507"/>
      <c r="AQ506" s="507"/>
      <c r="AR506" s="507"/>
      <c r="AS506" s="507"/>
      <c r="AT506" s="508"/>
      <c r="AU506" s="509"/>
      <c r="AV506" s="510" t="n">
        <f aca="false">A506</f>
        <v>0</v>
      </c>
      <c r="AW506" s="510" t="n">
        <f aca="false">B506</f>
        <v>0</v>
      </c>
      <c r="AX506" s="510" t="n">
        <f aca="false">C506</f>
        <v>0</v>
      </c>
      <c r="AY506" s="511" t="n">
        <f aca="false">ROUND($AY$6*AZ506/$AZ$5,2)</f>
        <v>0</v>
      </c>
      <c r="AZ506" s="502" t="n">
        <f aca="false">BA506+BL506</f>
        <v>0</v>
      </c>
      <c r="BA506" s="502" t="n">
        <f aca="false">SUM(BB506:BK506)</f>
        <v>0</v>
      </c>
      <c r="BB506" s="502" t="n">
        <f aca="false">IF($D506="是",I506-J506,0)</f>
        <v>0</v>
      </c>
      <c r="BC506" s="502" t="n">
        <f aca="false">IF($D506="是",K506-L506,0)</f>
        <v>0</v>
      </c>
      <c r="BD506" s="502" t="n">
        <f aca="false">IF($D506="是",M506-N506,0)</f>
        <v>0</v>
      </c>
      <c r="BE506" s="502" t="n">
        <f aca="false">IF($D506="是",O506-P506,0)</f>
        <v>0</v>
      </c>
      <c r="BF506" s="502" t="n">
        <f aca="false">IF($D506="是",Q506-R506,0)</f>
        <v>0</v>
      </c>
      <c r="BG506" s="502" t="n">
        <f aca="false">IF($D506="是",S506-T506,0)</f>
        <v>0</v>
      </c>
      <c r="BH506" s="502" t="n">
        <f aca="false">IF($D506="是",U506-V506,0)</f>
        <v>0</v>
      </c>
      <c r="BI506" s="502" t="n">
        <f aca="false">IF($D506="是",W506-X506,0)</f>
        <v>0</v>
      </c>
      <c r="BJ506" s="502" t="n">
        <f aca="false">IF($D506="是",Y506-Z506,0)</f>
        <v>0</v>
      </c>
      <c r="BK506" s="502" t="n">
        <f aca="false">IF($D506="是",AA506-AB506,0)</f>
        <v>0</v>
      </c>
      <c r="BL506" s="502" t="n">
        <f aca="false">SUM(BM506:BT506)</f>
        <v>0</v>
      </c>
      <c r="BM506" s="502" t="n">
        <f aca="false">IF($D506="是",AD506-AE506,0)</f>
        <v>0</v>
      </c>
      <c r="BN506" s="502" t="n">
        <f aca="false">IF($D506="是",AF506-AG506,0)</f>
        <v>0</v>
      </c>
      <c r="BO506" s="502" t="n">
        <f aca="false">IF($D506="是",AH506-AI506,0)</f>
        <v>0</v>
      </c>
      <c r="BP506" s="502" t="n">
        <f aca="false">IF($D506="是",AJ506-AK506,0)</f>
        <v>0</v>
      </c>
      <c r="BQ506" s="502" t="n">
        <f aca="false">IF($D506="是",AL506-AM506,0)</f>
        <v>0</v>
      </c>
      <c r="BR506" s="502" t="n">
        <f aca="false">IF($D506="是",AN506-AO506,0)</f>
        <v>0</v>
      </c>
      <c r="BS506" s="502" t="n">
        <f aca="false">IF($D506="是",AP506-AQ506,0)</f>
        <v>0</v>
      </c>
      <c r="BT506" s="512" t="n">
        <f aca="false">IF($D506="是",AR506-AS506,0)</f>
        <v>0</v>
      </c>
    </row>
    <row r="507" customFormat="false" ht="14.25" hidden="false" customHeight="false" outlineLevel="0" collapsed="false">
      <c r="A507" s="499"/>
      <c r="B507" s="500"/>
      <c r="C507" s="500"/>
      <c r="D507" s="501"/>
      <c r="E507" s="502" t="n">
        <f aca="false">IF($C$3="是",ROUND($A$3*G507/$B$3,2),ROUND($A$3*(G507-AT507)/$B$3,2))</f>
        <v>0</v>
      </c>
      <c r="F507" s="503"/>
      <c r="G507" s="504" t="n">
        <f aca="false">H507+AC507+AT507</f>
        <v>0</v>
      </c>
      <c r="H507" s="505" t="n">
        <f aca="false">SUMIF(I$12:AB$12,"总值",I507:AB507)</f>
        <v>0</v>
      </c>
      <c r="I507" s="506"/>
      <c r="J507" s="506"/>
      <c r="K507" s="506"/>
      <c r="L507" s="506"/>
      <c r="M507" s="506"/>
      <c r="N507" s="506"/>
      <c r="O507" s="506"/>
      <c r="P507" s="506"/>
      <c r="Q507" s="506"/>
      <c r="R507" s="506"/>
      <c r="S507" s="506"/>
      <c r="T507" s="506"/>
      <c r="U507" s="506"/>
      <c r="V507" s="506"/>
      <c r="W507" s="506"/>
      <c r="X507" s="506"/>
      <c r="Y507" s="506"/>
      <c r="Z507" s="506"/>
      <c r="AA507" s="506"/>
      <c r="AB507" s="506"/>
      <c r="AC507" s="502" t="n">
        <f aca="false">SUMIF(AD$12:AS$12,"总值",AD507:AS507)</f>
        <v>0</v>
      </c>
      <c r="AD507" s="507"/>
      <c r="AE507" s="507"/>
      <c r="AF507" s="507"/>
      <c r="AG507" s="507"/>
      <c r="AH507" s="507"/>
      <c r="AI507" s="507"/>
      <c r="AJ507" s="507"/>
      <c r="AK507" s="507"/>
      <c r="AL507" s="507"/>
      <c r="AM507" s="507"/>
      <c r="AN507" s="507"/>
      <c r="AO507" s="507"/>
      <c r="AP507" s="507"/>
      <c r="AQ507" s="507"/>
      <c r="AR507" s="507"/>
      <c r="AS507" s="507"/>
      <c r="AT507" s="508"/>
      <c r="AU507" s="509"/>
      <c r="AV507" s="510" t="n">
        <f aca="false">A507</f>
        <v>0</v>
      </c>
      <c r="AW507" s="510" t="n">
        <f aca="false">B507</f>
        <v>0</v>
      </c>
      <c r="AX507" s="510" t="n">
        <f aca="false">C507</f>
        <v>0</v>
      </c>
      <c r="AY507" s="511" t="n">
        <f aca="false">ROUND($AY$6*AZ507/$AZ$5,2)</f>
        <v>0</v>
      </c>
      <c r="AZ507" s="502" t="n">
        <f aca="false">BA507+BL507</f>
        <v>0</v>
      </c>
      <c r="BA507" s="502" t="n">
        <f aca="false">SUM(BB507:BK507)</f>
        <v>0</v>
      </c>
      <c r="BB507" s="502" t="n">
        <f aca="false">IF($D507="是",I507-J507,0)</f>
        <v>0</v>
      </c>
      <c r="BC507" s="502" t="n">
        <f aca="false">IF($D507="是",K507-L507,0)</f>
        <v>0</v>
      </c>
      <c r="BD507" s="502" t="n">
        <f aca="false">IF($D507="是",M507-N507,0)</f>
        <v>0</v>
      </c>
      <c r="BE507" s="502" t="n">
        <f aca="false">IF($D507="是",O507-P507,0)</f>
        <v>0</v>
      </c>
      <c r="BF507" s="502" t="n">
        <f aca="false">IF($D507="是",Q507-R507,0)</f>
        <v>0</v>
      </c>
      <c r="BG507" s="502" t="n">
        <f aca="false">IF($D507="是",S507-T507,0)</f>
        <v>0</v>
      </c>
      <c r="BH507" s="502" t="n">
        <f aca="false">IF($D507="是",U507-V507,0)</f>
        <v>0</v>
      </c>
      <c r="BI507" s="502" t="n">
        <f aca="false">IF($D507="是",W507-X507,0)</f>
        <v>0</v>
      </c>
      <c r="BJ507" s="502" t="n">
        <f aca="false">IF($D507="是",Y507-Z507,0)</f>
        <v>0</v>
      </c>
      <c r="BK507" s="502" t="n">
        <f aca="false">IF($D507="是",AA507-AB507,0)</f>
        <v>0</v>
      </c>
      <c r="BL507" s="502" t="n">
        <f aca="false">SUM(BM507:BT507)</f>
        <v>0</v>
      </c>
      <c r="BM507" s="502" t="n">
        <f aca="false">IF($D507="是",AD507-AE507,0)</f>
        <v>0</v>
      </c>
      <c r="BN507" s="502" t="n">
        <f aca="false">IF($D507="是",AF507-AG507,0)</f>
        <v>0</v>
      </c>
      <c r="BO507" s="502" t="n">
        <f aca="false">IF($D507="是",AH507-AI507,0)</f>
        <v>0</v>
      </c>
      <c r="BP507" s="502" t="n">
        <f aca="false">IF($D507="是",AJ507-AK507,0)</f>
        <v>0</v>
      </c>
      <c r="BQ507" s="502" t="n">
        <f aca="false">IF($D507="是",AL507-AM507,0)</f>
        <v>0</v>
      </c>
      <c r="BR507" s="502" t="n">
        <f aca="false">IF($D507="是",AN507-AO507,0)</f>
        <v>0</v>
      </c>
      <c r="BS507" s="502" t="n">
        <f aca="false">IF($D507="是",AP507-AQ507,0)</f>
        <v>0</v>
      </c>
      <c r="BT507" s="512" t="n">
        <f aca="false">IF($D507="是",AR507-AS507,0)</f>
        <v>0</v>
      </c>
    </row>
    <row r="508" customFormat="false" ht="14.25" hidden="false" customHeight="false" outlineLevel="0" collapsed="false">
      <c r="A508" s="499"/>
      <c r="B508" s="500"/>
      <c r="C508" s="500"/>
      <c r="D508" s="501"/>
      <c r="E508" s="502" t="n">
        <f aca="false">IF($C$3="是",ROUND($A$3*G508/$B$3,2),ROUND($A$3*(G508-AT508)/$B$3,2))</f>
        <v>0</v>
      </c>
      <c r="F508" s="503"/>
      <c r="G508" s="504" t="n">
        <f aca="false">H508+AC508+AT508</f>
        <v>0</v>
      </c>
      <c r="H508" s="505" t="n">
        <f aca="false">SUMIF(I$12:AB$12,"总值",I508:AB508)</f>
        <v>0</v>
      </c>
      <c r="I508" s="506"/>
      <c r="J508" s="506"/>
      <c r="K508" s="506"/>
      <c r="L508" s="506"/>
      <c r="M508" s="506"/>
      <c r="N508" s="506"/>
      <c r="O508" s="506"/>
      <c r="P508" s="506"/>
      <c r="Q508" s="506"/>
      <c r="R508" s="506"/>
      <c r="S508" s="506"/>
      <c r="T508" s="506"/>
      <c r="U508" s="506"/>
      <c r="V508" s="506"/>
      <c r="W508" s="506"/>
      <c r="X508" s="506"/>
      <c r="Y508" s="506"/>
      <c r="Z508" s="506"/>
      <c r="AA508" s="506"/>
      <c r="AB508" s="506"/>
      <c r="AC508" s="502" t="n">
        <f aca="false">SUMIF(AD$12:AS$12,"总值",AD508:AS508)</f>
        <v>0</v>
      </c>
      <c r="AD508" s="507"/>
      <c r="AE508" s="507"/>
      <c r="AF508" s="507"/>
      <c r="AG508" s="507"/>
      <c r="AH508" s="507"/>
      <c r="AI508" s="507"/>
      <c r="AJ508" s="507"/>
      <c r="AK508" s="507"/>
      <c r="AL508" s="507"/>
      <c r="AM508" s="507"/>
      <c r="AN508" s="507"/>
      <c r="AO508" s="507"/>
      <c r="AP508" s="507"/>
      <c r="AQ508" s="507"/>
      <c r="AR508" s="507"/>
      <c r="AS508" s="507"/>
      <c r="AT508" s="508"/>
      <c r="AU508" s="509"/>
      <c r="AV508" s="510" t="n">
        <f aca="false">A508</f>
        <v>0</v>
      </c>
      <c r="AW508" s="510" t="n">
        <f aca="false">B508</f>
        <v>0</v>
      </c>
      <c r="AX508" s="510" t="n">
        <f aca="false">C508</f>
        <v>0</v>
      </c>
      <c r="AY508" s="511" t="n">
        <f aca="false">ROUND($AY$6*AZ508/$AZ$5,2)</f>
        <v>0</v>
      </c>
      <c r="AZ508" s="502" t="n">
        <f aca="false">BA508+BL508</f>
        <v>0</v>
      </c>
      <c r="BA508" s="502" t="n">
        <f aca="false">SUM(BB508:BK508)</f>
        <v>0</v>
      </c>
      <c r="BB508" s="502" t="n">
        <f aca="false">IF($D508="是",I508-J508,0)</f>
        <v>0</v>
      </c>
      <c r="BC508" s="502" t="n">
        <f aca="false">IF($D508="是",K508-L508,0)</f>
        <v>0</v>
      </c>
      <c r="BD508" s="502" t="n">
        <f aca="false">IF($D508="是",M508-N508,0)</f>
        <v>0</v>
      </c>
      <c r="BE508" s="502" t="n">
        <f aca="false">IF($D508="是",O508-P508,0)</f>
        <v>0</v>
      </c>
      <c r="BF508" s="502" t="n">
        <f aca="false">IF($D508="是",Q508-R508,0)</f>
        <v>0</v>
      </c>
      <c r="BG508" s="502" t="n">
        <f aca="false">IF($D508="是",S508-T508,0)</f>
        <v>0</v>
      </c>
      <c r="BH508" s="502" t="n">
        <f aca="false">IF($D508="是",U508-V508,0)</f>
        <v>0</v>
      </c>
      <c r="BI508" s="502" t="n">
        <f aca="false">IF($D508="是",W508-X508,0)</f>
        <v>0</v>
      </c>
      <c r="BJ508" s="502" t="n">
        <f aca="false">IF($D508="是",Y508-Z508,0)</f>
        <v>0</v>
      </c>
      <c r="BK508" s="502" t="n">
        <f aca="false">IF($D508="是",AA508-AB508,0)</f>
        <v>0</v>
      </c>
      <c r="BL508" s="502" t="n">
        <f aca="false">SUM(BM508:BT508)</f>
        <v>0</v>
      </c>
      <c r="BM508" s="502" t="n">
        <f aca="false">IF($D508="是",AD508-AE508,0)</f>
        <v>0</v>
      </c>
      <c r="BN508" s="502" t="n">
        <f aca="false">IF($D508="是",AF508-AG508,0)</f>
        <v>0</v>
      </c>
      <c r="BO508" s="502" t="n">
        <f aca="false">IF($D508="是",AH508-AI508,0)</f>
        <v>0</v>
      </c>
      <c r="BP508" s="502" t="n">
        <f aca="false">IF($D508="是",AJ508-AK508,0)</f>
        <v>0</v>
      </c>
      <c r="BQ508" s="502" t="n">
        <f aca="false">IF($D508="是",AL508-AM508,0)</f>
        <v>0</v>
      </c>
      <c r="BR508" s="502" t="n">
        <f aca="false">IF($D508="是",AN508-AO508,0)</f>
        <v>0</v>
      </c>
      <c r="BS508" s="502" t="n">
        <f aca="false">IF($D508="是",AP508-AQ508,0)</f>
        <v>0</v>
      </c>
      <c r="BT508" s="512" t="n">
        <f aca="false">IF($D508="是",AR508-AS508,0)</f>
        <v>0</v>
      </c>
    </row>
    <row r="509" customFormat="false" ht="14.25" hidden="false" customHeight="false" outlineLevel="0" collapsed="false">
      <c r="A509" s="499"/>
      <c r="B509" s="500"/>
      <c r="C509" s="500"/>
      <c r="D509" s="501"/>
      <c r="E509" s="502" t="n">
        <f aca="false">IF($C$3="是",ROUND($A$3*G509/$B$3,2),ROUND($A$3*(G509-AT509)/$B$3,2))</f>
        <v>0</v>
      </c>
      <c r="F509" s="503"/>
      <c r="G509" s="504" t="n">
        <f aca="false">H509+AC509+AT509</f>
        <v>0</v>
      </c>
      <c r="H509" s="505" t="n">
        <f aca="false">SUMIF(I$12:AB$12,"总值",I509:AB509)</f>
        <v>0</v>
      </c>
      <c r="I509" s="506"/>
      <c r="J509" s="506"/>
      <c r="K509" s="506"/>
      <c r="L509" s="506"/>
      <c r="M509" s="506"/>
      <c r="N509" s="506"/>
      <c r="O509" s="506"/>
      <c r="P509" s="506"/>
      <c r="Q509" s="506"/>
      <c r="R509" s="506"/>
      <c r="S509" s="506"/>
      <c r="T509" s="506"/>
      <c r="U509" s="506"/>
      <c r="V509" s="506"/>
      <c r="W509" s="506"/>
      <c r="X509" s="506"/>
      <c r="Y509" s="506"/>
      <c r="Z509" s="506"/>
      <c r="AA509" s="506"/>
      <c r="AB509" s="506"/>
      <c r="AC509" s="502" t="n">
        <f aca="false">SUMIF(AD$12:AS$12,"总值",AD509:AS509)</f>
        <v>0</v>
      </c>
      <c r="AD509" s="507"/>
      <c r="AE509" s="507"/>
      <c r="AF509" s="507"/>
      <c r="AG509" s="507"/>
      <c r="AH509" s="507"/>
      <c r="AI509" s="507"/>
      <c r="AJ509" s="507"/>
      <c r="AK509" s="507"/>
      <c r="AL509" s="507"/>
      <c r="AM509" s="507"/>
      <c r="AN509" s="507"/>
      <c r="AO509" s="507"/>
      <c r="AP509" s="507"/>
      <c r="AQ509" s="507"/>
      <c r="AR509" s="507"/>
      <c r="AS509" s="507"/>
      <c r="AT509" s="508"/>
      <c r="AU509" s="509"/>
      <c r="AV509" s="510" t="n">
        <f aca="false">A509</f>
        <v>0</v>
      </c>
      <c r="AW509" s="510" t="n">
        <f aca="false">B509</f>
        <v>0</v>
      </c>
      <c r="AX509" s="510" t="n">
        <f aca="false">C509</f>
        <v>0</v>
      </c>
      <c r="AY509" s="511" t="n">
        <f aca="false">ROUND($AY$6*AZ509/$AZ$5,2)</f>
        <v>0</v>
      </c>
      <c r="AZ509" s="502" t="n">
        <f aca="false">BA509+BL509</f>
        <v>0</v>
      </c>
      <c r="BA509" s="502" t="n">
        <f aca="false">SUM(BB509:BK509)</f>
        <v>0</v>
      </c>
      <c r="BB509" s="502" t="n">
        <f aca="false">IF($D509="是",I509-J509,0)</f>
        <v>0</v>
      </c>
      <c r="BC509" s="502" t="n">
        <f aca="false">IF($D509="是",K509-L509,0)</f>
        <v>0</v>
      </c>
      <c r="BD509" s="502" t="n">
        <f aca="false">IF($D509="是",M509-N509,0)</f>
        <v>0</v>
      </c>
      <c r="BE509" s="502" t="n">
        <f aca="false">IF($D509="是",O509-P509,0)</f>
        <v>0</v>
      </c>
      <c r="BF509" s="502" t="n">
        <f aca="false">IF($D509="是",Q509-R509,0)</f>
        <v>0</v>
      </c>
      <c r="BG509" s="502" t="n">
        <f aca="false">IF($D509="是",S509-T509,0)</f>
        <v>0</v>
      </c>
      <c r="BH509" s="502" t="n">
        <f aca="false">IF($D509="是",U509-V509,0)</f>
        <v>0</v>
      </c>
      <c r="BI509" s="502" t="n">
        <f aca="false">IF($D509="是",W509-X509,0)</f>
        <v>0</v>
      </c>
      <c r="BJ509" s="502" t="n">
        <f aca="false">IF($D509="是",Y509-Z509,0)</f>
        <v>0</v>
      </c>
      <c r="BK509" s="502" t="n">
        <f aca="false">IF($D509="是",AA509-AB509,0)</f>
        <v>0</v>
      </c>
      <c r="BL509" s="502" t="n">
        <f aca="false">SUM(BM509:BT509)</f>
        <v>0</v>
      </c>
      <c r="BM509" s="502" t="n">
        <f aca="false">IF($D509="是",AD509-AE509,0)</f>
        <v>0</v>
      </c>
      <c r="BN509" s="502" t="n">
        <f aca="false">IF($D509="是",AF509-AG509,0)</f>
        <v>0</v>
      </c>
      <c r="BO509" s="502" t="n">
        <f aca="false">IF($D509="是",AH509-AI509,0)</f>
        <v>0</v>
      </c>
      <c r="BP509" s="502" t="n">
        <f aca="false">IF($D509="是",AJ509-AK509,0)</f>
        <v>0</v>
      </c>
      <c r="BQ509" s="502" t="n">
        <f aca="false">IF($D509="是",AL509-AM509,0)</f>
        <v>0</v>
      </c>
      <c r="BR509" s="502" t="n">
        <f aca="false">IF($D509="是",AN509-AO509,0)</f>
        <v>0</v>
      </c>
      <c r="BS509" s="502" t="n">
        <f aca="false">IF($D509="是",AP509-AQ509,0)</f>
        <v>0</v>
      </c>
      <c r="BT509" s="512" t="n">
        <f aca="false">IF($D509="是",AR509-AS509,0)</f>
        <v>0</v>
      </c>
    </row>
    <row r="510" customFormat="false" ht="14.25" hidden="false" customHeight="false" outlineLevel="0" collapsed="false">
      <c r="A510" s="499"/>
      <c r="B510" s="500"/>
      <c r="C510" s="500"/>
      <c r="D510" s="501"/>
      <c r="E510" s="502" t="n">
        <f aca="false">IF($C$3="是",ROUND($A$3*G510/$B$3,2),ROUND($A$3*(G510-AT510)/$B$3,2))</f>
        <v>0</v>
      </c>
      <c r="F510" s="503"/>
      <c r="G510" s="504" t="n">
        <f aca="false">H510+AC510+AT510</f>
        <v>0</v>
      </c>
      <c r="H510" s="505" t="n">
        <f aca="false">SUMIF(I$12:AB$12,"总值",I510:AB510)</f>
        <v>0</v>
      </c>
      <c r="I510" s="506"/>
      <c r="J510" s="506"/>
      <c r="K510" s="506"/>
      <c r="L510" s="506"/>
      <c r="M510" s="506"/>
      <c r="N510" s="506"/>
      <c r="O510" s="506"/>
      <c r="P510" s="506"/>
      <c r="Q510" s="506"/>
      <c r="R510" s="506"/>
      <c r="S510" s="506"/>
      <c r="T510" s="506"/>
      <c r="U510" s="506"/>
      <c r="V510" s="506"/>
      <c r="W510" s="506"/>
      <c r="X510" s="506"/>
      <c r="Y510" s="506"/>
      <c r="Z510" s="506"/>
      <c r="AA510" s="506"/>
      <c r="AB510" s="506"/>
      <c r="AC510" s="502" t="n">
        <f aca="false">SUMIF(AD$12:AS$12,"总值",AD510:AS510)</f>
        <v>0</v>
      </c>
      <c r="AD510" s="507"/>
      <c r="AE510" s="507"/>
      <c r="AF510" s="507"/>
      <c r="AG510" s="507"/>
      <c r="AH510" s="507"/>
      <c r="AI510" s="507"/>
      <c r="AJ510" s="507"/>
      <c r="AK510" s="507"/>
      <c r="AL510" s="507"/>
      <c r="AM510" s="507"/>
      <c r="AN510" s="507"/>
      <c r="AO510" s="507"/>
      <c r="AP510" s="507"/>
      <c r="AQ510" s="507"/>
      <c r="AR510" s="507"/>
      <c r="AS510" s="507"/>
      <c r="AT510" s="508"/>
      <c r="AU510" s="509"/>
      <c r="AV510" s="510" t="n">
        <f aca="false">A510</f>
        <v>0</v>
      </c>
      <c r="AW510" s="510" t="n">
        <f aca="false">B510</f>
        <v>0</v>
      </c>
      <c r="AX510" s="510" t="n">
        <f aca="false">C510</f>
        <v>0</v>
      </c>
      <c r="AY510" s="511" t="n">
        <f aca="false">ROUND($AY$6*AZ510/$AZ$5,2)</f>
        <v>0</v>
      </c>
      <c r="AZ510" s="502" t="n">
        <f aca="false">BA510+BL510</f>
        <v>0</v>
      </c>
      <c r="BA510" s="502" t="n">
        <f aca="false">SUM(BB510:BK510)</f>
        <v>0</v>
      </c>
      <c r="BB510" s="502" t="n">
        <f aca="false">IF($D510="是",I510-J510,0)</f>
        <v>0</v>
      </c>
      <c r="BC510" s="502" t="n">
        <f aca="false">IF($D510="是",K510-L510,0)</f>
        <v>0</v>
      </c>
      <c r="BD510" s="502" t="n">
        <f aca="false">IF($D510="是",M510-N510,0)</f>
        <v>0</v>
      </c>
      <c r="BE510" s="502" t="n">
        <f aca="false">IF($D510="是",O510-P510,0)</f>
        <v>0</v>
      </c>
      <c r="BF510" s="502" t="n">
        <f aca="false">IF($D510="是",Q510-R510,0)</f>
        <v>0</v>
      </c>
      <c r="BG510" s="502" t="n">
        <f aca="false">IF($D510="是",S510-T510,0)</f>
        <v>0</v>
      </c>
      <c r="BH510" s="502" t="n">
        <f aca="false">IF($D510="是",U510-V510,0)</f>
        <v>0</v>
      </c>
      <c r="BI510" s="502" t="n">
        <f aca="false">IF($D510="是",W510-X510,0)</f>
        <v>0</v>
      </c>
      <c r="BJ510" s="502" t="n">
        <f aca="false">IF($D510="是",Y510-Z510,0)</f>
        <v>0</v>
      </c>
      <c r="BK510" s="502" t="n">
        <f aca="false">IF($D510="是",AA510-AB510,0)</f>
        <v>0</v>
      </c>
      <c r="BL510" s="502" t="n">
        <f aca="false">SUM(BM510:BT510)</f>
        <v>0</v>
      </c>
      <c r="BM510" s="502" t="n">
        <f aca="false">IF($D510="是",AD510-AE510,0)</f>
        <v>0</v>
      </c>
      <c r="BN510" s="502" t="n">
        <f aca="false">IF($D510="是",AF510-AG510,0)</f>
        <v>0</v>
      </c>
      <c r="BO510" s="502" t="n">
        <f aca="false">IF($D510="是",AH510-AI510,0)</f>
        <v>0</v>
      </c>
      <c r="BP510" s="502" t="n">
        <f aca="false">IF($D510="是",AJ510-AK510,0)</f>
        <v>0</v>
      </c>
      <c r="BQ510" s="502" t="n">
        <f aca="false">IF($D510="是",AL510-AM510,0)</f>
        <v>0</v>
      </c>
      <c r="BR510" s="502" t="n">
        <f aca="false">IF($D510="是",AN510-AO510,0)</f>
        <v>0</v>
      </c>
      <c r="BS510" s="502" t="n">
        <f aca="false">IF($D510="是",AP510-AQ510,0)</f>
        <v>0</v>
      </c>
      <c r="BT510" s="512" t="n">
        <f aca="false">IF($D510="是",AR510-AS510,0)</f>
        <v>0</v>
      </c>
    </row>
    <row r="511" customFormat="false" ht="14.25" hidden="false" customHeight="false" outlineLevel="0" collapsed="false">
      <c r="A511" s="499"/>
      <c r="B511" s="500"/>
      <c r="C511" s="500"/>
      <c r="D511" s="501"/>
      <c r="E511" s="502" t="n">
        <f aca="false">IF($C$3="是",ROUND($A$3*G511/$B$3,2),ROUND($A$3*(G511-AT511)/$B$3,2))</f>
        <v>0</v>
      </c>
      <c r="F511" s="503"/>
      <c r="G511" s="504" t="n">
        <f aca="false">H511+AC511+AT511</f>
        <v>0</v>
      </c>
      <c r="H511" s="505" t="n">
        <f aca="false">SUMIF(I$12:AB$12,"总值",I511:AB511)</f>
        <v>0</v>
      </c>
      <c r="I511" s="506"/>
      <c r="J511" s="506"/>
      <c r="K511" s="506"/>
      <c r="L511" s="506"/>
      <c r="M511" s="506"/>
      <c r="N511" s="506"/>
      <c r="O511" s="506"/>
      <c r="P511" s="506"/>
      <c r="Q511" s="506"/>
      <c r="R511" s="506"/>
      <c r="S511" s="506"/>
      <c r="T511" s="506"/>
      <c r="U511" s="506"/>
      <c r="V511" s="506"/>
      <c r="W511" s="506"/>
      <c r="X511" s="506"/>
      <c r="Y511" s="506"/>
      <c r="Z511" s="506"/>
      <c r="AA511" s="506"/>
      <c r="AB511" s="506"/>
      <c r="AC511" s="502" t="n">
        <f aca="false">SUMIF(AD$12:AS$12,"总值",AD511:AS511)</f>
        <v>0</v>
      </c>
      <c r="AD511" s="507"/>
      <c r="AE511" s="507"/>
      <c r="AF511" s="507"/>
      <c r="AG511" s="507"/>
      <c r="AH511" s="507"/>
      <c r="AI511" s="507"/>
      <c r="AJ511" s="507"/>
      <c r="AK511" s="507"/>
      <c r="AL511" s="507"/>
      <c r="AM511" s="507"/>
      <c r="AN511" s="507"/>
      <c r="AO511" s="507"/>
      <c r="AP511" s="507"/>
      <c r="AQ511" s="507"/>
      <c r="AR511" s="507"/>
      <c r="AS511" s="507"/>
      <c r="AT511" s="508"/>
      <c r="AU511" s="509"/>
      <c r="AV511" s="510" t="n">
        <f aca="false">A511</f>
        <v>0</v>
      </c>
      <c r="AW511" s="510" t="n">
        <f aca="false">B511</f>
        <v>0</v>
      </c>
      <c r="AX511" s="510" t="n">
        <f aca="false">C511</f>
        <v>0</v>
      </c>
      <c r="AY511" s="511" t="n">
        <f aca="false">ROUND($AY$6*AZ511/$AZ$5,2)</f>
        <v>0</v>
      </c>
      <c r="AZ511" s="502" t="n">
        <f aca="false">BA511+BL511</f>
        <v>0</v>
      </c>
      <c r="BA511" s="502" t="n">
        <f aca="false">SUM(BB511:BK511)</f>
        <v>0</v>
      </c>
      <c r="BB511" s="502" t="n">
        <f aca="false">IF($D511="是",I511-J511,0)</f>
        <v>0</v>
      </c>
      <c r="BC511" s="502" t="n">
        <f aca="false">IF($D511="是",K511-L511,0)</f>
        <v>0</v>
      </c>
      <c r="BD511" s="502" t="n">
        <f aca="false">IF($D511="是",M511-N511,0)</f>
        <v>0</v>
      </c>
      <c r="BE511" s="502" t="n">
        <f aca="false">IF($D511="是",O511-P511,0)</f>
        <v>0</v>
      </c>
      <c r="BF511" s="502" t="n">
        <f aca="false">IF($D511="是",Q511-R511,0)</f>
        <v>0</v>
      </c>
      <c r="BG511" s="502" t="n">
        <f aca="false">IF($D511="是",S511-T511,0)</f>
        <v>0</v>
      </c>
      <c r="BH511" s="502" t="n">
        <f aca="false">IF($D511="是",U511-V511,0)</f>
        <v>0</v>
      </c>
      <c r="BI511" s="502" t="n">
        <f aca="false">IF($D511="是",W511-X511,0)</f>
        <v>0</v>
      </c>
      <c r="BJ511" s="502" t="n">
        <f aca="false">IF($D511="是",Y511-Z511,0)</f>
        <v>0</v>
      </c>
      <c r="BK511" s="502" t="n">
        <f aca="false">IF($D511="是",AA511-AB511,0)</f>
        <v>0</v>
      </c>
      <c r="BL511" s="502" t="n">
        <f aca="false">SUM(BM511:BT511)</f>
        <v>0</v>
      </c>
      <c r="BM511" s="502" t="n">
        <f aca="false">IF($D511="是",AD511-AE511,0)</f>
        <v>0</v>
      </c>
      <c r="BN511" s="502" t="n">
        <f aca="false">IF($D511="是",AF511-AG511,0)</f>
        <v>0</v>
      </c>
      <c r="BO511" s="502" t="n">
        <f aca="false">IF($D511="是",AH511-AI511,0)</f>
        <v>0</v>
      </c>
      <c r="BP511" s="502" t="n">
        <f aca="false">IF($D511="是",AJ511-AK511,0)</f>
        <v>0</v>
      </c>
      <c r="BQ511" s="502" t="n">
        <f aca="false">IF($D511="是",AL511-AM511,0)</f>
        <v>0</v>
      </c>
      <c r="BR511" s="502" t="n">
        <f aca="false">IF($D511="是",AN511-AO511,0)</f>
        <v>0</v>
      </c>
      <c r="BS511" s="502" t="n">
        <f aca="false">IF($D511="是",AP511-AQ511,0)</f>
        <v>0</v>
      </c>
      <c r="BT511" s="512" t="n">
        <f aca="false">IF($D511="是",AR511-AS511,0)</f>
        <v>0</v>
      </c>
    </row>
    <row r="512" customFormat="false" ht="14.25" hidden="false" customHeight="false" outlineLevel="0" collapsed="false">
      <c r="A512" s="499"/>
      <c r="B512" s="500"/>
      <c r="C512" s="500"/>
      <c r="D512" s="501"/>
      <c r="E512" s="502" t="n">
        <f aca="false">IF($C$3="是",ROUND($A$3*G512/$B$3,2),ROUND($A$3*(G512-AT512)/$B$3,2))</f>
        <v>0</v>
      </c>
      <c r="F512" s="503"/>
      <c r="G512" s="504" t="n">
        <f aca="false">H512+AC512+AT512</f>
        <v>0</v>
      </c>
      <c r="H512" s="505" t="n">
        <f aca="false">SUMIF(I$12:AB$12,"总值",I512:AB512)</f>
        <v>0</v>
      </c>
      <c r="I512" s="506"/>
      <c r="J512" s="506"/>
      <c r="K512" s="506"/>
      <c r="L512" s="506"/>
      <c r="M512" s="506"/>
      <c r="N512" s="506"/>
      <c r="O512" s="506"/>
      <c r="P512" s="506"/>
      <c r="Q512" s="506"/>
      <c r="R512" s="506"/>
      <c r="S512" s="506"/>
      <c r="T512" s="506"/>
      <c r="U512" s="506"/>
      <c r="V512" s="506"/>
      <c r="W512" s="506"/>
      <c r="X512" s="506"/>
      <c r="Y512" s="506"/>
      <c r="Z512" s="506"/>
      <c r="AA512" s="506"/>
      <c r="AB512" s="506"/>
      <c r="AC512" s="502" t="n">
        <f aca="false">SUMIF(AD$12:AS$12,"总值",AD512:AS512)</f>
        <v>0</v>
      </c>
      <c r="AD512" s="507"/>
      <c r="AE512" s="507"/>
      <c r="AF512" s="507"/>
      <c r="AG512" s="507"/>
      <c r="AH512" s="507"/>
      <c r="AI512" s="507"/>
      <c r="AJ512" s="507"/>
      <c r="AK512" s="507"/>
      <c r="AL512" s="507"/>
      <c r="AM512" s="507"/>
      <c r="AN512" s="507"/>
      <c r="AO512" s="507"/>
      <c r="AP512" s="507"/>
      <c r="AQ512" s="507"/>
      <c r="AR512" s="507"/>
      <c r="AS512" s="507"/>
      <c r="AT512" s="508"/>
      <c r="AU512" s="509"/>
      <c r="AV512" s="510" t="n">
        <f aca="false">A512</f>
        <v>0</v>
      </c>
      <c r="AW512" s="510" t="n">
        <f aca="false">B512</f>
        <v>0</v>
      </c>
      <c r="AX512" s="510" t="n">
        <f aca="false">C512</f>
        <v>0</v>
      </c>
      <c r="AY512" s="511" t="n">
        <f aca="false">ROUND($AY$6*AZ512/$AZ$5,2)</f>
        <v>0</v>
      </c>
      <c r="AZ512" s="502" t="n">
        <f aca="false">BA512+BL512</f>
        <v>0</v>
      </c>
      <c r="BA512" s="502" t="n">
        <f aca="false">SUM(BB512:BK512)</f>
        <v>0</v>
      </c>
      <c r="BB512" s="502" t="n">
        <f aca="false">IF($D512="是",I512-J512,0)</f>
        <v>0</v>
      </c>
      <c r="BC512" s="502" t="n">
        <f aca="false">IF($D512="是",K512-L512,0)</f>
        <v>0</v>
      </c>
      <c r="BD512" s="502" t="n">
        <f aca="false">IF($D512="是",M512-N512,0)</f>
        <v>0</v>
      </c>
      <c r="BE512" s="502" t="n">
        <f aca="false">IF($D512="是",O512-P512,0)</f>
        <v>0</v>
      </c>
      <c r="BF512" s="502" t="n">
        <f aca="false">IF($D512="是",Q512-R512,0)</f>
        <v>0</v>
      </c>
      <c r="BG512" s="502" t="n">
        <f aca="false">IF($D512="是",S512-T512,0)</f>
        <v>0</v>
      </c>
      <c r="BH512" s="502" t="n">
        <f aca="false">IF($D512="是",U512-V512,0)</f>
        <v>0</v>
      </c>
      <c r="BI512" s="502" t="n">
        <f aca="false">IF($D512="是",W512-X512,0)</f>
        <v>0</v>
      </c>
      <c r="BJ512" s="502" t="n">
        <f aca="false">IF($D512="是",Y512-Z512,0)</f>
        <v>0</v>
      </c>
      <c r="BK512" s="502" t="n">
        <f aca="false">IF($D512="是",AA512-AB512,0)</f>
        <v>0</v>
      </c>
      <c r="BL512" s="502" t="n">
        <f aca="false">SUM(BM512:BT512)</f>
        <v>0</v>
      </c>
      <c r="BM512" s="502" t="n">
        <f aca="false">IF($D512="是",AD512-AE512,0)</f>
        <v>0</v>
      </c>
      <c r="BN512" s="502" t="n">
        <f aca="false">IF($D512="是",AF512-AG512,0)</f>
        <v>0</v>
      </c>
      <c r="BO512" s="502" t="n">
        <f aca="false">IF($D512="是",AH512-AI512,0)</f>
        <v>0</v>
      </c>
      <c r="BP512" s="502" t="n">
        <f aca="false">IF($D512="是",AJ512-AK512,0)</f>
        <v>0</v>
      </c>
      <c r="BQ512" s="502" t="n">
        <f aca="false">IF($D512="是",AL512-AM512,0)</f>
        <v>0</v>
      </c>
      <c r="BR512" s="502" t="n">
        <f aca="false">IF($D512="是",AN512-AO512,0)</f>
        <v>0</v>
      </c>
      <c r="BS512" s="502" t="n">
        <f aca="false">IF($D512="是",AP512-AQ512,0)</f>
        <v>0</v>
      </c>
      <c r="BT512" s="512" t="n">
        <f aca="false">IF($D512="是",AR512-AS512,0)</f>
        <v>0</v>
      </c>
    </row>
    <row r="513" customFormat="false" ht="14.25" hidden="false" customHeight="false" outlineLevel="0" collapsed="false">
      <c r="A513" s="499"/>
      <c r="B513" s="500"/>
      <c r="C513" s="500"/>
      <c r="D513" s="501"/>
      <c r="E513" s="502" t="n">
        <f aca="false">IF($C$3="是",ROUND($A$3*G513/$B$3,2),ROUND($A$3*(G513-AT513)/$B$3,2))</f>
        <v>0</v>
      </c>
      <c r="F513" s="503"/>
      <c r="G513" s="504" t="n">
        <f aca="false">H513+AC513+AT513</f>
        <v>0</v>
      </c>
      <c r="H513" s="505" t="n">
        <f aca="false">SUMIF(I$12:AB$12,"总值",I513:AB513)</f>
        <v>0</v>
      </c>
      <c r="I513" s="506"/>
      <c r="J513" s="506"/>
      <c r="K513" s="506"/>
      <c r="L513" s="506"/>
      <c r="M513" s="506"/>
      <c r="N513" s="506"/>
      <c r="O513" s="506"/>
      <c r="P513" s="506"/>
      <c r="Q513" s="506"/>
      <c r="R513" s="506"/>
      <c r="S513" s="506"/>
      <c r="T513" s="506"/>
      <c r="U513" s="506"/>
      <c r="V513" s="506"/>
      <c r="W513" s="506"/>
      <c r="X513" s="506"/>
      <c r="Y513" s="506"/>
      <c r="Z513" s="506"/>
      <c r="AA513" s="506"/>
      <c r="AB513" s="506"/>
      <c r="AC513" s="502" t="n">
        <f aca="false">SUMIF(AD$12:AS$12,"总值",AD513:AS513)</f>
        <v>0</v>
      </c>
      <c r="AD513" s="507"/>
      <c r="AE513" s="507"/>
      <c r="AF513" s="507"/>
      <c r="AG513" s="507"/>
      <c r="AH513" s="507"/>
      <c r="AI513" s="507"/>
      <c r="AJ513" s="507"/>
      <c r="AK513" s="507"/>
      <c r="AL513" s="507"/>
      <c r="AM513" s="507"/>
      <c r="AN513" s="507"/>
      <c r="AO513" s="507"/>
      <c r="AP513" s="507"/>
      <c r="AQ513" s="507"/>
      <c r="AR513" s="507"/>
      <c r="AS513" s="507"/>
      <c r="AT513" s="508"/>
      <c r="AU513" s="509"/>
      <c r="AV513" s="510" t="n">
        <f aca="false">A513</f>
        <v>0</v>
      </c>
      <c r="AW513" s="510" t="n">
        <f aca="false">B513</f>
        <v>0</v>
      </c>
      <c r="AX513" s="510" t="n">
        <f aca="false">C513</f>
        <v>0</v>
      </c>
      <c r="AY513" s="511" t="n">
        <f aca="false">ROUND($AY$6*AZ513/$AZ$5,2)</f>
        <v>0</v>
      </c>
      <c r="AZ513" s="502" t="n">
        <f aca="false">BA513+BL513</f>
        <v>0</v>
      </c>
      <c r="BA513" s="502" t="n">
        <f aca="false">SUM(BB513:BK513)</f>
        <v>0</v>
      </c>
      <c r="BB513" s="502" t="n">
        <f aca="false">IF($D513="是",I513-J513,0)</f>
        <v>0</v>
      </c>
      <c r="BC513" s="502" t="n">
        <f aca="false">IF($D513="是",K513-L513,0)</f>
        <v>0</v>
      </c>
      <c r="BD513" s="502" t="n">
        <f aca="false">IF($D513="是",M513-N513,0)</f>
        <v>0</v>
      </c>
      <c r="BE513" s="502" t="n">
        <f aca="false">IF($D513="是",O513-P513,0)</f>
        <v>0</v>
      </c>
      <c r="BF513" s="502" t="n">
        <f aca="false">IF($D513="是",Q513-R513,0)</f>
        <v>0</v>
      </c>
      <c r="BG513" s="502" t="n">
        <f aca="false">IF($D513="是",S513-T513,0)</f>
        <v>0</v>
      </c>
      <c r="BH513" s="502" t="n">
        <f aca="false">IF($D513="是",U513-V513,0)</f>
        <v>0</v>
      </c>
      <c r="BI513" s="502" t="n">
        <f aca="false">IF($D513="是",W513-X513,0)</f>
        <v>0</v>
      </c>
      <c r="BJ513" s="502" t="n">
        <f aca="false">IF($D513="是",Y513-Z513,0)</f>
        <v>0</v>
      </c>
      <c r="BK513" s="502" t="n">
        <f aca="false">IF($D513="是",AA513-AB513,0)</f>
        <v>0</v>
      </c>
      <c r="BL513" s="502" t="n">
        <f aca="false">SUM(BM513:BT513)</f>
        <v>0</v>
      </c>
      <c r="BM513" s="502" t="n">
        <f aca="false">IF($D513="是",AD513-AE513,0)</f>
        <v>0</v>
      </c>
      <c r="BN513" s="502" t="n">
        <f aca="false">IF($D513="是",AF513-AG513,0)</f>
        <v>0</v>
      </c>
      <c r="BO513" s="502" t="n">
        <f aca="false">IF($D513="是",AH513-AI513,0)</f>
        <v>0</v>
      </c>
      <c r="BP513" s="502" t="n">
        <f aca="false">IF($D513="是",AJ513-AK513,0)</f>
        <v>0</v>
      </c>
      <c r="BQ513" s="502" t="n">
        <f aca="false">IF($D513="是",AL513-AM513,0)</f>
        <v>0</v>
      </c>
      <c r="BR513" s="502" t="n">
        <f aca="false">IF($D513="是",AN513-AO513,0)</f>
        <v>0</v>
      </c>
      <c r="BS513" s="502" t="n">
        <f aca="false">IF($D513="是",AP513-AQ513,0)</f>
        <v>0</v>
      </c>
      <c r="BT513" s="512" t="n">
        <f aca="false">IF($D513="是",AR513-AS513,0)</f>
        <v>0</v>
      </c>
    </row>
    <row r="514" customFormat="false" ht="14.25" hidden="false" customHeight="false" outlineLevel="0" collapsed="false">
      <c r="A514" s="499"/>
      <c r="B514" s="500"/>
      <c r="C514" s="500"/>
      <c r="D514" s="501"/>
      <c r="E514" s="502" t="n">
        <f aca="false">IF($C$3="是",ROUND($A$3*G514/$B$3,2),ROUND($A$3*(G514-AT514)/$B$3,2))</f>
        <v>0</v>
      </c>
      <c r="F514" s="503"/>
      <c r="G514" s="504" t="n">
        <f aca="false">H514+AC514+AT514</f>
        <v>0</v>
      </c>
      <c r="H514" s="505" t="n">
        <f aca="false">SUMIF(I$12:AB$12,"总值",I514:AB514)</f>
        <v>0</v>
      </c>
      <c r="I514" s="506"/>
      <c r="J514" s="506"/>
      <c r="K514" s="506"/>
      <c r="L514" s="506"/>
      <c r="M514" s="506"/>
      <c r="N514" s="506"/>
      <c r="O514" s="506"/>
      <c r="P514" s="506"/>
      <c r="Q514" s="506"/>
      <c r="R514" s="506"/>
      <c r="S514" s="506"/>
      <c r="T514" s="506"/>
      <c r="U514" s="506"/>
      <c r="V514" s="506"/>
      <c r="W514" s="506"/>
      <c r="X514" s="506"/>
      <c r="Y514" s="506"/>
      <c r="Z514" s="506"/>
      <c r="AA514" s="506"/>
      <c r="AB514" s="506"/>
      <c r="AC514" s="502" t="n">
        <f aca="false">SUMIF(AD$12:AS$12,"总值",AD514:AS514)</f>
        <v>0</v>
      </c>
      <c r="AD514" s="507"/>
      <c r="AE514" s="507"/>
      <c r="AF514" s="507"/>
      <c r="AG514" s="507"/>
      <c r="AH514" s="507"/>
      <c r="AI514" s="507"/>
      <c r="AJ514" s="507"/>
      <c r="AK514" s="507"/>
      <c r="AL514" s="507"/>
      <c r="AM514" s="507"/>
      <c r="AN514" s="507"/>
      <c r="AO514" s="507"/>
      <c r="AP514" s="507"/>
      <c r="AQ514" s="507"/>
      <c r="AR514" s="507"/>
      <c r="AS514" s="507"/>
      <c r="AT514" s="508"/>
      <c r="AU514" s="509"/>
      <c r="AV514" s="510" t="n">
        <f aca="false">A514</f>
        <v>0</v>
      </c>
      <c r="AW514" s="510" t="n">
        <f aca="false">B514</f>
        <v>0</v>
      </c>
      <c r="AX514" s="510" t="n">
        <f aca="false">C514</f>
        <v>0</v>
      </c>
      <c r="AY514" s="511" t="n">
        <f aca="false">ROUND($AY$6*AZ514/$AZ$5,2)</f>
        <v>0</v>
      </c>
      <c r="AZ514" s="502" t="n">
        <f aca="false">BA514+BL514</f>
        <v>0</v>
      </c>
      <c r="BA514" s="502" t="n">
        <f aca="false">SUM(BB514:BK514)</f>
        <v>0</v>
      </c>
      <c r="BB514" s="502" t="n">
        <f aca="false">IF($D514="是",I514-J514,0)</f>
        <v>0</v>
      </c>
      <c r="BC514" s="502" t="n">
        <f aca="false">IF($D514="是",K514-L514,0)</f>
        <v>0</v>
      </c>
      <c r="BD514" s="502" t="n">
        <f aca="false">IF($D514="是",M514-N514,0)</f>
        <v>0</v>
      </c>
      <c r="BE514" s="502" t="n">
        <f aca="false">IF($D514="是",O514-P514,0)</f>
        <v>0</v>
      </c>
      <c r="BF514" s="502" t="n">
        <f aca="false">IF($D514="是",Q514-R514,0)</f>
        <v>0</v>
      </c>
      <c r="BG514" s="502" t="n">
        <f aca="false">IF($D514="是",S514-T514,0)</f>
        <v>0</v>
      </c>
      <c r="BH514" s="502" t="n">
        <f aca="false">IF($D514="是",U514-V514,0)</f>
        <v>0</v>
      </c>
      <c r="BI514" s="502" t="n">
        <f aca="false">IF($D514="是",W514-X514,0)</f>
        <v>0</v>
      </c>
      <c r="BJ514" s="502" t="n">
        <f aca="false">IF($D514="是",Y514-Z514,0)</f>
        <v>0</v>
      </c>
      <c r="BK514" s="502" t="n">
        <f aca="false">IF($D514="是",AA514-AB514,0)</f>
        <v>0</v>
      </c>
      <c r="BL514" s="502" t="n">
        <f aca="false">SUM(BM514:BT514)</f>
        <v>0</v>
      </c>
      <c r="BM514" s="502" t="n">
        <f aca="false">IF($D514="是",AD514-AE514,0)</f>
        <v>0</v>
      </c>
      <c r="BN514" s="502" t="n">
        <f aca="false">IF($D514="是",AF514-AG514,0)</f>
        <v>0</v>
      </c>
      <c r="BO514" s="502" t="n">
        <f aca="false">IF($D514="是",AH514-AI514,0)</f>
        <v>0</v>
      </c>
      <c r="BP514" s="502" t="n">
        <f aca="false">IF($D514="是",AJ514-AK514,0)</f>
        <v>0</v>
      </c>
      <c r="BQ514" s="502" t="n">
        <f aca="false">IF($D514="是",AL514-AM514,0)</f>
        <v>0</v>
      </c>
      <c r="BR514" s="502" t="n">
        <f aca="false">IF($D514="是",AN514-AO514,0)</f>
        <v>0</v>
      </c>
      <c r="BS514" s="502" t="n">
        <f aca="false">IF($D514="是",AP514-AQ514,0)</f>
        <v>0</v>
      </c>
      <c r="BT514" s="512" t="n">
        <f aca="false">IF($D514="是",AR514-AS514,0)</f>
        <v>0</v>
      </c>
    </row>
    <row r="515" customFormat="false" ht="14.25" hidden="false" customHeight="false" outlineLevel="0" collapsed="false">
      <c r="A515" s="499"/>
      <c r="B515" s="500"/>
      <c r="C515" s="500"/>
      <c r="D515" s="501"/>
      <c r="E515" s="502" t="n">
        <f aca="false">IF($C$3="是",ROUND($A$3*G515/$B$3,2),ROUND($A$3*(G515-AT515)/$B$3,2))</f>
        <v>0</v>
      </c>
      <c r="F515" s="503"/>
      <c r="G515" s="504" t="n">
        <f aca="false">H515+AC515+AT515</f>
        <v>0</v>
      </c>
      <c r="H515" s="505" t="n">
        <f aca="false">SUMIF(I$12:AB$12,"总值",I515:AB515)</f>
        <v>0</v>
      </c>
      <c r="I515" s="506"/>
      <c r="J515" s="506"/>
      <c r="K515" s="506"/>
      <c r="L515" s="506"/>
      <c r="M515" s="506"/>
      <c r="N515" s="506"/>
      <c r="O515" s="506"/>
      <c r="P515" s="506"/>
      <c r="Q515" s="506"/>
      <c r="R515" s="506"/>
      <c r="S515" s="506"/>
      <c r="T515" s="506"/>
      <c r="U515" s="506"/>
      <c r="V515" s="506"/>
      <c r="W515" s="506"/>
      <c r="X515" s="506"/>
      <c r="Y515" s="506"/>
      <c r="Z515" s="506"/>
      <c r="AA515" s="506"/>
      <c r="AB515" s="506"/>
      <c r="AC515" s="502" t="n">
        <f aca="false">SUMIF(AD$12:AS$12,"总值",AD515:AS515)</f>
        <v>0</v>
      </c>
      <c r="AD515" s="507"/>
      <c r="AE515" s="507"/>
      <c r="AF515" s="507"/>
      <c r="AG515" s="507"/>
      <c r="AH515" s="507"/>
      <c r="AI515" s="507"/>
      <c r="AJ515" s="507"/>
      <c r="AK515" s="507"/>
      <c r="AL515" s="507"/>
      <c r="AM515" s="507"/>
      <c r="AN515" s="507"/>
      <c r="AO515" s="507"/>
      <c r="AP515" s="507"/>
      <c r="AQ515" s="507"/>
      <c r="AR515" s="507"/>
      <c r="AS515" s="507"/>
      <c r="AT515" s="508"/>
      <c r="AU515" s="509"/>
      <c r="AV515" s="510" t="n">
        <f aca="false">A515</f>
        <v>0</v>
      </c>
      <c r="AW515" s="510" t="n">
        <f aca="false">B515</f>
        <v>0</v>
      </c>
      <c r="AX515" s="510" t="n">
        <f aca="false">C515</f>
        <v>0</v>
      </c>
      <c r="AY515" s="511" t="n">
        <f aca="false">ROUND($AY$6*AZ515/$AZ$5,2)</f>
        <v>0</v>
      </c>
      <c r="AZ515" s="502" t="n">
        <f aca="false">BA515+BL515</f>
        <v>0</v>
      </c>
      <c r="BA515" s="502" t="n">
        <f aca="false">SUM(BB515:BK515)</f>
        <v>0</v>
      </c>
      <c r="BB515" s="502" t="n">
        <f aca="false">IF($D515="是",I515-J515,0)</f>
        <v>0</v>
      </c>
      <c r="BC515" s="502" t="n">
        <f aca="false">IF($D515="是",K515-L515,0)</f>
        <v>0</v>
      </c>
      <c r="BD515" s="502" t="n">
        <f aca="false">IF($D515="是",M515-N515,0)</f>
        <v>0</v>
      </c>
      <c r="BE515" s="502" t="n">
        <f aca="false">IF($D515="是",O515-P515,0)</f>
        <v>0</v>
      </c>
      <c r="BF515" s="502" t="n">
        <f aca="false">IF($D515="是",Q515-R515,0)</f>
        <v>0</v>
      </c>
      <c r="BG515" s="502" t="n">
        <f aca="false">IF($D515="是",S515-T515,0)</f>
        <v>0</v>
      </c>
      <c r="BH515" s="502" t="n">
        <f aca="false">IF($D515="是",U515-V515,0)</f>
        <v>0</v>
      </c>
      <c r="BI515" s="502" t="n">
        <f aca="false">IF($D515="是",W515-X515,0)</f>
        <v>0</v>
      </c>
      <c r="BJ515" s="502" t="n">
        <f aca="false">IF($D515="是",Y515-Z515,0)</f>
        <v>0</v>
      </c>
      <c r="BK515" s="502" t="n">
        <f aca="false">IF($D515="是",AA515-AB515,0)</f>
        <v>0</v>
      </c>
      <c r="BL515" s="502" t="n">
        <f aca="false">SUM(BM515:BT515)</f>
        <v>0</v>
      </c>
      <c r="BM515" s="502" t="n">
        <f aca="false">IF($D515="是",AD515-AE515,0)</f>
        <v>0</v>
      </c>
      <c r="BN515" s="502" t="n">
        <f aca="false">IF($D515="是",AF515-AG515,0)</f>
        <v>0</v>
      </c>
      <c r="BO515" s="502" t="n">
        <f aca="false">IF($D515="是",AH515-AI515,0)</f>
        <v>0</v>
      </c>
      <c r="BP515" s="502" t="n">
        <f aca="false">IF($D515="是",AJ515-AK515,0)</f>
        <v>0</v>
      </c>
      <c r="BQ515" s="502" t="n">
        <f aca="false">IF($D515="是",AL515-AM515,0)</f>
        <v>0</v>
      </c>
      <c r="BR515" s="502" t="n">
        <f aca="false">IF($D515="是",AN515-AO515,0)</f>
        <v>0</v>
      </c>
      <c r="BS515" s="502" t="n">
        <f aca="false">IF($D515="是",AP515-AQ515,0)</f>
        <v>0</v>
      </c>
      <c r="BT515" s="512" t="n">
        <f aca="false">IF($D515="是",AR515-AS515,0)</f>
        <v>0</v>
      </c>
    </row>
    <row r="516" customFormat="false" ht="14.25" hidden="false" customHeight="false" outlineLevel="0" collapsed="false">
      <c r="A516" s="499"/>
      <c r="B516" s="500"/>
      <c r="C516" s="500"/>
      <c r="D516" s="501"/>
      <c r="E516" s="502" t="n">
        <f aca="false">IF($C$3="是",ROUND($A$3*G516/$B$3,2),ROUND($A$3*(G516-AT516)/$B$3,2))</f>
        <v>0</v>
      </c>
      <c r="F516" s="503"/>
      <c r="G516" s="504" t="n">
        <f aca="false">H516+AC516+AT516</f>
        <v>0</v>
      </c>
      <c r="H516" s="505" t="n">
        <f aca="false">SUMIF(I$12:AB$12,"总值",I516:AB516)</f>
        <v>0</v>
      </c>
      <c r="I516" s="506"/>
      <c r="J516" s="506"/>
      <c r="K516" s="506"/>
      <c r="L516" s="506"/>
      <c r="M516" s="506"/>
      <c r="N516" s="506"/>
      <c r="O516" s="506"/>
      <c r="P516" s="506"/>
      <c r="Q516" s="506"/>
      <c r="R516" s="506"/>
      <c r="S516" s="506"/>
      <c r="T516" s="506"/>
      <c r="U516" s="506"/>
      <c r="V516" s="506"/>
      <c r="W516" s="506"/>
      <c r="X516" s="506"/>
      <c r="Y516" s="506"/>
      <c r="Z516" s="506"/>
      <c r="AA516" s="506"/>
      <c r="AB516" s="506"/>
      <c r="AC516" s="502" t="n">
        <f aca="false">SUMIF(AD$12:AS$12,"总值",AD516:AS516)</f>
        <v>0</v>
      </c>
      <c r="AD516" s="507"/>
      <c r="AE516" s="507"/>
      <c r="AF516" s="507"/>
      <c r="AG516" s="507"/>
      <c r="AH516" s="507"/>
      <c r="AI516" s="507"/>
      <c r="AJ516" s="507"/>
      <c r="AK516" s="507"/>
      <c r="AL516" s="507"/>
      <c r="AM516" s="507"/>
      <c r="AN516" s="507"/>
      <c r="AO516" s="507"/>
      <c r="AP516" s="507"/>
      <c r="AQ516" s="507"/>
      <c r="AR516" s="507"/>
      <c r="AS516" s="507"/>
      <c r="AT516" s="508"/>
      <c r="AU516" s="509"/>
      <c r="AV516" s="510" t="n">
        <f aca="false">A516</f>
        <v>0</v>
      </c>
      <c r="AW516" s="510" t="n">
        <f aca="false">B516</f>
        <v>0</v>
      </c>
      <c r="AX516" s="510" t="n">
        <f aca="false">C516</f>
        <v>0</v>
      </c>
      <c r="AY516" s="511" t="n">
        <f aca="false">ROUND($AY$6*AZ516/$AZ$5,2)</f>
        <v>0</v>
      </c>
      <c r="AZ516" s="502" t="n">
        <f aca="false">BA516+BL516</f>
        <v>0</v>
      </c>
      <c r="BA516" s="502" t="n">
        <f aca="false">SUM(BB516:BK516)</f>
        <v>0</v>
      </c>
      <c r="BB516" s="502" t="n">
        <f aca="false">IF($D516="是",I516-J516,0)</f>
        <v>0</v>
      </c>
      <c r="BC516" s="502" t="n">
        <f aca="false">IF($D516="是",K516-L516,0)</f>
        <v>0</v>
      </c>
      <c r="BD516" s="502" t="n">
        <f aca="false">IF($D516="是",M516-N516,0)</f>
        <v>0</v>
      </c>
      <c r="BE516" s="502" t="n">
        <f aca="false">IF($D516="是",O516-P516,0)</f>
        <v>0</v>
      </c>
      <c r="BF516" s="502" t="n">
        <f aca="false">IF($D516="是",Q516-R516,0)</f>
        <v>0</v>
      </c>
      <c r="BG516" s="502" t="n">
        <f aca="false">IF($D516="是",S516-T516,0)</f>
        <v>0</v>
      </c>
      <c r="BH516" s="502" t="n">
        <f aca="false">IF($D516="是",U516-V516,0)</f>
        <v>0</v>
      </c>
      <c r="BI516" s="502" t="n">
        <f aca="false">IF($D516="是",W516-X516,0)</f>
        <v>0</v>
      </c>
      <c r="BJ516" s="502" t="n">
        <f aca="false">IF($D516="是",Y516-Z516,0)</f>
        <v>0</v>
      </c>
      <c r="BK516" s="502" t="n">
        <f aca="false">IF($D516="是",AA516-AB516,0)</f>
        <v>0</v>
      </c>
      <c r="BL516" s="502" t="n">
        <f aca="false">SUM(BM516:BT516)</f>
        <v>0</v>
      </c>
      <c r="BM516" s="502" t="n">
        <f aca="false">IF($D516="是",AD516-AE516,0)</f>
        <v>0</v>
      </c>
      <c r="BN516" s="502" t="n">
        <f aca="false">IF($D516="是",AF516-AG516,0)</f>
        <v>0</v>
      </c>
      <c r="BO516" s="502" t="n">
        <f aca="false">IF($D516="是",AH516-AI516,0)</f>
        <v>0</v>
      </c>
      <c r="BP516" s="502" t="n">
        <f aca="false">IF($D516="是",AJ516-AK516,0)</f>
        <v>0</v>
      </c>
      <c r="BQ516" s="502" t="n">
        <f aca="false">IF($D516="是",AL516-AM516,0)</f>
        <v>0</v>
      </c>
      <c r="BR516" s="502" t="n">
        <f aca="false">IF($D516="是",AN516-AO516,0)</f>
        <v>0</v>
      </c>
      <c r="BS516" s="502" t="n">
        <f aca="false">IF($D516="是",AP516-AQ516,0)</f>
        <v>0</v>
      </c>
      <c r="BT516" s="512" t="n">
        <f aca="false">IF($D516="是",AR516-AS516,0)</f>
        <v>0</v>
      </c>
    </row>
    <row r="517" customFormat="false" ht="14.25" hidden="false" customHeight="false" outlineLevel="0" collapsed="false">
      <c r="A517" s="499"/>
      <c r="B517" s="500"/>
      <c r="C517" s="500"/>
      <c r="D517" s="501"/>
      <c r="E517" s="502" t="n">
        <f aca="false">IF($C$3="是",ROUND($A$3*G517/$B$3,2),ROUND($A$3*(G517-AT517)/$B$3,2))</f>
        <v>0</v>
      </c>
      <c r="F517" s="503"/>
      <c r="G517" s="504" t="n">
        <f aca="false">H517+AC517+AT517</f>
        <v>0</v>
      </c>
      <c r="H517" s="505" t="n">
        <f aca="false">SUMIF(I$12:AB$12,"总值",I517:AB517)</f>
        <v>0</v>
      </c>
      <c r="I517" s="506"/>
      <c r="J517" s="506"/>
      <c r="K517" s="506"/>
      <c r="L517" s="506"/>
      <c r="M517" s="506"/>
      <c r="N517" s="506"/>
      <c r="O517" s="506"/>
      <c r="P517" s="506"/>
      <c r="Q517" s="506"/>
      <c r="R517" s="506"/>
      <c r="S517" s="506"/>
      <c r="T517" s="506"/>
      <c r="U517" s="506"/>
      <c r="V517" s="506"/>
      <c r="W517" s="506"/>
      <c r="X517" s="506"/>
      <c r="Y517" s="506"/>
      <c r="Z517" s="506"/>
      <c r="AA517" s="506"/>
      <c r="AB517" s="506"/>
      <c r="AC517" s="502" t="n">
        <f aca="false">SUMIF(AD$12:AS$12,"总值",AD517:AS517)</f>
        <v>0</v>
      </c>
      <c r="AD517" s="507"/>
      <c r="AE517" s="507"/>
      <c r="AF517" s="507"/>
      <c r="AG517" s="507"/>
      <c r="AH517" s="507"/>
      <c r="AI517" s="507"/>
      <c r="AJ517" s="507"/>
      <c r="AK517" s="507"/>
      <c r="AL517" s="507"/>
      <c r="AM517" s="507"/>
      <c r="AN517" s="507"/>
      <c r="AO517" s="507"/>
      <c r="AP517" s="507"/>
      <c r="AQ517" s="507"/>
      <c r="AR517" s="507"/>
      <c r="AS517" s="507"/>
      <c r="AT517" s="508"/>
      <c r="AU517" s="509"/>
      <c r="AV517" s="510" t="n">
        <f aca="false">A517</f>
        <v>0</v>
      </c>
      <c r="AW517" s="510" t="n">
        <f aca="false">B517</f>
        <v>0</v>
      </c>
      <c r="AX517" s="510" t="n">
        <f aca="false">C517</f>
        <v>0</v>
      </c>
      <c r="AY517" s="511" t="n">
        <f aca="false">ROUND($AY$6*AZ517/$AZ$5,2)</f>
        <v>0</v>
      </c>
      <c r="AZ517" s="502" t="n">
        <f aca="false">BA517+BL517</f>
        <v>0</v>
      </c>
      <c r="BA517" s="502" t="n">
        <f aca="false">SUM(BB517:BK517)</f>
        <v>0</v>
      </c>
      <c r="BB517" s="502" t="n">
        <f aca="false">IF($D517="是",I517-J517,0)</f>
        <v>0</v>
      </c>
      <c r="BC517" s="502" t="n">
        <f aca="false">IF($D517="是",K517-L517,0)</f>
        <v>0</v>
      </c>
      <c r="BD517" s="502" t="n">
        <f aca="false">IF($D517="是",M517-N517,0)</f>
        <v>0</v>
      </c>
      <c r="BE517" s="502" t="n">
        <f aca="false">IF($D517="是",O517-P517,0)</f>
        <v>0</v>
      </c>
      <c r="BF517" s="502" t="n">
        <f aca="false">IF($D517="是",Q517-R517,0)</f>
        <v>0</v>
      </c>
      <c r="BG517" s="502" t="n">
        <f aca="false">IF($D517="是",S517-T517,0)</f>
        <v>0</v>
      </c>
      <c r="BH517" s="502" t="n">
        <f aca="false">IF($D517="是",U517-V517,0)</f>
        <v>0</v>
      </c>
      <c r="BI517" s="502" t="n">
        <f aca="false">IF($D517="是",W517-X517,0)</f>
        <v>0</v>
      </c>
      <c r="BJ517" s="502" t="n">
        <f aca="false">IF($D517="是",Y517-Z517,0)</f>
        <v>0</v>
      </c>
      <c r="BK517" s="502" t="n">
        <f aca="false">IF($D517="是",AA517-AB517,0)</f>
        <v>0</v>
      </c>
      <c r="BL517" s="502" t="n">
        <f aca="false">SUM(BM517:BT517)</f>
        <v>0</v>
      </c>
      <c r="BM517" s="502" t="n">
        <f aca="false">IF($D517="是",AD517-AE517,0)</f>
        <v>0</v>
      </c>
      <c r="BN517" s="502" t="n">
        <f aca="false">IF($D517="是",AF517-AG517,0)</f>
        <v>0</v>
      </c>
      <c r="BO517" s="502" t="n">
        <f aca="false">IF($D517="是",AH517-AI517,0)</f>
        <v>0</v>
      </c>
      <c r="BP517" s="502" t="n">
        <f aca="false">IF($D517="是",AJ517-AK517,0)</f>
        <v>0</v>
      </c>
      <c r="BQ517" s="502" t="n">
        <f aca="false">IF($D517="是",AL517-AM517,0)</f>
        <v>0</v>
      </c>
      <c r="BR517" s="502" t="n">
        <f aca="false">IF($D517="是",AN517-AO517,0)</f>
        <v>0</v>
      </c>
      <c r="BS517" s="502" t="n">
        <f aca="false">IF($D517="是",AP517-AQ517,0)</f>
        <v>0</v>
      </c>
      <c r="BT517" s="512" t="n">
        <f aca="false">IF($D517="是",AR517-AS517,0)</f>
        <v>0</v>
      </c>
    </row>
    <row r="518" customFormat="false" ht="14.25" hidden="false" customHeight="false" outlineLevel="0" collapsed="false">
      <c r="A518" s="499"/>
      <c r="B518" s="500"/>
      <c r="C518" s="500"/>
      <c r="D518" s="501"/>
      <c r="E518" s="502" t="n">
        <f aca="false">IF($C$3="是",ROUND($A$3*G518/$B$3,2),ROUND($A$3*(G518-AT518)/$B$3,2))</f>
        <v>0</v>
      </c>
      <c r="F518" s="503"/>
      <c r="G518" s="504" t="n">
        <f aca="false">H518+AC518+AT518</f>
        <v>0</v>
      </c>
      <c r="H518" s="505" t="n">
        <f aca="false">SUMIF(I$12:AB$12,"总值",I518:AB518)</f>
        <v>0</v>
      </c>
      <c r="I518" s="506"/>
      <c r="J518" s="506"/>
      <c r="K518" s="506"/>
      <c r="L518" s="506"/>
      <c r="M518" s="506"/>
      <c r="N518" s="506"/>
      <c r="O518" s="506"/>
      <c r="P518" s="506"/>
      <c r="Q518" s="506"/>
      <c r="R518" s="506"/>
      <c r="S518" s="506"/>
      <c r="T518" s="506"/>
      <c r="U518" s="506"/>
      <c r="V518" s="506"/>
      <c r="W518" s="506"/>
      <c r="X518" s="506"/>
      <c r="Y518" s="506"/>
      <c r="Z518" s="506"/>
      <c r="AA518" s="506"/>
      <c r="AB518" s="506"/>
      <c r="AC518" s="502" t="n">
        <f aca="false">SUMIF(AD$12:AS$12,"总值",AD518:AS518)</f>
        <v>0</v>
      </c>
      <c r="AD518" s="507"/>
      <c r="AE518" s="507"/>
      <c r="AF518" s="507"/>
      <c r="AG518" s="507"/>
      <c r="AH518" s="507"/>
      <c r="AI518" s="507"/>
      <c r="AJ518" s="507"/>
      <c r="AK518" s="507"/>
      <c r="AL518" s="507"/>
      <c r="AM518" s="507"/>
      <c r="AN518" s="507"/>
      <c r="AO518" s="507"/>
      <c r="AP518" s="507"/>
      <c r="AQ518" s="507"/>
      <c r="AR518" s="507"/>
      <c r="AS518" s="507"/>
      <c r="AT518" s="508"/>
      <c r="AU518" s="509"/>
      <c r="AV518" s="510" t="n">
        <f aca="false">A518</f>
        <v>0</v>
      </c>
      <c r="AW518" s="510" t="n">
        <f aca="false">B518</f>
        <v>0</v>
      </c>
      <c r="AX518" s="510" t="n">
        <f aca="false">C518</f>
        <v>0</v>
      </c>
      <c r="AY518" s="511" t="n">
        <f aca="false">ROUND($AY$6*AZ518/$AZ$5,2)</f>
        <v>0</v>
      </c>
      <c r="AZ518" s="502" t="n">
        <f aca="false">BA518+BL518</f>
        <v>0</v>
      </c>
      <c r="BA518" s="502" t="n">
        <f aca="false">SUM(BB518:BK518)</f>
        <v>0</v>
      </c>
      <c r="BB518" s="502" t="n">
        <f aca="false">IF($D518="是",I518-J518,0)</f>
        <v>0</v>
      </c>
      <c r="BC518" s="502" t="n">
        <f aca="false">IF($D518="是",K518-L518,0)</f>
        <v>0</v>
      </c>
      <c r="BD518" s="502" t="n">
        <f aca="false">IF($D518="是",M518-N518,0)</f>
        <v>0</v>
      </c>
      <c r="BE518" s="502" t="n">
        <f aca="false">IF($D518="是",O518-P518,0)</f>
        <v>0</v>
      </c>
      <c r="BF518" s="502" t="n">
        <f aca="false">IF($D518="是",Q518-R518,0)</f>
        <v>0</v>
      </c>
      <c r="BG518" s="502" t="n">
        <f aca="false">IF($D518="是",S518-T518,0)</f>
        <v>0</v>
      </c>
      <c r="BH518" s="502" t="n">
        <f aca="false">IF($D518="是",U518-V518,0)</f>
        <v>0</v>
      </c>
      <c r="BI518" s="502" t="n">
        <f aca="false">IF($D518="是",W518-X518,0)</f>
        <v>0</v>
      </c>
      <c r="BJ518" s="502" t="n">
        <f aca="false">IF($D518="是",Y518-Z518,0)</f>
        <v>0</v>
      </c>
      <c r="BK518" s="502" t="n">
        <f aca="false">IF($D518="是",AA518-AB518,0)</f>
        <v>0</v>
      </c>
      <c r="BL518" s="502" t="n">
        <f aca="false">SUM(BM518:BT518)</f>
        <v>0</v>
      </c>
      <c r="BM518" s="502" t="n">
        <f aca="false">IF($D518="是",AD518-AE518,0)</f>
        <v>0</v>
      </c>
      <c r="BN518" s="502" t="n">
        <f aca="false">IF($D518="是",AF518-AG518,0)</f>
        <v>0</v>
      </c>
      <c r="BO518" s="502" t="n">
        <f aca="false">IF($D518="是",AH518-AI518,0)</f>
        <v>0</v>
      </c>
      <c r="BP518" s="502" t="n">
        <f aca="false">IF($D518="是",AJ518-AK518,0)</f>
        <v>0</v>
      </c>
      <c r="BQ518" s="502" t="n">
        <f aca="false">IF($D518="是",AL518-AM518,0)</f>
        <v>0</v>
      </c>
      <c r="BR518" s="502" t="n">
        <f aca="false">IF($D518="是",AN518-AO518,0)</f>
        <v>0</v>
      </c>
      <c r="BS518" s="502" t="n">
        <f aca="false">IF($D518="是",AP518-AQ518,0)</f>
        <v>0</v>
      </c>
      <c r="BT518" s="512" t="n">
        <f aca="false">IF($D518="是",AR518-AS518,0)</f>
        <v>0</v>
      </c>
    </row>
    <row r="519" customFormat="false" ht="14.25" hidden="false" customHeight="false" outlineLevel="0" collapsed="false">
      <c r="A519" s="499"/>
      <c r="B519" s="500"/>
      <c r="C519" s="500"/>
      <c r="D519" s="501"/>
      <c r="E519" s="502" t="n">
        <f aca="false">IF($C$3="是",ROUND($A$3*G519/$B$3,2),ROUND($A$3*(G519-AT519)/$B$3,2))</f>
        <v>0</v>
      </c>
      <c r="F519" s="503"/>
      <c r="G519" s="504" t="n">
        <f aca="false">H519+AC519+AT519</f>
        <v>0</v>
      </c>
      <c r="H519" s="505" t="n">
        <f aca="false">SUMIF(I$12:AB$12,"总值",I519:AB519)</f>
        <v>0</v>
      </c>
      <c r="I519" s="506"/>
      <c r="J519" s="506"/>
      <c r="K519" s="506"/>
      <c r="L519" s="506"/>
      <c r="M519" s="506"/>
      <c r="N519" s="506"/>
      <c r="O519" s="506"/>
      <c r="P519" s="506"/>
      <c r="Q519" s="506"/>
      <c r="R519" s="506"/>
      <c r="S519" s="506"/>
      <c r="T519" s="506"/>
      <c r="U519" s="506"/>
      <c r="V519" s="506"/>
      <c r="W519" s="506"/>
      <c r="X519" s="506"/>
      <c r="Y519" s="506"/>
      <c r="Z519" s="506"/>
      <c r="AA519" s="506"/>
      <c r="AB519" s="506"/>
      <c r="AC519" s="502" t="n">
        <f aca="false">SUMIF(AD$12:AS$12,"总值",AD519:AS519)</f>
        <v>0</v>
      </c>
      <c r="AD519" s="507"/>
      <c r="AE519" s="507"/>
      <c r="AF519" s="507"/>
      <c r="AG519" s="507"/>
      <c r="AH519" s="507"/>
      <c r="AI519" s="507"/>
      <c r="AJ519" s="507"/>
      <c r="AK519" s="507"/>
      <c r="AL519" s="507"/>
      <c r="AM519" s="507"/>
      <c r="AN519" s="507"/>
      <c r="AO519" s="507"/>
      <c r="AP519" s="507"/>
      <c r="AQ519" s="507"/>
      <c r="AR519" s="507"/>
      <c r="AS519" s="507"/>
      <c r="AT519" s="508"/>
      <c r="AU519" s="509"/>
      <c r="AV519" s="510" t="n">
        <f aca="false">A519</f>
        <v>0</v>
      </c>
      <c r="AW519" s="510" t="n">
        <f aca="false">B519</f>
        <v>0</v>
      </c>
      <c r="AX519" s="510" t="n">
        <f aca="false">C519</f>
        <v>0</v>
      </c>
      <c r="AY519" s="511" t="n">
        <f aca="false">ROUND($AY$6*AZ519/$AZ$5,2)</f>
        <v>0</v>
      </c>
      <c r="AZ519" s="502" t="n">
        <f aca="false">BA519+BL519</f>
        <v>0</v>
      </c>
      <c r="BA519" s="502" t="n">
        <f aca="false">SUM(BB519:BK519)</f>
        <v>0</v>
      </c>
      <c r="BB519" s="502" t="n">
        <f aca="false">IF($D519="是",I519-J519,0)</f>
        <v>0</v>
      </c>
      <c r="BC519" s="502" t="n">
        <f aca="false">IF($D519="是",K519-L519,0)</f>
        <v>0</v>
      </c>
      <c r="BD519" s="502" t="n">
        <f aca="false">IF($D519="是",M519-N519,0)</f>
        <v>0</v>
      </c>
      <c r="BE519" s="502" t="n">
        <f aca="false">IF($D519="是",O519-P519,0)</f>
        <v>0</v>
      </c>
      <c r="BF519" s="502" t="n">
        <f aca="false">IF($D519="是",Q519-R519,0)</f>
        <v>0</v>
      </c>
      <c r="BG519" s="502" t="n">
        <f aca="false">IF($D519="是",S519-T519,0)</f>
        <v>0</v>
      </c>
      <c r="BH519" s="502" t="n">
        <f aca="false">IF($D519="是",U519-V519,0)</f>
        <v>0</v>
      </c>
      <c r="BI519" s="502" t="n">
        <f aca="false">IF($D519="是",W519-X519,0)</f>
        <v>0</v>
      </c>
      <c r="BJ519" s="502" t="n">
        <f aca="false">IF($D519="是",Y519-Z519,0)</f>
        <v>0</v>
      </c>
      <c r="BK519" s="502" t="n">
        <f aca="false">IF($D519="是",AA519-AB519,0)</f>
        <v>0</v>
      </c>
      <c r="BL519" s="502" t="n">
        <f aca="false">SUM(BM519:BT519)</f>
        <v>0</v>
      </c>
      <c r="BM519" s="502" t="n">
        <f aca="false">IF($D519="是",AD519-AE519,0)</f>
        <v>0</v>
      </c>
      <c r="BN519" s="502" t="n">
        <f aca="false">IF($D519="是",AF519-AG519,0)</f>
        <v>0</v>
      </c>
      <c r="BO519" s="502" t="n">
        <f aca="false">IF($D519="是",AH519-AI519,0)</f>
        <v>0</v>
      </c>
      <c r="BP519" s="502" t="n">
        <f aca="false">IF($D519="是",AJ519-AK519,0)</f>
        <v>0</v>
      </c>
      <c r="BQ519" s="502" t="n">
        <f aca="false">IF($D519="是",AL519-AM519,0)</f>
        <v>0</v>
      </c>
      <c r="BR519" s="502" t="n">
        <f aca="false">IF($D519="是",AN519-AO519,0)</f>
        <v>0</v>
      </c>
      <c r="BS519" s="502" t="n">
        <f aca="false">IF($D519="是",AP519-AQ519,0)</f>
        <v>0</v>
      </c>
      <c r="BT519" s="512" t="n">
        <f aca="false">IF($D519="是",AR519-AS519,0)</f>
        <v>0</v>
      </c>
    </row>
    <row r="520" customFormat="false" ht="14.25" hidden="false" customHeight="false" outlineLevel="0" collapsed="false">
      <c r="A520" s="499"/>
      <c r="B520" s="500"/>
      <c r="C520" s="500"/>
      <c r="D520" s="501"/>
      <c r="E520" s="502" t="n">
        <f aca="false">IF($C$3="是",ROUND($A$3*G520/$B$3,2),ROUND($A$3*(G520-AT520)/$B$3,2))</f>
        <v>0</v>
      </c>
      <c r="F520" s="503"/>
      <c r="G520" s="504" t="n">
        <f aca="false">H520+AC520+AT520</f>
        <v>0</v>
      </c>
      <c r="H520" s="505" t="n">
        <f aca="false">SUMIF(I$12:AB$12,"总值",I520:AB520)</f>
        <v>0</v>
      </c>
      <c r="I520" s="506"/>
      <c r="J520" s="506"/>
      <c r="K520" s="506"/>
      <c r="L520" s="506"/>
      <c r="M520" s="506"/>
      <c r="N520" s="506"/>
      <c r="O520" s="506"/>
      <c r="P520" s="506"/>
      <c r="Q520" s="506"/>
      <c r="R520" s="506"/>
      <c r="S520" s="506"/>
      <c r="T520" s="506"/>
      <c r="U520" s="506"/>
      <c r="V520" s="506"/>
      <c r="W520" s="506"/>
      <c r="X520" s="506"/>
      <c r="Y520" s="506"/>
      <c r="Z520" s="506"/>
      <c r="AA520" s="506"/>
      <c r="AB520" s="506"/>
      <c r="AC520" s="502" t="n">
        <f aca="false">SUMIF(AD$12:AS$12,"总值",AD520:AS520)</f>
        <v>0</v>
      </c>
      <c r="AD520" s="507"/>
      <c r="AE520" s="507"/>
      <c r="AF520" s="507"/>
      <c r="AG520" s="507"/>
      <c r="AH520" s="507"/>
      <c r="AI520" s="507"/>
      <c r="AJ520" s="507"/>
      <c r="AK520" s="507"/>
      <c r="AL520" s="507"/>
      <c r="AM520" s="507"/>
      <c r="AN520" s="507"/>
      <c r="AO520" s="507"/>
      <c r="AP520" s="507"/>
      <c r="AQ520" s="507"/>
      <c r="AR520" s="507"/>
      <c r="AS520" s="507"/>
      <c r="AT520" s="508"/>
      <c r="AU520" s="509"/>
      <c r="AV520" s="510" t="n">
        <f aca="false">A520</f>
        <v>0</v>
      </c>
      <c r="AW520" s="510" t="n">
        <f aca="false">B520</f>
        <v>0</v>
      </c>
      <c r="AX520" s="510" t="n">
        <f aca="false">C520</f>
        <v>0</v>
      </c>
      <c r="AY520" s="511" t="n">
        <f aca="false">ROUND($AY$6*AZ520/$AZ$5,2)</f>
        <v>0</v>
      </c>
      <c r="AZ520" s="502" t="n">
        <f aca="false">BA520+BL520</f>
        <v>0</v>
      </c>
      <c r="BA520" s="502" t="n">
        <f aca="false">SUM(BB520:BK520)</f>
        <v>0</v>
      </c>
      <c r="BB520" s="502" t="n">
        <f aca="false">IF($D520="是",I520-J520,0)</f>
        <v>0</v>
      </c>
      <c r="BC520" s="502" t="n">
        <f aca="false">IF($D520="是",K520-L520,0)</f>
        <v>0</v>
      </c>
      <c r="BD520" s="502" t="n">
        <f aca="false">IF($D520="是",M520-N520,0)</f>
        <v>0</v>
      </c>
      <c r="BE520" s="502" t="n">
        <f aca="false">IF($D520="是",O520-P520,0)</f>
        <v>0</v>
      </c>
      <c r="BF520" s="502" t="n">
        <f aca="false">IF($D520="是",Q520-R520,0)</f>
        <v>0</v>
      </c>
      <c r="BG520" s="502" t="n">
        <f aca="false">IF($D520="是",S520-T520,0)</f>
        <v>0</v>
      </c>
      <c r="BH520" s="502" t="n">
        <f aca="false">IF($D520="是",U520-V520,0)</f>
        <v>0</v>
      </c>
      <c r="BI520" s="502" t="n">
        <f aca="false">IF($D520="是",W520-X520,0)</f>
        <v>0</v>
      </c>
      <c r="BJ520" s="502" t="n">
        <f aca="false">IF($D520="是",Y520-Z520,0)</f>
        <v>0</v>
      </c>
      <c r="BK520" s="502" t="n">
        <f aca="false">IF($D520="是",AA520-AB520,0)</f>
        <v>0</v>
      </c>
      <c r="BL520" s="502" t="n">
        <f aca="false">SUM(BM520:BT520)</f>
        <v>0</v>
      </c>
      <c r="BM520" s="502" t="n">
        <f aca="false">IF($D520="是",AD520-AE520,0)</f>
        <v>0</v>
      </c>
      <c r="BN520" s="502" t="n">
        <f aca="false">IF($D520="是",AF520-AG520,0)</f>
        <v>0</v>
      </c>
      <c r="BO520" s="502" t="n">
        <f aca="false">IF($D520="是",AH520-AI520,0)</f>
        <v>0</v>
      </c>
      <c r="BP520" s="502" t="n">
        <f aca="false">IF($D520="是",AJ520-AK520,0)</f>
        <v>0</v>
      </c>
      <c r="BQ520" s="502" t="n">
        <f aca="false">IF($D520="是",AL520-AM520,0)</f>
        <v>0</v>
      </c>
      <c r="BR520" s="502" t="n">
        <f aca="false">IF($D520="是",AN520-AO520,0)</f>
        <v>0</v>
      </c>
      <c r="BS520" s="502" t="n">
        <f aca="false">IF($D520="是",AP520-AQ520,0)</f>
        <v>0</v>
      </c>
      <c r="BT520" s="512" t="n">
        <f aca="false">IF($D520="是",AR520-AS520,0)</f>
        <v>0</v>
      </c>
    </row>
    <row r="521" customFormat="false" ht="14.25" hidden="false" customHeight="false" outlineLevel="0" collapsed="false">
      <c r="A521" s="499"/>
      <c r="B521" s="500"/>
      <c r="C521" s="500"/>
      <c r="D521" s="501"/>
      <c r="E521" s="502" t="n">
        <f aca="false">IF($C$3="是",ROUND($A$3*G521/$B$3,2),ROUND($A$3*(G521-AT521)/$B$3,2))</f>
        <v>0</v>
      </c>
      <c r="F521" s="503"/>
      <c r="G521" s="504" t="n">
        <f aca="false">H521+AC521+AT521</f>
        <v>0</v>
      </c>
      <c r="H521" s="505" t="n">
        <f aca="false">SUMIF(I$12:AB$12,"总值",I521:AB521)</f>
        <v>0</v>
      </c>
      <c r="I521" s="506"/>
      <c r="J521" s="506"/>
      <c r="K521" s="506"/>
      <c r="L521" s="506"/>
      <c r="M521" s="506"/>
      <c r="N521" s="506"/>
      <c r="O521" s="506"/>
      <c r="P521" s="506"/>
      <c r="Q521" s="506"/>
      <c r="R521" s="506"/>
      <c r="S521" s="506"/>
      <c r="T521" s="506"/>
      <c r="U521" s="506"/>
      <c r="V521" s="506"/>
      <c r="W521" s="506"/>
      <c r="X521" s="506"/>
      <c r="Y521" s="506"/>
      <c r="Z521" s="506"/>
      <c r="AA521" s="506"/>
      <c r="AB521" s="506"/>
      <c r="AC521" s="502" t="n">
        <f aca="false">SUMIF(AD$12:AS$12,"总值",AD521:AS521)</f>
        <v>0</v>
      </c>
      <c r="AD521" s="507"/>
      <c r="AE521" s="507"/>
      <c r="AF521" s="507"/>
      <c r="AG521" s="507"/>
      <c r="AH521" s="507"/>
      <c r="AI521" s="507"/>
      <c r="AJ521" s="507"/>
      <c r="AK521" s="507"/>
      <c r="AL521" s="507"/>
      <c r="AM521" s="507"/>
      <c r="AN521" s="507"/>
      <c r="AO521" s="507"/>
      <c r="AP521" s="507"/>
      <c r="AQ521" s="507"/>
      <c r="AR521" s="507"/>
      <c r="AS521" s="507"/>
      <c r="AT521" s="508"/>
      <c r="AU521" s="509"/>
      <c r="AV521" s="510" t="n">
        <f aca="false">A521</f>
        <v>0</v>
      </c>
      <c r="AW521" s="510" t="n">
        <f aca="false">B521</f>
        <v>0</v>
      </c>
      <c r="AX521" s="510" t="n">
        <f aca="false">C521</f>
        <v>0</v>
      </c>
      <c r="AY521" s="511" t="n">
        <f aca="false">ROUND($AY$6*AZ521/$AZ$5,2)</f>
        <v>0</v>
      </c>
      <c r="AZ521" s="502" t="n">
        <f aca="false">BA521+BL521</f>
        <v>0</v>
      </c>
      <c r="BA521" s="502" t="n">
        <f aca="false">SUM(BB521:BK521)</f>
        <v>0</v>
      </c>
      <c r="BB521" s="502" t="n">
        <f aca="false">IF($D521="是",I521-J521,0)</f>
        <v>0</v>
      </c>
      <c r="BC521" s="502" t="n">
        <f aca="false">IF($D521="是",K521-L521,0)</f>
        <v>0</v>
      </c>
      <c r="BD521" s="502" t="n">
        <f aca="false">IF($D521="是",M521-N521,0)</f>
        <v>0</v>
      </c>
      <c r="BE521" s="502" t="n">
        <f aca="false">IF($D521="是",O521-P521,0)</f>
        <v>0</v>
      </c>
      <c r="BF521" s="502" t="n">
        <f aca="false">IF($D521="是",Q521-R521,0)</f>
        <v>0</v>
      </c>
      <c r="BG521" s="502" t="n">
        <f aca="false">IF($D521="是",S521-T521,0)</f>
        <v>0</v>
      </c>
      <c r="BH521" s="502" t="n">
        <f aca="false">IF($D521="是",U521-V521,0)</f>
        <v>0</v>
      </c>
      <c r="BI521" s="502" t="n">
        <f aca="false">IF($D521="是",W521-X521,0)</f>
        <v>0</v>
      </c>
      <c r="BJ521" s="502" t="n">
        <f aca="false">IF($D521="是",Y521-Z521,0)</f>
        <v>0</v>
      </c>
      <c r="BK521" s="502" t="n">
        <f aca="false">IF($D521="是",AA521-AB521,0)</f>
        <v>0</v>
      </c>
      <c r="BL521" s="502" t="n">
        <f aca="false">SUM(BM521:BT521)</f>
        <v>0</v>
      </c>
      <c r="BM521" s="502" t="n">
        <f aca="false">IF($D521="是",AD521-AE521,0)</f>
        <v>0</v>
      </c>
      <c r="BN521" s="502" t="n">
        <f aca="false">IF($D521="是",AF521-AG521,0)</f>
        <v>0</v>
      </c>
      <c r="BO521" s="502" t="n">
        <f aca="false">IF($D521="是",AH521-AI521,0)</f>
        <v>0</v>
      </c>
      <c r="BP521" s="502" t="n">
        <f aca="false">IF($D521="是",AJ521-AK521,0)</f>
        <v>0</v>
      </c>
      <c r="BQ521" s="502" t="n">
        <f aca="false">IF($D521="是",AL521-AM521,0)</f>
        <v>0</v>
      </c>
      <c r="BR521" s="502" t="n">
        <f aca="false">IF($D521="是",AN521-AO521,0)</f>
        <v>0</v>
      </c>
      <c r="BS521" s="502" t="n">
        <f aca="false">IF($D521="是",AP521-AQ521,0)</f>
        <v>0</v>
      </c>
      <c r="BT521" s="512" t="n">
        <f aca="false">IF($D521="是",AR521-AS521,0)</f>
        <v>0</v>
      </c>
    </row>
    <row r="522" customFormat="false" ht="14.25" hidden="false" customHeight="false" outlineLevel="0" collapsed="false">
      <c r="A522" s="499"/>
      <c r="B522" s="500"/>
      <c r="C522" s="500"/>
      <c r="D522" s="501"/>
      <c r="E522" s="502" t="n">
        <f aca="false">IF($C$3="是",ROUND($A$3*G522/$B$3,2),ROUND($A$3*(G522-AT522)/$B$3,2))</f>
        <v>0</v>
      </c>
      <c r="F522" s="503"/>
      <c r="G522" s="504" t="n">
        <f aca="false">H522+AC522+AT522</f>
        <v>0</v>
      </c>
      <c r="H522" s="505" t="n">
        <f aca="false">SUMIF(I$12:AB$12,"总值",I522:AB522)</f>
        <v>0</v>
      </c>
      <c r="I522" s="506"/>
      <c r="J522" s="506"/>
      <c r="K522" s="506"/>
      <c r="L522" s="506"/>
      <c r="M522" s="506"/>
      <c r="N522" s="506"/>
      <c r="O522" s="506"/>
      <c r="P522" s="506"/>
      <c r="Q522" s="506"/>
      <c r="R522" s="506"/>
      <c r="S522" s="506"/>
      <c r="T522" s="506"/>
      <c r="U522" s="506"/>
      <c r="V522" s="506"/>
      <c r="W522" s="506"/>
      <c r="X522" s="506"/>
      <c r="Y522" s="506"/>
      <c r="Z522" s="506"/>
      <c r="AA522" s="506"/>
      <c r="AB522" s="506"/>
      <c r="AC522" s="502" t="n">
        <f aca="false">SUMIF(AD$12:AS$12,"总值",AD522:AS522)</f>
        <v>0</v>
      </c>
      <c r="AD522" s="507"/>
      <c r="AE522" s="507"/>
      <c r="AF522" s="507"/>
      <c r="AG522" s="507"/>
      <c r="AH522" s="507"/>
      <c r="AI522" s="507"/>
      <c r="AJ522" s="507"/>
      <c r="AK522" s="507"/>
      <c r="AL522" s="507"/>
      <c r="AM522" s="507"/>
      <c r="AN522" s="507"/>
      <c r="AO522" s="507"/>
      <c r="AP522" s="507"/>
      <c r="AQ522" s="507"/>
      <c r="AR522" s="507"/>
      <c r="AS522" s="507"/>
      <c r="AT522" s="508"/>
      <c r="AU522" s="509"/>
      <c r="AV522" s="510" t="n">
        <f aca="false">A522</f>
        <v>0</v>
      </c>
      <c r="AW522" s="510" t="n">
        <f aca="false">B522</f>
        <v>0</v>
      </c>
      <c r="AX522" s="510" t="n">
        <f aca="false">C522</f>
        <v>0</v>
      </c>
      <c r="AY522" s="511" t="n">
        <f aca="false">ROUND($AY$6*AZ522/$AZ$5,2)</f>
        <v>0</v>
      </c>
      <c r="AZ522" s="502" t="n">
        <f aca="false">BA522+BL522</f>
        <v>0</v>
      </c>
      <c r="BA522" s="502" t="n">
        <f aca="false">SUM(BB522:BK522)</f>
        <v>0</v>
      </c>
      <c r="BB522" s="502" t="n">
        <f aca="false">IF($D522="是",I522-J522,0)</f>
        <v>0</v>
      </c>
      <c r="BC522" s="502" t="n">
        <f aca="false">IF($D522="是",K522-L522,0)</f>
        <v>0</v>
      </c>
      <c r="BD522" s="502" t="n">
        <f aca="false">IF($D522="是",M522-N522,0)</f>
        <v>0</v>
      </c>
      <c r="BE522" s="502" t="n">
        <f aca="false">IF($D522="是",O522-P522,0)</f>
        <v>0</v>
      </c>
      <c r="BF522" s="502" t="n">
        <f aca="false">IF($D522="是",Q522-R522,0)</f>
        <v>0</v>
      </c>
      <c r="BG522" s="502" t="n">
        <f aca="false">IF($D522="是",S522-T522,0)</f>
        <v>0</v>
      </c>
      <c r="BH522" s="502" t="n">
        <f aca="false">IF($D522="是",U522-V522,0)</f>
        <v>0</v>
      </c>
      <c r="BI522" s="502" t="n">
        <f aca="false">IF($D522="是",W522-X522,0)</f>
        <v>0</v>
      </c>
      <c r="BJ522" s="502" t="n">
        <f aca="false">IF($D522="是",Y522-Z522,0)</f>
        <v>0</v>
      </c>
      <c r="BK522" s="502" t="n">
        <f aca="false">IF($D522="是",AA522-AB522,0)</f>
        <v>0</v>
      </c>
      <c r="BL522" s="502" t="n">
        <f aca="false">SUM(BM522:BT522)</f>
        <v>0</v>
      </c>
      <c r="BM522" s="502" t="n">
        <f aca="false">IF($D522="是",AD522-AE522,0)</f>
        <v>0</v>
      </c>
      <c r="BN522" s="502" t="n">
        <f aca="false">IF($D522="是",AF522-AG522,0)</f>
        <v>0</v>
      </c>
      <c r="BO522" s="502" t="n">
        <f aca="false">IF($D522="是",AH522-AI522,0)</f>
        <v>0</v>
      </c>
      <c r="BP522" s="502" t="n">
        <f aca="false">IF($D522="是",AJ522-AK522,0)</f>
        <v>0</v>
      </c>
      <c r="BQ522" s="502" t="n">
        <f aca="false">IF($D522="是",AL522-AM522,0)</f>
        <v>0</v>
      </c>
      <c r="BR522" s="502" t="n">
        <f aca="false">IF($D522="是",AN522-AO522,0)</f>
        <v>0</v>
      </c>
      <c r="BS522" s="502" t="n">
        <f aca="false">IF($D522="是",AP522-AQ522,0)</f>
        <v>0</v>
      </c>
      <c r="BT522" s="512" t="n">
        <f aca="false">IF($D522="是",AR522-AS522,0)</f>
        <v>0</v>
      </c>
    </row>
    <row r="523" customFormat="false" ht="14.25" hidden="false" customHeight="false" outlineLevel="0" collapsed="false">
      <c r="A523" s="499"/>
      <c r="B523" s="500"/>
      <c r="C523" s="500"/>
      <c r="D523" s="501"/>
      <c r="E523" s="502" t="n">
        <f aca="false">IF($C$3="是",ROUND($A$3*G523/$B$3,2),ROUND($A$3*(G523-AT523)/$B$3,2))</f>
        <v>0</v>
      </c>
      <c r="F523" s="503"/>
      <c r="G523" s="504" t="n">
        <f aca="false">H523+AC523+AT523</f>
        <v>0</v>
      </c>
      <c r="H523" s="505" t="n">
        <f aca="false">SUMIF(I$12:AB$12,"总值",I523:AB523)</f>
        <v>0</v>
      </c>
      <c r="I523" s="506"/>
      <c r="J523" s="506"/>
      <c r="K523" s="506"/>
      <c r="L523" s="506"/>
      <c r="M523" s="506"/>
      <c r="N523" s="506"/>
      <c r="O523" s="506"/>
      <c r="P523" s="506"/>
      <c r="Q523" s="506"/>
      <c r="R523" s="506"/>
      <c r="S523" s="506"/>
      <c r="T523" s="506"/>
      <c r="U523" s="506"/>
      <c r="V523" s="506"/>
      <c r="W523" s="506"/>
      <c r="X523" s="506"/>
      <c r="Y523" s="506"/>
      <c r="Z523" s="506"/>
      <c r="AA523" s="506"/>
      <c r="AB523" s="506"/>
      <c r="AC523" s="502" t="n">
        <f aca="false">SUMIF(AD$12:AS$12,"总值",AD523:AS523)</f>
        <v>0</v>
      </c>
      <c r="AD523" s="507"/>
      <c r="AE523" s="507"/>
      <c r="AF523" s="507"/>
      <c r="AG523" s="507"/>
      <c r="AH523" s="507"/>
      <c r="AI523" s="507"/>
      <c r="AJ523" s="507"/>
      <c r="AK523" s="507"/>
      <c r="AL523" s="507"/>
      <c r="AM523" s="507"/>
      <c r="AN523" s="507"/>
      <c r="AO523" s="507"/>
      <c r="AP523" s="507"/>
      <c r="AQ523" s="507"/>
      <c r="AR523" s="507"/>
      <c r="AS523" s="507"/>
      <c r="AT523" s="508"/>
      <c r="AU523" s="509"/>
      <c r="AV523" s="510" t="n">
        <f aca="false">A523</f>
        <v>0</v>
      </c>
      <c r="AW523" s="510" t="n">
        <f aca="false">B523</f>
        <v>0</v>
      </c>
      <c r="AX523" s="510" t="n">
        <f aca="false">C523</f>
        <v>0</v>
      </c>
      <c r="AY523" s="511" t="n">
        <f aca="false">ROUND($AY$6*AZ523/$AZ$5,2)</f>
        <v>0</v>
      </c>
      <c r="AZ523" s="502" t="n">
        <f aca="false">BA523+BL523</f>
        <v>0</v>
      </c>
      <c r="BA523" s="502" t="n">
        <f aca="false">SUM(BB523:BK523)</f>
        <v>0</v>
      </c>
      <c r="BB523" s="502" t="n">
        <f aca="false">IF($D523="是",I523-J523,0)</f>
        <v>0</v>
      </c>
      <c r="BC523" s="502" t="n">
        <f aca="false">IF($D523="是",K523-L523,0)</f>
        <v>0</v>
      </c>
      <c r="BD523" s="502" t="n">
        <f aca="false">IF($D523="是",M523-N523,0)</f>
        <v>0</v>
      </c>
      <c r="BE523" s="502" t="n">
        <f aca="false">IF($D523="是",O523-P523,0)</f>
        <v>0</v>
      </c>
      <c r="BF523" s="502" t="n">
        <f aca="false">IF($D523="是",Q523-R523,0)</f>
        <v>0</v>
      </c>
      <c r="BG523" s="502" t="n">
        <f aca="false">IF($D523="是",S523-T523,0)</f>
        <v>0</v>
      </c>
      <c r="BH523" s="502" t="n">
        <f aca="false">IF($D523="是",U523-V523,0)</f>
        <v>0</v>
      </c>
      <c r="BI523" s="502" t="n">
        <f aca="false">IF($D523="是",W523-X523,0)</f>
        <v>0</v>
      </c>
      <c r="BJ523" s="502" t="n">
        <f aca="false">IF($D523="是",Y523-Z523,0)</f>
        <v>0</v>
      </c>
      <c r="BK523" s="502" t="n">
        <f aca="false">IF($D523="是",AA523-AB523,0)</f>
        <v>0</v>
      </c>
      <c r="BL523" s="502" t="n">
        <f aca="false">SUM(BM523:BT523)</f>
        <v>0</v>
      </c>
      <c r="BM523" s="502" t="n">
        <f aca="false">IF($D523="是",AD523-AE523,0)</f>
        <v>0</v>
      </c>
      <c r="BN523" s="502" t="n">
        <f aca="false">IF($D523="是",AF523-AG523,0)</f>
        <v>0</v>
      </c>
      <c r="BO523" s="502" t="n">
        <f aca="false">IF($D523="是",AH523-AI523,0)</f>
        <v>0</v>
      </c>
      <c r="BP523" s="502" t="n">
        <f aca="false">IF($D523="是",AJ523-AK523,0)</f>
        <v>0</v>
      </c>
      <c r="BQ523" s="502" t="n">
        <f aca="false">IF($D523="是",AL523-AM523,0)</f>
        <v>0</v>
      </c>
      <c r="BR523" s="502" t="n">
        <f aca="false">IF($D523="是",AN523-AO523,0)</f>
        <v>0</v>
      </c>
      <c r="BS523" s="502" t="n">
        <f aca="false">IF($D523="是",AP523-AQ523,0)</f>
        <v>0</v>
      </c>
      <c r="BT523" s="512" t="n">
        <f aca="false">IF($D523="是",AR523-AS523,0)</f>
        <v>0</v>
      </c>
    </row>
    <row r="524" customFormat="false" ht="14.25" hidden="false" customHeight="false" outlineLevel="0" collapsed="false">
      <c r="A524" s="499"/>
      <c r="B524" s="500"/>
      <c r="C524" s="500"/>
      <c r="D524" s="501"/>
      <c r="E524" s="502" t="n">
        <f aca="false">IF($C$3="是",ROUND($A$3*G524/$B$3,2),ROUND($A$3*(G524-AT524)/$B$3,2))</f>
        <v>0</v>
      </c>
      <c r="F524" s="503"/>
      <c r="G524" s="504" t="n">
        <f aca="false">H524+AC524+AT524</f>
        <v>0</v>
      </c>
      <c r="H524" s="505" t="n">
        <f aca="false">SUMIF(I$12:AB$12,"总值",I524:AB524)</f>
        <v>0</v>
      </c>
      <c r="I524" s="506"/>
      <c r="J524" s="506"/>
      <c r="K524" s="506"/>
      <c r="L524" s="506"/>
      <c r="M524" s="506"/>
      <c r="N524" s="506"/>
      <c r="O524" s="506"/>
      <c r="P524" s="506"/>
      <c r="Q524" s="506"/>
      <c r="R524" s="506"/>
      <c r="S524" s="506"/>
      <c r="T524" s="506"/>
      <c r="U524" s="506"/>
      <c r="V524" s="506"/>
      <c r="W524" s="506"/>
      <c r="X524" s="506"/>
      <c r="Y524" s="506"/>
      <c r="Z524" s="506"/>
      <c r="AA524" s="506"/>
      <c r="AB524" s="506"/>
      <c r="AC524" s="502" t="n">
        <f aca="false">SUMIF(AD$12:AS$12,"总值",AD524:AS524)</f>
        <v>0</v>
      </c>
      <c r="AD524" s="507"/>
      <c r="AE524" s="507"/>
      <c r="AF524" s="507"/>
      <c r="AG524" s="507"/>
      <c r="AH524" s="507"/>
      <c r="AI524" s="507"/>
      <c r="AJ524" s="507"/>
      <c r="AK524" s="507"/>
      <c r="AL524" s="507"/>
      <c r="AM524" s="507"/>
      <c r="AN524" s="507"/>
      <c r="AO524" s="507"/>
      <c r="AP524" s="507"/>
      <c r="AQ524" s="507"/>
      <c r="AR524" s="507"/>
      <c r="AS524" s="507"/>
      <c r="AT524" s="508"/>
      <c r="AU524" s="509"/>
      <c r="AV524" s="510" t="n">
        <f aca="false">A524</f>
        <v>0</v>
      </c>
      <c r="AW524" s="510" t="n">
        <f aca="false">B524</f>
        <v>0</v>
      </c>
      <c r="AX524" s="510" t="n">
        <f aca="false">C524</f>
        <v>0</v>
      </c>
      <c r="AY524" s="511" t="n">
        <f aca="false">ROUND($AY$6*AZ524/$AZ$5,2)</f>
        <v>0</v>
      </c>
      <c r="AZ524" s="502" t="n">
        <f aca="false">BA524+BL524</f>
        <v>0</v>
      </c>
      <c r="BA524" s="502" t="n">
        <f aca="false">SUM(BB524:BK524)</f>
        <v>0</v>
      </c>
      <c r="BB524" s="502" t="n">
        <f aca="false">IF($D524="是",I524-J524,0)</f>
        <v>0</v>
      </c>
      <c r="BC524" s="502" t="n">
        <f aca="false">IF($D524="是",K524-L524,0)</f>
        <v>0</v>
      </c>
      <c r="BD524" s="502" t="n">
        <f aca="false">IF($D524="是",M524-N524,0)</f>
        <v>0</v>
      </c>
      <c r="BE524" s="502" t="n">
        <f aca="false">IF($D524="是",O524-P524,0)</f>
        <v>0</v>
      </c>
      <c r="BF524" s="502" t="n">
        <f aca="false">IF($D524="是",Q524-R524,0)</f>
        <v>0</v>
      </c>
      <c r="BG524" s="502" t="n">
        <f aca="false">IF($D524="是",S524-T524,0)</f>
        <v>0</v>
      </c>
      <c r="BH524" s="502" t="n">
        <f aca="false">IF($D524="是",U524-V524,0)</f>
        <v>0</v>
      </c>
      <c r="BI524" s="502" t="n">
        <f aca="false">IF($D524="是",W524-X524,0)</f>
        <v>0</v>
      </c>
      <c r="BJ524" s="502" t="n">
        <f aca="false">IF($D524="是",Y524-Z524,0)</f>
        <v>0</v>
      </c>
      <c r="BK524" s="502" t="n">
        <f aca="false">IF($D524="是",AA524-AB524,0)</f>
        <v>0</v>
      </c>
      <c r="BL524" s="502" t="n">
        <f aca="false">SUM(BM524:BT524)</f>
        <v>0</v>
      </c>
      <c r="BM524" s="502" t="n">
        <f aca="false">IF($D524="是",AD524-AE524,0)</f>
        <v>0</v>
      </c>
      <c r="BN524" s="502" t="n">
        <f aca="false">IF($D524="是",AF524-AG524,0)</f>
        <v>0</v>
      </c>
      <c r="BO524" s="502" t="n">
        <f aca="false">IF($D524="是",AH524-AI524,0)</f>
        <v>0</v>
      </c>
      <c r="BP524" s="502" t="n">
        <f aca="false">IF($D524="是",AJ524-AK524,0)</f>
        <v>0</v>
      </c>
      <c r="BQ524" s="502" t="n">
        <f aca="false">IF($D524="是",AL524-AM524,0)</f>
        <v>0</v>
      </c>
      <c r="BR524" s="502" t="n">
        <f aca="false">IF($D524="是",AN524-AO524,0)</f>
        <v>0</v>
      </c>
      <c r="BS524" s="502" t="n">
        <f aca="false">IF($D524="是",AP524-AQ524,0)</f>
        <v>0</v>
      </c>
      <c r="BT524" s="512" t="n">
        <f aca="false">IF($D524="是",AR524-AS524,0)</f>
        <v>0</v>
      </c>
    </row>
    <row r="525" customFormat="false" ht="14.25" hidden="false" customHeight="false" outlineLevel="0" collapsed="false">
      <c r="A525" s="499"/>
      <c r="B525" s="500"/>
      <c r="C525" s="500"/>
      <c r="D525" s="501"/>
      <c r="E525" s="502" t="n">
        <f aca="false">IF($C$3="是",ROUND($A$3*G525/$B$3,2),ROUND($A$3*(G525-AT525)/$B$3,2))</f>
        <v>0</v>
      </c>
      <c r="F525" s="503"/>
      <c r="G525" s="504" t="n">
        <f aca="false">H525+AC525+AT525</f>
        <v>0</v>
      </c>
      <c r="H525" s="505" t="n">
        <f aca="false">SUMIF(I$12:AB$12,"总值",I525:AB525)</f>
        <v>0</v>
      </c>
      <c r="I525" s="506"/>
      <c r="J525" s="506"/>
      <c r="K525" s="506"/>
      <c r="L525" s="506"/>
      <c r="M525" s="506"/>
      <c r="N525" s="506"/>
      <c r="O525" s="506"/>
      <c r="P525" s="506"/>
      <c r="Q525" s="506"/>
      <c r="R525" s="506"/>
      <c r="S525" s="506"/>
      <c r="T525" s="506"/>
      <c r="U525" s="506"/>
      <c r="V525" s="506"/>
      <c r="W525" s="506"/>
      <c r="X525" s="506"/>
      <c r="Y525" s="506"/>
      <c r="Z525" s="506"/>
      <c r="AA525" s="506"/>
      <c r="AB525" s="506"/>
      <c r="AC525" s="502" t="n">
        <f aca="false">SUMIF(AD$12:AS$12,"总值",AD525:AS525)</f>
        <v>0</v>
      </c>
      <c r="AD525" s="507"/>
      <c r="AE525" s="507"/>
      <c r="AF525" s="507"/>
      <c r="AG525" s="507"/>
      <c r="AH525" s="507"/>
      <c r="AI525" s="507"/>
      <c r="AJ525" s="507"/>
      <c r="AK525" s="507"/>
      <c r="AL525" s="507"/>
      <c r="AM525" s="507"/>
      <c r="AN525" s="507"/>
      <c r="AO525" s="507"/>
      <c r="AP525" s="507"/>
      <c r="AQ525" s="507"/>
      <c r="AR525" s="507"/>
      <c r="AS525" s="507"/>
      <c r="AT525" s="508"/>
      <c r="AU525" s="509"/>
      <c r="AV525" s="510" t="n">
        <f aca="false">A525</f>
        <v>0</v>
      </c>
      <c r="AW525" s="510" t="n">
        <f aca="false">B525</f>
        <v>0</v>
      </c>
      <c r="AX525" s="510" t="n">
        <f aca="false">C525</f>
        <v>0</v>
      </c>
      <c r="AY525" s="511" t="n">
        <f aca="false">ROUND($AY$6*AZ525/$AZ$5,2)</f>
        <v>0</v>
      </c>
      <c r="AZ525" s="502" t="n">
        <f aca="false">BA525+BL525</f>
        <v>0</v>
      </c>
      <c r="BA525" s="502" t="n">
        <f aca="false">SUM(BB525:BK525)</f>
        <v>0</v>
      </c>
      <c r="BB525" s="502" t="n">
        <f aca="false">IF($D525="是",I525-J525,0)</f>
        <v>0</v>
      </c>
      <c r="BC525" s="502" t="n">
        <f aca="false">IF($D525="是",K525-L525,0)</f>
        <v>0</v>
      </c>
      <c r="BD525" s="502" t="n">
        <f aca="false">IF($D525="是",M525-N525,0)</f>
        <v>0</v>
      </c>
      <c r="BE525" s="502" t="n">
        <f aca="false">IF($D525="是",O525-P525,0)</f>
        <v>0</v>
      </c>
      <c r="BF525" s="502" t="n">
        <f aca="false">IF($D525="是",Q525-R525,0)</f>
        <v>0</v>
      </c>
      <c r="BG525" s="502" t="n">
        <f aca="false">IF($D525="是",S525-T525,0)</f>
        <v>0</v>
      </c>
      <c r="BH525" s="502" t="n">
        <f aca="false">IF($D525="是",U525-V525,0)</f>
        <v>0</v>
      </c>
      <c r="BI525" s="502" t="n">
        <f aca="false">IF($D525="是",W525-X525,0)</f>
        <v>0</v>
      </c>
      <c r="BJ525" s="502" t="n">
        <f aca="false">IF($D525="是",Y525-Z525,0)</f>
        <v>0</v>
      </c>
      <c r="BK525" s="502" t="n">
        <f aca="false">IF($D525="是",AA525-AB525,0)</f>
        <v>0</v>
      </c>
      <c r="BL525" s="502" t="n">
        <f aca="false">SUM(BM525:BT525)</f>
        <v>0</v>
      </c>
      <c r="BM525" s="502" t="n">
        <f aca="false">IF($D525="是",AD525-AE525,0)</f>
        <v>0</v>
      </c>
      <c r="BN525" s="502" t="n">
        <f aca="false">IF($D525="是",AF525-AG525,0)</f>
        <v>0</v>
      </c>
      <c r="BO525" s="502" t="n">
        <f aca="false">IF($D525="是",AH525-AI525,0)</f>
        <v>0</v>
      </c>
      <c r="BP525" s="502" t="n">
        <f aca="false">IF($D525="是",AJ525-AK525,0)</f>
        <v>0</v>
      </c>
      <c r="BQ525" s="502" t="n">
        <f aca="false">IF($D525="是",AL525-AM525,0)</f>
        <v>0</v>
      </c>
      <c r="BR525" s="502" t="n">
        <f aca="false">IF($D525="是",AN525-AO525,0)</f>
        <v>0</v>
      </c>
      <c r="BS525" s="502" t="n">
        <f aca="false">IF($D525="是",AP525-AQ525,0)</f>
        <v>0</v>
      </c>
      <c r="BT525" s="512" t="n">
        <f aca="false">IF($D525="是",AR525-AS525,0)</f>
        <v>0</v>
      </c>
    </row>
    <row r="526" customFormat="false" ht="14.25" hidden="false" customHeight="false" outlineLevel="0" collapsed="false">
      <c r="A526" s="499"/>
      <c r="B526" s="500"/>
      <c r="C526" s="500"/>
      <c r="D526" s="501"/>
      <c r="E526" s="502" t="n">
        <f aca="false">IF($C$3="是",ROUND($A$3*G526/$B$3,2),ROUND($A$3*(G526-AT526)/$B$3,2))</f>
        <v>0</v>
      </c>
      <c r="F526" s="503"/>
      <c r="G526" s="504" t="n">
        <f aca="false">H526+AC526+AT526</f>
        <v>0</v>
      </c>
      <c r="H526" s="505" t="n">
        <f aca="false">SUMIF(I$12:AB$12,"总值",I526:AB526)</f>
        <v>0</v>
      </c>
      <c r="I526" s="506"/>
      <c r="J526" s="506"/>
      <c r="K526" s="506"/>
      <c r="L526" s="506"/>
      <c r="M526" s="506"/>
      <c r="N526" s="506"/>
      <c r="O526" s="506"/>
      <c r="P526" s="506"/>
      <c r="Q526" s="506"/>
      <c r="R526" s="506"/>
      <c r="S526" s="506"/>
      <c r="T526" s="506"/>
      <c r="U526" s="506"/>
      <c r="V526" s="506"/>
      <c r="W526" s="506"/>
      <c r="X526" s="506"/>
      <c r="Y526" s="506"/>
      <c r="Z526" s="506"/>
      <c r="AA526" s="506"/>
      <c r="AB526" s="506"/>
      <c r="AC526" s="502" t="n">
        <f aca="false">SUMIF(AD$12:AS$12,"总值",AD526:AS526)</f>
        <v>0</v>
      </c>
      <c r="AD526" s="507"/>
      <c r="AE526" s="507"/>
      <c r="AF526" s="507"/>
      <c r="AG526" s="507"/>
      <c r="AH526" s="507"/>
      <c r="AI526" s="507"/>
      <c r="AJ526" s="507"/>
      <c r="AK526" s="507"/>
      <c r="AL526" s="507"/>
      <c r="AM526" s="507"/>
      <c r="AN526" s="507"/>
      <c r="AO526" s="507"/>
      <c r="AP526" s="507"/>
      <c r="AQ526" s="507"/>
      <c r="AR526" s="507"/>
      <c r="AS526" s="507"/>
      <c r="AT526" s="508"/>
      <c r="AU526" s="509"/>
      <c r="AV526" s="510" t="n">
        <f aca="false">A526</f>
        <v>0</v>
      </c>
      <c r="AW526" s="510" t="n">
        <f aca="false">B526</f>
        <v>0</v>
      </c>
      <c r="AX526" s="510" t="n">
        <f aca="false">C526</f>
        <v>0</v>
      </c>
      <c r="AY526" s="511" t="n">
        <f aca="false">ROUND($AY$6*AZ526/$AZ$5,2)</f>
        <v>0</v>
      </c>
      <c r="AZ526" s="502" t="n">
        <f aca="false">BA526+BL526</f>
        <v>0</v>
      </c>
      <c r="BA526" s="502" t="n">
        <f aca="false">SUM(BB526:BK526)</f>
        <v>0</v>
      </c>
      <c r="BB526" s="502" t="n">
        <f aca="false">IF($D526="是",I526-J526,0)</f>
        <v>0</v>
      </c>
      <c r="BC526" s="502" t="n">
        <f aca="false">IF($D526="是",K526-L526,0)</f>
        <v>0</v>
      </c>
      <c r="BD526" s="502" t="n">
        <f aca="false">IF($D526="是",M526-N526,0)</f>
        <v>0</v>
      </c>
      <c r="BE526" s="502" t="n">
        <f aca="false">IF($D526="是",O526-P526,0)</f>
        <v>0</v>
      </c>
      <c r="BF526" s="502" t="n">
        <f aca="false">IF($D526="是",Q526-R526,0)</f>
        <v>0</v>
      </c>
      <c r="BG526" s="502" t="n">
        <f aca="false">IF($D526="是",S526-T526,0)</f>
        <v>0</v>
      </c>
      <c r="BH526" s="502" t="n">
        <f aca="false">IF($D526="是",U526-V526,0)</f>
        <v>0</v>
      </c>
      <c r="BI526" s="502" t="n">
        <f aca="false">IF($D526="是",W526-X526,0)</f>
        <v>0</v>
      </c>
      <c r="BJ526" s="502" t="n">
        <f aca="false">IF($D526="是",Y526-Z526,0)</f>
        <v>0</v>
      </c>
      <c r="BK526" s="502" t="n">
        <f aca="false">IF($D526="是",AA526-AB526,0)</f>
        <v>0</v>
      </c>
      <c r="BL526" s="502" t="n">
        <f aca="false">SUM(BM526:BT526)</f>
        <v>0</v>
      </c>
      <c r="BM526" s="502" t="n">
        <f aca="false">IF($D526="是",AD526-AE526,0)</f>
        <v>0</v>
      </c>
      <c r="BN526" s="502" t="n">
        <f aca="false">IF($D526="是",AF526-AG526,0)</f>
        <v>0</v>
      </c>
      <c r="BO526" s="502" t="n">
        <f aca="false">IF($D526="是",AH526-AI526,0)</f>
        <v>0</v>
      </c>
      <c r="BP526" s="502" t="n">
        <f aca="false">IF($D526="是",AJ526-AK526,0)</f>
        <v>0</v>
      </c>
      <c r="BQ526" s="502" t="n">
        <f aca="false">IF($D526="是",AL526-AM526,0)</f>
        <v>0</v>
      </c>
      <c r="BR526" s="502" t="n">
        <f aca="false">IF($D526="是",AN526-AO526,0)</f>
        <v>0</v>
      </c>
      <c r="BS526" s="502" t="n">
        <f aca="false">IF($D526="是",AP526-AQ526,0)</f>
        <v>0</v>
      </c>
      <c r="BT526" s="512" t="n">
        <f aca="false">IF($D526="是",AR526-AS526,0)</f>
        <v>0</v>
      </c>
    </row>
    <row r="527" customFormat="false" ht="14.25" hidden="false" customHeight="false" outlineLevel="0" collapsed="false">
      <c r="A527" s="499"/>
      <c r="B527" s="500"/>
      <c r="C527" s="500"/>
      <c r="D527" s="501"/>
      <c r="E527" s="502" t="n">
        <f aca="false">IF($C$3="是",ROUND($A$3*G527/$B$3,2),ROUND($A$3*(G527-AT527)/$B$3,2))</f>
        <v>0</v>
      </c>
      <c r="F527" s="503"/>
      <c r="G527" s="504" t="n">
        <f aca="false">H527+AC527+AT527</f>
        <v>0</v>
      </c>
      <c r="H527" s="505" t="n">
        <f aca="false">SUMIF(I$12:AB$12,"总值",I527:AB527)</f>
        <v>0</v>
      </c>
      <c r="I527" s="506"/>
      <c r="J527" s="506"/>
      <c r="K527" s="506"/>
      <c r="L527" s="506"/>
      <c r="M527" s="506"/>
      <c r="N527" s="506"/>
      <c r="O527" s="506"/>
      <c r="P527" s="506"/>
      <c r="Q527" s="506"/>
      <c r="R527" s="506"/>
      <c r="S527" s="506"/>
      <c r="T527" s="506"/>
      <c r="U527" s="506"/>
      <c r="V527" s="506"/>
      <c r="W527" s="506"/>
      <c r="X527" s="506"/>
      <c r="Y527" s="506"/>
      <c r="Z527" s="506"/>
      <c r="AA527" s="506"/>
      <c r="AB527" s="506"/>
      <c r="AC527" s="502" t="n">
        <f aca="false">SUMIF(AD$12:AS$12,"总值",AD527:AS527)</f>
        <v>0</v>
      </c>
      <c r="AD527" s="507"/>
      <c r="AE527" s="507"/>
      <c r="AF527" s="507"/>
      <c r="AG527" s="507"/>
      <c r="AH527" s="507"/>
      <c r="AI527" s="507"/>
      <c r="AJ527" s="507"/>
      <c r="AK527" s="507"/>
      <c r="AL527" s="507"/>
      <c r="AM527" s="507"/>
      <c r="AN527" s="507"/>
      <c r="AO527" s="507"/>
      <c r="AP527" s="507"/>
      <c r="AQ527" s="507"/>
      <c r="AR527" s="507"/>
      <c r="AS527" s="507"/>
      <c r="AT527" s="508"/>
      <c r="AU527" s="509"/>
      <c r="AV527" s="510" t="n">
        <f aca="false">A527</f>
        <v>0</v>
      </c>
      <c r="AW527" s="510" t="n">
        <f aca="false">B527</f>
        <v>0</v>
      </c>
      <c r="AX527" s="510" t="n">
        <f aca="false">C527</f>
        <v>0</v>
      </c>
      <c r="AY527" s="511" t="n">
        <f aca="false">ROUND($AY$6*AZ527/$AZ$5,2)</f>
        <v>0</v>
      </c>
      <c r="AZ527" s="502" t="n">
        <f aca="false">BA527+BL527</f>
        <v>0</v>
      </c>
      <c r="BA527" s="502" t="n">
        <f aca="false">SUM(BB527:BK527)</f>
        <v>0</v>
      </c>
      <c r="BB527" s="502" t="n">
        <f aca="false">IF($D527="是",I527-J527,0)</f>
        <v>0</v>
      </c>
      <c r="BC527" s="502" t="n">
        <f aca="false">IF($D527="是",K527-L527,0)</f>
        <v>0</v>
      </c>
      <c r="BD527" s="502" t="n">
        <f aca="false">IF($D527="是",M527-N527,0)</f>
        <v>0</v>
      </c>
      <c r="BE527" s="502" t="n">
        <f aca="false">IF($D527="是",O527-P527,0)</f>
        <v>0</v>
      </c>
      <c r="BF527" s="502" t="n">
        <f aca="false">IF($D527="是",Q527-R527,0)</f>
        <v>0</v>
      </c>
      <c r="BG527" s="502" t="n">
        <f aca="false">IF($D527="是",S527-T527,0)</f>
        <v>0</v>
      </c>
      <c r="BH527" s="502" t="n">
        <f aca="false">IF($D527="是",U527-V527,0)</f>
        <v>0</v>
      </c>
      <c r="BI527" s="502" t="n">
        <f aca="false">IF($D527="是",W527-X527,0)</f>
        <v>0</v>
      </c>
      <c r="BJ527" s="502" t="n">
        <f aca="false">IF($D527="是",Y527-Z527,0)</f>
        <v>0</v>
      </c>
      <c r="BK527" s="502" t="n">
        <f aca="false">IF($D527="是",AA527-AB527,0)</f>
        <v>0</v>
      </c>
      <c r="BL527" s="502" t="n">
        <f aca="false">SUM(BM527:BT527)</f>
        <v>0</v>
      </c>
      <c r="BM527" s="502" t="n">
        <f aca="false">IF($D527="是",AD527-AE527,0)</f>
        <v>0</v>
      </c>
      <c r="BN527" s="502" t="n">
        <f aca="false">IF($D527="是",AF527-AG527,0)</f>
        <v>0</v>
      </c>
      <c r="BO527" s="502" t="n">
        <f aca="false">IF($D527="是",AH527-AI527,0)</f>
        <v>0</v>
      </c>
      <c r="BP527" s="502" t="n">
        <f aca="false">IF($D527="是",AJ527-AK527,0)</f>
        <v>0</v>
      </c>
      <c r="BQ527" s="502" t="n">
        <f aca="false">IF($D527="是",AL527-AM527,0)</f>
        <v>0</v>
      </c>
      <c r="BR527" s="502" t="n">
        <f aca="false">IF($D527="是",AN527-AO527,0)</f>
        <v>0</v>
      </c>
      <c r="BS527" s="502" t="n">
        <f aca="false">IF($D527="是",AP527-AQ527,0)</f>
        <v>0</v>
      </c>
      <c r="BT527" s="512" t="n">
        <f aca="false">IF($D527="是",AR527-AS527,0)</f>
        <v>0</v>
      </c>
    </row>
    <row r="528" customFormat="false" ht="14.25" hidden="false" customHeight="false" outlineLevel="0" collapsed="false">
      <c r="A528" s="499"/>
      <c r="B528" s="500"/>
      <c r="C528" s="500"/>
      <c r="D528" s="501"/>
      <c r="E528" s="502" t="n">
        <f aca="false">IF($C$3="是",ROUND($A$3*G528/$B$3,2),ROUND($A$3*(G528-AT528)/$B$3,2))</f>
        <v>0</v>
      </c>
      <c r="F528" s="503"/>
      <c r="G528" s="504" t="n">
        <f aca="false">H528+AC528+AT528</f>
        <v>0</v>
      </c>
      <c r="H528" s="505" t="n">
        <f aca="false">SUMIF(I$12:AB$12,"总值",I528:AB528)</f>
        <v>0</v>
      </c>
      <c r="I528" s="506"/>
      <c r="J528" s="506"/>
      <c r="K528" s="506"/>
      <c r="L528" s="506"/>
      <c r="M528" s="506"/>
      <c r="N528" s="506"/>
      <c r="O528" s="506"/>
      <c r="P528" s="506"/>
      <c r="Q528" s="506"/>
      <c r="R528" s="506"/>
      <c r="S528" s="506"/>
      <c r="T528" s="506"/>
      <c r="U528" s="506"/>
      <c r="V528" s="506"/>
      <c r="W528" s="506"/>
      <c r="X528" s="506"/>
      <c r="Y528" s="506"/>
      <c r="Z528" s="506"/>
      <c r="AA528" s="506"/>
      <c r="AB528" s="506"/>
      <c r="AC528" s="502" t="n">
        <f aca="false">SUMIF(AD$12:AS$12,"总值",AD528:AS528)</f>
        <v>0</v>
      </c>
      <c r="AD528" s="507"/>
      <c r="AE528" s="507"/>
      <c r="AF528" s="507"/>
      <c r="AG528" s="507"/>
      <c r="AH528" s="507"/>
      <c r="AI528" s="507"/>
      <c r="AJ528" s="507"/>
      <c r="AK528" s="507"/>
      <c r="AL528" s="507"/>
      <c r="AM528" s="507"/>
      <c r="AN528" s="507"/>
      <c r="AO528" s="507"/>
      <c r="AP528" s="507"/>
      <c r="AQ528" s="507"/>
      <c r="AR528" s="507"/>
      <c r="AS528" s="507"/>
      <c r="AT528" s="508"/>
      <c r="AU528" s="509"/>
      <c r="AV528" s="510" t="n">
        <f aca="false">A528</f>
        <v>0</v>
      </c>
      <c r="AW528" s="510" t="n">
        <f aca="false">B528</f>
        <v>0</v>
      </c>
      <c r="AX528" s="510" t="n">
        <f aca="false">C528</f>
        <v>0</v>
      </c>
      <c r="AY528" s="511" t="n">
        <f aca="false">ROUND($AY$6*AZ528/$AZ$5,2)</f>
        <v>0</v>
      </c>
      <c r="AZ528" s="502" t="n">
        <f aca="false">BA528+BL528</f>
        <v>0</v>
      </c>
      <c r="BA528" s="502" t="n">
        <f aca="false">SUM(BB528:BK528)</f>
        <v>0</v>
      </c>
      <c r="BB528" s="502" t="n">
        <f aca="false">IF($D528="是",I528-J528,0)</f>
        <v>0</v>
      </c>
      <c r="BC528" s="502" t="n">
        <f aca="false">IF($D528="是",K528-L528,0)</f>
        <v>0</v>
      </c>
      <c r="BD528" s="502" t="n">
        <f aca="false">IF($D528="是",M528-N528,0)</f>
        <v>0</v>
      </c>
      <c r="BE528" s="502" t="n">
        <f aca="false">IF($D528="是",O528-P528,0)</f>
        <v>0</v>
      </c>
      <c r="BF528" s="502" t="n">
        <f aca="false">IF($D528="是",Q528-R528,0)</f>
        <v>0</v>
      </c>
      <c r="BG528" s="502" t="n">
        <f aca="false">IF($D528="是",S528-T528,0)</f>
        <v>0</v>
      </c>
      <c r="BH528" s="502" t="n">
        <f aca="false">IF($D528="是",U528-V528,0)</f>
        <v>0</v>
      </c>
      <c r="BI528" s="502" t="n">
        <f aca="false">IF($D528="是",W528-X528,0)</f>
        <v>0</v>
      </c>
      <c r="BJ528" s="502" t="n">
        <f aca="false">IF($D528="是",Y528-Z528,0)</f>
        <v>0</v>
      </c>
      <c r="BK528" s="502" t="n">
        <f aca="false">IF($D528="是",AA528-AB528,0)</f>
        <v>0</v>
      </c>
      <c r="BL528" s="502" t="n">
        <f aca="false">SUM(BM528:BT528)</f>
        <v>0</v>
      </c>
      <c r="BM528" s="502" t="n">
        <f aca="false">IF($D528="是",AD528-AE528,0)</f>
        <v>0</v>
      </c>
      <c r="BN528" s="502" t="n">
        <f aca="false">IF($D528="是",AF528-AG528,0)</f>
        <v>0</v>
      </c>
      <c r="BO528" s="502" t="n">
        <f aca="false">IF($D528="是",AH528-AI528,0)</f>
        <v>0</v>
      </c>
      <c r="BP528" s="502" t="n">
        <f aca="false">IF($D528="是",AJ528-AK528,0)</f>
        <v>0</v>
      </c>
      <c r="BQ528" s="502" t="n">
        <f aca="false">IF($D528="是",AL528-AM528,0)</f>
        <v>0</v>
      </c>
      <c r="BR528" s="502" t="n">
        <f aca="false">IF($D528="是",AN528-AO528,0)</f>
        <v>0</v>
      </c>
      <c r="BS528" s="502" t="n">
        <f aca="false">IF($D528="是",AP528-AQ528,0)</f>
        <v>0</v>
      </c>
      <c r="BT528" s="512" t="n">
        <f aca="false">IF($D528="是",AR528-AS528,0)</f>
        <v>0</v>
      </c>
    </row>
    <row r="529" customFormat="false" ht="14.25" hidden="false" customHeight="false" outlineLevel="0" collapsed="false">
      <c r="A529" s="499"/>
      <c r="B529" s="500"/>
      <c r="C529" s="500"/>
      <c r="D529" s="501"/>
      <c r="E529" s="502" t="n">
        <f aca="false">IF($C$3="是",ROUND($A$3*G529/$B$3,2),ROUND($A$3*(G529-AT529)/$B$3,2))</f>
        <v>0</v>
      </c>
      <c r="F529" s="503"/>
      <c r="G529" s="504" t="n">
        <f aca="false">H529+AC529+AT529</f>
        <v>0</v>
      </c>
      <c r="H529" s="505" t="n">
        <f aca="false">SUMIF(I$12:AB$12,"总值",I529:AB529)</f>
        <v>0</v>
      </c>
      <c r="I529" s="506"/>
      <c r="J529" s="506"/>
      <c r="K529" s="506"/>
      <c r="L529" s="506"/>
      <c r="M529" s="506"/>
      <c r="N529" s="506"/>
      <c r="O529" s="506"/>
      <c r="P529" s="506"/>
      <c r="Q529" s="506"/>
      <c r="R529" s="506"/>
      <c r="S529" s="506"/>
      <c r="T529" s="506"/>
      <c r="U529" s="506"/>
      <c r="V529" s="506"/>
      <c r="W529" s="506"/>
      <c r="X529" s="506"/>
      <c r="Y529" s="506"/>
      <c r="Z529" s="506"/>
      <c r="AA529" s="506"/>
      <c r="AB529" s="506"/>
      <c r="AC529" s="502" t="n">
        <f aca="false">SUMIF(AD$12:AS$12,"总值",AD529:AS529)</f>
        <v>0</v>
      </c>
      <c r="AD529" s="507"/>
      <c r="AE529" s="507"/>
      <c r="AF529" s="507"/>
      <c r="AG529" s="507"/>
      <c r="AH529" s="507"/>
      <c r="AI529" s="507"/>
      <c r="AJ529" s="507"/>
      <c r="AK529" s="507"/>
      <c r="AL529" s="507"/>
      <c r="AM529" s="507"/>
      <c r="AN529" s="507"/>
      <c r="AO529" s="507"/>
      <c r="AP529" s="507"/>
      <c r="AQ529" s="507"/>
      <c r="AR529" s="507"/>
      <c r="AS529" s="507"/>
      <c r="AT529" s="508"/>
      <c r="AU529" s="509"/>
      <c r="AV529" s="510" t="n">
        <f aca="false">A529</f>
        <v>0</v>
      </c>
      <c r="AW529" s="510" t="n">
        <f aca="false">B529</f>
        <v>0</v>
      </c>
      <c r="AX529" s="510" t="n">
        <f aca="false">C529</f>
        <v>0</v>
      </c>
      <c r="AY529" s="511" t="n">
        <f aca="false">ROUND($AY$6*AZ529/$AZ$5,2)</f>
        <v>0</v>
      </c>
      <c r="AZ529" s="502" t="n">
        <f aca="false">BA529+BL529</f>
        <v>0</v>
      </c>
      <c r="BA529" s="502" t="n">
        <f aca="false">SUM(BB529:BK529)</f>
        <v>0</v>
      </c>
      <c r="BB529" s="502" t="n">
        <f aca="false">IF($D529="是",I529-J529,0)</f>
        <v>0</v>
      </c>
      <c r="BC529" s="502" t="n">
        <f aca="false">IF($D529="是",K529-L529,0)</f>
        <v>0</v>
      </c>
      <c r="BD529" s="502" t="n">
        <f aca="false">IF($D529="是",M529-N529,0)</f>
        <v>0</v>
      </c>
      <c r="BE529" s="502" t="n">
        <f aca="false">IF($D529="是",O529-P529,0)</f>
        <v>0</v>
      </c>
      <c r="BF529" s="502" t="n">
        <f aca="false">IF($D529="是",Q529-R529,0)</f>
        <v>0</v>
      </c>
      <c r="BG529" s="502" t="n">
        <f aca="false">IF($D529="是",S529-T529,0)</f>
        <v>0</v>
      </c>
      <c r="BH529" s="502" t="n">
        <f aca="false">IF($D529="是",U529-V529,0)</f>
        <v>0</v>
      </c>
      <c r="BI529" s="502" t="n">
        <f aca="false">IF($D529="是",W529-X529,0)</f>
        <v>0</v>
      </c>
      <c r="BJ529" s="502" t="n">
        <f aca="false">IF($D529="是",Y529-Z529,0)</f>
        <v>0</v>
      </c>
      <c r="BK529" s="502" t="n">
        <f aca="false">IF($D529="是",AA529-AB529,0)</f>
        <v>0</v>
      </c>
      <c r="BL529" s="502" t="n">
        <f aca="false">SUM(BM529:BT529)</f>
        <v>0</v>
      </c>
      <c r="BM529" s="502" t="n">
        <f aca="false">IF($D529="是",AD529-AE529,0)</f>
        <v>0</v>
      </c>
      <c r="BN529" s="502" t="n">
        <f aca="false">IF($D529="是",AF529-AG529,0)</f>
        <v>0</v>
      </c>
      <c r="BO529" s="502" t="n">
        <f aca="false">IF($D529="是",AH529-AI529,0)</f>
        <v>0</v>
      </c>
      <c r="BP529" s="502" t="n">
        <f aca="false">IF($D529="是",AJ529-AK529,0)</f>
        <v>0</v>
      </c>
      <c r="BQ529" s="502" t="n">
        <f aca="false">IF($D529="是",AL529-AM529,0)</f>
        <v>0</v>
      </c>
      <c r="BR529" s="502" t="n">
        <f aca="false">IF($D529="是",AN529-AO529,0)</f>
        <v>0</v>
      </c>
      <c r="BS529" s="502" t="n">
        <f aca="false">IF($D529="是",AP529-AQ529,0)</f>
        <v>0</v>
      </c>
      <c r="BT529" s="512" t="n">
        <f aca="false">IF($D529="是",AR529-AS529,0)</f>
        <v>0</v>
      </c>
    </row>
    <row r="530" customFormat="false" ht="14.25" hidden="false" customHeight="false" outlineLevel="0" collapsed="false">
      <c r="A530" s="499"/>
      <c r="B530" s="500"/>
      <c r="C530" s="500"/>
      <c r="D530" s="501"/>
      <c r="E530" s="502" t="n">
        <f aca="false">IF($C$3="是",ROUND($A$3*G530/$B$3,2),ROUND($A$3*(G530-AT530)/$B$3,2))</f>
        <v>0</v>
      </c>
      <c r="F530" s="503"/>
      <c r="G530" s="504" t="n">
        <f aca="false">H530+AC530+AT530</f>
        <v>0</v>
      </c>
      <c r="H530" s="505" t="n">
        <f aca="false">SUMIF(I$12:AB$12,"总值",I530:AB530)</f>
        <v>0</v>
      </c>
      <c r="I530" s="506"/>
      <c r="J530" s="506"/>
      <c r="K530" s="506"/>
      <c r="L530" s="506"/>
      <c r="M530" s="506"/>
      <c r="N530" s="506"/>
      <c r="O530" s="506"/>
      <c r="P530" s="506"/>
      <c r="Q530" s="506"/>
      <c r="R530" s="506"/>
      <c r="S530" s="506"/>
      <c r="T530" s="506"/>
      <c r="U530" s="506"/>
      <c r="V530" s="506"/>
      <c r="W530" s="506"/>
      <c r="X530" s="506"/>
      <c r="Y530" s="506"/>
      <c r="Z530" s="506"/>
      <c r="AA530" s="506"/>
      <c r="AB530" s="506"/>
      <c r="AC530" s="502" t="n">
        <f aca="false">SUMIF(AD$12:AS$12,"总值",AD530:AS530)</f>
        <v>0</v>
      </c>
      <c r="AD530" s="507"/>
      <c r="AE530" s="507"/>
      <c r="AF530" s="507"/>
      <c r="AG530" s="507"/>
      <c r="AH530" s="507"/>
      <c r="AI530" s="507"/>
      <c r="AJ530" s="507"/>
      <c r="AK530" s="507"/>
      <c r="AL530" s="507"/>
      <c r="AM530" s="507"/>
      <c r="AN530" s="507"/>
      <c r="AO530" s="507"/>
      <c r="AP530" s="507"/>
      <c r="AQ530" s="507"/>
      <c r="AR530" s="507"/>
      <c r="AS530" s="507"/>
      <c r="AT530" s="508"/>
      <c r="AU530" s="509"/>
      <c r="AV530" s="510" t="n">
        <f aca="false">A530</f>
        <v>0</v>
      </c>
      <c r="AW530" s="510" t="n">
        <f aca="false">B530</f>
        <v>0</v>
      </c>
      <c r="AX530" s="510" t="n">
        <f aca="false">C530</f>
        <v>0</v>
      </c>
      <c r="AY530" s="511" t="n">
        <f aca="false">ROUND($AY$6*AZ530/$AZ$5,2)</f>
        <v>0</v>
      </c>
      <c r="AZ530" s="502" t="n">
        <f aca="false">BA530+BL530</f>
        <v>0</v>
      </c>
      <c r="BA530" s="502" t="n">
        <f aca="false">SUM(BB530:BK530)</f>
        <v>0</v>
      </c>
      <c r="BB530" s="502" t="n">
        <f aca="false">IF($D530="是",I530-J530,0)</f>
        <v>0</v>
      </c>
      <c r="BC530" s="502" t="n">
        <f aca="false">IF($D530="是",K530-L530,0)</f>
        <v>0</v>
      </c>
      <c r="BD530" s="502" t="n">
        <f aca="false">IF($D530="是",M530-N530,0)</f>
        <v>0</v>
      </c>
      <c r="BE530" s="502" t="n">
        <f aca="false">IF($D530="是",O530-P530,0)</f>
        <v>0</v>
      </c>
      <c r="BF530" s="502" t="n">
        <f aca="false">IF($D530="是",Q530-R530,0)</f>
        <v>0</v>
      </c>
      <c r="BG530" s="502" t="n">
        <f aca="false">IF($D530="是",S530-T530,0)</f>
        <v>0</v>
      </c>
      <c r="BH530" s="502" t="n">
        <f aca="false">IF($D530="是",U530-V530,0)</f>
        <v>0</v>
      </c>
      <c r="BI530" s="502" t="n">
        <f aca="false">IF($D530="是",W530-X530,0)</f>
        <v>0</v>
      </c>
      <c r="BJ530" s="502" t="n">
        <f aca="false">IF($D530="是",Y530-Z530,0)</f>
        <v>0</v>
      </c>
      <c r="BK530" s="502" t="n">
        <f aca="false">IF($D530="是",AA530-AB530,0)</f>
        <v>0</v>
      </c>
      <c r="BL530" s="502" t="n">
        <f aca="false">SUM(BM530:BT530)</f>
        <v>0</v>
      </c>
      <c r="BM530" s="502" t="n">
        <f aca="false">IF($D530="是",AD530-AE530,0)</f>
        <v>0</v>
      </c>
      <c r="BN530" s="502" t="n">
        <f aca="false">IF($D530="是",AF530-AG530,0)</f>
        <v>0</v>
      </c>
      <c r="BO530" s="502" t="n">
        <f aca="false">IF($D530="是",AH530-AI530,0)</f>
        <v>0</v>
      </c>
      <c r="BP530" s="502" t="n">
        <f aca="false">IF($D530="是",AJ530-AK530,0)</f>
        <v>0</v>
      </c>
      <c r="BQ530" s="502" t="n">
        <f aca="false">IF($D530="是",AL530-AM530,0)</f>
        <v>0</v>
      </c>
      <c r="BR530" s="502" t="n">
        <f aca="false">IF($D530="是",AN530-AO530,0)</f>
        <v>0</v>
      </c>
      <c r="BS530" s="502" t="n">
        <f aca="false">IF($D530="是",AP530-AQ530,0)</f>
        <v>0</v>
      </c>
      <c r="BT530" s="512" t="n">
        <f aca="false">IF($D530="是",AR530-AS530,0)</f>
        <v>0</v>
      </c>
    </row>
    <row r="531" customFormat="false" ht="14.25" hidden="false" customHeight="false" outlineLevel="0" collapsed="false">
      <c r="A531" s="499"/>
      <c r="B531" s="500"/>
      <c r="C531" s="500"/>
      <c r="D531" s="501"/>
      <c r="E531" s="502" t="n">
        <f aca="false">IF($C$3="是",ROUND($A$3*G531/$B$3,2),ROUND($A$3*(G531-AT531)/$B$3,2))</f>
        <v>0</v>
      </c>
      <c r="F531" s="503"/>
      <c r="G531" s="504" t="n">
        <f aca="false">H531+AC531+AT531</f>
        <v>0</v>
      </c>
      <c r="H531" s="505" t="n">
        <f aca="false">SUMIF(I$12:AB$12,"总值",I531:AB531)</f>
        <v>0</v>
      </c>
      <c r="I531" s="506"/>
      <c r="J531" s="506"/>
      <c r="K531" s="506"/>
      <c r="L531" s="506"/>
      <c r="M531" s="506"/>
      <c r="N531" s="506"/>
      <c r="O531" s="506"/>
      <c r="P531" s="506"/>
      <c r="Q531" s="506"/>
      <c r="R531" s="506"/>
      <c r="S531" s="506"/>
      <c r="T531" s="506"/>
      <c r="U531" s="506"/>
      <c r="V531" s="506"/>
      <c r="W531" s="506"/>
      <c r="X531" s="506"/>
      <c r="Y531" s="506"/>
      <c r="Z531" s="506"/>
      <c r="AA531" s="506"/>
      <c r="AB531" s="506"/>
      <c r="AC531" s="502" t="n">
        <f aca="false">SUMIF(AD$12:AS$12,"总值",AD531:AS531)</f>
        <v>0</v>
      </c>
      <c r="AD531" s="507"/>
      <c r="AE531" s="507"/>
      <c r="AF531" s="507"/>
      <c r="AG531" s="507"/>
      <c r="AH531" s="507"/>
      <c r="AI531" s="507"/>
      <c r="AJ531" s="507"/>
      <c r="AK531" s="507"/>
      <c r="AL531" s="507"/>
      <c r="AM531" s="507"/>
      <c r="AN531" s="507"/>
      <c r="AO531" s="507"/>
      <c r="AP531" s="507"/>
      <c r="AQ531" s="507"/>
      <c r="AR531" s="507"/>
      <c r="AS531" s="507"/>
      <c r="AT531" s="508"/>
      <c r="AU531" s="509"/>
      <c r="AV531" s="510" t="n">
        <f aca="false">A531</f>
        <v>0</v>
      </c>
      <c r="AW531" s="510" t="n">
        <f aca="false">B531</f>
        <v>0</v>
      </c>
      <c r="AX531" s="510" t="n">
        <f aca="false">C531</f>
        <v>0</v>
      </c>
      <c r="AY531" s="511" t="n">
        <f aca="false">ROUND($AY$6*AZ531/$AZ$5,2)</f>
        <v>0</v>
      </c>
      <c r="AZ531" s="502" t="n">
        <f aca="false">BA531+BL531</f>
        <v>0</v>
      </c>
      <c r="BA531" s="502" t="n">
        <f aca="false">SUM(BB531:BK531)</f>
        <v>0</v>
      </c>
      <c r="BB531" s="502" t="n">
        <f aca="false">IF($D531="是",I531-J531,0)</f>
        <v>0</v>
      </c>
      <c r="BC531" s="502" t="n">
        <f aca="false">IF($D531="是",K531-L531,0)</f>
        <v>0</v>
      </c>
      <c r="BD531" s="502" t="n">
        <f aca="false">IF($D531="是",M531-N531,0)</f>
        <v>0</v>
      </c>
      <c r="BE531" s="502" t="n">
        <f aca="false">IF($D531="是",O531-P531,0)</f>
        <v>0</v>
      </c>
      <c r="BF531" s="502" t="n">
        <f aca="false">IF($D531="是",Q531-R531,0)</f>
        <v>0</v>
      </c>
      <c r="BG531" s="502" t="n">
        <f aca="false">IF($D531="是",S531-T531,0)</f>
        <v>0</v>
      </c>
      <c r="BH531" s="502" t="n">
        <f aca="false">IF($D531="是",U531-V531,0)</f>
        <v>0</v>
      </c>
      <c r="BI531" s="502" t="n">
        <f aca="false">IF($D531="是",W531-X531,0)</f>
        <v>0</v>
      </c>
      <c r="BJ531" s="502" t="n">
        <f aca="false">IF($D531="是",Y531-Z531,0)</f>
        <v>0</v>
      </c>
      <c r="BK531" s="502" t="n">
        <f aca="false">IF($D531="是",AA531-AB531,0)</f>
        <v>0</v>
      </c>
      <c r="BL531" s="502" t="n">
        <f aca="false">SUM(BM531:BT531)</f>
        <v>0</v>
      </c>
      <c r="BM531" s="502" t="n">
        <f aca="false">IF($D531="是",AD531-AE531,0)</f>
        <v>0</v>
      </c>
      <c r="BN531" s="502" t="n">
        <f aca="false">IF($D531="是",AF531-AG531,0)</f>
        <v>0</v>
      </c>
      <c r="BO531" s="502" t="n">
        <f aca="false">IF($D531="是",AH531-AI531,0)</f>
        <v>0</v>
      </c>
      <c r="BP531" s="502" t="n">
        <f aca="false">IF($D531="是",AJ531-AK531,0)</f>
        <v>0</v>
      </c>
      <c r="BQ531" s="502" t="n">
        <f aca="false">IF($D531="是",AL531-AM531,0)</f>
        <v>0</v>
      </c>
      <c r="BR531" s="502" t="n">
        <f aca="false">IF($D531="是",AN531-AO531,0)</f>
        <v>0</v>
      </c>
      <c r="BS531" s="502" t="n">
        <f aca="false">IF($D531="是",AP531-AQ531,0)</f>
        <v>0</v>
      </c>
      <c r="BT531" s="512" t="n">
        <f aca="false">IF($D531="是",AR531-AS531,0)</f>
        <v>0</v>
      </c>
    </row>
    <row r="532" customFormat="false" ht="14.25" hidden="false" customHeight="false" outlineLevel="0" collapsed="false">
      <c r="A532" s="499"/>
      <c r="B532" s="500"/>
      <c r="C532" s="500"/>
      <c r="D532" s="501"/>
      <c r="E532" s="502" t="n">
        <f aca="false">IF($C$3="是",ROUND($A$3*G532/$B$3,2),ROUND($A$3*(G532-AT532)/$B$3,2))</f>
        <v>0</v>
      </c>
      <c r="F532" s="503"/>
      <c r="G532" s="504" t="n">
        <f aca="false">H532+AC532+AT532</f>
        <v>0</v>
      </c>
      <c r="H532" s="505" t="n">
        <f aca="false">SUMIF(I$12:AB$12,"总值",I532:AB532)</f>
        <v>0</v>
      </c>
      <c r="I532" s="506"/>
      <c r="J532" s="506"/>
      <c r="K532" s="506"/>
      <c r="L532" s="506"/>
      <c r="M532" s="506"/>
      <c r="N532" s="506"/>
      <c r="O532" s="506"/>
      <c r="P532" s="506"/>
      <c r="Q532" s="506"/>
      <c r="R532" s="506"/>
      <c r="S532" s="506"/>
      <c r="T532" s="506"/>
      <c r="U532" s="506"/>
      <c r="V532" s="506"/>
      <c r="W532" s="506"/>
      <c r="X532" s="506"/>
      <c r="Y532" s="506"/>
      <c r="Z532" s="506"/>
      <c r="AA532" s="506"/>
      <c r="AB532" s="506"/>
      <c r="AC532" s="502" t="n">
        <f aca="false">SUMIF(AD$12:AS$12,"总值",AD532:AS532)</f>
        <v>0</v>
      </c>
      <c r="AD532" s="507"/>
      <c r="AE532" s="507"/>
      <c r="AF532" s="507"/>
      <c r="AG532" s="507"/>
      <c r="AH532" s="507"/>
      <c r="AI532" s="507"/>
      <c r="AJ532" s="507"/>
      <c r="AK532" s="507"/>
      <c r="AL532" s="507"/>
      <c r="AM532" s="507"/>
      <c r="AN532" s="507"/>
      <c r="AO532" s="507"/>
      <c r="AP532" s="507"/>
      <c r="AQ532" s="507"/>
      <c r="AR532" s="507"/>
      <c r="AS532" s="507"/>
      <c r="AT532" s="508"/>
      <c r="AU532" s="509"/>
      <c r="AV532" s="510" t="n">
        <f aca="false">A532</f>
        <v>0</v>
      </c>
      <c r="AW532" s="510" t="n">
        <f aca="false">B532</f>
        <v>0</v>
      </c>
      <c r="AX532" s="510" t="n">
        <f aca="false">C532</f>
        <v>0</v>
      </c>
      <c r="AY532" s="511" t="n">
        <f aca="false">ROUND($AY$6*AZ532/$AZ$5,2)</f>
        <v>0</v>
      </c>
      <c r="AZ532" s="502" t="n">
        <f aca="false">BA532+BL532</f>
        <v>0</v>
      </c>
      <c r="BA532" s="502" t="n">
        <f aca="false">SUM(BB532:BK532)</f>
        <v>0</v>
      </c>
      <c r="BB532" s="502" t="n">
        <f aca="false">IF($D532="是",I532-J532,0)</f>
        <v>0</v>
      </c>
      <c r="BC532" s="502" t="n">
        <f aca="false">IF($D532="是",K532-L532,0)</f>
        <v>0</v>
      </c>
      <c r="BD532" s="502" t="n">
        <f aca="false">IF($D532="是",M532-N532,0)</f>
        <v>0</v>
      </c>
      <c r="BE532" s="502" t="n">
        <f aca="false">IF($D532="是",O532-P532,0)</f>
        <v>0</v>
      </c>
      <c r="BF532" s="502" t="n">
        <f aca="false">IF($D532="是",Q532-R532,0)</f>
        <v>0</v>
      </c>
      <c r="BG532" s="502" t="n">
        <f aca="false">IF($D532="是",S532-T532,0)</f>
        <v>0</v>
      </c>
      <c r="BH532" s="502" t="n">
        <f aca="false">IF($D532="是",U532-V532,0)</f>
        <v>0</v>
      </c>
      <c r="BI532" s="502" t="n">
        <f aca="false">IF($D532="是",W532-X532,0)</f>
        <v>0</v>
      </c>
      <c r="BJ532" s="502" t="n">
        <f aca="false">IF($D532="是",Y532-Z532,0)</f>
        <v>0</v>
      </c>
      <c r="BK532" s="502" t="n">
        <f aca="false">IF($D532="是",AA532-AB532,0)</f>
        <v>0</v>
      </c>
      <c r="BL532" s="502" t="n">
        <f aca="false">SUM(BM532:BT532)</f>
        <v>0</v>
      </c>
      <c r="BM532" s="502" t="n">
        <f aca="false">IF($D532="是",AD532-AE532,0)</f>
        <v>0</v>
      </c>
      <c r="BN532" s="502" t="n">
        <f aca="false">IF($D532="是",AF532-AG532,0)</f>
        <v>0</v>
      </c>
      <c r="BO532" s="502" t="n">
        <f aca="false">IF($D532="是",AH532-AI532,0)</f>
        <v>0</v>
      </c>
      <c r="BP532" s="502" t="n">
        <f aca="false">IF($D532="是",AJ532-AK532,0)</f>
        <v>0</v>
      </c>
      <c r="BQ532" s="502" t="n">
        <f aca="false">IF($D532="是",AL532-AM532,0)</f>
        <v>0</v>
      </c>
      <c r="BR532" s="502" t="n">
        <f aca="false">IF($D532="是",AN532-AO532,0)</f>
        <v>0</v>
      </c>
      <c r="BS532" s="502" t="n">
        <f aca="false">IF($D532="是",AP532-AQ532,0)</f>
        <v>0</v>
      </c>
      <c r="BT532" s="512" t="n">
        <f aca="false">IF($D532="是",AR532-AS532,0)</f>
        <v>0</v>
      </c>
    </row>
    <row r="533" customFormat="false" ht="14.25" hidden="false" customHeight="false" outlineLevel="0" collapsed="false">
      <c r="A533" s="499"/>
      <c r="B533" s="500"/>
      <c r="C533" s="500"/>
      <c r="D533" s="501"/>
      <c r="E533" s="502" t="n">
        <f aca="false">IF($C$3="是",ROUND($A$3*G533/$B$3,2),ROUND($A$3*(G533-AT533)/$B$3,2))</f>
        <v>0</v>
      </c>
      <c r="F533" s="503"/>
      <c r="G533" s="504" t="n">
        <f aca="false">H533+AC533+AT533</f>
        <v>0</v>
      </c>
      <c r="H533" s="505" t="n">
        <f aca="false">SUMIF(I$12:AB$12,"总值",I533:AB533)</f>
        <v>0</v>
      </c>
      <c r="I533" s="506"/>
      <c r="J533" s="506"/>
      <c r="K533" s="506"/>
      <c r="L533" s="506"/>
      <c r="M533" s="506"/>
      <c r="N533" s="506"/>
      <c r="O533" s="506"/>
      <c r="P533" s="506"/>
      <c r="Q533" s="506"/>
      <c r="R533" s="506"/>
      <c r="S533" s="506"/>
      <c r="T533" s="506"/>
      <c r="U533" s="506"/>
      <c r="V533" s="506"/>
      <c r="W533" s="506"/>
      <c r="X533" s="506"/>
      <c r="Y533" s="506"/>
      <c r="Z533" s="506"/>
      <c r="AA533" s="506"/>
      <c r="AB533" s="506"/>
      <c r="AC533" s="502" t="n">
        <f aca="false">SUMIF(AD$12:AS$12,"总值",AD533:AS533)</f>
        <v>0</v>
      </c>
      <c r="AD533" s="507"/>
      <c r="AE533" s="507"/>
      <c r="AF533" s="507"/>
      <c r="AG533" s="507"/>
      <c r="AH533" s="507"/>
      <c r="AI533" s="507"/>
      <c r="AJ533" s="507"/>
      <c r="AK533" s="507"/>
      <c r="AL533" s="507"/>
      <c r="AM533" s="507"/>
      <c r="AN533" s="507"/>
      <c r="AO533" s="507"/>
      <c r="AP533" s="507"/>
      <c r="AQ533" s="507"/>
      <c r="AR533" s="507"/>
      <c r="AS533" s="507"/>
      <c r="AT533" s="508"/>
      <c r="AU533" s="509"/>
      <c r="AV533" s="510" t="n">
        <f aca="false">A533</f>
        <v>0</v>
      </c>
      <c r="AW533" s="510" t="n">
        <f aca="false">B533</f>
        <v>0</v>
      </c>
      <c r="AX533" s="510" t="n">
        <f aca="false">C533</f>
        <v>0</v>
      </c>
      <c r="AY533" s="511" t="n">
        <f aca="false">ROUND($AY$6*AZ533/$AZ$5,2)</f>
        <v>0</v>
      </c>
      <c r="AZ533" s="502" t="n">
        <f aca="false">BA533+BL533</f>
        <v>0</v>
      </c>
      <c r="BA533" s="502" t="n">
        <f aca="false">SUM(BB533:BK533)</f>
        <v>0</v>
      </c>
      <c r="BB533" s="502" t="n">
        <f aca="false">IF($D533="是",I533-J533,0)</f>
        <v>0</v>
      </c>
      <c r="BC533" s="502" t="n">
        <f aca="false">IF($D533="是",K533-L533,0)</f>
        <v>0</v>
      </c>
      <c r="BD533" s="502" t="n">
        <f aca="false">IF($D533="是",M533-N533,0)</f>
        <v>0</v>
      </c>
      <c r="BE533" s="502" t="n">
        <f aca="false">IF($D533="是",O533-P533,0)</f>
        <v>0</v>
      </c>
      <c r="BF533" s="502" t="n">
        <f aca="false">IF($D533="是",Q533-R533,0)</f>
        <v>0</v>
      </c>
      <c r="BG533" s="502" t="n">
        <f aca="false">IF($D533="是",S533-T533,0)</f>
        <v>0</v>
      </c>
      <c r="BH533" s="502" t="n">
        <f aca="false">IF($D533="是",U533-V533,0)</f>
        <v>0</v>
      </c>
      <c r="BI533" s="502" t="n">
        <f aca="false">IF($D533="是",W533-X533,0)</f>
        <v>0</v>
      </c>
      <c r="BJ533" s="502" t="n">
        <f aca="false">IF($D533="是",Y533-Z533,0)</f>
        <v>0</v>
      </c>
      <c r="BK533" s="502" t="n">
        <f aca="false">IF($D533="是",AA533-AB533,0)</f>
        <v>0</v>
      </c>
      <c r="BL533" s="502" t="n">
        <f aca="false">SUM(BM533:BT533)</f>
        <v>0</v>
      </c>
      <c r="BM533" s="502" t="n">
        <f aca="false">IF($D533="是",AD533-AE533,0)</f>
        <v>0</v>
      </c>
      <c r="BN533" s="502" t="n">
        <f aca="false">IF($D533="是",AF533-AG533,0)</f>
        <v>0</v>
      </c>
      <c r="BO533" s="502" t="n">
        <f aca="false">IF($D533="是",AH533-AI533,0)</f>
        <v>0</v>
      </c>
      <c r="BP533" s="502" t="n">
        <f aca="false">IF($D533="是",AJ533-AK533,0)</f>
        <v>0</v>
      </c>
      <c r="BQ533" s="502" t="n">
        <f aca="false">IF($D533="是",AL533-AM533,0)</f>
        <v>0</v>
      </c>
      <c r="BR533" s="502" t="n">
        <f aca="false">IF($D533="是",AN533-AO533,0)</f>
        <v>0</v>
      </c>
      <c r="BS533" s="502" t="n">
        <f aca="false">IF($D533="是",AP533-AQ533,0)</f>
        <v>0</v>
      </c>
      <c r="BT533" s="512" t="n">
        <f aca="false">IF($D533="是",AR533-AS533,0)</f>
        <v>0</v>
      </c>
    </row>
    <row r="534" customFormat="false" ht="14.25" hidden="false" customHeight="false" outlineLevel="0" collapsed="false">
      <c r="A534" s="499"/>
      <c r="B534" s="500"/>
      <c r="C534" s="500"/>
      <c r="D534" s="501"/>
      <c r="E534" s="502" t="n">
        <f aca="false">IF($C$3="是",ROUND($A$3*G534/$B$3,2),ROUND($A$3*(G534-AT534)/$B$3,2))</f>
        <v>0</v>
      </c>
      <c r="F534" s="503"/>
      <c r="G534" s="504" t="n">
        <f aca="false">H534+AC534+AT534</f>
        <v>0</v>
      </c>
      <c r="H534" s="505" t="n">
        <f aca="false">SUMIF(I$12:AB$12,"总值",I534:AB534)</f>
        <v>0</v>
      </c>
      <c r="I534" s="506"/>
      <c r="J534" s="506"/>
      <c r="K534" s="506"/>
      <c r="L534" s="506"/>
      <c r="M534" s="506"/>
      <c r="N534" s="506"/>
      <c r="O534" s="506"/>
      <c r="P534" s="506"/>
      <c r="Q534" s="506"/>
      <c r="R534" s="506"/>
      <c r="S534" s="506"/>
      <c r="T534" s="506"/>
      <c r="U534" s="506"/>
      <c r="V534" s="506"/>
      <c r="W534" s="506"/>
      <c r="X534" s="506"/>
      <c r="Y534" s="506"/>
      <c r="Z534" s="506"/>
      <c r="AA534" s="506"/>
      <c r="AB534" s="506"/>
      <c r="AC534" s="502" t="n">
        <f aca="false">SUMIF(AD$12:AS$12,"总值",AD534:AS534)</f>
        <v>0</v>
      </c>
      <c r="AD534" s="507"/>
      <c r="AE534" s="507"/>
      <c r="AF534" s="507"/>
      <c r="AG534" s="507"/>
      <c r="AH534" s="507"/>
      <c r="AI534" s="507"/>
      <c r="AJ534" s="507"/>
      <c r="AK534" s="507"/>
      <c r="AL534" s="507"/>
      <c r="AM534" s="507"/>
      <c r="AN534" s="507"/>
      <c r="AO534" s="507"/>
      <c r="AP534" s="507"/>
      <c r="AQ534" s="507"/>
      <c r="AR534" s="507"/>
      <c r="AS534" s="507"/>
      <c r="AT534" s="508"/>
      <c r="AU534" s="509"/>
      <c r="AV534" s="510" t="n">
        <f aca="false">A534</f>
        <v>0</v>
      </c>
      <c r="AW534" s="510" t="n">
        <f aca="false">B534</f>
        <v>0</v>
      </c>
      <c r="AX534" s="510" t="n">
        <f aca="false">C534</f>
        <v>0</v>
      </c>
      <c r="AY534" s="511" t="n">
        <f aca="false">ROUND($AY$6*AZ534/$AZ$5,2)</f>
        <v>0</v>
      </c>
      <c r="AZ534" s="502" t="n">
        <f aca="false">BA534+BL534</f>
        <v>0</v>
      </c>
      <c r="BA534" s="502" t="n">
        <f aca="false">SUM(BB534:BK534)</f>
        <v>0</v>
      </c>
      <c r="BB534" s="502" t="n">
        <f aca="false">IF($D534="是",I534-J534,0)</f>
        <v>0</v>
      </c>
      <c r="BC534" s="502" t="n">
        <f aca="false">IF($D534="是",K534-L534,0)</f>
        <v>0</v>
      </c>
      <c r="BD534" s="502" t="n">
        <f aca="false">IF($D534="是",M534-N534,0)</f>
        <v>0</v>
      </c>
      <c r="BE534" s="502" t="n">
        <f aca="false">IF($D534="是",O534-P534,0)</f>
        <v>0</v>
      </c>
      <c r="BF534" s="502" t="n">
        <f aca="false">IF($D534="是",Q534-R534,0)</f>
        <v>0</v>
      </c>
      <c r="BG534" s="502" t="n">
        <f aca="false">IF($D534="是",S534-T534,0)</f>
        <v>0</v>
      </c>
      <c r="BH534" s="502" t="n">
        <f aca="false">IF($D534="是",U534-V534,0)</f>
        <v>0</v>
      </c>
      <c r="BI534" s="502" t="n">
        <f aca="false">IF($D534="是",W534-X534,0)</f>
        <v>0</v>
      </c>
      <c r="BJ534" s="502" t="n">
        <f aca="false">IF($D534="是",Y534-Z534,0)</f>
        <v>0</v>
      </c>
      <c r="BK534" s="502" t="n">
        <f aca="false">IF($D534="是",AA534-AB534,0)</f>
        <v>0</v>
      </c>
      <c r="BL534" s="502" t="n">
        <f aca="false">SUM(BM534:BT534)</f>
        <v>0</v>
      </c>
      <c r="BM534" s="502" t="n">
        <f aca="false">IF($D534="是",AD534-AE534,0)</f>
        <v>0</v>
      </c>
      <c r="BN534" s="502" t="n">
        <f aca="false">IF($D534="是",AF534-AG534,0)</f>
        <v>0</v>
      </c>
      <c r="BO534" s="502" t="n">
        <f aca="false">IF($D534="是",AH534-AI534,0)</f>
        <v>0</v>
      </c>
      <c r="BP534" s="502" t="n">
        <f aca="false">IF($D534="是",AJ534-AK534,0)</f>
        <v>0</v>
      </c>
      <c r="BQ534" s="502" t="n">
        <f aca="false">IF($D534="是",AL534-AM534,0)</f>
        <v>0</v>
      </c>
      <c r="BR534" s="502" t="n">
        <f aca="false">IF($D534="是",AN534-AO534,0)</f>
        <v>0</v>
      </c>
      <c r="BS534" s="502" t="n">
        <f aca="false">IF($D534="是",AP534-AQ534,0)</f>
        <v>0</v>
      </c>
      <c r="BT534" s="512" t="n">
        <f aca="false">IF($D534="是",AR534-AS534,0)</f>
        <v>0</v>
      </c>
    </row>
    <row r="535" customFormat="false" ht="14.25" hidden="false" customHeight="false" outlineLevel="0" collapsed="false">
      <c r="A535" s="499"/>
      <c r="B535" s="500"/>
      <c r="C535" s="500"/>
      <c r="D535" s="501"/>
      <c r="E535" s="502" t="n">
        <f aca="false">IF($C$3="是",ROUND($A$3*G535/$B$3,2),ROUND($A$3*(G535-AT535)/$B$3,2))</f>
        <v>0</v>
      </c>
      <c r="F535" s="503"/>
      <c r="G535" s="504" t="n">
        <f aca="false">H535+AC535+AT535</f>
        <v>0</v>
      </c>
      <c r="H535" s="505" t="n">
        <f aca="false">SUMIF(I$12:AB$12,"总值",I535:AB535)</f>
        <v>0</v>
      </c>
      <c r="I535" s="506"/>
      <c r="J535" s="506"/>
      <c r="K535" s="506"/>
      <c r="L535" s="506"/>
      <c r="M535" s="506"/>
      <c r="N535" s="506"/>
      <c r="O535" s="506"/>
      <c r="P535" s="506"/>
      <c r="Q535" s="506"/>
      <c r="R535" s="506"/>
      <c r="S535" s="506"/>
      <c r="T535" s="506"/>
      <c r="U535" s="506"/>
      <c r="V535" s="506"/>
      <c r="W535" s="506"/>
      <c r="X535" s="506"/>
      <c r="Y535" s="506"/>
      <c r="Z535" s="506"/>
      <c r="AA535" s="506"/>
      <c r="AB535" s="506"/>
      <c r="AC535" s="502" t="n">
        <f aca="false">SUMIF(AD$12:AS$12,"总值",AD535:AS535)</f>
        <v>0</v>
      </c>
      <c r="AD535" s="507"/>
      <c r="AE535" s="507"/>
      <c r="AF535" s="507"/>
      <c r="AG535" s="507"/>
      <c r="AH535" s="507"/>
      <c r="AI535" s="507"/>
      <c r="AJ535" s="507"/>
      <c r="AK535" s="507"/>
      <c r="AL535" s="507"/>
      <c r="AM535" s="507"/>
      <c r="AN535" s="507"/>
      <c r="AO535" s="507"/>
      <c r="AP535" s="507"/>
      <c r="AQ535" s="507"/>
      <c r="AR535" s="507"/>
      <c r="AS535" s="507"/>
      <c r="AT535" s="508"/>
      <c r="AU535" s="509"/>
      <c r="AV535" s="510" t="n">
        <f aca="false">A535</f>
        <v>0</v>
      </c>
      <c r="AW535" s="510" t="n">
        <f aca="false">B535</f>
        <v>0</v>
      </c>
      <c r="AX535" s="510" t="n">
        <f aca="false">C535</f>
        <v>0</v>
      </c>
      <c r="AY535" s="511" t="n">
        <f aca="false">ROUND($AY$6*AZ535/$AZ$5,2)</f>
        <v>0</v>
      </c>
      <c r="AZ535" s="502" t="n">
        <f aca="false">BA535+BL535</f>
        <v>0</v>
      </c>
      <c r="BA535" s="502" t="n">
        <f aca="false">SUM(BB535:BK535)</f>
        <v>0</v>
      </c>
      <c r="BB535" s="502" t="n">
        <f aca="false">IF($D535="是",I535-J535,0)</f>
        <v>0</v>
      </c>
      <c r="BC535" s="502" t="n">
        <f aca="false">IF($D535="是",K535-L535,0)</f>
        <v>0</v>
      </c>
      <c r="BD535" s="502" t="n">
        <f aca="false">IF($D535="是",M535-N535,0)</f>
        <v>0</v>
      </c>
      <c r="BE535" s="502" t="n">
        <f aca="false">IF($D535="是",O535-P535,0)</f>
        <v>0</v>
      </c>
      <c r="BF535" s="502" t="n">
        <f aca="false">IF($D535="是",Q535-R535,0)</f>
        <v>0</v>
      </c>
      <c r="BG535" s="502" t="n">
        <f aca="false">IF($D535="是",S535-T535,0)</f>
        <v>0</v>
      </c>
      <c r="BH535" s="502" t="n">
        <f aca="false">IF($D535="是",U535-V535,0)</f>
        <v>0</v>
      </c>
      <c r="BI535" s="502" t="n">
        <f aca="false">IF($D535="是",W535-X535,0)</f>
        <v>0</v>
      </c>
      <c r="BJ535" s="502" t="n">
        <f aca="false">IF($D535="是",Y535-Z535,0)</f>
        <v>0</v>
      </c>
      <c r="BK535" s="502" t="n">
        <f aca="false">IF($D535="是",AA535-AB535,0)</f>
        <v>0</v>
      </c>
      <c r="BL535" s="502" t="n">
        <f aca="false">SUM(BM535:BT535)</f>
        <v>0</v>
      </c>
      <c r="BM535" s="502" t="n">
        <f aca="false">IF($D535="是",AD535-AE535,0)</f>
        <v>0</v>
      </c>
      <c r="BN535" s="502" t="n">
        <f aca="false">IF($D535="是",AF535-AG535,0)</f>
        <v>0</v>
      </c>
      <c r="BO535" s="502" t="n">
        <f aca="false">IF($D535="是",AH535-AI535,0)</f>
        <v>0</v>
      </c>
      <c r="BP535" s="502" t="n">
        <f aca="false">IF($D535="是",AJ535-AK535,0)</f>
        <v>0</v>
      </c>
      <c r="BQ535" s="502" t="n">
        <f aca="false">IF($D535="是",AL535-AM535,0)</f>
        <v>0</v>
      </c>
      <c r="BR535" s="502" t="n">
        <f aca="false">IF($D535="是",AN535-AO535,0)</f>
        <v>0</v>
      </c>
      <c r="BS535" s="502" t="n">
        <f aca="false">IF($D535="是",AP535-AQ535,0)</f>
        <v>0</v>
      </c>
      <c r="BT535" s="512" t="n">
        <f aca="false">IF($D535="是",AR535-AS535,0)</f>
        <v>0</v>
      </c>
    </row>
    <row r="536" customFormat="false" ht="14.25" hidden="false" customHeight="false" outlineLevel="0" collapsed="false">
      <c r="A536" s="499"/>
      <c r="B536" s="500"/>
      <c r="C536" s="500"/>
      <c r="D536" s="501"/>
      <c r="E536" s="502" t="n">
        <f aca="false">IF($C$3="是",ROUND($A$3*G536/$B$3,2),ROUND($A$3*(G536-AT536)/$B$3,2))</f>
        <v>0</v>
      </c>
      <c r="F536" s="503"/>
      <c r="G536" s="504" t="n">
        <f aca="false">H536+AC536+AT536</f>
        <v>0</v>
      </c>
      <c r="H536" s="505" t="n">
        <f aca="false">SUMIF(I$12:AB$12,"总值",I536:AB536)</f>
        <v>0</v>
      </c>
      <c r="I536" s="506"/>
      <c r="J536" s="506"/>
      <c r="K536" s="506"/>
      <c r="L536" s="506"/>
      <c r="M536" s="506"/>
      <c r="N536" s="506"/>
      <c r="O536" s="506"/>
      <c r="P536" s="506"/>
      <c r="Q536" s="506"/>
      <c r="R536" s="506"/>
      <c r="S536" s="506"/>
      <c r="T536" s="506"/>
      <c r="U536" s="506"/>
      <c r="V536" s="506"/>
      <c r="W536" s="506"/>
      <c r="X536" s="506"/>
      <c r="Y536" s="506"/>
      <c r="Z536" s="506"/>
      <c r="AA536" s="506"/>
      <c r="AB536" s="506"/>
      <c r="AC536" s="502" t="n">
        <f aca="false">SUMIF(AD$12:AS$12,"总值",AD536:AS536)</f>
        <v>0</v>
      </c>
      <c r="AD536" s="507"/>
      <c r="AE536" s="507"/>
      <c r="AF536" s="507"/>
      <c r="AG536" s="507"/>
      <c r="AH536" s="507"/>
      <c r="AI536" s="507"/>
      <c r="AJ536" s="507"/>
      <c r="AK536" s="507"/>
      <c r="AL536" s="507"/>
      <c r="AM536" s="507"/>
      <c r="AN536" s="507"/>
      <c r="AO536" s="507"/>
      <c r="AP536" s="507"/>
      <c r="AQ536" s="507"/>
      <c r="AR536" s="507"/>
      <c r="AS536" s="507"/>
      <c r="AT536" s="508"/>
      <c r="AU536" s="509"/>
      <c r="AV536" s="510" t="n">
        <f aca="false">A536</f>
        <v>0</v>
      </c>
      <c r="AW536" s="510" t="n">
        <f aca="false">B536</f>
        <v>0</v>
      </c>
      <c r="AX536" s="510" t="n">
        <f aca="false">C536</f>
        <v>0</v>
      </c>
      <c r="AY536" s="511" t="n">
        <f aca="false">ROUND($AY$6*AZ536/$AZ$5,2)</f>
        <v>0</v>
      </c>
      <c r="AZ536" s="502" t="n">
        <f aca="false">BA536+BL536</f>
        <v>0</v>
      </c>
      <c r="BA536" s="502" t="n">
        <f aca="false">SUM(BB536:BK536)</f>
        <v>0</v>
      </c>
      <c r="BB536" s="502" t="n">
        <f aca="false">IF($D536="是",I536-J536,0)</f>
        <v>0</v>
      </c>
      <c r="BC536" s="502" t="n">
        <f aca="false">IF($D536="是",K536-L536,0)</f>
        <v>0</v>
      </c>
      <c r="BD536" s="502" t="n">
        <f aca="false">IF($D536="是",M536-N536,0)</f>
        <v>0</v>
      </c>
      <c r="BE536" s="502" t="n">
        <f aca="false">IF($D536="是",O536-P536,0)</f>
        <v>0</v>
      </c>
      <c r="BF536" s="502" t="n">
        <f aca="false">IF($D536="是",Q536-R536,0)</f>
        <v>0</v>
      </c>
      <c r="BG536" s="502" t="n">
        <f aca="false">IF($D536="是",S536-T536,0)</f>
        <v>0</v>
      </c>
      <c r="BH536" s="502" t="n">
        <f aca="false">IF($D536="是",U536-V536,0)</f>
        <v>0</v>
      </c>
      <c r="BI536" s="502" t="n">
        <f aca="false">IF($D536="是",W536-X536,0)</f>
        <v>0</v>
      </c>
      <c r="BJ536" s="502" t="n">
        <f aca="false">IF($D536="是",Y536-Z536,0)</f>
        <v>0</v>
      </c>
      <c r="BK536" s="502" t="n">
        <f aca="false">IF($D536="是",AA536-AB536,0)</f>
        <v>0</v>
      </c>
      <c r="BL536" s="502" t="n">
        <f aca="false">SUM(BM536:BT536)</f>
        <v>0</v>
      </c>
      <c r="BM536" s="502" t="n">
        <f aca="false">IF($D536="是",AD536-AE536,0)</f>
        <v>0</v>
      </c>
      <c r="BN536" s="502" t="n">
        <f aca="false">IF($D536="是",AF536-AG536,0)</f>
        <v>0</v>
      </c>
      <c r="BO536" s="502" t="n">
        <f aca="false">IF($D536="是",AH536-AI536,0)</f>
        <v>0</v>
      </c>
      <c r="BP536" s="502" t="n">
        <f aca="false">IF($D536="是",AJ536-AK536,0)</f>
        <v>0</v>
      </c>
      <c r="BQ536" s="502" t="n">
        <f aca="false">IF($D536="是",AL536-AM536,0)</f>
        <v>0</v>
      </c>
      <c r="BR536" s="502" t="n">
        <f aca="false">IF($D536="是",AN536-AO536,0)</f>
        <v>0</v>
      </c>
      <c r="BS536" s="502" t="n">
        <f aca="false">IF($D536="是",AP536-AQ536,0)</f>
        <v>0</v>
      </c>
      <c r="BT536" s="512" t="n">
        <f aca="false">IF($D536="是",AR536-AS536,0)</f>
        <v>0</v>
      </c>
    </row>
    <row r="537" customFormat="false" ht="14.25" hidden="false" customHeight="false" outlineLevel="0" collapsed="false">
      <c r="A537" s="499"/>
      <c r="B537" s="500"/>
      <c r="C537" s="500"/>
      <c r="D537" s="501"/>
      <c r="E537" s="502" t="n">
        <f aca="false">IF($C$3="是",ROUND($A$3*G537/$B$3,2),ROUND($A$3*(G537-AT537)/$B$3,2))</f>
        <v>0</v>
      </c>
      <c r="F537" s="503"/>
      <c r="G537" s="504" t="n">
        <f aca="false">H537+AC537+AT537</f>
        <v>0</v>
      </c>
      <c r="H537" s="505" t="n">
        <f aca="false">SUMIF(I$12:AB$12,"总值",I537:AB537)</f>
        <v>0</v>
      </c>
      <c r="I537" s="506"/>
      <c r="J537" s="506"/>
      <c r="K537" s="506"/>
      <c r="L537" s="506"/>
      <c r="M537" s="506"/>
      <c r="N537" s="506"/>
      <c r="O537" s="506"/>
      <c r="P537" s="506"/>
      <c r="Q537" s="506"/>
      <c r="R537" s="506"/>
      <c r="S537" s="506"/>
      <c r="T537" s="506"/>
      <c r="U537" s="506"/>
      <c r="V537" s="506"/>
      <c r="W537" s="506"/>
      <c r="X537" s="506"/>
      <c r="Y537" s="506"/>
      <c r="Z537" s="506"/>
      <c r="AA537" s="506"/>
      <c r="AB537" s="506"/>
      <c r="AC537" s="502" t="n">
        <f aca="false">SUMIF(AD$12:AS$12,"总值",AD537:AS537)</f>
        <v>0</v>
      </c>
      <c r="AD537" s="507"/>
      <c r="AE537" s="507"/>
      <c r="AF537" s="507"/>
      <c r="AG537" s="507"/>
      <c r="AH537" s="507"/>
      <c r="AI537" s="507"/>
      <c r="AJ537" s="507"/>
      <c r="AK537" s="507"/>
      <c r="AL537" s="507"/>
      <c r="AM537" s="507"/>
      <c r="AN537" s="507"/>
      <c r="AO537" s="507"/>
      <c r="AP537" s="507"/>
      <c r="AQ537" s="507"/>
      <c r="AR537" s="507"/>
      <c r="AS537" s="507"/>
      <c r="AT537" s="508"/>
      <c r="AU537" s="509"/>
      <c r="AV537" s="510" t="n">
        <f aca="false">A537</f>
        <v>0</v>
      </c>
      <c r="AW537" s="510" t="n">
        <f aca="false">B537</f>
        <v>0</v>
      </c>
      <c r="AX537" s="510" t="n">
        <f aca="false">C537</f>
        <v>0</v>
      </c>
      <c r="AY537" s="511" t="n">
        <f aca="false">ROUND($AY$6*AZ537/$AZ$5,2)</f>
        <v>0</v>
      </c>
      <c r="AZ537" s="502" t="n">
        <f aca="false">BA537+BL537</f>
        <v>0</v>
      </c>
      <c r="BA537" s="502" t="n">
        <f aca="false">SUM(BB537:BK537)</f>
        <v>0</v>
      </c>
      <c r="BB537" s="502" t="n">
        <f aca="false">IF($D537="是",I537-J537,0)</f>
        <v>0</v>
      </c>
      <c r="BC537" s="502" t="n">
        <f aca="false">IF($D537="是",K537-L537,0)</f>
        <v>0</v>
      </c>
      <c r="BD537" s="502" t="n">
        <f aca="false">IF($D537="是",M537-N537,0)</f>
        <v>0</v>
      </c>
      <c r="BE537" s="502" t="n">
        <f aca="false">IF($D537="是",O537-P537,0)</f>
        <v>0</v>
      </c>
      <c r="BF537" s="502" t="n">
        <f aca="false">IF($D537="是",Q537-R537,0)</f>
        <v>0</v>
      </c>
      <c r="BG537" s="502" t="n">
        <f aca="false">IF($D537="是",S537-T537,0)</f>
        <v>0</v>
      </c>
      <c r="BH537" s="502" t="n">
        <f aca="false">IF($D537="是",U537-V537,0)</f>
        <v>0</v>
      </c>
      <c r="BI537" s="502" t="n">
        <f aca="false">IF($D537="是",W537-X537,0)</f>
        <v>0</v>
      </c>
      <c r="BJ537" s="502" t="n">
        <f aca="false">IF($D537="是",Y537-Z537,0)</f>
        <v>0</v>
      </c>
      <c r="BK537" s="502" t="n">
        <f aca="false">IF($D537="是",AA537-AB537,0)</f>
        <v>0</v>
      </c>
      <c r="BL537" s="502" t="n">
        <f aca="false">SUM(BM537:BT537)</f>
        <v>0</v>
      </c>
      <c r="BM537" s="502" t="n">
        <f aca="false">IF($D537="是",AD537-AE537,0)</f>
        <v>0</v>
      </c>
      <c r="BN537" s="502" t="n">
        <f aca="false">IF($D537="是",AF537-AG537,0)</f>
        <v>0</v>
      </c>
      <c r="BO537" s="502" t="n">
        <f aca="false">IF($D537="是",AH537-AI537,0)</f>
        <v>0</v>
      </c>
      <c r="BP537" s="502" t="n">
        <f aca="false">IF($D537="是",AJ537-AK537,0)</f>
        <v>0</v>
      </c>
      <c r="BQ537" s="502" t="n">
        <f aca="false">IF($D537="是",AL537-AM537,0)</f>
        <v>0</v>
      </c>
      <c r="BR537" s="502" t="n">
        <f aca="false">IF($D537="是",AN537-AO537,0)</f>
        <v>0</v>
      </c>
      <c r="BS537" s="502" t="n">
        <f aca="false">IF($D537="是",AP537-AQ537,0)</f>
        <v>0</v>
      </c>
      <c r="BT537" s="512" t="n">
        <f aca="false">IF($D537="是",AR537-AS537,0)</f>
        <v>0</v>
      </c>
    </row>
    <row r="538" customFormat="false" ht="14.25" hidden="false" customHeight="false" outlineLevel="0" collapsed="false">
      <c r="A538" s="499"/>
      <c r="B538" s="500"/>
      <c r="C538" s="500"/>
      <c r="D538" s="501"/>
      <c r="E538" s="502" t="n">
        <f aca="false">IF($C$3="是",ROUND($A$3*G538/$B$3,2),ROUND($A$3*(G538-AT538)/$B$3,2))</f>
        <v>0</v>
      </c>
      <c r="F538" s="503"/>
      <c r="G538" s="504" t="n">
        <f aca="false">H538+AC538+AT538</f>
        <v>0</v>
      </c>
      <c r="H538" s="505" t="n">
        <f aca="false">SUMIF(I$12:AB$12,"总值",I538:AB538)</f>
        <v>0</v>
      </c>
      <c r="I538" s="506"/>
      <c r="J538" s="506"/>
      <c r="K538" s="506"/>
      <c r="L538" s="506"/>
      <c r="M538" s="506"/>
      <c r="N538" s="506"/>
      <c r="O538" s="506"/>
      <c r="P538" s="506"/>
      <c r="Q538" s="506"/>
      <c r="R538" s="506"/>
      <c r="S538" s="506"/>
      <c r="T538" s="506"/>
      <c r="U538" s="506"/>
      <c r="V538" s="506"/>
      <c r="W538" s="506"/>
      <c r="X538" s="506"/>
      <c r="Y538" s="506"/>
      <c r="Z538" s="506"/>
      <c r="AA538" s="506"/>
      <c r="AB538" s="506"/>
      <c r="AC538" s="502" t="n">
        <f aca="false">SUMIF(AD$12:AS$12,"总值",AD538:AS538)</f>
        <v>0</v>
      </c>
      <c r="AD538" s="507"/>
      <c r="AE538" s="507"/>
      <c r="AF538" s="507"/>
      <c r="AG538" s="507"/>
      <c r="AH538" s="507"/>
      <c r="AI538" s="507"/>
      <c r="AJ538" s="507"/>
      <c r="AK538" s="507"/>
      <c r="AL538" s="507"/>
      <c r="AM538" s="507"/>
      <c r="AN538" s="507"/>
      <c r="AO538" s="507"/>
      <c r="AP538" s="507"/>
      <c r="AQ538" s="507"/>
      <c r="AR538" s="507"/>
      <c r="AS538" s="507"/>
      <c r="AT538" s="508"/>
      <c r="AU538" s="509"/>
      <c r="AV538" s="510" t="n">
        <f aca="false">A538</f>
        <v>0</v>
      </c>
      <c r="AW538" s="510" t="n">
        <f aca="false">B538</f>
        <v>0</v>
      </c>
      <c r="AX538" s="510" t="n">
        <f aca="false">C538</f>
        <v>0</v>
      </c>
      <c r="AY538" s="511" t="n">
        <f aca="false">ROUND($AY$6*AZ538/$AZ$5,2)</f>
        <v>0</v>
      </c>
      <c r="AZ538" s="502" t="n">
        <f aca="false">BA538+BL538</f>
        <v>0</v>
      </c>
      <c r="BA538" s="502" t="n">
        <f aca="false">SUM(BB538:BK538)</f>
        <v>0</v>
      </c>
      <c r="BB538" s="502" t="n">
        <f aca="false">IF($D538="是",I538-J538,0)</f>
        <v>0</v>
      </c>
      <c r="BC538" s="502" t="n">
        <f aca="false">IF($D538="是",K538-L538,0)</f>
        <v>0</v>
      </c>
      <c r="BD538" s="502" t="n">
        <f aca="false">IF($D538="是",M538-N538,0)</f>
        <v>0</v>
      </c>
      <c r="BE538" s="502" t="n">
        <f aca="false">IF($D538="是",O538-P538,0)</f>
        <v>0</v>
      </c>
      <c r="BF538" s="502" t="n">
        <f aca="false">IF($D538="是",Q538-R538,0)</f>
        <v>0</v>
      </c>
      <c r="BG538" s="502" t="n">
        <f aca="false">IF($D538="是",S538-T538,0)</f>
        <v>0</v>
      </c>
      <c r="BH538" s="502" t="n">
        <f aca="false">IF($D538="是",U538-V538,0)</f>
        <v>0</v>
      </c>
      <c r="BI538" s="502" t="n">
        <f aca="false">IF($D538="是",W538-X538,0)</f>
        <v>0</v>
      </c>
      <c r="BJ538" s="502" t="n">
        <f aca="false">IF($D538="是",Y538-Z538,0)</f>
        <v>0</v>
      </c>
      <c r="BK538" s="502" t="n">
        <f aca="false">IF($D538="是",AA538-AB538,0)</f>
        <v>0</v>
      </c>
      <c r="BL538" s="502" t="n">
        <f aca="false">SUM(BM538:BT538)</f>
        <v>0</v>
      </c>
      <c r="BM538" s="502" t="n">
        <f aca="false">IF($D538="是",AD538-AE538,0)</f>
        <v>0</v>
      </c>
      <c r="BN538" s="502" t="n">
        <f aca="false">IF($D538="是",AF538-AG538,0)</f>
        <v>0</v>
      </c>
      <c r="BO538" s="502" t="n">
        <f aca="false">IF($D538="是",AH538-AI538,0)</f>
        <v>0</v>
      </c>
      <c r="BP538" s="502" t="n">
        <f aca="false">IF($D538="是",AJ538-AK538,0)</f>
        <v>0</v>
      </c>
      <c r="BQ538" s="502" t="n">
        <f aca="false">IF($D538="是",AL538-AM538,0)</f>
        <v>0</v>
      </c>
      <c r="BR538" s="502" t="n">
        <f aca="false">IF($D538="是",AN538-AO538,0)</f>
        <v>0</v>
      </c>
      <c r="BS538" s="502" t="n">
        <f aca="false">IF($D538="是",AP538-AQ538,0)</f>
        <v>0</v>
      </c>
      <c r="BT538" s="512" t="n">
        <f aca="false">IF($D538="是",AR538-AS538,0)</f>
        <v>0</v>
      </c>
    </row>
    <row r="539" customFormat="false" ht="14.25" hidden="false" customHeight="false" outlineLevel="0" collapsed="false">
      <c r="A539" s="499"/>
      <c r="B539" s="500"/>
      <c r="C539" s="500"/>
      <c r="D539" s="501"/>
      <c r="E539" s="502" t="n">
        <f aca="false">IF($C$3="是",ROUND($A$3*G539/$B$3,2),ROUND($A$3*(G539-AT539)/$B$3,2))</f>
        <v>0</v>
      </c>
      <c r="F539" s="503"/>
      <c r="G539" s="504" t="n">
        <f aca="false">H539+AC539+AT539</f>
        <v>0</v>
      </c>
      <c r="H539" s="505" t="n">
        <f aca="false">SUMIF(I$12:AB$12,"总值",I539:AB539)</f>
        <v>0</v>
      </c>
      <c r="I539" s="506"/>
      <c r="J539" s="506"/>
      <c r="K539" s="506"/>
      <c r="L539" s="506"/>
      <c r="M539" s="506"/>
      <c r="N539" s="506"/>
      <c r="O539" s="506"/>
      <c r="P539" s="506"/>
      <c r="Q539" s="506"/>
      <c r="R539" s="506"/>
      <c r="S539" s="506"/>
      <c r="T539" s="506"/>
      <c r="U539" s="506"/>
      <c r="V539" s="506"/>
      <c r="W539" s="506"/>
      <c r="X539" s="506"/>
      <c r="Y539" s="506"/>
      <c r="Z539" s="506"/>
      <c r="AA539" s="506"/>
      <c r="AB539" s="506"/>
      <c r="AC539" s="502" t="n">
        <f aca="false">SUMIF(AD$12:AS$12,"总值",AD539:AS539)</f>
        <v>0</v>
      </c>
      <c r="AD539" s="507"/>
      <c r="AE539" s="507"/>
      <c r="AF539" s="507"/>
      <c r="AG539" s="507"/>
      <c r="AH539" s="507"/>
      <c r="AI539" s="507"/>
      <c r="AJ539" s="507"/>
      <c r="AK539" s="507"/>
      <c r="AL539" s="507"/>
      <c r="AM539" s="507"/>
      <c r="AN539" s="507"/>
      <c r="AO539" s="507"/>
      <c r="AP539" s="507"/>
      <c r="AQ539" s="507"/>
      <c r="AR539" s="507"/>
      <c r="AS539" s="507"/>
      <c r="AT539" s="508"/>
      <c r="AU539" s="509"/>
      <c r="AV539" s="510" t="n">
        <f aca="false">A539</f>
        <v>0</v>
      </c>
      <c r="AW539" s="510" t="n">
        <f aca="false">B539</f>
        <v>0</v>
      </c>
      <c r="AX539" s="510" t="n">
        <f aca="false">C539</f>
        <v>0</v>
      </c>
      <c r="AY539" s="511" t="n">
        <f aca="false">ROUND($AY$6*AZ539/$AZ$5,2)</f>
        <v>0</v>
      </c>
      <c r="AZ539" s="502" t="n">
        <f aca="false">BA539+BL539</f>
        <v>0</v>
      </c>
      <c r="BA539" s="502" t="n">
        <f aca="false">SUM(BB539:BK539)</f>
        <v>0</v>
      </c>
      <c r="BB539" s="502" t="n">
        <f aca="false">IF($D539="是",I539-J539,0)</f>
        <v>0</v>
      </c>
      <c r="BC539" s="502" t="n">
        <f aca="false">IF($D539="是",K539-L539,0)</f>
        <v>0</v>
      </c>
      <c r="BD539" s="502" t="n">
        <f aca="false">IF($D539="是",M539-N539,0)</f>
        <v>0</v>
      </c>
      <c r="BE539" s="502" t="n">
        <f aca="false">IF($D539="是",O539-P539,0)</f>
        <v>0</v>
      </c>
      <c r="BF539" s="502" t="n">
        <f aca="false">IF($D539="是",Q539-R539,0)</f>
        <v>0</v>
      </c>
      <c r="BG539" s="502" t="n">
        <f aca="false">IF($D539="是",S539-T539,0)</f>
        <v>0</v>
      </c>
      <c r="BH539" s="502" t="n">
        <f aca="false">IF($D539="是",U539-V539,0)</f>
        <v>0</v>
      </c>
      <c r="BI539" s="502" t="n">
        <f aca="false">IF($D539="是",W539-X539,0)</f>
        <v>0</v>
      </c>
      <c r="BJ539" s="502" t="n">
        <f aca="false">IF($D539="是",Y539-Z539,0)</f>
        <v>0</v>
      </c>
      <c r="BK539" s="502" t="n">
        <f aca="false">IF($D539="是",AA539-AB539,0)</f>
        <v>0</v>
      </c>
      <c r="BL539" s="502" t="n">
        <f aca="false">SUM(BM539:BT539)</f>
        <v>0</v>
      </c>
      <c r="BM539" s="502" t="n">
        <f aca="false">IF($D539="是",AD539-AE539,0)</f>
        <v>0</v>
      </c>
      <c r="BN539" s="502" t="n">
        <f aca="false">IF($D539="是",AF539-AG539,0)</f>
        <v>0</v>
      </c>
      <c r="BO539" s="502" t="n">
        <f aca="false">IF($D539="是",AH539-AI539,0)</f>
        <v>0</v>
      </c>
      <c r="BP539" s="502" t="n">
        <f aca="false">IF($D539="是",AJ539-AK539,0)</f>
        <v>0</v>
      </c>
      <c r="BQ539" s="502" t="n">
        <f aca="false">IF($D539="是",AL539-AM539,0)</f>
        <v>0</v>
      </c>
      <c r="BR539" s="502" t="n">
        <f aca="false">IF($D539="是",AN539-AO539,0)</f>
        <v>0</v>
      </c>
      <c r="BS539" s="502" t="n">
        <f aca="false">IF($D539="是",AP539-AQ539,0)</f>
        <v>0</v>
      </c>
      <c r="BT539" s="512" t="n">
        <f aca="false">IF($D539="是",AR539-AS539,0)</f>
        <v>0</v>
      </c>
    </row>
    <row r="540" customFormat="false" ht="14.25" hidden="false" customHeight="false" outlineLevel="0" collapsed="false">
      <c r="A540" s="499"/>
      <c r="B540" s="500"/>
      <c r="C540" s="500"/>
      <c r="D540" s="501"/>
      <c r="E540" s="502" t="n">
        <f aca="false">IF($C$3="是",ROUND($A$3*G540/$B$3,2),ROUND($A$3*(G540-AT540)/$B$3,2))</f>
        <v>0</v>
      </c>
      <c r="F540" s="503"/>
      <c r="G540" s="504" t="n">
        <f aca="false">H540+AC540+AT540</f>
        <v>0</v>
      </c>
      <c r="H540" s="505" t="n">
        <f aca="false">SUMIF(I$12:AB$12,"总值",I540:AB540)</f>
        <v>0</v>
      </c>
      <c r="I540" s="506"/>
      <c r="J540" s="506"/>
      <c r="K540" s="506"/>
      <c r="L540" s="506"/>
      <c r="M540" s="506"/>
      <c r="N540" s="506"/>
      <c r="O540" s="506"/>
      <c r="P540" s="506"/>
      <c r="Q540" s="506"/>
      <c r="R540" s="506"/>
      <c r="S540" s="506"/>
      <c r="T540" s="506"/>
      <c r="U540" s="506"/>
      <c r="V540" s="506"/>
      <c r="W540" s="506"/>
      <c r="X540" s="506"/>
      <c r="Y540" s="506"/>
      <c r="Z540" s="506"/>
      <c r="AA540" s="506"/>
      <c r="AB540" s="506"/>
      <c r="AC540" s="502" t="n">
        <f aca="false">SUMIF(AD$12:AS$12,"总值",AD540:AS540)</f>
        <v>0</v>
      </c>
      <c r="AD540" s="507"/>
      <c r="AE540" s="507"/>
      <c r="AF540" s="507"/>
      <c r="AG540" s="507"/>
      <c r="AH540" s="507"/>
      <c r="AI540" s="507"/>
      <c r="AJ540" s="507"/>
      <c r="AK540" s="507"/>
      <c r="AL540" s="507"/>
      <c r="AM540" s="507"/>
      <c r="AN540" s="507"/>
      <c r="AO540" s="507"/>
      <c r="AP540" s="507"/>
      <c r="AQ540" s="507"/>
      <c r="AR540" s="507"/>
      <c r="AS540" s="507"/>
      <c r="AT540" s="508"/>
      <c r="AU540" s="509"/>
      <c r="AV540" s="510" t="n">
        <f aca="false">A540</f>
        <v>0</v>
      </c>
      <c r="AW540" s="510" t="n">
        <f aca="false">B540</f>
        <v>0</v>
      </c>
      <c r="AX540" s="510" t="n">
        <f aca="false">C540</f>
        <v>0</v>
      </c>
      <c r="AY540" s="511" t="n">
        <f aca="false">ROUND($AY$6*AZ540/$AZ$5,2)</f>
        <v>0</v>
      </c>
      <c r="AZ540" s="502" t="n">
        <f aca="false">BA540+BL540</f>
        <v>0</v>
      </c>
      <c r="BA540" s="502" t="n">
        <f aca="false">SUM(BB540:BK540)</f>
        <v>0</v>
      </c>
      <c r="BB540" s="502" t="n">
        <f aca="false">IF($D540="是",I540-J540,0)</f>
        <v>0</v>
      </c>
      <c r="BC540" s="502" t="n">
        <f aca="false">IF($D540="是",K540-L540,0)</f>
        <v>0</v>
      </c>
      <c r="BD540" s="502" t="n">
        <f aca="false">IF($D540="是",M540-N540,0)</f>
        <v>0</v>
      </c>
      <c r="BE540" s="502" t="n">
        <f aca="false">IF($D540="是",O540-P540,0)</f>
        <v>0</v>
      </c>
      <c r="BF540" s="502" t="n">
        <f aca="false">IF($D540="是",Q540-R540,0)</f>
        <v>0</v>
      </c>
      <c r="BG540" s="502" t="n">
        <f aca="false">IF($D540="是",S540-T540,0)</f>
        <v>0</v>
      </c>
      <c r="BH540" s="502" t="n">
        <f aca="false">IF($D540="是",U540-V540,0)</f>
        <v>0</v>
      </c>
      <c r="BI540" s="502" t="n">
        <f aca="false">IF($D540="是",W540-X540,0)</f>
        <v>0</v>
      </c>
      <c r="BJ540" s="502" t="n">
        <f aca="false">IF($D540="是",Y540-Z540,0)</f>
        <v>0</v>
      </c>
      <c r="BK540" s="502" t="n">
        <f aca="false">IF($D540="是",AA540-AB540,0)</f>
        <v>0</v>
      </c>
      <c r="BL540" s="502" t="n">
        <f aca="false">SUM(BM540:BT540)</f>
        <v>0</v>
      </c>
      <c r="BM540" s="502" t="n">
        <f aca="false">IF($D540="是",AD540-AE540,0)</f>
        <v>0</v>
      </c>
      <c r="BN540" s="502" t="n">
        <f aca="false">IF($D540="是",AF540-AG540,0)</f>
        <v>0</v>
      </c>
      <c r="BO540" s="502" t="n">
        <f aca="false">IF($D540="是",AH540-AI540,0)</f>
        <v>0</v>
      </c>
      <c r="BP540" s="502" t="n">
        <f aca="false">IF($D540="是",AJ540-AK540,0)</f>
        <v>0</v>
      </c>
      <c r="BQ540" s="502" t="n">
        <f aca="false">IF($D540="是",AL540-AM540,0)</f>
        <v>0</v>
      </c>
      <c r="BR540" s="502" t="n">
        <f aca="false">IF($D540="是",AN540-AO540,0)</f>
        <v>0</v>
      </c>
      <c r="BS540" s="502" t="n">
        <f aca="false">IF($D540="是",AP540-AQ540,0)</f>
        <v>0</v>
      </c>
      <c r="BT540" s="512" t="n">
        <f aca="false">IF($D540="是",AR540-AS540,0)</f>
        <v>0</v>
      </c>
    </row>
    <row r="541" customFormat="false" ht="14.25" hidden="false" customHeight="false" outlineLevel="0" collapsed="false">
      <c r="A541" s="499"/>
      <c r="B541" s="500"/>
      <c r="C541" s="500"/>
      <c r="D541" s="501"/>
      <c r="E541" s="502" t="n">
        <f aca="false">IF($C$3="是",ROUND($A$3*G541/$B$3,2),ROUND($A$3*(G541-AT541)/$B$3,2))</f>
        <v>0</v>
      </c>
      <c r="F541" s="503"/>
      <c r="G541" s="504" t="n">
        <f aca="false">H541+AC541+AT541</f>
        <v>0</v>
      </c>
      <c r="H541" s="505" t="n">
        <f aca="false">SUMIF(I$12:AB$12,"总值",I541:AB541)</f>
        <v>0</v>
      </c>
      <c r="I541" s="506"/>
      <c r="J541" s="506"/>
      <c r="K541" s="506"/>
      <c r="L541" s="506"/>
      <c r="M541" s="506"/>
      <c r="N541" s="506"/>
      <c r="O541" s="506"/>
      <c r="P541" s="506"/>
      <c r="Q541" s="506"/>
      <c r="R541" s="506"/>
      <c r="S541" s="506"/>
      <c r="T541" s="506"/>
      <c r="U541" s="506"/>
      <c r="V541" s="506"/>
      <c r="W541" s="506"/>
      <c r="X541" s="506"/>
      <c r="Y541" s="506"/>
      <c r="Z541" s="506"/>
      <c r="AA541" s="506"/>
      <c r="AB541" s="506"/>
      <c r="AC541" s="502" t="n">
        <f aca="false">SUMIF(AD$12:AS$12,"总值",AD541:AS541)</f>
        <v>0</v>
      </c>
      <c r="AD541" s="507"/>
      <c r="AE541" s="507"/>
      <c r="AF541" s="507"/>
      <c r="AG541" s="507"/>
      <c r="AH541" s="507"/>
      <c r="AI541" s="507"/>
      <c r="AJ541" s="507"/>
      <c r="AK541" s="507"/>
      <c r="AL541" s="507"/>
      <c r="AM541" s="507"/>
      <c r="AN541" s="507"/>
      <c r="AO541" s="507"/>
      <c r="AP541" s="507"/>
      <c r="AQ541" s="507"/>
      <c r="AR541" s="507"/>
      <c r="AS541" s="507"/>
      <c r="AT541" s="508"/>
      <c r="AU541" s="509"/>
      <c r="AV541" s="510" t="n">
        <f aca="false">A541</f>
        <v>0</v>
      </c>
      <c r="AW541" s="510" t="n">
        <f aca="false">B541</f>
        <v>0</v>
      </c>
      <c r="AX541" s="510" t="n">
        <f aca="false">C541</f>
        <v>0</v>
      </c>
      <c r="AY541" s="511" t="n">
        <f aca="false">ROUND($AY$6*AZ541/$AZ$5,2)</f>
        <v>0</v>
      </c>
      <c r="AZ541" s="502" t="n">
        <f aca="false">BA541+BL541</f>
        <v>0</v>
      </c>
      <c r="BA541" s="502" t="n">
        <f aca="false">SUM(BB541:BK541)</f>
        <v>0</v>
      </c>
      <c r="BB541" s="502" t="n">
        <f aca="false">IF($D541="是",I541-J541,0)</f>
        <v>0</v>
      </c>
      <c r="BC541" s="502" t="n">
        <f aca="false">IF($D541="是",K541-L541,0)</f>
        <v>0</v>
      </c>
      <c r="BD541" s="502" t="n">
        <f aca="false">IF($D541="是",M541-N541,0)</f>
        <v>0</v>
      </c>
      <c r="BE541" s="502" t="n">
        <f aca="false">IF($D541="是",O541-P541,0)</f>
        <v>0</v>
      </c>
      <c r="BF541" s="502" t="n">
        <f aca="false">IF($D541="是",Q541-R541,0)</f>
        <v>0</v>
      </c>
      <c r="BG541" s="502" t="n">
        <f aca="false">IF($D541="是",S541-T541,0)</f>
        <v>0</v>
      </c>
      <c r="BH541" s="502" t="n">
        <f aca="false">IF($D541="是",U541-V541,0)</f>
        <v>0</v>
      </c>
      <c r="BI541" s="502" t="n">
        <f aca="false">IF($D541="是",W541-X541,0)</f>
        <v>0</v>
      </c>
      <c r="BJ541" s="502" t="n">
        <f aca="false">IF($D541="是",Y541-Z541,0)</f>
        <v>0</v>
      </c>
      <c r="BK541" s="502" t="n">
        <f aca="false">IF($D541="是",AA541-AB541,0)</f>
        <v>0</v>
      </c>
      <c r="BL541" s="502" t="n">
        <f aca="false">SUM(BM541:BT541)</f>
        <v>0</v>
      </c>
      <c r="BM541" s="502" t="n">
        <f aca="false">IF($D541="是",AD541-AE541,0)</f>
        <v>0</v>
      </c>
      <c r="BN541" s="502" t="n">
        <f aca="false">IF($D541="是",AF541-AG541,0)</f>
        <v>0</v>
      </c>
      <c r="BO541" s="502" t="n">
        <f aca="false">IF($D541="是",AH541-AI541,0)</f>
        <v>0</v>
      </c>
      <c r="BP541" s="502" t="n">
        <f aca="false">IF($D541="是",AJ541-AK541,0)</f>
        <v>0</v>
      </c>
      <c r="BQ541" s="502" t="n">
        <f aca="false">IF($D541="是",AL541-AM541,0)</f>
        <v>0</v>
      </c>
      <c r="BR541" s="502" t="n">
        <f aca="false">IF($D541="是",AN541-AO541,0)</f>
        <v>0</v>
      </c>
      <c r="BS541" s="502" t="n">
        <f aca="false">IF($D541="是",AP541-AQ541,0)</f>
        <v>0</v>
      </c>
      <c r="BT541" s="512" t="n">
        <f aca="false">IF($D541="是",AR541-AS541,0)</f>
        <v>0</v>
      </c>
    </row>
    <row r="542" customFormat="false" ht="14.25" hidden="false" customHeight="false" outlineLevel="0" collapsed="false">
      <c r="A542" s="499"/>
      <c r="B542" s="500"/>
      <c r="C542" s="500"/>
      <c r="D542" s="501"/>
      <c r="E542" s="502" t="n">
        <f aca="false">IF($C$3="是",ROUND($A$3*G542/$B$3,2),ROUND($A$3*(G542-AT542)/$B$3,2))</f>
        <v>0</v>
      </c>
      <c r="F542" s="503"/>
      <c r="G542" s="504" t="n">
        <f aca="false">H542+AC542+AT542</f>
        <v>0</v>
      </c>
      <c r="H542" s="505" t="n">
        <f aca="false">SUMIF(I$12:AB$12,"总值",I542:AB542)</f>
        <v>0</v>
      </c>
      <c r="I542" s="506"/>
      <c r="J542" s="506"/>
      <c r="K542" s="506"/>
      <c r="L542" s="506"/>
      <c r="M542" s="506"/>
      <c r="N542" s="506"/>
      <c r="O542" s="506"/>
      <c r="P542" s="506"/>
      <c r="Q542" s="506"/>
      <c r="R542" s="506"/>
      <c r="S542" s="506"/>
      <c r="T542" s="506"/>
      <c r="U542" s="506"/>
      <c r="V542" s="506"/>
      <c r="W542" s="506"/>
      <c r="X542" s="506"/>
      <c r="Y542" s="506"/>
      <c r="Z542" s="506"/>
      <c r="AA542" s="506"/>
      <c r="AB542" s="506"/>
      <c r="AC542" s="502" t="n">
        <f aca="false">SUMIF(AD$12:AS$12,"总值",AD542:AS542)</f>
        <v>0</v>
      </c>
      <c r="AD542" s="507"/>
      <c r="AE542" s="507"/>
      <c r="AF542" s="507"/>
      <c r="AG542" s="507"/>
      <c r="AH542" s="507"/>
      <c r="AI542" s="507"/>
      <c r="AJ542" s="507"/>
      <c r="AK542" s="507"/>
      <c r="AL542" s="507"/>
      <c r="AM542" s="507"/>
      <c r="AN542" s="507"/>
      <c r="AO542" s="507"/>
      <c r="AP542" s="507"/>
      <c r="AQ542" s="507"/>
      <c r="AR542" s="507"/>
      <c r="AS542" s="507"/>
      <c r="AT542" s="508"/>
      <c r="AU542" s="509"/>
      <c r="AV542" s="510" t="n">
        <f aca="false">A542</f>
        <v>0</v>
      </c>
      <c r="AW542" s="510" t="n">
        <f aca="false">B542</f>
        <v>0</v>
      </c>
      <c r="AX542" s="510" t="n">
        <f aca="false">C542</f>
        <v>0</v>
      </c>
      <c r="AY542" s="511" t="n">
        <f aca="false">ROUND($AY$6*AZ542/$AZ$5,2)</f>
        <v>0</v>
      </c>
      <c r="AZ542" s="502" t="n">
        <f aca="false">BA542+BL542</f>
        <v>0</v>
      </c>
      <c r="BA542" s="502" t="n">
        <f aca="false">SUM(BB542:BK542)</f>
        <v>0</v>
      </c>
      <c r="BB542" s="502" t="n">
        <f aca="false">IF($D542="是",I542-J542,0)</f>
        <v>0</v>
      </c>
      <c r="BC542" s="502" t="n">
        <f aca="false">IF($D542="是",K542-L542,0)</f>
        <v>0</v>
      </c>
      <c r="BD542" s="502" t="n">
        <f aca="false">IF($D542="是",M542-N542,0)</f>
        <v>0</v>
      </c>
      <c r="BE542" s="502" t="n">
        <f aca="false">IF($D542="是",O542-P542,0)</f>
        <v>0</v>
      </c>
      <c r="BF542" s="502" t="n">
        <f aca="false">IF($D542="是",Q542-R542,0)</f>
        <v>0</v>
      </c>
      <c r="BG542" s="502" t="n">
        <f aca="false">IF($D542="是",S542-T542,0)</f>
        <v>0</v>
      </c>
      <c r="BH542" s="502" t="n">
        <f aca="false">IF($D542="是",U542-V542,0)</f>
        <v>0</v>
      </c>
      <c r="BI542" s="502" t="n">
        <f aca="false">IF($D542="是",W542-X542,0)</f>
        <v>0</v>
      </c>
      <c r="BJ542" s="502" t="n">
        <f aca="false">IF($D542="是",Y542-Z542,0)</f>
        <v>0</v>
      </c>
      <c r="BK542" s="502" t="n">
        <f aca="false">IF($D542="是",AA542-AB542,0)</f>
        <v>0</v>
      </c>
      <c r="BL542" s="502" t="n">
        <f aca="false">SUM(BM542:BT542)</f>
        <v>0</v>
      </c>
      <c r="BM542" s="502" t="n">
        <f aca="false">IF($D542="是",AD542-AE542,0)</f>
        <v>0</v>
      </c>
      <c r="BN542" s="502" t="n">
        <f aca="false">IF($D542="是",AF542-AG542,0)</f>
        <v>0</v>
      </c>
      <c r="BO542" s="502" t="n">
        <f aca="false">IF($D542="是",AH542-AI542,0)</f>
        <v>0</v>
      </c>
      <c r="BP542" s="502" t="n">
        <f aca="false">IF($D542="是",AJ542-AK542,0)</f>
        <v>0</v>
      </c>
      <c r="BQ542" s="502" t="n">
        <f aca="false">IF($D542="是",AL542-AM542,0)</f>
        <v>0</v>
      </c>
      <c r="BR542" s="502" t="n">
        <f aca="false">IF($D542="是",AN542-AO542,0)</f>
        <v>0</v>
      </c>
      <c r="BS542" s="502" t="n">
        <f aca="false">IF($D542="是",AP542-AQ542,0)</f>
        <v>0</v>
      </c>
      <c r="BT542" s="512" t="n">
        <f aca="false">IF($D542="是",AR542-AS542,0)</f>
        <v>0</v>
      </c>
    </row>
    <row r="543" customFormat="false" ht="14.25" hidden="false" customHeight="false" outlineLevel="0" collapsed="false">
      <c r="A543" s="499"/>
      <c r="B543" s="500"/>
      <c r="C543" s="500"/>
      <c r="D543" s="501"/>
      <c r="E543" s="502" t="n">
        <f aca="false">IF($C$3="是",ROUND($A$3*G543/$B$3,2),ROUND($A$3*(G543-AT543)/$B$3,2))</f>
        <v>0</v>
      </c>
      <c r="F543" s="503"/>
      <c r="G543" s="504" t="n">
        <f aca="false">H543+AC543+AT543</f>
        <v>0</v>
      </c>
      <c r="H543" s="505" t="n">
        <f aca="false">SUMIF(I$12:AB$12,"总值",I543:AB543)</f>
        <v>0</v>
      </c>
      <c r="I543" s="506"/>
      <c r="J543" s="506"/>
      <c r="K543" s="506"/>
      <c r="L543" s="506"/>
      <c r="M543" s="506"/>
      <c r="N543" s="506"/>
      <c r="O543" s="506"/>
      <c r="P543" s="506"/>
      <c r="Q543" s="506"/>
      <c r="R543" s="506"/>
      <c r="S543" s="506"/>
      <c r="T543" s="506"/>
      <c r="U543" s="506"/>
      <c r="V543" s="506"/>
      <c r="W543" s="506"/>
      <c r="X543" s="506"/>
      <c r="Y543" s="506"/>
      <c r="Z543" s="506"/>
      <c r="AA543" s="506"/>
      <c r="AB543" s="506"/>
      <c r="AC543" s="502" t="n">
        <f aca="false">SUMIF(AD$12:AS$12,"总值",AD543:AS543)</f>
        <v>0</v>
      </c>
      <c r="AD543" s="507"/>
      <c r="AE543" s="507"/>
      <c r="AF543" s="507"/>
      <c r="AG543" s="507"/>
      <c r="AH543" s="507"/>
      <c r="AI543" s="507"/>
      <c r="AJ543" s="507"/>
      <c r="AK543" s="507"/>
      <c r="AL543" s="507"/>
      <c r="AM543" s="507"/>
      <c r="AN543" s="507"/>
      <c r="AO543" s="507"/>
      <c r="AP543" s="507"/>
      <c r="AQ543" s="507"/>
      <c r="AR543" s="507"/>
      <c r="AS543" s="507"/>
      <c r="AT543" s="508"/>
      <c r="AU543" s="509"/>
      <c r="AV543" s="510" t="n">
        <f aca="false">A543</f>
        <v>0</v>
      </c>
      <c r="AW543" s="510" t="n">
        <f aca="false">B543</f>
        <v>0</v>
      </c>
      <c r="AX543" s="510" t="n">
        <f aca="false">C543</f>
        <v>0</v>
      </c>
      <c r="AY543" s="511" t="n">
        <f aca="false">ROUND($AY$6*AZ543/$AZ$5,2)</f>
        <v>0</v>
      </c>
      <c r="AZ543" s="502" t="n">
        <f aca="false">BA543+BL543</f>
        <v>0</v>
      </c>
      <c r="BA543" s="502" t="n">
        <f aca="false">SUM(BB543:BK543)</f>
        <v>0</v>
      </c>
      <c r="BB543" s="502" t="n">
        <f aca="false">IF($D543="是",I543-J543,0)</f>
        <v>0</v>
      </c>
      <c r="BC543" s="502" t="n">
        <f aca="false">IF($D543="是",K543-L543,0)</f>
        <v>0</v>
      </c>
      <c r="BD543" s="502" t="n">
        <f aca="false">IF($D543="是",M543-N543,0)</f>
        <v>0</v>
      </c>
      <c r="BE543" s="502" t="n">
        <f aca="false">IF($D543="是",O543-P543,0)</f>
        <v>0</v>
      </c>
      <c r="BF543" s="502" t="n">
        <f aca="false">IF($D543="是",Q543-R543,0)</f>
        <v>0</v>
      </c>
      <c r="BG543" s="502" t="n">
        <f aca="false">IF($D543="是",S543-T543,0)</f>
        <v>0</v>
      </c>
      <c r="BH543" s="502" t="n">
        <f aca="false">IF($D543="是",U543-V543,0)</f>
        <v>0</v>
      </c>
      <c r="BI543" s="502" t="n">
        <f aca="false">IF($D543="是",W543-X543,0)</f>
        <v>0</v>
      </c>
      <c r="BJ543" s="502" t="n">
        <f aca="false">IF($D543="是",Y543-Z543,0)</f>
        <v>0</v>
      </c>
      <c r="BK543" s="502" t="n">
        <f aca="false">IF($D543="是",AA543-AB543,0)</f>
        <v>0</v>
      </c>
      <c r="BL543" s="502" t="n">
        <f aca="false">SUM(BM543:BT543)</f>
        <v>0</v>
      </c>
      <c r="BM543" s="502" t="n">
        <f aca="false">IF($D543="是",AD543-AE543,0)</f>
        <v>0</v>
      </c>
      <c r="BN543" s="502" t="n">
        <f aca="false">IF($D543="是",AF543-AG543,0)</f>
        <v>0</v>
      </c>
      <c r="BO543" s="502" t="n">
        <f aca="false">IF($D543="是",AH543-AI543,0)</f>
        <v>0</v>
      </c>
      <c r="BP543" s="502" t="n">
        <f aca="false">IF($D543="是",AJ543-AK543,0)</f>
        <v>0</v>
      </c>
      <c r="BQ543" s="502" t="n">
        <f aca="false">IF($D543="是",AL543-AM543,0)</f>
        <v>0</v>
      </c>
      <c r="BR543" s="502" t="n">
        <f aca="false">IF($D543="是",AN543-AO543,0)</f>
        <v>0</v>
      </c>
      <c r="BS543" s="502" t="n">
        <f aca="false">IF($D543="是",AP543-AQ543,0)</f>
        <v>0</v>
      </c>
      <c r="BT543" s="512" t="n">
        <f aca="false">IF($D543="是",AR543-AS543,0)</f>
        <v>0</v>
      </c>
    </row>
    <row r="544" customFormat="false" ht="14.25" hidden="false" customHeight="false" outlineLevel="0" collapsed="false">
      <c r="A544" s="499"/>
      <c r="B544" s="500"/>
      <c r="C544" s="500"/>
      <c r="D544" s="501"/>
      <c r="E544" s="502" t="n">
        <f aca="false">IF($C$3="是",ROUND($A$3*G544/$B$3,2),ROUND($A$3*(G544-AT544)/$B$3,2))</f>
        <v>0</v>
      </c>
      <c r="F544" s="503"/>
      <c r="G544" s="504" t="n">
        <f aca="false">H544+AC544+AT544</f>
        <v>0</v>
      </c>
      <c r="H544" s="505" t="n">
        <f aca="false">SUMIF(I$12:AB$12,"总值",I544:AB544)</f>
        <v>0</v>
      </c>
      <c r="I544" s="506"/>
      <c r="J544" s="506"/>
      <c r="K544" s="506"/>
      <c r="L544" s="506"/>
      <c r="M544" s="506"/>
      <c r="N544" s="506"/>
      <c r="O544" s="506"/>
      <c r="P544" s="506"/>
      <c r="Q544" s="506"/>
      <c r="R544" s="506"/>
      <c r="S544" s="506"/>
      <c r="T544" s="506"/>
      <c r="U544" s="506"/>
      <c r="V544" s="506"/>
      <c r="W544" s="506"/>
      <c r="X544" s="506"/>
      <c r="Y544" s="506"/>
      <c r="Z544" s="506"/>
      <c r="AA544" s="506"/>
      <c r="AB544" s="506"/>
      <c r="AC544" s="502" t="n">
        <f aca="false">SUMIF(AD$12:AS$12,"总值",AD544:AS544)</f>
        <v>0</v>
      </c>
      <c r="AD544" s="507"/>
      <c r="AE544" s="507"/>
      <c r="AF544" s="507"/>
      <c r="AG544" s="507"/>
      <c r="AH544" s="507"/>
      <c r="AI544" s="507"/>
      <c r="AJ544" s="507"/>
      <c r="AK544" s="507"/>
      <c r="AL544" s="507"/>
      <c r="AM544" s="507"/>
      <c r="AN544" s="507"/>
      <c r="AO544" s="507"/>
      <c r="AP544" s="507"/>
      <c r="AQ544" s="507"/>
      <c r="AR544" s="507"/>
      <c r="AS544" s="507"/>
      <c r="AT544" s="508"/>
      <c r="AU544" s="509"/>
      <c r="AV544" s="510" t="n">
        <f aca="false">A544</f>
        <v>0</v>
      </c>
      <c r="AW544" s="510" t="n">
        <f aca="false">B544</f>
        <v>0</v>
      </c>
      <c r="AX544" s="510" t="n">
        <f aca="false">C544</f>
        <v>0</v>
      </c>
      <c r="AY544" s="511" t="n">
        <f aca="false">ROUND($AY$6*AZ544/$AZ$5,2)</f>
        <v>0</v>
      </c>
      <c r="AZ544" s="502" t="n">
        <f aca="false">BA544+BL544</f>
        <v>0</v>
      </c>
      <c r="BA544" s="502" t="n">
        <f aca="false">SUM(BB544:BK544)</f>
        <v>0</v>
      </c>
      <c r="BB544" s="502" t="n">
        <f aca="false">IF($D544="是",I544-J544,0)</f>
        <v>0</v>
      </c>
      <c r="BC544" s="502" t="n">
        <f aca="false">IF($D544="是",K544-L544,0)</f>
        <v>0</v>
      </c>
      <c r="BD544" s="502" t="n">
        <f aca="false">IF($D544="是",M544-N544,0)</f>
        <v>0</v>
      </c>
      <c r="BE544" s="502" t="n">
        <f aca="false">IF($D544="是",O544-P544,0)</f>
        <v>0</v>
      </c>
      <c r="BF544" s="502" t="n">
        <f aca="false">IF($D544="是",Q544-R544,0)</f>
        <v>0</v>
      </c>
      <c r="BG544" s="502" t="n">
        <f aca="false">IF($D544="是",S544-T544,0)</f>
        <v>0</v>
      </c>
      <c r="BH544" s="502" t="n">
        <f aca="false">IF($D544="是",U544-V544,0)</f>
        <v>0</v>
      </c>
      <c r="BI544" s="502" t="n">
        <f aca="false">IF($D544="是",W544-X544,0)</f>
        <v>0</v>
      </c>
      <c r="BJ544" s="502" t="n">
        <f aca="false">IF($D544="是",Y544-Z544,0)</f>
        <v>0</v>
      </c>
      <c r="BK544" s="502" t="n">
        <f aca="false">IF($D544="是",AA544-AB544,0)</f>
        <v>0</v>
      </c>
      <c r="BL544" s="502" t="n">
        <f aca="false">SUM(BM544:BT544)</f>
        <v>0</v>
      </c>
      <c r="BM544" s="502" t="n">
        <f aca="false">IF($D544="是",AD544-AE544,0)</f>
        <v>0</v>
      </c>
      <c r="BN544" s="502" t="n">
        <f aca="false">IF($D544="是",AF544-AG544,0)</f>
        <v>0</v>
      </c>
      <c r="BO544" s="502" t="n">
        <f aca="false">IF($D544="是",AH544-AI544,0)</f>
        <v>0</v>
      </c>
      <c r="BP544" s="502" t="n">
        <f aca="false">IF($D544="是",AJ544-AK544,0)</f>
        <v>0</v>
      </c>
      <c r="BQ544" s="502" t="n">
        <f aca="false">IF($D544="是",AL544-AM544,0)</f>
        <v>0</v>
      </c>
      <c r="BR544" s="502" t="n">
        <f aca="false">IF($D544="是",AN544-AO544,0)</f>
        <v>0</v>
      </c>
      <c r="BS544" s="502" t="n">
        <f aca="false">IF($D544="是",AP544-AQ544,0)</f>
        <v>0</v>
      </c>
      <c r="BT544" s="512" t="n">
        <f aca="false">IF($D544="是",AR544-AS544,0)</f>
        <v>0</v>
      </c>
    </row>
    <row r="545" customFormat="false" ht="14.25" hidden="false" customHeight="false" outlineLevel="0" collapsed="false">
      <c r="A545" s="499"/>
      <c r="B545" s="500"/>
      <c r="C545" s="500"/>
      <c r="D545" s="501"/>
      <c r="E545" s="502" t="n">
        <f aca="false">IF($C$3="是",ROUND($A$3*G545/$B$3,2),ROUND($A$3*(G545-AT545)/$B$3,2))</f>
        <v>0</v>
      </c>
      <c r="F545" s="503"/>
      <c r="G545" s="504" t="n">
        <f aca="false">H545+AC545+AT545</f>
        <v>0</v>
      </c>
      <c r="H545" s="505" t="n">
        <f aca="false">SUMIF(I$12:AB$12,"总值",I545:AB545)</f>
        <v>0</v>
      </c>
      <c r="I545" s="506"/>
      <c r="J545" s="506"/>
      <c r="K545" s="506"/>
      <c r="L545" s="506"/>
      <c r="M545" s="506"/>
      <c r="N545" s="506"/>
      <c r="O545" s="506"/>
      <c r="P545" s="506"/>
      <c r="Q545" s="506"/>
      <c r="R545" s="506"/>
      <c r="S545" s="506"/>
      <c r="T545" s="506"/>
      <c r="U545" s="506"/>
      <c r="V545" s="506"/>
      <c r="W545" s="506"/>
      <c r="X545" s="506"/>
      <c r="Y545" s="506"/>
      <c r="Z545" s="506"/>
      <c r="AA545" s="506"/>
      <c r="AB545" s="506"/>
      <c r="AC545" s="502" t="n">
        <f aca="false">SUMIF(AD$12:AS$12,"总值",AD545:AS545)</f>
        <v>0</v>
      </c>
      <c r="AD545" s="507"/>
      <c r="AE545" s="507"/>
      <c r="AF545" s="507"/>
      <c r="AG545" s="507"/>
      <c r="AH545" s="507"/>
      <c r="AI545" s="507"/>
      <c r="AJ545" s="507"/>
      <c r="AK545" s="507"/>
      <c r="AL545" s="507"/>
      <c r="AM545" s="507"/>
      <c r="AN545" s="507"/>
      <c r="AO545" s="507"/>
      <c r="AP545" s="507"/>
      <c r="AQ545" s="507"/>
      <c r="AR545" s="507"/>
      <c r="AS545" s="507"/>
      <c r="AT545" s="508"/>
      <c r="AU545" s="509"/>
      <c r="AV545" s="510" t="n">
        <f aca="false">A545</f>
        <v>0</v>
      </c>
      <c r="AW545" s="510" t="n">
        <f aca="false">B545</f>
        <v>0</v>
      </c>
      <c r="AX545" s="510" t="n">
        <f aca="false">C545</f>
        <v>0</v>
      </c>
      <c r="AY545" s="511" t="n">
        <f aca="false">ROUND($AY$6*AZ545/$AZ$5,2)</f>
        <v>0</v>
      </c>
      <c r="AZ545" s="502" t="n">
        <f aca="false">BA545+BL545</f>
        <v>0</v>
      </c>
      <c r="BA545" s="502" t="n">
        <f aca="false">SUM(BB545:BK545)</f>
        <v>0</v>
      </c>
      <c r="BB545" s="502" t="n">
        <f aca="false">IF($D545="是",I545-J545,0)</f>
        <v>0</v>
      </c>
      <c r="BC545" s="502" t="n">
        <f aca="false">IF($D545="是",K545-L545,0)</f>
        <v>0</v>
      </c>
      <c r="BD545" s="502" t="n">
        <f aca="false">IF($D545="是",M545-N545,0)</f>
        <v>0</v>
      </c>
      <c r="BE545" s="502" t="n">
        <f aca="false">IF($D545="是",O545-P545,0)</f>
        <v>0</v>
      </c>
      <c r="BF545" s="502" t="n">
        <f aca="false">IF($D545="是",Q545-R545,0)</f>
        <v>0</v>
      </c>
      <c r="BG545" s="502" t="n">
        <f aca="false">IF($D545="是",S545-T545,0)</f>
        <v>0</v>
      </c>
      <c r="BH545" s="502" t="n">
        <f aca="false">IF($D545="是",U545-V545,0)</f>
        <v>0</v>
      </c>
      <c r="BI545" s="502" t="n">
        <f aca="false">IF($D545="是",W545-X545,0)</f>
        <v>0</v>
      </c>
      <c r="BJ545" s="502" t="n">
        <f aca="false">IF($D545="是",Y545-Z545,0)</f>
        <v>0</v>
      </c>
      <c r="BK545" s="502" t="n">
        <f aca="false">IF($D545="是",AA545-AB545,0)</f>
        <v>0</v>
      </c>
      <c r="BL545" s="502" t="n">
        <f aca="false">SUM(BM545:BT545)</f>
        <v>0</v>
      </c>
      <c r="BM545" s="502" t="n">
        <f aca="false">IF($D545="是",AD545-AE545,0)</f>
        <v>0</v>
      </c>
      <c r="BN545" s="502" t="n">
        <f aca="false">IF($D545="是",AF545-AG545,0)</f>
        <v>0</v>
      </c>
      <c r="BO545" s="502" t="n">
        <f aca="false">IF($D545="是",AH545-AI545,0)</f>
        <v>0</v>
      </c>
      <c r="BP545" s="502" t="n">
        <f aca="false">IF($D545="是",AJ545-AK545,0)</f>
        <v>0</v>
      </c>
      <c r="BQ545" s="502" t="n">
        <f aca="false">IF($D545="是",AL545-AM545,0)</f>
        <v>0</v>
      </c>
      <c r="BR545" s="502" t="n">
        <f aca="false">IF($D545="是",AN545-AO545,0)</f>
        <v>0</v>
      </c>
      <c r="BS545" s="502" t="n">
        <f aca="false">IF($D545="是",AP545-AQ545,0)</f>
        <v>0</v>
      </c>
      <c r="BT545" s="512" t="n">
        <f aca="false">IF($D545="是",AR545-AS545,0)</f>
        <v>0</v>
      </c>
    </row>
    <row r="546" customFormat="false" ht="14.25" hidden="false" customHeight="false" outlineLevel="0" collapsed="false">
      <c r="A546" s="499"/>
      <c r="B546" s="500"/>
      <c r="C546" s="500"/>
      <c r="D546" s="501"/>
      <c r="E546" s="502" t="n">
        <f aca="false">IF($C$3="是",ROUND($A$3*G546/$B$3,2),ROUND($A$3*(G546-AT546)/$B$3,2))</f>
        <v>0</v>
      </c>
      <c r="F546" s="503"/>
      <c r="G546" s="504" t="n">
        <f aca="false">H546+AC546+AT546</f>
        <v>0</v>
      </c>
      <c r="H546" s="505" t="n">
        <f aca="false">SUMIF(I$12:AB$12,"总值",I546:AB546)</f>
        <v>0</v>
      </c>
      <c r="I546" s="506"/>
      <c r="J546" s="506"/>
      <c r="K546" s="506"/>
      <c r="L546" s="506"/>
      <c r="M546" s="506"/>
      <c r="N546" s="506"/>
      <c r="O546" s="506"/>
      <c r="P546" s="506"/>
      <c r="Q546" s="506"/>
      <c r="R546" s="506"/>
      <c r="S546" s="506"/>
      <c r="T546" s="506"/>
      <c r="U546" s="506"/>
      <c r="V546" s="506"/>
      <c r="W546" s="506"/>
      <c r="X546" s="506"/>
      <c r="Y546" s="506"/>
      <c r="Z546" s="506"/>
      <c r="AA546" s="506"/>
      <c r="AB546" s="506"/>
      <c r="AC546" s="502" t="n">
        <f aca="false">SUMIF(AD$12:AS$12,"总值",AD546:AS546)</f>
        <v>0</v>
      </c>
      <c r="AD546" s="507"/>
      <c r="AE546" s="507"/>
      <c r="AF546" s="507"/>
      <c r="AG546" s="507"/>
      <c r="AH546" s="507"/>
      <c r="AI546" s="507"/>
      <c r="AJ546" s="507"/>
      <c r="AK546" s="507"/>
      <c r="AL546" s="507"/>
      <c r="AM546" s="507"/>
      <c r="AN546" s="507"/>
      <c r="AO546" s="507"/>
      <c r="AP546" s="507"/>
      <c r="AQ546" s="507"/>
      <c r="AR546" s="507"/>
      <c r="AS546" s="507"/>
      <c r="AT546" s="508"/>
      <c r="AU546" s="509"/>
      <c r="AV546" s="510" t="n">
        <f aca="false">A546</f>
        <v>0</v>
      </c>
      <c r="AW546" s="510" t="n">
        <f aca="false">B546</f>
        <v>0</v>
      </c>
      <c r="AX546" s="510" t="n">
        <f aca="false">C546</f>
        <v>0</v>
      </c>
      <c r="AY546" s="511" t="n">
        <f aca="false">ROUND($AY$6*AZ546/$AZ$5,2)</f>
        <v>0</v>
      </c>
      <c r="AZ546" s="502" t="n">
        <f aca="false">BA546+BL546</f>
        <v>0</v>
      </c>
      <c r="BA546" s="502" t="n">
        <f aca="false">SUM(BB546:BK546)</f>
        <v>0</v>
      </c>
      <c r="BB546" s="502" t="n">
        <f aca="false">IF($D546="是",I546-J546,0)</f>
        <v>0</v>
      </c>
      <c r="BC546" s="502" t="n">
        <f aca="false">IF($D546="是",K546-L546,0)</f>
        <v>0</v>
      </c>
      <c r="BD546" s="502" t="n">
        <f aca="false">IF($D546="是",M546-N546,0)</f>
        <v>0</v>
      </c>
      <c r="BE546" s="502" t="n">
        <f aca="false">IF($D546="是",O546-P546,0)</f>
        <v>0</v>
      </c>
      <c r="BF546" s="502" t="n">
        <f aca="false">IF($D546="是",Q546-R546,0)</f>
        <v>0</v>
      </c>
      <c r="BG546" s="502" t="n">
        <f aca="false">IF($D546="是",S546-T546,0)</f>
        <v>0</v>
      </c>
      <c r="BH546" s="502" t="n">
        <f aca="false">IF($D546="是",U546-V546,0)</f>
        <v>0</v>
      </c>
      <c r="BI546" s="502" t="n">
        <f aca="false">IF($D546="是",W546-X546,0)</f>
        <v>0</v>
      </c>
      <c r="BJ546" s="502" t="n">
        <f aca="false">IF($D546="是",Y546-Z546,0)</f>
        <v>0</v>
      </c>
      <c r="BK546" s="502" t="n">
        <f aca="false">IF($D546="是",AA546-AB546,0)</f>
        <v>0</v>
      </c>
      <c r="BL546" s="502" t="n">
        <f aca="false">SUM(BM546:BT546)</f>
        <v>0</v>
      </c>
      <c r="BM546" s="502" t="n">
        <f aca="false">IF($D546="是",AD546-AE546,0)</f>
        <v>0</v>
      </c>
      <c r="BN546" s="502" t="n">
        <f aca="false">IF($D546="是",AF546-AG546,0)</f>
        <v>0</v>
      </c>
      <c r="BO546" s="502" t="n">
        <f aca="false">IF($D546="是",AH546-AI546,0)</f>
        <v>0</v>
      </c>
      <c r="BP546" s="502" t="n">
        <f aca="false">IF($D546="是",AJ546-AK546,0)</f>
        <v>0</v>
      </c>
      <c r="BQ546" s="502" t="n">
        <f aca="false">IF($D546="是",AL546-AM546,0)</f>
        <v>0</v>
      </c>
      <c r="BR546" s="502" t="n">
        <f aca="false">IF($D546="是",AN546-AO546,0)</f>
        <v>0</v>
      </c>
      <c r="BS546" s="502" t="n">
        <f aca="false">IF($D546="是",AP546-AQ546,0)</f>
        <v>0</v>
      </c>
      <c r="BT546" s="512" t="n">
        <f aca="false">IF($D546="是",AR546-AS546,0)</f>
        <v>0</v>
      </c>
    </row>
    <row r="547" customFormat="false" ht="14.25" hidden="false" customHeight="false" outlineLevel="0" collapsed="false">
      <c r="A547" s="499"/>
      <c r="B547" s="500"/>
      <c r="C547" s="500"/>
      <c r="D547" s="501"/>
      <c r="E547" s="502" t="n">
        <f aca="false">IF($C$3="是",ROUND($A$3*G547/$B$3,2),ROUND($A$3*(G547-AT547)/$B$3,2))</f>
        <v>0</v>
      </c>
      <c r="F547" s="503"/>
      <c r="G547" s="504" t="n">
        <f aca="false">H547+AC547+AT547</f>
        <v>0</v>
      </c>
      <c r="H547" s="505" t="n">
        <f aca="false">SUMIF(I$12:AB$12,"总值",I547:AB547)</f>
        <v>0</v>
      </c>
      <c r="I547" s="506"/>
      <c r="J547" s="506"/>
      <c r="K547" s="506"/>
      <c r="L547" s="506"/>
      <c r="M547" s="506"/>
      <c r="N547" s="506"/>
      <c r="O547" s="506"/>
      <c r="P547" s="506"/>
      <c r="Q547" s="506"/>
      <c r="R547" s="506"/>
      <c r="S547" s="506"/>
      <c r="T547" s="506"/>
      <c r="U547" s="506"/>
      <c r="V547" s="506"/>
      <c r="W547" s="506"/>
      <c r="X547" s="506"/>
      <c r="Y547" s="506"/>
      <c r="Z547" s="506"/>
      <c r="AA547" s="506"/>
      <c r="AB547" s="506"/>
      <c r="AC547" s="502" t="n">
        <f aca="false">SUMIF(AD$12:AS$12,"总值",AD547:AS547)</f>
        <v>0</v>
      </c>
      <c r="AD547" s="507"/>
      <c r="AE547" s="507"/>
      <c r="AF547" s="507"/>
      <c r="AG547" s="507"/>
      <c r="AH547" s="507"/>
      <c r="AI547" s="507"/>
      <c r="AJ547" s="507"/>
      <c r="AK547" s="507"/>
      <c r="AL547" s="507"/>
      <c r="AM547" s="507"/>
      <c r="AN547" s="507"/>
      <c r="AO547" s="507"/>
      <c r="AP547" s="507"/>
      <c r="AQ547" s="507"/>
      <c r="AR547" s="507"/>
      <c r="AS547" s="507"/>
      <c r="AT547" s="508"/>
      <c r="AU547" s="509"/>
      <c r="AV547" s="510" t="n">
        <f aca="false">A547</f>
        <v>0</v>
      </c>
      <c r="AW547" s="510" t="n">
        <f aca="false">B547</f>
        <v>0</v>
      </c>
      <c r="AX547" s="510" t="n">
        <f aca="false">C547</f>
        <v>0</v>
      </c>
      <c r="AY547" s="511" t="n">
        <f aca="false">ROUND($AY$6*AZ547/$AZ$5,2)</f>
        <v>0</v>
      </c>
      <c r="AZ547" s="502" t="n">
        <f aca="false">BA547+BL547</f>
        <v>0</v>
      </c>
      <c r="BA547" s="502" t="n">
        <f aca="false">SUM(BB547:BK547)</f>
        <v>0</v>
      </c>
      <c r="BB547" s="502" t="n">
        <f aca="false">IF($D547="是",I547-J547,0)</f>
        <v>0</v>
      </c>
      <c r="BC547" s="502" t="n">
        <f aca="false">IF($D547="是",K547-L547,0)</f>
        <v>0</v>
      </c>
      <c r="BD547" s="502" t="n">
        <f aca="false">IF($D547="是",M547-N547,0)</f>
        <v>0</v>
      </c>
      <c r="BE547" s="502" t="n">
        <f aca="false">IF($D547="是",O547-P547,0)</f>
        <v>0</v>
      </c>
      <c r="BF547" s="502" t="n">
        <f aca="false">IF($D547="是",Q547-R547,0)</f>
        <v>0</v>
      </c>
      <c r="BG547" s="502" t="n">
        <f aca="false">IF($D547="是",S547-T547,0)</f>
        <v>0</v>
      </c>
      <c r="BH547" s="502" t="n">
        <f aca="false">IF($D547="是",U547-V547,0)</f>
        <v>0</v>
      </c>
      <c r="BI547" s="502" t="n">
        <f aca="false">IF($D547="是",W547-X547,0)</f>
        <v>0</v>
      </c>
      <c r="BJ547" s="502" t="n">
        <f aca="false">IF($D547="是",Y547-Z547,0)</f>
        <v>0</v>
      </c>
      <c r="BK547" s="502" t="n">
        <f aca="false">IF($D547="是",AA547-AB547,0)</f>
        <v>0</v>
      </c>
      <c r="BL547" s="502" t="n">
        <f aca="false">SUM(BM547:BT547)</f>
        <v>0</v>
      </c>
      <c r="BM547" s="502" t="n">
        <f aca="false">IF($D547="是",AD547-AE547,0)</f>
        <v>0</v>
      </c>
      <c r="BN547" s="502" t="n">
        <f aca="false">IF($D547="是",AF547-AG547,0)</f>
        <v>0</v>
      </c>
      <c r="BO547" s="502" t="n">
        <f aca="false">IF($D547="是",AH547-AI547,0)</f>
        <v>0</v>
      </c>
      <c r="BP547" s="502" t="n">
        <f aca="false">IF($D547="是",AJ547-AK547,0)</f>
        <v>0</v>
      </c>
      <c r="BQ547" s="502" t="n">
        <f aca="false">IF($D547="是",AL547-AM547,0)</f>
        <v>0</v>
      </c>
      <c r="BR547" s="502" t="n">
        <f aca="false">IF($D547="是",AN547-AO547,0)</f>
        <v>0</v>
      </c>
      <c r="BS547" s="502" t="n">
        <f aca="false">IF($D547="是",AP547-AQ547,0)</f>
        <v>0</v>
      </c>
      <c r="BT547" s="512" t="n">
        <f aca="false">IF($D547="是",AR547-AS547,0)</f>
        <v>0</v>
      </c>
    </row>
    <row r="548" customFormat="false" ht="14.25" hidden="false" customHeight="false" outlineLevel="0" collapsed="false">
      <c r="A548" s="499"/>
      <c r="B548" s="500"/>
      <c r="C548" s="500"/>
      <c r="D548" s="501"/>
      <c r="E548" s="502" t="n">
        <f aca="false">IF($C$3="是",ROUND($A$3*G548/$B$3,2),ROUND($A$3*(G548-AT548)/$B$3,2))</f>
        <v>0</v>
      </c>
      <c r="F548" s="503"/>
      <c r="G548" s="504" t="n">
        <f aca="false">H548+AC548+AT548</f>
        <v>0</v>
      </c>
      <c r="H548" s="505" t="n">
        <f aca="false">SUMIF(I$12:AB$12,"总值",I548:AB548)</f>
        <v>0</v>
      </c>
      <c r="I548" s="506"/>
      <c r="J548" s="506"/>
      <c r="K548" s="506"/>
      <c r="L548" s="506"/>
      <c r="M548" s="506"/>
      <c r="N548" s="506"/>
      <c r="O548" s="506"/>
      <c r="P548" s="506"/>
      <c r="Q548" s="506"/>
      <c r="R548" s="506"/>
      <c r="S548" s="506"/>
      <c r="T548" s="506"/>
      <c r="U548" s="506"/>
      <c r="V548" s="506"/>
      <c r="W548" s="506"/>
      <c r="X548" s="506"/>
      <c r="Y548" s="506"/>
      <c r="Z548" s="506"/>
      <c r="AA548" s="506"/>
      <c r="AB548" s="506"/>
      <c r="AC548" s="502" t="n">
        <f aca="false">SUMIF(AD$12:AS$12,"总值",AD548:AS548)</f>
        <v>0</v>
      </c>
      <c r="AD548" s="507"/>
      <c r="AE548" s="507"/>
      <c r="AF548" s="507"/>
      <c r="AG548" s="507"/>
      <c r="AH548" s="507"/>
      <c r="AI548" s="507"/>
      <c r="AJ548" s="507"/>
      <c r="AK548" s="507"/>
      <c r="AL548" s="507"/>
      <c r="AM548" s="507"/>
      <c r="AN548" s="507"/>
      <c r="AO548" s="507"/>
      <c r="AP548" s="507"/>
      <c r="AQ548" s="507"/>
      <c r="AR548" s="507"/>
      <c r="AS548" s="507"/>
      <c r="AT548" s="508"/>
      <c r="AU548" s="509"/>
      <c r="AV548" s="510" t="n">
        <f aca="false">A548</f>
        <v>0</v>
      </c>
      <c r="AW548" s="510" t="n">
        <f aca="false">B548</f>
        <v>0</v>
      </c>
      <c r="AX548" s="510" t="n">
        <f aca="false">C548</f>
        <v>0</v>
      </c>
      <c r="AY548" s="511" t="n">
        <f aca="false">ROUND($AY$6*AZ548/$AZ$5,2)</f>
        <v>0</v>
      </c>
      <c r="AZ548" s="502" t="n">
        <f aca="false">BA548+BL548</f>
        <v>0</v>
      </c>
      <c r="BA548" s="502" t="n">
        <f aca="false">SUM(BB548:BK548)</f>
        <v>0</v>
      </c>
      <c r="BB548" s="502" t="n">
        <f aca="false">IF($D548="是",I548-J548,0)</f>
        <v>0</v>
      </c>
      <c r="BC548" s="502" t="n">
        <f aca="false">IF($D548="是",K548-L548,0)</f>
        <v>0</v>
      </c>
      <c r="BD548" s="502" t="n">
        <f aca="false">IF($D548="是",M548-N548,0)</f>
        <v>0</v>
      </c>
      <c r="BE548" s="502" t="n">
        <f aca="false">IF($D548="是",O548-P548,0)</f>
        <v>0</v>
      </c>
      <c r="BF548" s="502" t="n">
        <f aca="false">IF($D548="是",Q548-R548,0)</f>
        <v>0</v>
      </c>
      <c r="BG548" s="502" t="n">
        <f aca="false">IF($D548="是",S548-T548,0)</f>
        <v>0</v>
      </c>
      <c r="BH548" s="502" t="n">
        <f aca="false">IF($D548="是",U548-V548,0)</f>
        <v>0</v>
      </c>
      <c r="BI548" s="502" t="n">
        <f aca="false">IF($D548="是",W548-X548,0)</f>
        <v>0</v>
      </c>
      <c r="BJ548" s="502" t="n">
        <f aca="false">IF($D548="是",Y548-Z548,0)</f>
        <v>0</v>
      </c>
      <c r="BK548" s="502" t="n">
        <f aca="false">IF($D548="是",AA548-AB548,0)</f>
        <v>0</v>
      </c>
      <c r="BL548" s="502" t="n">
        <f aca="false">SUM(BM548:BT548)</f>
        <v>0</v>
      </c>
      <c r="BM548" s="502" t="n">
        <f aca="false">IF($D548="是",AD548-AE548,0)</f>
        <v>0</v>
      </c>
      <c r="BN548" s="502" t="n">
        <f aca="false">IF($D548="是",AF548-AG548,0)</f>
        <v>0</v>
      </c>
      <c r="BO548" s="502" t="n">
        <f aca="false">IF($D548="是",AH548-AI548,0)</f>
        <v>0</v>
      </c>
      <c r="BP548" s="502" t="n">
        <f aca="false">IF($D548="是",AJ548-AK548,0)</f>
        <v>0</v>
      </c>
      <c r="BQ548" s="502" t="n">
        <f aca="false">IF($D548="是",AL548-AM548,0)</f>
        <v>0</v>
      </c>
      <c r="BR548" s="502" t="n">
        <f aca="false">IF($D548="是",AN548-AO548,0)</f>
        <v>0</v>
      </c>
      <c r="BS548" s="502" t="n">
        <f aca="false">IF($D548="是",AP548-AQ548,0)</f>
        <v>0</v>
      </c>
      <c r="BT548" s="512" t="n">
        <f aca="false">IF($D548="是",AR548-AS548,0)</f>
        <v>0</v>
      </c>
    </row>
    <row r="549" customFormat="false" ht="14.25" hidden="false" customHeight="false" outlineLevel="0" collapsed="false">
      <c r="A549" s="499"/>
      <c r="B549" s="500"/>
      <c r="C549" s="500"/>
      <c r="D549" s="501"/>
      <c r="E549" s="502" t="n">
        <f aca="false">IF($C$3="是",ROUND($A$3*G549/$B$3,2),ROUND($A$3*(G549-AT549)/$B$3,2))</f>
        <v>0</v>
      </c>
      <c r="F549" s="503"/>
      <c r="G549" s="504" t="n">
        <f aca="false">H549+AC549+AT549</f>
        <v>0</v>
      </c>
      <c r="H549" s="505" t="n">
        <f aca="false">SUMIF(I$12:AB$12,"总值",I549:AB549)</f>
        <v>0</v>
      </c>
      <c r="I549" s="506"/>
      <c r="J549" s="506"/>
      <c r="K549" s="506"/>
      <c r="L549" s="506"/>
      <c r="M549" s="506"/>
      <c r="N549" s="506"/>
      <c r="O549" s="506"/>
      <c r="P549" s="506"/>
      <c r="Q549" s="506"/>
      <c r="R549" s="506"/>
      <c r="S549" s="506"/>
      <c r="T549" s="506"/>
      <c r="U549" s="506"/>
      <c r="V549" s="506"/>
      <c r="W549" s="506"/>
      <c r="X549" s="506"/>
      <c r="Y549" s="506"/>
      <c r="Z549" s="506"/>
      <c r="AA549" s="506"/>
      <c r="AB549" s="506"/>
      <c r="AC549" s="502" t="n">
        <f aca="false">SUMIF(AD$12:AS$12,"总值",AD549:AS549)</f>
        <v>0</v>
      </c>
      <c r="AD549" s="507"/>
      <c r="AE549" s="507"/>
      <c r="AF549" s="507"/>
      <c r="AG549" s="507"/>
      <c r="AH549" s="507"/>
      <c r="AI549" s="507"/>
      <c r="AJ549" s="507"/>
      <c r="AK549" s="507"/>
      <c r="AL549" s="507"/>
      <c r="AM549" s="507"/>
      <c r="AN549" s="507"/>
      <c r="AO549" s="507"/>
      <c r="AP549" s="507"/>
      <c r="AQ549" s="507"/>
      <c r="AR549" s="507"/>
      <c r="AS549" s="507"/>
      <c r="AT549" s="508"/>
      <c r="AU549" s="509"/>
      <c r="AV549" s="510" t="n">
        <f aca="false">A549</f>
        <v>0</v>
      </c>
      <c r="AW549" s="510" t="n">
        <f aca="false">B549</f>
        <v>0</v>
      </c>
      <c r="AX549" s="510" t="n">
        <f aca="false">C549</f>
        <v>0</v>
      </c>
      <c r="AY549" s="511" t="n">
        <f aca="false">ROUND($AY$6*AZ549/$AZ$5,2)</f>
        <v>0</v>
      </c>
      <c r="AZ549" s="502" t="n">
        <f aca="false">BA549+BL549</f>
        <v>0</v>
      </c>
      <c r="BA549" s="502" t="n">
        <f aca="false">SUM(BB549:BK549)</f>
        <v>0</v>
      </c>
      <c r="BB549" s="502" t="n">
        <f aca="false">IF($D549="是",I549-J549,0)</f>
        <v>0</v>
      </c>
      <c r="BC549" s="502" t="n">
        <f aca="false">IF($D549="是",K549-L549,0)</f>
        <v>0</v>
      </c>
      <c r="BD549" s="502" t="n">
        <f aca="false">IF($D549="是",M549-N549,0)</f>
        <v>0</v>
      </c>
      <c r="BE549" s="502" t="n">
        <f aca="false">IF($D549="是",O549-P549,0)</f>
        <v>0</v>
      </c>
      <c r="BF549" s="502" t="n">
        <f aca="false">IF($D549="是",Q549-R549,0)</f>
        <v>0</v>
      </c>
      <c r="BG549" s="502" t="n">
        <f aca="false">IF($D549="是",S549-T549,0)</f>
        <v>0</v>
      </c>
      <c r="BH549" s="502" t="n">
        <f aca="false">IF($D549="是",U549-V549,0)</f>
        <v>0</v>
      </c>
      <c r="BI549" s="502" t="n">
        <f aca="false">IF($D549="是",W549-X549,0)</f>
        <v>0</v>
      </c>
      <c r="BJ549" s="502" t="n">
        <f aca="false">IF($D549="是",Y549-Z549,0)</f>
        <v>0</v>
      </c>
      <c r="BK549" s="502" t="n">
        <f aca="false">IF($D549="是",AA549-AB549,0)</f>
        <v>0</v>
      </c>
      <c r="BL549" s="502" t="n">
        <f aca="false">SUM(BM549:BT549)</f>
        <v>0</v>
      </c>
      <c r="BM549" s="502" t="n">
        <f aca="false">IF($D549="是",AD549-AE549,0)</f>
        <v>0</v>
      </c>
      <c r="BN549" s="502" t="n">
        <f aca="false">IF($D549="是",AF549-AG549,0)</f>
        <v>0</v>
      </c>
      <c r="BO549" s="502" t="n">
        <f aca="false">IF($D549="是",AH549-AI549,0)</f>
        <v>0</v>
      </c>
      <c r="BP549" s="502" t="n">
        <f aca="false">IF($D549="是",AJ549-AK549,0)</f>
        <v>0</v>
      </c>
      <c r="BQ549" s="502" t="n">
        <f aca="false">IF($D549="是",AL549-AM549,0)</f>
        <v>0</v>
      </c>
      <c r="BR549" s="502" t="n">
        <f aca="false">IF($D549="是",AN549-AO549,0)</f>
        <v>0</v>
      </c>
      <c r="BS549" s="502" t="n">
        <f aca="false">IF($D549="是",AP549-AQ549,0)</f>
        <v>0</v>
      </c>
      <c r="BT549" s="512" t="n">
        <f aca="false">IF($D549="是",AR549-AS549,0)</f>
        <v>0</v>
      </c>
    </row>
    <row r="550" customFormat="false" ht="14.25" hidden="false" customHeight="false" outlineLevel="0" collapsed="false">
      <c r="A550" s="499"/>
      <c r="B550" s="500"/>
      <c r="C550" s="500"/>
      <c r="D550" s="501"/>
      <c r="E550" s="502" t="n">
        <f aca="false">IF($C$3="是",ROUND($A$3*G550/$B$3,2),ROUND($A$3*(G550-AT550)/$B$3,2))</f>
        <v>0</v>
      </c>
      <c r="F550" s="503"/>
      <c r="G550" s="504" t="n">
        <f aca="false">H550+AC550+AT550</f>
        <v>0</v>
      </c>
      <c r="H550" s="505" t="n">
        <f aca="false">SUMIF(I$12:AB$12,"总值",I550:AB550)</f>
        <v>0</v>
      </c>
      <c r="I550" s="506"/>
      <c r="J550" s="506"/>
      <c r="K550" s="506"/>
      <c r="L550" s="506"/>
      <c r="M550" s="506"/>
      <c r="N550" s="506"/>
      <c r="O550" s="506"/>
      <c r="P550" s="506"/>
      <c r="Q550" s="506"/>
      <c r="R550" s="506"/>
      <c r="S550" s="506"/>
      <c r="T550" s="506"/>
      <c r="U550" s="506"/>
      <c r="V550" s="506"/>
      <c r="W550" s="506"/>
      <c r="X550" s="506"/>
      <c r="Y550" s="506"/>
      <c r="Z550" s="506"/>
      <c r="AA550" s="506"/>
      <c r="AB550" s="506"/>
      <c r="AC550" s="502" t="n">
        <f aca="false">SUMIF(AD$12:AS$12,"总值",AD550:AS550)</f>
        <v>0</v>
      </c>
      <c r="AD550" s="507"/>
      <c r="AE550" s="507"/>
      <c r="AF550" s="507"/>
      <c r="AG550" s="507"/>
      <c r="AH550" s="507"/>
      <c r="AI550" s="507"/>
      <c r="AJ550" s="507"/>
      <c r="AK550" s="507"/>
      <c r="AL550" s="507"/>
      <c r="AM550" s="507"/>
      <c r="AN550" s="507"/>
      <c r="AO550" s="507"/>
      <c r="AP550" s="507"/>
      <c r="AQ550" s="507"/>
      <c r="AR550" s="507"/>
      <c r="AS550" s="507"/>
      <c r="AT550" s="508"/>
      <c r="AU550" s="509"/>
      <c r="AV550" s="510" t="n">
        <f aca="false">A550</f>
        <v>0</v>
      </c>
      <c r="AW550" s="510" t="n">
        <f aca="false">B550</f>
        <v>0</v>
      </c>
      <c r="AX550" s="510" t="n">
        <f aca="false">C550</f>
        <v>0</v>
      </c>
      <c r="AY550" s="511" t="n">
        <f aca="false">ROUND($AY$6*AZ550/$AZ$5,2)</f>
        <v>0</v>
      </c>
      <c r="AZ550" s="502" t="n">
        <f aca="false">BA550+BL550</f>
        <v>0</v>
      </c>
      <c r="BA550" s="502" t="n">
        <f aca="false">SUM(BB550:BK550)</f>
        <v>0</v>
      </c>
      <c r="BB550" s="502" t="n">
        <f aca="false">IF($D550="是",I550-J550,0)</f>
        <v>0</v>
      </c>
      <c r="BC550" s="502" t="n">
        <f aca="false">IF($D550="是",K550-L550,0)</f>
        <v>0</v>
      </c>
      <c r="BD550" s="502" t="n">
        <f aca="false">IF($D550="是",M550-N550,0)</f>
        <v>0</v>
      </c>
      <c r="BE550" s="502" t="n">
        <f aca="false">IF($D550="是",O550-P550,0)</f>
        <v>0</v>
      </c>
      <c r="BF550" s="502" t="n">
        <f aca="false">IF($D550="是",Q550-R550,0)</f>
        <v>0</v>
      </c>
      <c r="BG550" s="502" t="n">
        <f aca="false">IF($D550="是",S550-T550,0)</f>
        <v>0</v>
      </c>
      <c r="BH550" s="502" t="n">
        <f aca="false">IF($D550="是",U550-V550,0)</f>
        <v>0</v>
      </c>
      <c r="BI550" s="502" t="n">
        <f aca="false">IF($D550="是",W550-X550,0)</f>
        <v>0</v>
      </c>
      <c r="BJ550" s="502" t="n">
        <f aca="false">IF($D550="是",Y550-Z550,0)</f>
        <v>0</v>
      </c>
      <c r="BK550" s="502" t="n">
        <f aca="false">IF($D550="是",AA550-AB550,0)</f>
        <v>0</v>
      </c>
      <c r="BL550" s="502" t="n">
        <f aca="false">SUM(BM550:BT550)</f>
        <v>0</v>
      </c>
      <c r="BM550" s="502" t="n">
        <f aca="false">IF($D550="是",AD550-AE550,0)</f>
        <v>0</v>
      </c>
      <c r="BN550" s="502" t="n">
        <f aca="false">IF($D550="是",AF550-AG550,0)</f>
        <v>0</v>
      </c>
      <c r="BO550" s="502" t="n">
        <f aca="false">IF($D550="是",AH550-AI550,0)</f>
        <v>0</v>
      </c>
      <c r="BP550" s="502" t="n">
        <f aca="false">IF($D550="是",AJ550-AK550,0)</f>
        <v>0</v>
      </c>
      <c r="BQ550" s="502" t="n">
        <f aca="false">IF($D550="是",AL550-AM550,0)</f>
        <v>0</v>
      </c>
      <c r="BR550" s="502" t="n">
        <f aca="false">IF($D550="是",AN550-AO550,0)</f>
        <v>0</v>
      </c>
      <c r="BS550" s="502" t="n">
        <f aca="false">IF($D550="是",AP550-AQ550,0)</f>
        <v>0</v>
      </c>
      <c r="BT550" s="512" t="n">
        <f aca="false">IF($D550="是",AR550-AS550,0)</f>
        <v>0</v>
      </c>
    </row>
    <row r="551" customFormat="false" ht="14.25" hidden="false" customHeight="false" outlineLevel="0" collapsed="false">
      <c r="A551" s="499"/>
      <c r="B551" s="500"/>
      <c r="C551" s="500"/>
      <c r="D551" s="501"/>
      <c r="E551" s="502" t="n">
        <f aca="false">IF($C$3="是",ROUND($A$3*G551/$B$3,2),ROUND($A$3*(G551-AT551)/$B$3,2))</f>
        <v>0</v>
      </c>
      <c r="F551" s="503"/>
      <c r="G551" s="504" t="n">
        <f aca="false">H551+AC551+AT551</f>
        <v>0</v>
      </c>
      <c r="H551" s="505" t="n">
        <f aca="false">SUMIF(I$12:AB$12,"总值",I551:AB551)</f>
        <v>0</v>
      </c>
      <c r="I551" s="506"/>
      <c r="J551" s="506"/>
      <c r="K551" s="506"/>
      <c r="L551" s="506"/>
      <c r="M551" s="506"/>
      <c r="N551" s="506"/>
      <c r="O551" s="506"/>
      <c r="P551" s="506"/>
      <c r="Q551" s="506"/>
      <c r="R551" s="506"/>
      <c r="S551" s="506"/>
      <c r="T551" s="506"/>
      <c r="U551" s="506"/>
      <c r="V551" s="506"/>
      <c r="W551" s="506"/>
      <c r="X551" s="506"/>
      <c r="Y551" s="506"/>
      <c r="Z551" s="506"/>
      <c r="AA551" s="506"/>
      <c r="AB551" s="506"/>
      <c r="AC551" s="502" t="n">
        <f aca="false">SUMIF(AD$12:AS$12,"总值",AD551:AS551)</f>
        <v>0</v>
      </c>
      <c r="AD551" s="507"/>
      <c r="AE551" s="507"/>
      <c r="AF551" s="507"/>
      <c r="AG551" s="507"/>
      <c r="AH551" s="507"/>
      <c r="AI551" s="507"/>
      <c r="AJ551" s="507"/>
      <c r="AK551" s="507"/>
      <c r="AL551" s="507"/>
      <c r="AM551" s="507"/>
      <c r="AN551" s="507"/>
      <c r="AO551" s="507"/>
      <c r="AP551" s="507"/>
      <c r="AQ551" s="507"/>
      <c r="AR551" s="507"/>
      <c r="AS551" s="507"/>
      <c r="AT551" s="508"/>
      <c r="AU551" s="509"/>
      <c r="AV551" s="510" t="n">
        <f aca="false">A551</f>
        <v>0</v>
      </c>
      <c r="AW551" s="510" t="n">
        <f aca="false">B551</f>
        <v>0</v>
      </c>
      <c r="AX551" s="510" t="n">
        <f aca="false">C551</f>
        <v>0</v>
      </c>
      <c r="AY551" s="511" t="n">
        <f aca="false">ROUND($AY$6*AZ551/$AZ$5,2)</f>
        <v>0</v>
      </c>
      <c r="AZ551" s="502" t="n">
        <f aca="false">BA551+BL551</f>
        <v>0</v>
      </c>
      <c r="BA551" s="502" t="n">
        <f aca="false">SUM(BB551:BK551)</f>
        <v>0</v>
      </c>
      <c r="BB551" s="502" t="n">
        <f aca="false">IF($D551="是",I551-J551,0)</f>
        <v>0</v>
      </c>
      <c r="BC551" s="502" t="n">
        <f aca="false">IF($D551="是",K551-L551,0)</f>
        <v>0</v>
      </c>
      <c r="BD551" s="502" t="n">
        <f aca="false">IF($D551="是",M551-N551,0)</f>
        <v>0</v>
      </c>
      <c r="BE551" s="502" t="n">
        <f aca="false">IF($D551="是",O551-P551,0)</f>
        <v>0</v>
      </c>
      <c r="BF551" s="502" t="n">
        <f aca="false">IF($D551="是",Q551-R551,0)</f>
        <v>0</v>
      </c>
      <c r="BG551" s="502" t="n">
        <f aca="false">IF($D551="是",S551-T551,0)</f>
        <v>0</v>
      </c>
      <c r="BH551" s="502" t="n">
        <f aca="false">IF($D551="是",U551-V551,0)</f>
        <v>0</v>
      </c>
      <c r="BI551" s="502" t="n">
        <f aca="false">IF($D551="是",W551-X551,0)</f>
        <v>0</v>
      </c>
      <c r="BJ551" s="502" t="n">
        <f aca="false">IF($D551="是",Y551-Z551,0)</f>
        <v>0</v>
      </c>
      <c r="BK551" s="502" t="n">
        <f aca="false">IF($D551="是",AA551-AB551,0)</f>
        <v>0</v>
      </c>
      <c r="BL551" s="502" t="n">
        <f aca="false">SUM(BM551:BT551)</f>
        <v>0</v>
      </c>
      <c r="BM551" s="502" t="n">
        <f aca="false">IF($D551="是",AD551-AE551,0)</f>
        <v>0</v>
      </c>
      <c r="BN551" s="502" t="n">
        <f aca="false">IF($D551="是",AF551-AG551,0)</f>
        <v>0</v>
      </c>
      <c r="BO551" s="502" t="n">
        <f aca="false">IF($D551="是",AH551-AI551,0)</f>
        <v>0</v>
      </c>
      <c r="BP551" s="502" t="n">
        <f aca="false">IF($D551="是",AJ551-AK551,0)</f>
        <v>0</v>
      </c>
      <c r="BQ551" s="502" t="n">
        <f aca="false">IF($D551="是",AL551-AM551,0)</f>
        <v>0</v>
      </c>
      <c r="BR551" s="502" t="n">
        <f aca="false">IF($D551="是",AN551-AO551,0)</f>
        <v>0</v>
      </c>
      <c r="BS551" s="502" t="n">
        <f aca="false">IF($D551="是",AP551-AQ551,0)</f>
        <v>0</v>
      </c>
      <c r="BT551" s="512" t="n">
        <f aca="false">IF($D551="是",AR551-AS551,0)</f>
        <v>0</v>
      </c>
    </row>
    <row r="552" customFormat="false" ht="14.25" hidden="false" customHeight="false" outlineLevel="0" collapsed="false">
      <c r="A552" s="499"/>
      <c r="B552" s="500"/>
      <c r="C552" s="500"/>
      <c r="D552" s="501"/>
      <c r="E552" s="502" t="n">
        <f aca="false">IF($C$3="是",ROUND($A$3*G552/$B$3,2),ROUND($A$3*(G552-AT552)/$B$3,2))</f>
        <v>0</v>
      </c>
      <c r="F552" s="503"/>
      <c r="G552" s="504" t="n">
        <f aca="false">H552+AC552+AT552</f>
        <v>0</v>
      </c>
      <c r="H552" s="505" t="n">
        <f aca="false">SUMIF(I$12:AB$12,"总值",I552:AB552)</f>
        <v>0</v>
      </c>
      <c r="I552" s="506"/>
      <c r="J552" s="506"/>
      <c r="K552" s="506"/>
      <c r="L552" s="506"/>
      <c r="M552" s="506"/>
      <c r="N552" s="506"/>
      <c r="O552" s="506"/>
      <c r="P552" s="506"/>
      <c r="Q552" s="506"/>
      <c r="R552" s="506"/>
      <c r="S552" s="506"/>
      <c r="T552" s="506"/>
      <c r="U552" s="506"/>
      <c r="V552" s="506"/>
      <c r="W552" s="506"/>
      <c r="X552" s="506"/>
      <c r="Y552" s="506"/>
      <c r="Z552" s="506"/>
      <c r="AA552" s="506"/>
      <c r="AB552" s="506"/>
      <c r="AC552" s="502" t="n">
        <f aca="false">SUMIF(AD$12:AS$12,"总值",AD552:AS552)</f>
        <v>0</v>
      </c>
      <c r="AD552" s="507"/>
      <c r="AE552" s="507"/>
      <c r="AF552" s="507"/>
      <c r="AG552" s="507"/>
      <c r="AH552" s="507"/>
      <c r="AI552" s="507"/>
      <c r="AJ552" s="507"/>
      <c r="AK552" s="507"/>
      <c r="AL552" s="507"/>
      <c r="AM552" s="507"/>
      <c r="AN552" s="507"/>
      <c r="AO552" s="507"/>
      <c r="AP552" s="507"/>
      <c r="AQ552" s="507"/>
      <c r="AR552" s="507"/>
      <c r="AS552" s="507"/>
      <c r="AT552" s="508"/>
      <c r="AU552" s="509"/>
      <c r="AV552" s="510" t="n">
        <f aca="false">A552</f>
        <v>0</v>
      </c>
      <c r="AW552" s="510" t="n">
        <f aca="false">B552</f>
        <v>0</v>
      </c>
      <c r="AX552" s="510" t="n">
        <f aca="false">C552</f>
        <v>0</v>
      </c>
      <c r="AY552" s="511" t="n">
        <f aca="false">ROUND($AY$6*AZ552/$AZ$5,2)</f>
        <v>0</v>
      </c>
      <c r="AZ552" s="502" t="n">
        <f aca="false">BA552+BL552</f>
        <v>0</v>
      </c>
      <c r="BA552" s="502" t="n">
        <f aca="false">SUM(BB552:BK552)</f>
        <v>0</v>
      </c>
      <c r="BB552" s="502" t="n">
        <f aca="false">IF($D552="是",I552-J552,0)</f>
        <v>0</v>
      </c>
      <c r="BC552" s="502" t="n">
        <f aca="false">IF($D552="是",K552-L552,0)</f>
        <v>0</v>
      </c>
      <c r="BD552" s="502" t="n">
        <f aca="false">IF($D552="是",M552-N552,0)</f>
        <v>0</v>
      </c>
      <c r="BE552" s="502" t="n">
        <f aca="false">IF($D552="是",O552-P552,0)</f>
        <v>0</v>
      </c>
      <c r="BF552" s="502" t="n">
        <f aca="false">IF($D552="是",Q552-R552,0)</f>
        <v>0</v>
      </c>
      <c r="BG552" s="502" t="n">
        <f aca="false">IF($D552="是",S552-T552,0)</f>
        <v>0</v>
      </c>
      <c r="BH552" s="502" t="n">
        <f aca="false">IF($D552="是",U552-V552,0)</f>
        <v>0</v>
      </c>
      <c r="BI552" s="502" t="n">
        <f aca="false">IF($D552="是",W552-X552,0)</f>
        <v>0</v>
      </c>
      <c r="BJ552" s="502" t="n">
        <f aca="false">IF($D552="是",Y552-Z552,0)</f>
        <v>0</v>
      </c>
      <c r="BK552" s="502" t="n">
        <f aca="false">IF($D552="是",AA552-AB552,0)</f>
        <v>0</v>
      </c>
      <c r="BL552" s="502" t="n">
        <f aca="false">SUM(BM552:BT552)</f>
        <v>0</v>
      </c>
      <c r="BM552" s="502" t="n">
        <f aca="false">IF($D552="是",AD552-AE552,0)</f>
        <v>0</v>
      </c>
      <c r="BN552" s="502" t="n">
        <f aca="false">IF($D552="是",AF552-AG552,0)</f>
        <v>0</v>
      </c>
      <c r="BO552" s="502" t="n">
        <f aca="false">IF($D552="是",AH552-AI552,0)</f>
        <v>0</v>
      </c>
      <c r="BP552" s="502" t="n">
        <f aca="false">IF($D552="是",AJ552-AK552,0)</f>
        <v>0</v>
      </c>
      <c r="BQ552" s="502" t="n">
        <f aca="false">IF($D552="是",AL552-AM552,0)</f>
        <v>0</v>
      </c>
      <c r="BR552" s="502" t="n">
        <f aca="false">IF($D552="是",AN552-AO552,0)</f>
        <v>0</v>
      </c>
      <c r="BS552" s="502" t="n">
        <f aca="false">IF($D552="是",AP552-AQ552,0)</f>
        <v>0</v>
      </c>
      <c r="BT552" s="512" t="n">
        <f aca="false">IF($D552="是",AR552-AS552,0)</f>
        <v>0</v>
      </c>
    </row>
    <row r="553" customFormat="false" ht="14.25" hidden="false" customHeight="false" outlineLevel="0" collapsed="false">
      <c r="A553" s="499"/>
      <c r="B553" s="500"/>
      <c r="C553" s="500"/>
      <c r="D553" s="501"/>
      <c r="E553" s="502" t="n">
        <f aca="false">IF($C$3="是",ROUND($A$3*G553/$B$3,2),ROUND($A$3*(G553-AT553)/$B$3,2))</f>
        <v>0</v>
      </c>
      <c r="F553" s="503"/>
      <c r="G553" s="504" t="n">
        <f aca="false">H553+AC553+AT553</f>
        <v>0</v>
      </c>
      <c r="H553" s="505" t="n">
        <f aca="false">SUMIF(I$12:AB$12,"总值",I553:AB553)</f>
        <v>0</v>
      </c>
      <c r="I553" s="506"/>
      <c r="J553" s="506"/>
      <c r="K553" s="506"/>
      <c r="L553" s="506"/>
      <c r="M553" s="506"/>
      <c r="N553" s="506"/>
      <c r="O553" s="506"/>
      <c r="P553" s="506"/>
      <c r="Q553" s="506"/>
      <c r="R553" s="506"/>
      <c r="S553" s="506"/>
      <c r="T553" s="506"/>
      <c r="U553" s="506"/>
      <c r="V553" s="506"/>
      <c r="W553" s="506"/>
      <c r="X553" s="506"/>
      <c r="Y553" s="506"/>
      <c r="Z553" s="506"/>
      <c r="AA553" s="506"/>
      <c r="AB553" s="506"/>
      <c r="AC553" s="502" t="n">
        <f aca="false">SUMIF(AD$12:AS$12,"总值",AD553:AS553)</f>
        <v>0</v>
      </c>
      <c r="AD553" s="507"/>
      <c r="AE553" s="507"/>
      <c r="AF553" s="507"/>
      <c r="AG553" s="507"/>
      <c r="AH553" s="507"/>
      <c r="AI553" s="507"/>
      <c r="AJ553" s="507"/>
      <c r="AK553" s="507"/>
      <c r="AL553" s="507"/>
      <c r="AM553" s="507"/>
      <c r="AN553" s="507"/>
      <c r="AO553" s="507"/>
      <c r="AP553" s="507"/>
      <c r="AQ553" s="507"/>
      <c r="AR553" s="507"/>
      <c r="AS553" s="507"/>
      <c r="AT553" s="508"/>
      <c r="AU553" s="509"/>
      <c r="AV553" s="510" t="n">
        <f aca="false">A553</f>
        <v>0</v>
      </c>
      <c r="AW553" s="510" t="n">
        <f aca="false">B553</f>
        <v>0</v>
      </c>
      <c r="AX553" s="510" t="n">
        <f aca="false">C553</f>
        <v>0</v>
      </c>
      <c r="AY553" s="511" t="n">
        <f aca="false">ROUND($AY$6*AZ553/$AZ$5,2)</f>
        <v>0</v>
      </c>
      <c r="AZ553" s="502" t="n">
        <f aca="false">BA553+BL553</f>
        <v>0</v>
      </c>
      <c r="BA553" s="502" t="n">
        <f aca="false">SUM(BB553:BK553)</f>
        <v>0</v>
      </c>
      <c r="BB553" s="502" t="n">
        <f aca="false">IF($D553="是",I553-J553,0)</f>
        <v>0</v>
      </c>
      <c r="BC553" s="502" t="n">
        <f aca="false">IF($D553="是",K553-L553,0)</f>
        <v>0</v>
      </c>
      <c r="BD553" s="502" t="n">
        <f aca="false">IF($D553="是",M553-N553,0)</f>
        <v>0</v>
      </c>
      <c r="BE553" s="502" t="n">
        <f aca="false">IF($D553="是",O553-P553,0)</f>
        <v>0</v>
      </c>
      <c r="BF553" s="502" t="n">
        <f aca="false">IF($D553="是",Q553-R553,0)</f>
        <v>0</v>
      </c>
      <c r="BG553" s="502" t="n">
        <f aca="false">IF($D553="是",S553-T553,0)</f>
        <v>0</v>
      </c>
      <c r="BH553" s="502" t="n">
        <f aca="false">IF($D553="是",U553-V553,0)</f>
        <v>0</v>
      </c>
      <c r="BI553" s="502" t="n">
        <f aca="false">IF($D553="是",W553-X553,0)</f>
        <v>0</v>
      </c>
      <c r="BJ553" s="502" t="n">
        <f aca="false">IF($D553="是",Y553-Z553,0)</f>
        <v>0</v>
      </c>
      <c r="BK553" s="502" t="n">
        <f aca="false">IF($D553="是",AA553-AB553,0)</f>
        <v>0</v>
      </c>
      <c r="BL553" s="502" t="n">
        <f aca="false">SUM(BM553:BT553)</f>
        <v>0</v>
      </c>
      <c r="BM553" s="502" t="n">
        <f aca="false">IF($D553="是",AD553-AE553,0)</f>
        <v>0</v>
      </c>
      <c r="BN553" s="502" t="n">
        <f aca="false">IF($D553="是",AF553-AG553,0)</f>
        <v>0</v>
      </c>
      <c r="BO553" s="502" t="n">
        <f aca="false">IF($D553="是",AH553-AI553,0)</f>
        <v>0</v>
      </c>
      <c r="BP553" s="502" t="n">
        <f aca="false">IF($D553="是",AJ553-AK553,0)</f>
        <v>0</v>
      </c>
      <c r="BQ553" s="502" t="n">
        <f aca="false">IF($D553="是",AL553-AM553,0)</f>
        <v>0</v>
      </c>
      <c r="BR553" s="502" t="n">
        <f aca="false">IF($D553="是",AN553-AO553,0)</f>
        <v>0</v>
      </c>
      <c r="BS553" s="502" t="n">
        <f aca="false">IF($D553="是",AP553-AQ553,0)</f>
        <v>0</v>
      </c>
      <c r="BT553" s="512" t="n">
        <f aca="false">IF($D553="是",AR553-AS553,0)</f>
        <v>0</v>
      </c>
    </row>
    <row r="554" customFormat="false" ht="14.25" hidden="false" customHeight="false" outlineLevel="0" collapsed="false">
      <c r="A554" s="499"/>
      <c r="B554" s="500"/>
      <c r="C554" s="500"/>
      <c r="D554" s="501"/>
      <c r="E554" s="502" t="n">
        <f aca="false">IF($C$3="是",ROUND($A$3*G554/$B$3,2),ROUND($A$3*(G554-AT554)/$B$3,2))</f>
        <v>0</v>
      </c>
      <c r="F554" s="503"/>
      <c r="G554" s="504" t="n">
        <f aca="false">H554+AC554+AT554</f>
        <v>0</v>
      </c>
      <c r="H554" s="505" t="n">
        <f aca="false">SUMIF(I$12:AB$12,"总值",I554:AB554)</f>
        <v>0</v>
      </c>
      <c r="I554" s="506"/>
      <c r="J554" s="506"/>
      <c r="K554" s="506"/>
      <c r="L554" s="506"/>
      <c r="M554" s="506"/>
      <c r="N554" s="506"/>
      <c r="O554" s="506"/>
      <c r="P554" s="506"/>
      <c r="Q554" s="506"/>
      <c r="R554" s="506"/>
      <c r="S554" s="506"/>
      <c r="T554" s="506"/>
      <c r="U554" s="506"/>
      <c r="V554" s="506"/>
      <c r="W554" s="506"/>
      <c r="X554" s="506"/>
      <c r="Y554" s="506"/>
      <c r="Z554" s="506"/>
      <c r="AA554" s="506"/>
      <c r="AB554" s="506"/>
      <c r="AC554" s="502" t="n">
        <f aca="false">SUMIF(AD$12:AS$12,"总值",AD554:AS554)</f>
        <v>0</v>
      </c>
      <c r="AD554" s="507"/>
      <c r="AE554" s="507"/>
      <c r="AF554" s="507"/>
      <c r="AG554" s="507"/>
      <c r="AH554" s="507"/>
      <c r="AI554" s="507"/>
      <c r="AJ554" s="507"/>
      <c r="AK554" s="507"/>
      <c r="AL554" s="507"/>
      <c r="AM554" s="507"/>
      <c r="AN554" s="507"/>
      <c r="AO554" s="507"/>
      <c r="AP554" s="507"/>
      <c r="AQ554" s="507"/>
      <c r="AR554" s="507"/>
      <c r="AS554" s="507"/>
      <c r="AT554" s="508"/>
      <c r="AU554" s="509"/>
      <c r="AV554" s="510" t="n">
        <f aca="false">A554</f>
        <v>0</v>
      </c>
      <c r="AW554" s="510" t="n">
        <f aca="false">B554</f>
        <v>0</v>
      </c>
      <c r="AX554" s="510" t="n">
        <f aca="false">C554</f>
        <v>0</v>
      </c>
      <c r="AY554" s="511" t="n">
        <f aca="false">ROUND($AY$6*AZ554/$AZ$5,2)</f>
        <v>0</v>
      </c>
      <c r="AZ554" s="502" t="n">
        <f aca="false">BA554+BL554</f>
        <v>0</v>
      </c>
      <c r="BA554" s="502" t="n">
        <f aca="false">SUM(BB554:BK554)</f>
        <v>0</v>
      </c>
      <c r="BB554" s="502" t="n">
        <f aca="false">IF($D554="是",I554-J554,0)</f>
        <v>0</v>
      </c>
      <c r="BC554" s="502" t="n">
        <f aca="false">IF($D554="是",K554-L554,0)</f>
        <v>0</v>
      </c>
      <c r="BD554" s="502" t="n">
        <f aca="false">IF($D554="是",M554-N554,0)</f>
        <v>0</v>
      </c>
      <c r="BE554" s="502" t="n">
        <f aca="false">IF($D554="是",O554-P554,0)</f>
        <v>0</v>
      </c>
      <c r="BF554" s="502" t="n">
        <f aca="false">IF($D554="是",Q554-R554,0)</f>
        <v>0</v>
      </c>
      <c r="BG554" s="502" t="n">
        <f aca="false">IF($D554="是",S554-T554,0)</f>
        <v>0</v>
      </c>
      <c r="BH554" s="502" t="n">
        <f aca="false">IF($D554="是",U554-V554,0)</f>
        <v>0</v>
      </c>
      <c r="BI554" s="502" t="n">
        <f aca="false">IF($D554="是",W554-X554,0)</f>
        <v>0</v>
      </c>
      <c r="BJ554" s="502" t="n">
        <f aca="false">IF($D554="是",Y554-Z554,0)</f>
        <v>0</v>
      </c>
      <c r="BK554" s="502" t="n">
        <f aca="false">IF($D554="是",AA554-AB554,0)</f>
        <v>0</v>
      </c>
      <c r="BL554" s="502" t="n">
        <f aca="false">SUM(BM554:BT554)</f>
        <v>0</v>
      </c>
      <c r="BM554" s="502" t="n">
        <f aca="false">IF($D554="是",AD554-AE554,0)</f>
        <v>0</v>
      </c>
      <c r="BN554" s="502" t="n">
        <f aca="false">IF($D554="是",AF554-AG554,0)</f>
        <v>0</v>
      </c>
      <c r="BO554" s="502" t="n">
        <f aca="false">IF($D554="是",AH554-AI554,0)</f>
        <v>0</v>
      </c>
      <c r="BP554" s="502" t="n">
        <f aca="false">IF($D554="是",AJ554-AK554,0)</f>
        <v>0</v>
      </c>
      <c r="BQ554" s="502" t="n">
        <f aca="false">IF($D554="是",AL554-AM554,0)</f>
        <v>0</v>
      </c>
      <c r="BR554" s="502" t="n">
        <f aca="false">IF($D554="是",AN554-AO554,0)</f>
        <v>0</v>
      </c>
      <c r="BS554" s="502" t="n">
        <f aca="false">IF($D554="是",AP554-AQ554,0)</f>
        <v>0</v>
      </c>
      <c r="BT554" s="512" t="n">
        <f aca="false">IF($D554="是",AR554-AS554,0)</f>
        <v>0</v>
      </c>
    </row>
    <row r="555" customFormat="false" ht="14.25" hidden="false" customHeight="false" outlineLevel="0" collapsed="false">
      <c r="A555" s="499"/>
      <c r="B555" s="500"/>
      <c r="C555" s="500"/>
      <c r="D555" s="501"/>
      <c r="E555" s="502" t="n">
        <f aca="false">IF($C$3="是",ROUND($A$3*G555/$B$3,2),ROUND($A$3*(G555-AT555)/$B$3,2))</f>
        <v>0</v>
      </c>
      <c r="F555" s="503"/>
      <c r="G555" s="504" t="n">
        <f aca="false">H555+AC555+AT555</f>
        <v>0</v>
      </c>
      <c r="H555" s="505" t="n">
        <f aca="false">SUMIF(I$12:AB$12,"总值",I555:AB555)</f>
        <v>0</v>
      </c>
      <c r="I555" s="506"/>
      <c r="J555" s="506"/>
      <c r="K555" s="506"/>
      <c r="L555" s="506"/>
      <c r="M555" s="506"/>
      <c r="N555" s="506"/>
      <c r="O555" s="506"/>
      <c r="P555" s="506"/>
      <c r="Q555" s="506"/>
      <c r="R555" s="506"/>
      <c r="S555" s="506"/>
      <c r="T555" s="506"/>
      <c r="U555" s="506"/>
      <c r="V555" s="506"/>
      <c r="W555" s="506"/>
      <c r="X555" s="506"/>
      <c r="Y555" s="506"/>
      <c r="Z555" s="506"/>
      <c r="AA555" s="506"/>
      <c r="AB555" s="506"/>
      <c r="AC555" s="502" t="n">
        <f aca="false">SUMIF(AD$12:AS$12,"总值",AD555:AS555)</f>
        <v>0</v>
      </c>
      <c r="AD555" s="507"/>
      <c r="AE555" s="507"/>
      <c r="AF555" s="507"/>
      <c r="AG555" s="507"/>
      <c r="AH555" s="507"/>
      <c r="AI555" s="507"/>
      <c r="AJ555" s="507"/>
      <c r="AK555" s="507"/>
      <c r="AL555" s="507"/>
      <c r="AM555" s="507"/>
      <c r="AN555" s="507"/>
      <c r="AO555" s="507"/>
      <c r="AP555" s="507"/>
      <c r="AQ555" s="507"/>
      <c r="AR555" s="507"/>
      <c r="AS555" s="507"/>
      <c r="AT555" s="508"/>
      <c r="AU555" s="509"/>
      <c r="AV555" s="510" t="n">
        <f aca="false">A555</f>
        <v>0</v>
      </c>
      <c r="AW555" s="510" t="n">
        <f aca="false">B555</f>
        <v>0</v>
      </c>
      <c r="AX555" s="510" t="n">
        <f aca="false">C555</f>
        <v>0</v>
      </c>
      <c r="AY555" s="511" t="n">
        <f aca="false">ROUND($AY$6*AZ555/$AZ$5,2)</f>
        <v>0</v>
      </c>
      <c r="AZ555" s="502" t="n">
        <f aca="false">BA555+BL555</f>
        <v>0</v>
      </c>
      <c r="BA555" s="502" t="n">
        <f aca="false">SUM(BB555:BK555)</f>
        <v>0</v>
      </c>
      <c r="BB555" s="502" t="n">
        <f aca="false">IF($D555="是",I555-J555,0)</f>
        <v>0</v>
      </c>
      <c r="BC555" s="502" t="n">
        <f aca="false">IF($D555="是",K555-L555,0)</f>
        <v>0</v>
      </c>
      <c r="BD555" s="502" t="n">
        <f aca="false">IF($D555="是",M555-N555,0)</f>
        <v>0</v>
      </c>
      <c r="BE555" s="502" t="n">
        <f aca="false">IF($D555="是",O555-P555,0)</f>
        <v>0</v>
      </c>
      <c r="BF555" s="502" t="n">
        <f aca="false">IF($D555="是",Q555-R555,0)</f>
        <v>0</v>
      </c>
      <c r="BG555" s="502" t="n">
        <f aca="false">IF($D555="是",S555-T555,0)</f>
        <v>0</v>
      </c>
      <c r="BH555" s="502" t="n">
        <f aca="false">IF($D555="是",U555-V555,0)</f>
        <v>0</v>
      </c>
      <c r="BI555" s="502" t="n">
        <f aca="false">IF($D555="是",W555-X555,0)</f>
        <v>0</v>
      </c>
      <c r="BJ555" s="502" t="n">
        <f aca="false">IF($D555="是",Y555-Z555,0)</f>
        <v>0</v>
      </c>
      <c r="BK555" s="502" t="n">
        <f aca="false">IF($D555="是",AA555-AB555,0)</f>
        <v>0</v>
      </c>
      <c r="BL555" s="502" t="n">
        <f aca="false">SUM(BM555:BT555)</f>
        <v>0</v>
      </c>
      <c r="BM555" s="502" t="n">
        <f aca="false">IF($D555="是",AD555-AE555,0)</f>
        <v>0</v>
      </c>
      <c r="BN555" s="502" t="n">
        <f aca="false">IF($D555="是",AF555-AG555,0)</f>
        <v>0</v>
      </c>
      <c r="BO555" s="502" t="n">
        <f aca="false">IF($D555="是",AH555-AI555,0)</f>
        <v>0</v>
      </c>
      <c r="BP555" s="502" t="n">
        <f aca="false">IF($D555="是",AJ555-AK555,0)</f>
        <v>0</v>
      </c>
      <c r="BQ555" s="502" t="n">
        <f aca="false">IF($D555="是",AL555-AM555,0)</f>
        <v>0</v>
      </c>
      <c r="BR555" s="502" t="n">
        <f aca="false">IF($D555="是",AN555-AO555,0)</f>
        <v>0</v>
      </c>
      <c r="BS555" s="502" t="n">
        <f aca="false">IF($D555="是",AP555-AQ555,0)</f>
        <v>0</v>
      </c>
      <c r="BT555" s="512" t="n">
        <f aca="false">IF($D555="是",AR555-AS555,0)</f>
        <v>0</v>
      </c>
    </row>
    <row r="556" customFormat="false" ht="14.25" hidden="false" customHeight="false" outlineLevel="0" collapsed="false">
      <c r="A556" s="499"/>
      <c r="B556" s="500"/>
      <c r="C556" s="500"/>
      <c r="D556" s="501"/>
      <c r="E556" s="502" t="n">
        <f aca="false">IF($C$3="是",ROUND($A$3*G556/$B$3,2),ROUND($A$3*(G556-AT556)/$B$3,2))</f>
        <v>0</v>
      </c>
      <c r="F556" s="503"/>
      <c r="G556" s="504" t="n">
        <f aca="false">H556+AC556+AT556</f>
        <v>0</v>
      </c>
      <c r="H556" s="505" t="n">
        <f aca="false">SUMIF(I$12:AB$12,"总值",I556:AB556)</f>
        <v>0</v>
      </c>
      <c r="I556" s="506"/>
      <c r="J556" s="506"/>
      <c r="K556" s="506"/>
      <c r="L556" s="506"/>
      <c r="M556" s="506"/>
      <c r="N556" s="506"/>
      <c r="O556" s="506"/>
      <c r="P556" s="506"/>
      <c r="Q556" s="506"/>
      <c r="R556" s="506"/>
      <c r="S556" s="506"/>
      <c r="T556" s="506"/>
      <c r="U556" s="506"/>
      <c r="V556" s="506"/>
      <c r="W556" s="506"/>
      <c r="X556" s="506"/>
      <c r="Y556" s="506"/>
      <c r="Z556" s="506"/>
      <c r="AA556" s="506"/>
      <c r="AB556" s="506"/>
      <c r="AC556" s="502" t="n">
        <f aca="false">SUMIF(AD$12:AS$12,"总值",AD556:AS556)</f>
        <v>0</v>
      </c>
      <c r="AD556" s="507"/>
      <c r="AE556" s="507"/>
      <c r="AF556" s="507"/>
      <c r="AG556" s="507"/>
      <c r="AH556" s="507"/>
      <c r="AI556" s="507"/>
      <c r="AJ556" s="507"/>
      <c r="AK556" s="507"/>
      <c r="AL556" s="507"/>
      <c r="AM556" s="507"/>
      <c r="AN556" s="507"/>
      <c r="AO556" s="507"/>
      <c r="AP556" s="507"/>
      <c r="AQ556" s="507"/>
      <c r="AR556" s="507"/>
      <c r="AS556" s="507"/>
      <c r="AT556" s="508"/>
      <c r="AU556" s="509"/>
      <c r="AV556" s="510" t="n">
        <f aca="false">A556</f>
        <v>0</v>
      </c>
      <c r="AW556" s="510" t="n">
        <f aca="false">B556</f>
        <v>0</v>
      </c>
      <c r="AX556" s="510" t="n">
        <f aca="false">C556</f>
        <v>0</v>
      </c>
      <c r="AY556" s="511" t="n">
        <f aca="false">ROUND($AY$6*AZ556/$AZ$5,2)</f>
        <v>0</v>
      </c>
      <c r="AZ556" s="502" t="n">
        <f aca="false">BA556+BL556</f>
        <v>0</v>
      </c>
      <c r="BA556" s="502" t="n">
        <f aca="false">SUM(BB556:BK556)</f>
        <v>0</v>
      </c>
      <c r="BB556" s="502" t="n">
        <f aca="false">IF($D556="是",I556-J556,0)</f>
        <v>0</v>
      </c>
      <c r="BC556" s="502" t="n">
        <f aca="false">IF($D556="是",K556-L556,0)</f>
        <v>0</v>
      </c>
      <c r="BD556" s="502" t="n">
        <f aca="false">IF($D556="是",M556-N556,0)</f>
        <v>0</v>
      </c>
      <c r="BE556" s="502" t="n">
        <f aca="false">IF($D556="是",O556-P556,0)</f>
        <v>0</v>
      </c>
      <c r="BF556" s="502" t="n">
        <f aca="false">IF($D556="是",Q556-R556,0)</f>
        <v>0</v>
      </c>
      <c r="BG556" s="502" t="n">
        <f aca="false">IF($D556="是",S556-T556,0)</f>
        <v>0</v>
      </c>
      <c r="BH556" s="502" t="n">
        <f aca="false">IF($D556="是",U556-V556,0)</f>
        <v>0</v>
      </c>
      <c r="BI556" s="502" t="n">
        <f aca="false">IF($D556="是",W556-X556,0)</f>
        <v>0</v>
      </c>
      <c r="BJ556" s="502" t="n">
        <f aca="false">IF($D556="是",Y556-Z556,0)</f>
        <v>0</v>
      </c>
      <c r="BK556" s="502" t="n">
        <f aca="false">IF($D556="是",AA556-AB556,0)</f>
        <v>0</v>
      </c>
      <c r="BL556" s="502" t="n">
        <f aca="false">SUM(BM556:BT556)</f>
        <v>0</v>
      </c>
      <c r="BM556" s="502" t="n">
        <f aca="false">IF($D556="是",AD556-AE556,0)</f>
        <v>0</v>
      </c>
      <c r="BN556" s="502" t="n">
        <f aca="false">IF($D556="是",AF556-AG556,0)</f>
        <v>0</v>
      </c>
      <c r="BO556" s="502" t="n">
        <f aca="false">IF($D556="是",AH556-AI556,0)</f>
        <v>0</v>
      </c>
      <c r="BP556" s="502" t="n">
        <f aca="false">IF($D556="是",AJ556-AK556,0)</f>
        <v>0</v>
      </c>
      <c r="BQ556" s="502" t="n">
        <f aca="false">IF($D556="是",AL556-AM556,0)</f>
        <v>0</v>
      </c>
      <c r="BR556" s="502" t="n">
        <f aca="false">IF($D556="是",AN556-AO556,0)</f>
        <v>0</v>
      </c>
      <c r="BS556" s="502" t="n">
        <f aca="false">IF($D556="是",AP556-AQ556,0)</f>
        <v>0</v>
      </c>
      <c r="BT556" s="512" t="n">
        <f aca="false">IF($D556="是",AR556-AS556,0)</f>
        <v>0</v>
      </c>
    </row>
    <row r="557" customFormat="false" ht="14.25" hidden="false" customHeight="false" outlineLevel="0" collapsed="false">
      <c r="A557" s="499"/>
      <c r="B557" s="500"/>
      <c r="C557" s="500"/>
      <c r="D557" s="501"/>
      <c r="E557" s="502" t="n">
        <f aca="false">IF($C$3="是",ROUND($A$3*G557/$B$3,2),ROUND($A$3*(G557-AT557)/$B$3,2))</f>
        <v>0</v>
      </c>
      <c r="F557" s="503"/>
      <c r="G557" s="504" t="n">
        <f aca="false">H557+AC557+AT557</f>
        <v>0</v>
      </c>
      <c r="H557" s="505" t="n">
        <f aca="false">SUMIF(I$12:AB$12,"总值",I557:AB557)</f>
        <v>0</v>
      </c>
      <c r="I557" s="506"/>
      <c r="J557" s="506"/>
      <c r="K557" s="506"/>
      <c r="L557" s="506"/>
      <c r="M557" s="506"/>
      <c r="N557" s="506"/>
      <c r="O557" s="506"/>
      <c r="P557" s="506"/>
      <c r="Q557" s="506"/>
      <c r="R557" s="506"/>
      <c r="S557" s="506"/>
      <c r="T557" s="506"/>
      <c r="U557" s="506"/>
      <c r="V557" s="506"/>
      <c r="W557" s="506"/>
      <c r="X557" s="506"/>
      <c r="Y557" s="506"/>
      <c r="Z557" s="506"/>
      <c r="AA557" s="506"/>
      <c r="AB557" s="506"/>
      <c r="AC557" s="502" t="n">
        <f aca="false">SUMIF(AD$12:AS$12,"总值",AD557:AS557)</f>
        <v>0</v>
      </c>
      <c r="AD557" s="507"/>
      <c r="AE557" s="507"/>
      <c r="AF557" s="507"/>
      <c r="AG557" s="507"/>
      <c r="AH557" s="507"/>
      <c r="AI557" s="507"/>
      <c r="AJ557" s="507"/>
      <c r="AK557" s="507"/>
      <c r="AL557" s="507"/>
      <c r="AM557" s="507"/>
      <c r="AN557" s="507"/>
      <c r="AO557" s="507"/>
      <c r="AP557" s="507"/>
      <c r="AQ557" s="507"/>
      <c r="AR557" s="507"/>
      <c r="AS557" s="507"/>
      <c r="AT557" s="508"/>
      <c r="AU557" s="509"/>
      <c r="AV557" s="510" t="n">
        <f aca="false">A557</f>
        <v>0</v>
      </c>
      <c r="AW557" s="510" t="n">
        <f aca="false">B557</f>
        <v>0</v>
      </c>
      <c r="AX557" s="510" t="n">
        <f aca="false">C557</f>
        <v>0</v>
      </c>
      <c r="AY557" s="511" t="n">
        <f aca="false">ROUND($AY$6*AZ557/$AZ$5,2)</f>
        <v>0</v>
      </c>
      <c r="AZ557" s="502" t="n">
        <f aca="false">BA557+BL557</f>
        <v>0</v>
      </c>
      <c r="BA557" s="502" t="n">
        <f aca="false">SUM(BB557:BK557)</f>
        <v>0</v>
      </c>
      <c r="BB557" s="502" t="n">
        <f aca="false">IF($D557="是",I557-J557,0)</f>
        <v>0</v>
      </c>
      <c r="BC557" s="502" t="n">
        <f aca="false">IF($D557="是",K557-L557,0)</f>
        <v>0</v>
      </c>
      <c r="BD557" s="502" t="n">
        <f aca="false">IF($D557="是",M557-N557,0)</f>
        <v>0</v>
      </c>
      <c r="BE557" s="502" t="n">
        <f aca="false">IF($D557="是",O557-P557,0)</f>
        <v>0</v>
      </c>
      <c r="BF557" s="502" t="n">
        <f aca="false">IF($D557="是",Q557-R557,0)</f>
        <v>0</v>
      </c>
      <c r="BG557" s="502" t="n">
        <f aca="false">IF($D557="是",S557-T557,0)</f>
        <v>0</v>
      </c>
      <c r="BH557" s="502" t="n">
        <f aca="false">IF($D557="是",U557-V557,0)</f>
        <v>0</v>
      </c>
      <c r="BI557" s="502" t="n">
        <f aca="false">IF($D557="是",W557-X557,0)</f>
        <v>0</v>
      </c>
      <c r="BJ557" s="502" t="n">
        <f aca="false">IF($D557="是",Y557-Z557,0)</f>
        <v>0</v>
      </c>
      <c r="BK557" s="502" t="n">
        <f aca="false">IF($D557="是",AA557-AB557,0)</f>
        <v>0</v>
      </c>
      <c r="BL557" s="502" t="n">
        <f aca="false">SUM(BM557:BT557)</f>
        <v>0</v>
      </c>
      <c r="BM557" s="502" t="n">
        <f aca="false">IF($D557="是",AD557-AE557,0)</f>
        <v>0</v>
      </c>
      <c r="BN557" s="502" t="n">
        <f aca="false">IF($D557="是",AF557-AG557,0)</f>
        <v>0</v>
      </c>
      <c r="BO557" s="502" t="n">
        <f aca="false">IF($D557="是",AH557-AI557,0)</f>
        <v>0</v>
      </c>
      <c r="BP557" s="502" t="n">
        <f aca="false">IF($D557="是",AJ557-AK557,0)</f>
        <v>0</v>
      </c>
      <c r="BQ557" s="502" t="n">
        <f aca="false">IF($D557="是",AL557-AM557,0)</f>
        <v>0</v>
      </c>
      <c r="BR557" s="502" t="n">
        <f aca="false">IF($D557="是",AN557-AO557,0)</f>
        <v>0</v>
      </c>
      <c r="BS557" s="502" t="n">
        <f aca="false">IF($D557="是",AP557-AQ557,0)</f>
        <v>0</v>
      </c>
      <c r="BT557" s="512" t="n">
        <f aca="false">IF($D557="是",AR557-AS557,0)</f>
        <v>0</v>
      </c>
    </row>
    <row r="558" customFormat="false" ht="14.25" hidden="false" customHeight="false" outlineLevel="0" collapsed="false">
      <c r="A558" s="499"/>
      <c r="B558" s="500"/>
      <c r="C558" s="500"/>
      <c r="D558" s="501"/>
      <c r="E558" s="502" t="n">
        <f aca="false">IF($C$3="是",ROUND($A$3*G558/$B$3,2),ROUND($A$3*(G558-AT558)/$B$3,2))</f>
        <v>0</v>
      </c>
      <c r="F558" s="503"/>
      <c r="G558" s="504" t="n">
        <f aca="false">H558+AC558+AT558</f>
        <v>0</v>
      </c>
      <c r="H558" s="505" t="n">
        <f aca="false">SUMIF(I$12:AB$12,"总值",I558:AB558)</f>
        <v>0</v>
      </c>
      <c r="I558" s="506"/>
      <c r="J558" s="506"/>
      <c r="K558" s="506"/>
      <c r="L558" s="506"/>
      <c r="M558" s="506"/>
      <c r="N558" s="506"/>
      <c r="O558" s="506"/>
      <c r="P558" s="506"/>
      <c r="Q558" s="506"/>
      <c r="R558" s="506"/>
      <c r="S558" s="506"/>
      <c r="T558" s="506"/>
      <c r="U558" s="506"/>
      <c r="V558" s="506"/>
      <c r="W558" s="506"/>
      <c r="X558" s="506"/>
      <c r="Y558" s="506"/>
      <c r="Z558" s="506"/>
      <c r="AA558" s="506"/>
      <c r="AB558" s="506"/>
      <c r="AC558" s="502" t="n">
        <f aca="false">SUMIF(AD$12:AS$12,"总值",AD558:AS558)</f>
        <v>0</v>
      </c>
      <c r="AD558" s="507"/>
      <c r="AE558" s="507"/>
      <c r="AF558" s="507"/>
      <c r="AG558" s="507"/>
      <c r="AH558" s="507"/>
      <c r="AI558" s="507"/>
      <c r="AJ558" s="507"/>
      <c r="AK558" s="507"/>
      <c r="AL558" s="507"/>
      <c r="AM558" s="507"/>
      <c r="AN558" s="507"/>
      <c r="AO558" s="507"/>
      <c r="AP558" s="507"/>
      <c r="AQ558" s="507"/>
      <c r="AR558" s="507"/>
      <c r="AS558" s="507"/>
      <c r="AT558" s="508"/>
      <c r="AU558" s="509"/>
      <c r="AV558" s="510" t="n">
        <f aca="false">A558</f>
        <v>0</v>
      </c>
      <c r="AW558" s="510" t="n">
        <f aca="false">B558</f>
        <v>0</v>
      </c>
      <c r="AX558" s="510" t="n">
        <f aca="false">C558</f>
        <v>0</v>
      </c>
      <c r="AY558" s="511" t="n">
        <f aca="false">ROUND($AY$6*AZ558/$AZ$5,2)</f>
        <v>0</v>
      </c>
      <c r="AZ558" s="502" t="n">
        <f aca="false">BA558+BL558</f>
        <v>0</v>
      </c>
      <c r="BA558" s="502" t="n">
        <f aca="false">SUM(BB558:BK558)</f>
        <v>0</v>
      </c>
      <c r="BB558" s="502" t="n">
        <f aca="false">IF($D558="是",I558-J558,0)</f>
        <v>0</v>
      </c>
      <c r="BC558" s="502" t="n">
        <f aca="false">IF($D558="是",K558-L558,0)</f>
        <v>0</v>
      </c>
      <c r="BD558" s="502" t="n">
        <f aca="false">IF($D558="是",M558-N558,0)</f>
        <v>0</v>
      </c>
      <c r="BE558" s="502" t="n">
        <f aca="false">IF($D558="是",O558-P558,0)</f>
        <v>0</v>
      </c>
      <c r="BF558" s="502" t="n">
        <f aca="false">IF($D558="是",Q558-R558,0)</f>
        <v>0</v>
      </c>
      <c r="BG558" s="502" t="n">
        <f aca="false">IF($D558="是",S558-T558,0)</f>
        <v>0</v>
      </c>
      <c r="BH558" s="502" t="n">
        <f aca="false">IF($D558="是",U558-V558,0)</f>
        <v>0</v>
      </c>
      <c r="BI558" s="502" t="n">
        <f aca="false">IF($D558="是",W558-X558,0)</f>
        <v>0</v>
      </c>
      <c r="BJ558" s="502" t="n">
        <f aca="false">IF($D558="是",Y558-Z558,0)</f>
        <v>0</v>
      </c>
      <c r="BK558" s="502" t="n">
        <f aca="false">IF($D558="是",AA558-AB558,0)</f>
        <v>0</v>
      </c>
      <c r="BL558" s="502" t="n">
        <f aca="false">SUM(BM558:BT558)</f>
        <v>0</v>
      </c>
      <c r="BM558" s="502" t="n">
        <f aca="false">IF($D558="是",AD558-AE558,0)</f>
        <v>0</v>
      </c>
      <c r="BN558" s="502" t="n">
        <f aca="false">IF($D558="是",AF558-AG558,0)</f>
        <v>0</v>
      </c>
      <c r="BO558" s="502" t="n">
        <f aca="false">IF($D558="是",AH558-AI558,0)</f>
        <v>0</v>
      </c>
      <c r="BP558" s="502" t="n">
        <f aca="false">IF($D558="是",AJ558-AK558,0)</f>
        <v>0</v>
      </c>
      <c r="BQ558" s="502" t="n">
        <f aca="false">IF($D558="是",AL558-AM558,0)</f>
        <v>0</v>
      </c>
      <c r="BR558" s="502" t="n">
        <f aca="false">IF($D558="是",AN558-AO558,0)</f>
        <v>0</v>
      </c>
      <c r="BS558" s="502" t="n">
        <f aca="false">IF($D558="是",AP558-AQ558,0)</f>
        <v>0</v>
      </c>
      <c r="BT558" s="512" t="n">
        <f aca="false">IF($D558="是",AR558-AS558,0)</f>
        <v>0</v>
      </c>
    </row>
    <row r="559" customFormat="false" ht="14.25" hidden="false" customHeight="false" outlineLevel="0" collapsed="false">
      <c r="A559" s="499"/>
      <c r="B559" s="500"/>
      <c r="C559" s="500"/>
      <c r="D559" s="501"/>
      <c r="E559" s="502" t="n">
        <f aca="false">IF($C$3="是",ROUND($A$3*G559/$B$3,2),ROUND($A$3*(G559-AT559)/$B$3,2))</f>
        <v>0</v>
      </c>
      <c r="F559" s="503"/>
      <c r="G559" s="504" t="n">
        <f aca="false">H559+AC559+AT559</f>
        <v>0</v>
      </c>
      <c r="H559" s="505" t="n">
        <f aca="false">SUMIF(I$12:AB$12,"总值",I559:AB559)</f>
        <v>0</v>
      </c>
      <c r="I559" s="506"/>
      <c r="J559" s="506"/>
      <c r="K559" s="506"/>
      <c r="L559" s="506"/>
      <c r="M559" s="506"/>
      <c r="N559" s="506"/>
      <c r="O559" s="506"/>
      <c r="P559" s="506"/>
      <c r="Q559" s="506"/>
      <c r="R559" s="506"/>
      <c r="S559" s="506"/>
      <c r="T559" s="506"/>
      <c r="U559" s="506"/>
      <c r="V559" s="506"/>
      <c r="W559" s="506"/>
      <c r="X559" s="506"/>
      <c r="Y559" s="506"/>
      <c r="Z559" s="506"/>
      <c r="AA559" s="506"/>
      <c r="AB559" s="506"/>
      <c r="AC559" s="502" t="n">
        <f aca="false">SUMIF(AD$12:AS$12,"总值",AD559:AS559)</f>
        <v>0</v>
      </c>
      <c r="AD559" s="507"/>
      <c r="AE559" s="507"/>
      <c r="AF559" s="507"/>
      <c r="AG559" s="507"/>
      <c r="AH559" s="507"/>
      <c r="AI559" s="507"/>
      <c r="AJ559" s="507"/>
      <c r="AK559" s="507"/>
      <c r="AL559" s="507"/>
      <c r="AM559" s="507"/>
      <c r="AN559" s="507"/>
      <c r="AO559" s="507"/>
      <c r="AP559" s="507"/>
      <c r="AQ559" s="507"/>
      <c r="AR559" s="507"/>
      <c r="AS559" s="507"/>
      <c r="AT559" s="508"/>
      <c r="AU559" s="509"/>
      <c r="AV559" s="510" t="n">
        <f aca="false">A559</f>
        <v>0</v>
      </c>
      <c r="AW559" s="510" t="n">
        <f aca="false">B559</f>
        <v>0</v>
      </c>
      <c r="AX559" s="510" t="n">
        <f aca="false">C559</f>
        <v>0</v>
      </c>
      <c r="AY559" s="511" t="n">
        <f aca="false">ROUND($AY$6*AZ559/$AZ$5,2)</f>
        <v>0</v>
      </c>
      <c r="AZ559" s="502" t="n">
        <f aca="false">BA559+BL559</f>
        <v>0</v>
      </c>
      <c r="BA559" s="502" t="n">
        <f aca="false">SUM(BB559:BK559)</f>
        <v>0</v>
      </c>
      <c r="BB559" s="502" t="n">
        <f aca="false">IF($D559="是",I559-J559,0)</f>
        <v>0</v>
      </c>
      <c r="BC559" s="502" t="n">
        <f aca="false">IF($D559="是",K559-L559,0)</f>
        <v>0</v>
      </c>
      <c r="BD559" s="502" t="n">
        <f aca="false">IF($D559="是",M559-N559,0)</f>
        <v>0</v>
      </c>
      <c r="BE559" s="502" t="n">
        <f aca="false">IF($D559="是",O559-P559,0)</f>
        <v>0</v>
      </c>
      <c r="BF559" s="502" t="n">
        <f aca="false">IF($D559="是",Q559-R559,0)</f>
        <v>0</v>
      </c>
      <c r="BG559" s="502" t="n">
        <f aca="false">IF($D559="是",S559-T559,0)</f>
        <v>0</v>
      </c>
      <c r="BH559" s="502" t="n">
        <f aca="false">IF($D559="是",U559-V559,0)</f>
        <v>0</v>
      </c>
      <c r="BI559" s="502" t="n">
        <f aca="false">IF($D559="是",W559-X559,0)</f>
        <v>0</v>
      </c>
      <c r="BJ559" s="502" t="n">
        <f aca="false">IF($D559="是",Y559-Z559,0)</f>
        <v>0</v>
      </c>
      <c r="BK559" s="502" t="n">
        <f aca="false">IF($D559="是",AA559-AB559,0)</f>
        <v>0</v>
      </c>
      <c r="BL559" s="502" t="n">
        <f aca="false">SUM(BM559:BT559)</f>
        <v>0</v>
      </c>
      <c r="BM559" s="502" t="n">
        <f aca="false">IF($D559="是",AD559-AE559,0)</f>
        <v>0</v>
      </c>
      <c r="BN559" s="502" t="n">
        <f aca="false">IF($D559="是",AF559-AG559,0)</f>
        <v>0</v>
      </c>
      <c r="BO559" s="502" t="n">
        <f aca="false">IF($D559="是",AH559-AI559,0)</f>
        <v>0</v>
      </c>
      <c r="BP559" s="502" t="n">
        <f aca="false">IF($D559="是",AJ559-AK559,0)</f>
        <v>0</v>
      </c>
      <c r="BQ559" s="502" t="n">
        <f aca="false">IF($D559="是",AL559-AM559,0)</f>
        <v>0</v>
      </c>
      <c r="BR559" s="502" t="n">
        <f aca="false">IF($D559="是",AN559-AO559,0)</f>
        <v>0</v>
      </c>
      <c r="BS559" s="502" t="n">
        <f aca="false">IF($D559="是",AP559-AQ559,0)</f>
        <v>0</v>
      </c>
      <c r="BT559" s="512" t="n">
        <f aca="false">IF($D559="是",AR559-AS559,0)</f>
        <v>0</v>
      </c>
    </row>
    <row r="560" customFormat="false" ht="14.25" hidden="false" customHeight="false" outlineLevel="0" collapsed="false">
      <c r="A560" s="499"/>
      <c r="B560" s="500"/>
      <c r="C560" s="500"/>
      <c r="D560" s="501"/>
      <c r="E560" s="502" t="n">
        <f aca="false">IF($C$3="是",ROUND($A$3*G560/$B$3,2),ROUND($A$3*(G560-AT560)/$B$3,2))</f>
        <v>0</v>
      </c>
      <c r="F560" s="503"/>
      <c r="G560" s="504" t="n">
        <f aca="false">H560+AC560+AT560</f>
        <v>0</v>
      </c>
      <c r="H560" s="505" t="n">
        <f aca="false">SUMIF(I$12:AB$12,"总值",I560:AB560)</f>
        <v>0</v>
      </c>
      <c r="I560" s="506"/>
      <c r="J560" s="506"/>
      <c r="K560" s="506"/>
      <c r="L560" s="506"/>
      <c r="M560" s="506"/>
      <c r="N560" s="506"/>
      <c r="O560" s="506"/>
      <c r="P560" s="506"/>
      <c r="Q560" s="506"/>
      <c r="R560" s="506"/>
      <c r="S560" s="506"/>
      <c r="T560" s="506"/>
      <c r="U560" s="506"/>
      <c r="V560" s="506"/>
      <c r="W560" s="506"/>
      <c r="X560" s="506"/>
      <c r="Y560" s="506"/>
      <c r="Z560" s="506"/>
      <c r="AA560" s="506"/>
      <c r="AB560" s="506"/>
      <c r="AC560" s="502" t="n">
        <f aca="false">SUMIF(AD$12:AS$12,"总值",AD560:AS560)</f>
        <v>0</v>
      </c>
      <c r="AD560" s="507"/>
      <c r="AE560" s="507"/>
      <c r="AF560" s="507"/>
      <c r="AG560" s="507"/>
      <c r="AH560" s="507"/>
      <c r="AI560" s="507"/>
      <c r="AJ560" s="507"/>
      <c r="AK560" s="507"/>
      <c r="AL560" s="507"/>
      <c r="AM560" s="507"/>
      <c r="AN560" s="507"/>
      <c r="AO560" s="507"/>
      <c r="AP560" s="507"/>
      <c r="AQ560" s="507"/>
      <c r="AR560" s="507"/>
      <c r="AS560" s="507"/>
      <c r="AT560" s="508"/>
      <c r="AU560" s="509"/>
      <c r="AV560" s="510" t="n">
        <f aca="false">A560</f>
        <v>0</v>
      </c>
      <c r="AW560" s="510" t="n">
        <f aca="false">B560</f>
        <v>0</v>
      </c>
      <c r="AX560" s="510" t="n">
        <f aca="false">C560</f>
        <v>0</v>
      </c>
      <c r="AY560" s="511" t="n">
        <f aca="false">ROUND($AY$6*AZ560/$AZ$5,2)</f>
        <v>0</v>
      </c>
      <c r="AZ560" s="502" t="n">
        <f aca="false">BA560+BL560</f>
        <v>0</v>
      </c>
      <c r="BA560" s="502" t="n">
        <f aca="false">SUM(BB560:BK560)</f>
        <v>0</v>
      </c>
      <c r="BB560" s="502" t="n">
        <f aca="false">IF($D560="是",I560-J560,0)</f>
        <v>0</v>
      </c>
      <c r="BC560" s="502" t="n">
        <f aca="false">IF($D560="是",K560-L560,0)</f>
        <v>0</v>
      </c>
      <c r="BD560" s="502" t="n">
        <f aca="false">IF($D560="是",M560-N560,0)</f>
        <v>0</v>
      </c>
      <c r="BE560" s="502" t="n">
        <f aca="false">IF($D560="是",O560-P560,0)</f>
        <v>0</v>
      </c>
      <c r="BF560" s="502" t="n">
        <f aca="false">IF($D560="是",Q560-R560,0)</f>
        <v>0</v>
      </c>
      <c r="BG560" s="502" t="n">
        <f aca="false">IF($D560="是",S560-T560,0)</f>
        <v>0</v>
      </c>
      <c r="BH560" s="502" t="n">
        <f aca="false">IF($D560="是",U560-V560,0)</f>
        <v>0</v>
      </c>
      <c r="BI560" s="502" t="n">
        <f aca="false">IF($D560="是",W560-X560,0)</f>
        <v>0</v>
      </c>
      <c r="BJ560" s="502" t="n">
        <f aca="false">IF($D560="是",Y560-Z560,0)</f>
        <v>0</v>
      </c>
      <c r="BK560" s="502" t="n">
        <f aca="false">IF($D560="是",AA560-AB560,0)</f>
        <v>0</v>
      </c>
      <c r="BL560" s="502" t="n">
        <f aca="false">SUM(BM560:BT560)</f>
        <v>0</v>
      </c>
      <c r="BM560" s="502" t="n">
        <f aca="false">IF($D560="是",AD560-AE560,0)</f>
        <v>0</v>
      </c>
      <c r="BN560" s="502" t="n">
        <f aca="false">IF($D560="是",AF560-AG560,0)</f>
        <v>0</v>
      </c>
      <c r="BO560" s="502" t="n">
        <f aca="false">IF($D560="是",AH560-AI560,0)</f>
        <v>0</v>
      </c>
      <c r="BP560" s="502" t="n">
        <f aca="false">IF($D560="是",AJ560-AK560,0)</f>
        <v>0</v>
      </c>
      <c r="BQ560" s="502" t="n">
        <f aca="false">IF($D560="是",AL560-AM560,0)</f>
        <v>0</v>
      </c>
      <c r="BR560" s="502" t="n">
        <f aca="false">IF($D560="是",AN560-AO560,0)</f>
        <v>0</v>
      </c>
      <c r="BS560" s="502" t="n">
        <f aca="false">IF($D560="是",AP560-AQ560,0)</f>
        <v>0</v>
      </c>
      <c r="BT560" s="512" t="n">
        <f aca="false">IF($D560="是",AR560-AS560,0)</f>
        <v>0</v>
      </c>
    </row>
    <row r="561" customFormat="false" ht="14.25" hidden="false" customHeight="false" outlineLevel="0" collapsed="false">
      <c r="A561" s="499"/>
      <c r="B561" s="500"/>
      <c r="C561" s="500"/>
      <c r="D561" s="501"/>
      <c r="E561" s="502" t="n">
        <f aca="false">IF($C$3="是",ROUND($A$3*G561/$B$3,2),ROUND($A$3*(G561-AT561)/$B$3,2))</f>
        <v>0</v>
      </c>
      <c r="F561" s="503"/>
      <c r="G561" s="504" t="n">
        <f aca="false">H561+AC561+AT561</f>
        <v>0</v>
      </c>
      <c r="H561" s="505" t="n">
        <f aca="false">SUMIF(I$12:AB$12,"总值",I561:AB561)</f>
        <v>0</v>
      </c>
      <c r="I561" s="506"/>
      <c r="J561" s="506"/>
      <c r="K561" s="506"/>
      <c r="L561" s="506"/>
      <c r="M561" s="506"/>
      <c r="N561" s="506"/>
      <c r="O561" s="506"/>
      <c r="P561" s="506"/>
      <c r="Q561" s="506"/>
      <c r="R561" s="506"/>
      <c r="S561" s="506"/>
      <c r="T561" s="506"/>
      <c r="U561" s="506"/>
      <c r="V561" s="506"/>
      <c r="W561" s="506"/>
      <c r="X561" s="506"/>
      <c r="Y561" s="506"/>
      <c r="Z561" s="506"/>
      <c r="AA561" s="506"/>
      <c r="AB561" s="506"/>
      <c r="AC561" s="502" t="n">
        <f aca="false">SUMIF(AD$12:AS$12,"总值",AD561:AS561)</f>
        <v>0</v>
      </c>
      <c r="AD561" s="507"/>
      <c r="AE561" s="507"/>
      <c r="AF561" s="507"/>
      <c r="AG561" s="507"/>
      <c r="AH561" s="507"/>
      <c r="AI561" s="507"/>
      <c r="AJ561" s="507"/>
      <c r="AK561" s="507"/>
      <c r="AL561" s="507"/>
      <c r="AM561" s="507"/>
      <c r="AN561" s="507"/>
      <c r="AO561" s="507"/>
      <c r="AP561" s="507"/>
      <c r="AQ561" s="507"/>
      <c r="AR561" s="507"/>
      <c r="AS561" s="507"/>
      <c r="AT561" s="508"/>
      <c r="AU561" s="509"/>
      <c r="AV561" s="510" t="n">
        <f aca="false">A561</f>
        <v>0</v>
      </c>
      <c r="AW561" s="510" t="n">
        <f aca="false">B561</f>
        <v>0</v>
      </c>
      <c r="AX561" s="510" t="n">
        <f aca="false">C561</f>
        <v>0</v>
      </c>
      <c r="AY561" s="511" t="n">
        <f aca="false">ROUND($AY$6*AZ561/$AZ$5,2)</f>
        <v>0</v>
      </c>
      <c r="AZ561" s="502" t="n">
        <f aca="false">BA561+BL561</f>
        <v>0</v>
      </c>
      <c r="BA561" s="502" t="n">
        <f aca="false">SUM(BB561:BK561)</f>
        <v>0</v>
      </c>
      <c r="BB561" s="502" t="n">
        <f aca="false">IF($D561="是",I561-J561,0)</f>
        <v>0</v>
      </c>
      <c r="BC561" s="502" t="n">
        <f aca="false">IF($D561="是",K561-L561,0)</f>
        <v>0</v>
      </c>
      <c r="BD561" s="502" t="n">
        <f aca="false">IF($D561="是",M561-N561,0)</f>
        <v>0</v>
      </c>
      <c r="BE561" s="502" t="n">
        <f aca="false">IF($D561="是",O561-P561,0)</f>
        <v>0</v>
      </c>
      <c r="BF561" s="502" t="n">
        <f aca="false">IF($D561="是",Q561-R561,0)</f>
        <v>0</v>
      </c>
      <c r="BG561" s="502" t="n">
        <f aca="false">IF($D561="是",S561-T561,0)</f>
        <v>0</v>
      </c>
      <c r="BH561" s="502" t="n">
        <f aca="false">IF($D561="是",U561-V561,0)</f>
        <v>0</v>
      </c>
      <c r="BI561" s="502" t="n">
        <f aca="false">IF($D561="是",W561-X561,0)</f>
        <v>0</v>
      </c>
      <c r="BJ561" s="502" t="n">
        <f aca="false">IF($D561="是",Y561-Z561,0)</f>
        <v>0</v>
      </c>
      <c r="BK561" s="502" t="n">
        <f aca="false">IF($D561="是",AA561-AB561,0)</f>
        <v>0</v>
      </c>
      <c r="BL561" s="502" t="n">
        <f aca="false">SUM(BM561:BT561)</f>
        <v>0</v>
      </c>
      <c r="BM561" s="502" t="n">
        <f aca="false">IF($D561="是",AD561-AE561,0)</f>
        <v>0</v>
      </c>
      <c r="BN561" s="502" t="n">
        <f aca="false">IF($D561="是",AF561-AG561,0)</f>
        <v>0</v>
      </c>
      <c r="BO561" s="502" t="n">
        <f aca="false">IF($D561="是",AH561-AI561,0)</f>
        <v>0</v>
      </c>
      <c r="BP561" s="502" t="n">
        <f aca="false">IF($D561="是",AJ561-AK561,0)</f>
        <v>0</v>
      </c>
      <c r="BQ561" s="502" t="n">
        <f aca="false">IF($D561="是",AL561-AM561,0)</f>
        <v>0</v>
      </c>
      <c r="BR561" s="502" t="n">
        <f aca="false">IF($D561="是",AN561-AO561,0)</f>
        <v>0</v>
      </c>
      <c r="BS561" s="502" t="n">
        <f aca="false">IF($D561="是",AP561-AQ561,0)</f>
        <v>0</v>
      </c>
      <c r="BT561" s="512" t="n">
        <f aca="false">IF($D561="是",AR561-AS561,0)</f>
        <v>0</v>
      </c>
    </row>
    <row r="562" customFormat="false" ht="14.25" hidden="false" customHeight="false" outlineLevel="0" collapsed="false">
      <c r="A562" s="499"/>
      <c r="B562" s="500"/>
      <c r="C562" s="500"/>
      <c r="D562" s="501"/>
      <c r="E562" s="502" t="n">
        <f aca="false">IF($C$3="是",ROUND($A$3*G562/$B$3,2),ROUND($A$3*(G562-AT562)/$B$3,2))</f>
        <v>0</v>
      </c>
      <c r="F562" s="503"/>
      <c r="G562" s="504" t="n">
        <f aca="false">H562+AC562+AT562</f>
        <v>0</v>
      </c>
      <c r="H562" s="505" t="n">
        <f aca="false">SUMIF(I$12:AB$12,"总值",I562:AB562)</f>
        <v>0</v>
      </c>
      <c r="I562" s="506"/>
      <c r="J562" s="506"/>
      <c r="K562" s="506"/>
      <c r="L562" s="506"/>
      <c r="M562" s="506"/>
      <c r="N562" s="506"/>
      <c r="O562" s="506"/>
      <c r="P562" s="506"/>
      <c r="Q562" s="506"/>
      <c r="R562" s="506"/>
      <c r="S562" s="506"/>
      <c r="T562" s="506"/>
      <c r="U562" s="506"/>
      <c r="V562" s="506"/>
      <c r="W562" s="506"/>
      <c r="X562" s="506"/>
      <c r="Y562" s="506"/>
      <c r="Z562" s="506"/>
      <c r="AA562" s="506"/>
      <c r="AB562" s="506"/>
      <c r="AC562" s="502" t="n">
        <f aca="false">SUMIF(AD$12:AS$12,"总值",AD562:AS562)</f>
        <v>0</v>
      </c>
      <c r="AD562" s="507"/>
      <c r="AE562" s="507"/>
      <c r="AF562" s="507"/>
      <c r="AG562" s="507"/>
      <c r="AH562" s="507"/>
      <c r="AI562" s="507"/>
      <c r="AJ562" s="507"/>
      <c r="AK562" s="507"/>
      <c r="AL562" s="507"/>
      <c r="AM562" s="507"/>
      <c r="AN562" s="507"/>
      <c r="AO562" s="507"/>
      <c r="AP562" s="507"/>
      <c r="AQ562" s="507"/>
      <c r="AR562" s="507"/>
      <c r="AS562" s="507"/>
      <c r="AT562" s="508"/>
      <c r="AU562" s="509"/>
      <c r="AV562" s="510" t="n">
        <f aca="false">A562</f>
        <v>0</v>
      </c>
      <c r="AW562" s="510" t="n">
        <f aca="false">B562</f>
        <v>0</v>
      </c>
      <c r="AX562" s="510" t="n">
        <f aca="false">C562</f>
        <v>0</v>
      </c>
      <c r="AY562" s="511" t="n">
        <f aca="false">ROUND($AY$6*AZ562/$AZ$5,2)</f>
        <v>0</v>
      </c>
      <c r="AZ562" s="502" t="n">
        <f aca="false">BA562+BL562</f>
        <v>0</v>
      </c>
      <c r="BA562" s="502" t="n">
        <f aca="false">SUM(BB562:BK562)</f>
        <v>0</v>
      </c>
      <c r="BB562" s="502" t="n">
        <f aca="false">IF($D562="是",I562-J562,0)</f>
        <v>0</v>
      </c>
      <c r="BC562" s="502" t="n">
        <f aca="false">IF($D562="是",K562-L562,0)</f>
        <v>0</v>
      </c>
      <c r="BD562" s="502" t="n">
        <f aca="false">IF($D562="是",M562-N562,0)</f>
        <v>0</v>
      </c>
      <c r="BE562" s="502" t="n">
        <f aca="false">IF($D562="是",O562-P562,0)</f>
        <v>0</v>
      </c>
      <c r="BF562" s="502" t="n">
        <f aca="false">IF($D562="是",Q562-R562,0)</f>
        <v>0</v>
      </c>
      <c r="BG562" s="502" t="n">
        <f aca="false">IF($D562="是",S562-T562,0)</f>
        <v>0</v>
      </c>
      <c r="BH562" s="502" t="n">
        <f aca="false">IF($D562="是",U562-V562,0)</f>
        <v>0</v>
      </c>
      <c r="BI562" s="502" t="n">
        <f aca="false">IF($D562="是",W562-X562,0)</f>
        <v>0</v>
      </c>
      <c r="BJ562" s="502" t="n">
        <f aca="false">IF($D562="是",Y562-Z562,0)</f>
        <v>0</v>
      </c>
      <c r="BK562" s="502" t="n">
        <f aca="false">IF($D562="是",AA562-AB562,0)</f>
        <v>0</v>
      </c>
      <c r="BL562" s="502" t="n">
        <f aca="false">SUM(BM562:BT562)</f>
        <v>0</v>
      </c>
      <c r="BM562" s="502" t="n">
        <f aca="false">IF($D562="是",AD562-AE562,0)</f>
        <v>0</v>
      </c>
      <c r="BN562" s="502" t="n">
        <f aca="false">IF($D562="是",AF562-AG562,0)</f>
        <v>0</v>
      </c>
      <c r="BO562" s="502" t="n">
        <f aca="false">IF($D562="是",AH562-AI562,0)</f>
        <v>0</v>
      </c>
      <c r="BP562" s="502" t="n">
        <f aca="false">IF($D562="是",AJ562-AK562,0)</f>
        <v>0</v>
      </c>
      <c r="BQ562" s="502" t="n">
        <f aca="false">IF($D562="是",AL562-AM562,0)</f>
        <v>0</v>
      </c>
      <c r="BR562" s="502" t="n">
        <f aca="false">IF($D562="是",AN562-AO562,0)</f>
        <v>0</v>
      </c>
      <c r="BS562" s="502" t="n">
        <f aca="false">IF($D562="是",AP562-AQ562,0)</f>
        <v>0</v>
      </c>
      <c r="BT562" s="512" t="n">
        <f aca="false">IF($D562="是",AR562-AS562,0)</f>
        <v>0</v>
      </c>
    </row>
    <row r="563" customFormat="false" ht="14.25" hidden="false" customHeight="false" outlineLevel="0" collapsed="false">
      <c r="A563" s="499"/>
      <c r="B563" s="500"/>
      <c r="C563" s="500"/>
      <c r="D563" s="501"/>
      <c r="E563" s="502" t="n">
        <f aca="false">IF($C$3="是",ROUND($A$3*G563/$B$3,2),ROUND($A$3*(G563-AT563)/$B$3,2))</f>
        <v>0</v>
      </c>
      <c r="F563" s="503"/>
      <c r="G563" s="504" t="n">
        <f aca="false">H563+AC563+AT563</f>
        <v>0</v>
      </c>
      <c r="H563" s="505" t="n">
        <f aca="false">SUMIF(I$12:AB$12,"总值",I563:AB563)</f>
        <v>0</v>
      </c>
      <c r="I563" s="506"/>
      <c r="J563" s="506"/>
      <c r="K563" s="506"/>
      <c r="L563" s="506"/>
      <c r="M563" s="506"/>
      <c r="N563" s="506"/>
      <c r="O563" s="506"/>
      <c r="P563" s="506"/>
      <c r="Q563" s="506"/>
      <c r="R563" s="506"/>
      <c r="S563" s="506"/>
      <c r="T563" s="506"/>
      <c r="U563" s="506"/>
      <c r="V563" s="506"/>
      <c r="W563" s="506"/>
      <c r="X563" s="506"/>
      <c r="Y563" s="506"/>
      <c r="Z563" s="506"/>
      <c r="AA563" s="506"/>
      <c r="AB563" s="506"/>
      <c r="AC563" s="502" t="n">
        <f aca="false">SUMIF(AD$12:AS$12,"总值",AD563:AS563)</f>
        <v>0</v>
      </c>
      <c r="AD563" s="507"/>
      <c r="AE563" s="507"/>
      <c r="AF563" s="507"/>
      <c r="AG563" s="507"/>
      <c r="AH563" s="507"/>
      <c r="AI563" s="507"/>
      <c r="AJ563" s="507"/>
      <c r="AK563" s="507"/>
      <c r="AL563" s="507"/>
      <c r="AM563" s="507"/>
      <c r="AN563" s="507"/>
      <c r="AO563" s="507"/>
      <c r="AP563" s="507"/>
      <c r="AQ563" s="507"/>
      <c r="AR563" s="507"/>
      <c r="AS563" s="507"/>
      <c r="AT563" s="508"/>
      <c r="AU563" s="509"/>
      <c r="AV563" s="510" t="n">
        <f aca="false">A563</f>
        <v>0</v>
      </c>
      <c r="AW563" s="510" t="n">
        <f aca="false">B563</f>
        <v>0</v>
      </c>
      <c r="AX563" s="510" t="n">
        <f aca="false">C563</f>
        <v>0</v>
      </c>
      <c r="AY563" s="511" t="n">
        <f aca="false">ROUND($AY$6*AZ563/$AZ$5,2)</f>
        <v>0</v>
      </c>
      <c r="AZ563" s="502" t="n">
        <f aca="false">BA563+BL563</f>
        <v>0</v>
      </c>
      <c r="BA563" s="502" t="n">
        <f aca="false">SUM(BB563:BK563)</f>
        <v>0</v>
      </c>
      <c r="BB563" s="502" t="n">
        <f aca="false">IF($D563="是",I563-J563,0)</f>
        <v>0</v>
      </c>
      <c r="BC563" s="502" t="n">
        <f aca="false">IF($D563="是",K563-L563,0)</f>
        <v>0</v>
      </c>
      <c r="BD563" s="502" t="n">
        <f aca="false">IF($D563="是",M563-N563,0)</f>
        <v>0</v>
      </c>
      <c r="BE563" s="502" t="n">
        <f aca="false">IF($D563="是",O563-P563,0)</f>
        <v>0</v>
      </c>
      <c r="BF563" s="502" t="n">
        <f aca="false">IF($D563="是",Q563-R563,0)</f>
        <v>0</v>
      </c>
      <c r="BG563" s="502" t="n">
        <f aca="false">IF($D563="是",S563-T563,0)</f>
        <v>0</v>
      </c>
      <c r="BH563" s="502" t="n">
        <f aca="false">IF($D563="是",U563-V563,0)</f>
        <v>0</v>
      </c>
      <c r="BI563" s="502" t="n">
        <f aca="false">IF($D563="是",W563-X563,0)</f>
        <v>0</v>
      </c>
      <c r="BJ563" s="502" t="n">
        <f aca="false">IF($D563="是",Y563-Z563,0)</f>
        <v>0</v>
      </c>
      <c r="BK563" s="502" t="n">
        <f aca="false">IF($D563="是",AA563-AB563,0)</f>
        <v>0</v>
      </c>
      <c r="BL563" s="502" t="n">
        <f aca="false">SUM(BM563:BT563)</f>
        <v>0</v>
      </c>
      <c r="BM563" s="502" t="n">
        <f aca="false">IF($D563="是",AD563-AE563,0)</f>
        <v>0</v>
      </c>
      <c r="BN563" s="502" t="n">
        <f aca="false">IF($D563="是",AF563-AG563,0)</f>
        <v>0</v>
      </c>
      <c r="BO563" s="502" t="n">
        <f aca="false">IF($D563="是",AH563-AI563,0)</f>
        <v>0</v>
      </c>
      <c r="BP563" s="502" t="n">
        <f aca="false">IF($D563="是",AJ563-AK563,0)</f>
        <v>0</v>
      </c>
      <c r="BQ563" s="502" t="n">
        <f aca="false">IF($D563="是",AL563-AM563,0)</f>
        <v>0</v>
      </c>
      <c r="BR563" s="502" t="n">
        <f aca="false">IF($D563="是",AN563-AO563,0)</f>
        <v>0</v>
      </c>
      <c r="BS563" s="502" t="n">
        <f aca="false">IF($D563="是",AP563-AQ563,0)</f>
        <v>0</v>
      </c>
      <c r="BT563" s="512" t="n">
        <f aca="false">IF($D563="是",AR563-AS563,0)</f>
        <v>0</v>
      </c>
    </row>
    <row r="564" customFormat="false" ht="14.25" hidden="false" customHeight="false" outlineLevel="0" collapsed="false">
      <c r="A564" s="499"/>
      <c r="B564" s="500"/>
      <c r="C564" s="500"/>
      <c r="D564" s="501"/>
      <c r="E564" s="502" t="n">
        <f aca="false">IF($C$3="是",ROUND($A$3*G564/$B$3,2),ROUND($A$3*(G564-AT564)/$B$3,2))</f>
        <v>0</v>
      </c>
      <c r="F564" s="503"/>
      <c r="G564" s="504" t="n">
        <f aca="false">H564+AC564+AT564</f>
        <v>0</v>
      </c>
      <c r="H564" s="505" t="n">
        <f aca="false">SUMIF(I$12:AB$12,"总值",I564:AB564)</f>
        <v>0</v>
      </c>
      <c r="I564" s="506"/>
      <c r="J564" s="506"/>
      <c r="K564" s="506"/>
      <c r="L564" s="506"/>
      <c r="M564" s="506"/>
      <c r="N564" s="506"/>
      <c r="O564" s="506"/>
      <c r="P564" s="506"/>
      <c r="Q564" s="506"/>
      <c r="R564" s="506"/>
      <c r="S564" s="506"/>
      <c r="T564" s="506"/>
      <c r="U564" s="506"/>
      <c r="V564" s="506"/>
      <c r="W564" s="506"/>
      <c r="X564" s="506"/>
      <c r="Y564" s="506"/>
      <c r="Z564" s="506"/>
      <c r="AA564" s="506"/>
      <c r="AB564" s="506"/>
      <c r="AC564" s="502" t="n">
        <f aca="false">SUMIF(AD$12:AS$12,"总值",AD564:AS564)</f>
        <v>0</v>
      </c>
      <c r="AD564" s="507"/>
      <c r="AE564" s="507"/>
      <c r="AF564" s="507"/>
      <c r="AG564" s="507"/>
      <c r="AH564" s="507"/>
      <c r="AI564" s="507"/>
      <c r="AJ564" s="507"/>
      <c r="AK564" s="507"/>
      <c r="AL564" s="507"/>
      <c r="AM564" s="507"/>
      <c r="AN564" s="507"/>
      <c r="AO564" s="507"/>
      <c r="AP564" s="507"/>
      <c r="AQ564" s="507"/>
      <c r="AR564" s="507"/>
      <c r="AS564" s="507"/>
      <c r="AT564" s="508"/>
      <c r="AU564" s="509"/>
      <c r="AV564" s="510" t="n">
        <f aca="false">A564</f>
        <v>0</v>
      </c>
      <c r="AW564" s="510" t="n">
        <f aca="false">B564</f>
        <v>0</v>
      </c>
      <c r="AX564" s="510" t="n">
        <f aca="false">C564</f>
        <v>0</v>
      </c>
      <c r="AY564" s="511" t="n">
        <f aca="false">ROUND($AY$6*AZ564/$AZ$5,2)</f>
        <v>0</v>
      </c>
      <c r="AZ564" s="502" t="n">
        <f aca="false">BA564+BL564</f>
        <v>0</v>
      </c>
      <c r="BA564" s="502" t="n">
        <f aca="false">SUM(BB564:BK564)</f>
        <v>0</v>
      </c>
      <c r="BB564" s="502" t="n">
        <f aca="false">IF($D564="是",I564-J564,0)</f>
        <v>0</v>
      </c>
      <c r="BC564" s="502" t="n">
        <f aca="false">IF($D564="是",K564-L564,0)</f>
        <v>0</v>
      </c>
      <c r="BD564" s="502" t="n">
        <f aca="false">IF($D564="是",M564-N564,0)</f>
        <v>0</v>
      </c>
      <c r="BE564" s="502" t="n">
        <f aca="false">IF($D564="是",O564-P564,0)</f>
        <v>0</v>
      </c>
      <c r="BF564" s="502" t="n">
        <f aca="false">IF($D564="是",Q564-R564,0)</f>
        <v>0</v>
      </c>
      <c r="BG564" s="502" t="n">
        <f aca="false">IF($D564="是",S564-T564,0)</f>
        <v>0</v>
      </c>
      <c r="BH564" s="502" t="n">
        <f aca="false">IF($D564="是",U564-V564,0)</f>
        <v>0</v>
      </c>
      <c r="BI564" s="502" t="n">
        <f aca="false">IF($D564="是",W564-X564,0)</f>
        <v>0</v>
      </c>
      <c r="BJ564" s="502" t="n">
        <f aca="false">IF($D564="是",Y564-Z564,0)</f>
        <v>0</v>
      </c>
      <c r="BK564" s="502" t="n">
        <f aca="false">IF($D564="是",AA564-AB564,0)</f>
        <v>0</v>
      </c>
      <c r="BL564" s="502" t="n">
        <f aca="false">SUM(BM564:BT564)</f>
        <v>0</v>
      </c>
      <c r="BM564" s="502" t="n">
        <f aca="false">IF($D564="是",AD564-AE564,0)</f>
        <v>0</v>
      </c>
      <c r="BN564" s="502" t="n">
        <f aca="false">IF($D564="是",AF564-AG564,0)</f>
        <v>0</v>
      </c>
      <c r="BO564" s="502" t="n">
        <f aca="false">IF($D564="是",AH564-AI564,0)</f>
        <v>0</v>
      </c>
      <c r="BP564" s="502" t="n">
        <f aca="false">IF($D564="是",AJ564-AK564,0)</f>
        <v>0</v>
      </c>
      <c r="BQ564" s="502" t="n">
        <f aca="false">IF($D564="是",AL564-AM564,0)</f>
        <v>0</v>
      </c>
      <c r="BR564" s="502" t="n">
        <f aca="false">IF($D564="是",AN564-AO564,0)</f>
        <v>0</v>
      </c>
      <c r="BS564" s="502" t="n">
        <f aca="false">IF($D564="是",AP564-AQ564,0)</f>
        <v>0</v>
      </c>
      <c r="BT564" s="512" t="n">
        <f aca="false">IF($D564="是",AR564-AS564,0)</f>
        <v>0</v>
      </c>
    </row>
    <row r="565" customFormat="false" ht="14.25" hidden="false" customHeight="false" outlineLevel="0" collapsed="false">
      <c r="A565" s="499"/>
      <c r="B565" s="500"/>
      <c r="C565" s="500"/>
      <c r="D565" s="501"/>
      <c r="E565" s="502" t="n">
        <f aca="false">IF($C$3="是",ROUND($A$3*G565/$B$3,2),ROUND($A$3*(G565-AT565)/$B$3,2))</f>
        <v>0</v>
      </c>
      <c r="F565" s="503"/>
      <c r="G565" s="504" t="n">
        <f aca="false">H565+AC565+AT565</f>
        <v>0</v>
      </c>
      <c r="H565" s="505" t="n">
        <f aca="false">SUMIF(I$12:AB$12,"总值",I565:AB565)</f>
        <v>0</v>
      </c>
      <c r="I565" s="506"/>
      <c r="J565" s="506"/>
      <c r="K565" s="506"/>
      <c r="L565" s="506"/>
      <c r="M565" s="506"/>
      <c r="N565" s="506"/>
      <c r="O565" s="506"/>
      <c r="P565" s="506"/>
      <c r="Q565" s="506"/>
      <c r="R565" s="506"/>
      <c r="S565" s="506"/>
      <c r="T565" s="506"/>
      <c r="U565" s="506"/>
      <c r="V565" s="506"/>
      <c r="W565" s="506"/>
      <c r="X565" s="506"/>
      <c r="Y565" s="506"/>
      <c r="Z565" s="506"/>
      <c r="AA565" s="506"/>
      <c r="AB565" s="506"/>
      <c r="AC565" s="502" t="n">
        <f aca="false">SUMIF(AD$12:AS$12,"总值",AD565:AS565)</f>
        <v>0</v>
      </c>
      <c r="AD565" s="507"/>
      <c r="AE565" s="507"/>
      <c r="AF565" s="507"/>
      <c r="AG565" s="507"/>
      <c r="AH565" s="507"/>
      <c r="AI565" s="507"/>
      <c r="AJ565" s="507"/>
      <c r="AK565" s="507"/>
      <c r="AL565" s="507"/>
      <c r="AM565" s="507"/>
      <c r="AN565" s="507"/>
      <c r="AO565" s="507"/>
      <c r="AP565" s="507"/>
      <c r="AQ565" s="507"/>
      <c r="AR565" s="507"/>
      <c r="AS565" s="507"/>
      <c r="AT565" s="508"/>
      <c r="AU565" s="509"/>
      <c r="AV565" s="510" t="n">
        <f aca="false">A565</f>
        <v>0</v>
      </c>
      <c r="AW565" s="510" t="n">
        <f aca="false">B565</f>
        <v>0</v>
      </c>
      <c r="AX565" s="510" t="n">
        <f aca="false">C565</f>
        <v>0</v>
      </c>
      <c r="AY565" s="511" t="n">
        <f aca="false">ROUND($AY$6*AZ565/$AZ$5,2)</f>
        <v>0</v>
      </c>
      <c r="AZ565" s="502" t="n">
        <f aca="false">BA565+BL565</f>
        <v>0</v>
      </c>
      <c r="BA565" s="502" t="n">
        <f aca="false">SUM(BB565:BK565)</f>
        <v>0</v>
      </c>
      <c r="BB565" s="502" t="n">
        <f aca="false">IF($D565="是",I565-J565,0)</f>
        <v>0</v>
      </c>
      <c r="BC565" s="502" t="n">
        <f aca="false">IF($D565="是",K565-L565,0)</f>
        <v>0</v>
      </c>
      <c r="BD565" s="502" t="n">
        <f aca="false">IF($D565="是",M565-N565,0)</f>
        <v>0</v>
      </c>
      <c r="BE565" s="502" t="n">
        <f aca="false">IF($D565="是",O565-P565,0)</f>
        <v>0</v>
      </c>
      <c r="BF565" s="502" t="n">
        <f aca="false">IF($D565="是",Q565-R565,0)</f>
        <v>0</v>
      </c>
      <c r="BG565" s="502" t="n">
        <f aca="false">IF($D565="是",S565-T565,0)</f>
        <v>0</v>
      </c>
      <c r="BH565" s="502" t="n">
        <f aca="false">IF($D565="是",U565-V565,0)</f>
        <v>0</v>
      </c>
      <c r="BI565" s="502" t="n">
        <f aca="false">IF($D565="是",W565-X565,0)</f>
        <v>0</v>
      </c>
      <c r="BJ565" s="502" t="n">
        <f aca="false">IF($D565="是",Y565-Z565,0)</f>
        <v>0</v>
      </c>
      <c r="BK565" s="502" t="n">
        <f aca="false">IF($D565="是",AA565-AB565,0)</f>
        <v>0</v>
      </c>
      <c r="BL565" s="502" t="n">
        <f aca="false">SUM(BM565:BT565)</f>
        <v>0</v>
      </c>
      <c r="BM565" s="502" t="n">
        <f aca="false">IF($D565="是",AD565-AE565,0)</f>
        <v>0</v>
      </c>
      <c r="BN565" s="502" t="n">
        <f aca="false">IF($D565="是",AF565-AG565,0)</f>
        <v>0</v>
      </c>
      <c r="BO565" s="502" t="n">
        <f aca="false">IF($D565="是",AH565-AI565,0)</f>
        <v>0</v>
      </c>
      <c r="BP565" s="502" t="n">
        <f aca="false">IF($D565="是",AJ565-AK565,0)</f>
        <v>0</v>
      </c>
      <c r="BQ565" s="502" t="n">
        <f aca="false">IF($D565="是",AL565-AM565,0)</f>
        <v>0</v>
      </c>
      <c r="BR565" s="502" t="n">
        <f aca="false">IF($D565="是",AN565-AO565,0)</f>
        <v>0</v>
      </c>
      <c r="BS565" s="502" t="n">
        <f aca="false">IF($D565="是",AP565-AQ565,0)</f>
        <v>0</v>
      </c>
      <c r="BT565" s="512" t="n">
        <f aca="false">IF($D565="是",AR565-AS565,0)</f>
        <v>0</v>
      </c>
    </row>
    <row r="566" customFormat="false" ht="14.25" hidden="false" customHeight="false" outlineLevel="0" collapsed="false">
      <c r="A566" s="499"/>
      <c r="B566" s="500"/>
      <c r="C566" s="500"/>
      <c r="D566" s="501"/>
      <c r="E566" s="502" t="n">
        <f aca="false">IF($C$3="是",ROUND($A$3*G566/$B$3,2),ROUND($A$3*(G566-AT566)/$B$3,2))</f>
        <v>0</v>
      </c>
      <c r="F566" s="503"/>
      <c r="G566" s="504" t="n">
        <f aca="false">H566+AC566+AT566</f>
        <v>0</v>
      </c>
      <c r="H566" s="505" t="n">
        <f aca="false">SUMIF(I$12:AB$12,"总值",I566:AB566)</f>
        <v>0</v>
      </c>
      <c r="I566" s="506"/>
      <c r="J566" s="506"/>
      <c r="K566" s="506"/>
      <c r="L566" s="506"/>
      <c r="M566" s="506"/>
      <c r="N566" s="506"/>
      <c r="O566" s="506"/>
      <c r="P566" s="506"/>
      <c r="Q566" s="506"/>
      <c r="R566" s="506"/>
      <c r="S566" s="506"/>
      <c r="T566" s="506"/>
      <c r="U566" s="506"/>
      <c r="V566" s="506"/>
      <c r="W566" s="506"/>
      <c r="X566" s="506"/>
      <c r="Y566" s="506"/>
      <c r="Z566" s="506"/>
      <c r="AA566" s="506"/>
      <c r="AB566" s="506"/>
      <c r="AC566" s="502" t="n">
        <f aca="false">SUMIF(AD$12:AS$12,"总值",AD566:AS566)</f>
        <v>0</v>
      </c>
      <c r="AD566" s="507"/>
      <c r="AE566" s="507"/>
      <c r="AF566" s="507"/>
      <c r="AG566" s="507"/>
      <c r="AH566" s="507"/>
      <c r="AI566" s="507"/>
      <c r="AJ566" s="507"/>
      <c r="AK566" s="507"/>
      <c r="AL566" s="507"/>
      <c r="AM566" s="507"/>
      <c r="AN566" s="507"/>
      <c r="AO566" s="507"/>
      <c r="AP566" s="507"/>
      <c r="AQ566" s="507"/>
      <c r="AR566" s="507"/>
      <c r="AS566" s="507"/>
      <c r="AT566" s="508"/>
      <c r="AU566" s="509"/>
      <c r="AV566" s="510" t="n">
        <f aca="false">A566</f>
        <v>0</v>
      </c>
      <c r="AW566" s="510" t="n">
        <f aca="false">B566</f>
        <v>0</v>
      </c>
      <c r="AX566" s="510" t="n">
        <f aca="false">C566</f>
        <v>0</v>
      </c>
      <c r="AY566" s="511" t="n">
        <f aca="false">ROUND($AY$6*AZ566/$AZ$5,2)</f>
        <v>0</v>
      </c>
      <c r="AZ566" s="502" t="n">
        <f aca="false">BA566+BL566</f>
        <v>0</v>
      </c>
      <c r="BA566" s="502" t="n">
        <f aca="false">SUM(BB566:BK566)</f>
        <v>0</v>
      </c>
      <c r="BB566" s="502" t="n">
        <f aca="false">IF($D566="是",I566-J566,0)</f>
        <v>0</v>
      </c>
      <c r="BC566" s="502" t="n">
        <f aca="false">IF($D566="是",K566-L566,0)</f>
        <v>0</v>
      </c>
      <c r="BD566" s="502" t="n">
        <f aca="false">IF($D566="是",M566-N566,0)</f>
        <v>0</v>
      </c>
      <c r="BE566" s="502" t="n">
        <f aca="false">IF($D566="是",O566-P566,0)</f>
        <v>0</v>
      </c>
      <c r="BF566" s="502" t="n">
        <f aca="false">IF($D566="是",Q566-R566,0)</f>
        <v>0</v>
      </c>
      <c r="BG566" s="502" t="n">
        <f aca="false">IF($D566="是",S566-T566,0)</f>
        <v>0</v>
      </c>
      <c r="BH566" s="502" t="n">
        <f aca="false">IF($D566="是",U566-V566,0)</f>
        <v>0</v>
      </c>
      <c r="BI566" s="502" t="n">
        <f aca="false">IF($D566="是",W566-X566,0)</f>
        <v>0</v>
      </c>
      <c r="BJ566" s="502" t="n">
        <f aca="false">IF($D566="是",Y566-Z566,0)</f>
        <v>0</v>
      </c>
      <c r="BK566" s="502" t="n">
        <f aca="false">IF($D566="是",AA566-AB566,0)</f>
        <v>0</v>
      </c>
      <c r="BL566" s="502" t="n">
        <f aca="false">SUM(BM566:BT566)</f>
        <v>0</v>
      </c>
      <c r="BM566" s="502" t="n">
        <f aca="false">IF($D566="是",AD566-AE566,0)</f>
        <v>0</v>
      </c>
      <c r="BN566" s="502" t="n">
        <f aca="false">IF($D566="是",AF566-AG566,0)</f>
        <v>0</v>
      </c>
      <c r="BO566" s="502" t="n">
        <f aca="false">IF($D566="是",AH566-AI566,0)</f>
        <v>0</v>
      </c>
      <c r="BP566" s="502" t="n">
        <f aca="false">IF($D566="是",AJ566-AK566,0)</f>
        <v>0</v>
      </c>
      <c r="BQ566" s="502" t="n">
        <f aca="false">IF($D566="是",AL566-AM566,0)</f>
        <v>0</v>
      </c>
      <c r="BR566" s="502" t="n">
        <f aca="false">IF($D566="是",AN566-AO566,0)</f>
        <v>0</v>
      </c>
      <c r="BS566" s="502" t="n">
        <f aca="false">IF($D566="是",AP566-AQ566,0)</f>
        <v>0</v>
      </c>
      <c r="BT566" s="512" t="n">
        <f aca="false">IF($D566="是",AR566-AS566,0)</f>
        <v>0</v>
      </c>
    </row>
    <row r="567" customFormat="false" ht="14.25" hidden="false" customHeight="false" outlineLevel="0" collapsed="false">
      <c r="A567" s="499"/>
      <c r="B567" s="500"/>
      <c r="C567" s="500"/>
      <c r="D567" s="501"/>
      <c r="E567" s="502" t="n">
        <f aca="false">IF($C$3="是",ROUND($A$3*G567/$B$3,2),ROUND($A$3*(G567-AT567)/$B$3,2))</f>
        <v>0</v>
      </c>
      <c r="F567" s="503"/>
      <c r="G567" s="504" t="n">
        <f aca="false">H567+AC567+AT567</f>
        <v>0</v>
      </c>
      <c r="H567" s="505" t="n">
        <f aca="false">SUMIF(I$12:AB$12,"总值",I567:AB567)</f>
        <v>0</v>
      </c>
      <c r="I567" s="506"/>
      <c r="J567" s="506"/>
      <c r="K567" s="506"/>
      <c r="L567" s="506"/>
      <c r="M567" s="506"/>
      <c r="N567" s="506"/>
      <c r="O567" s="506"/>
      <c r="P567" s="506"/>
      <c r="Q567" s="506"/>
      <c r="R567" s="506"/>
      <c r="S567" s="506"/>
      <c r="T567" s="506"/>
      <c r="U567" s="506"/>
      <c r="V567" s="506"/>
      <c r="W567" s="506"/>
      <c r="X567" s="506"/>
      <c r="Y567" s="506"/>
      <c r="Z567" s="506"/>
      <c r="AA567" s="506"/>
      <c r="AB567" s="506"/>
      <c r="AC567" s="502" t="n">
        <f aca="false">SUMIF(AD$12:AS$12,"总值",AD567:AS567)</f>
        <v>0</v>
      </c>
      <c r="AD567" s="507"/>
      <c r="AE567" s="507"/>
      <c r="AF567" s="507"/>
      <c r="AG567" s="507"/>
      <c r="AH567" s="507"/>
      <c r="AI567" s="507"/>
      <c r="AJ567" s="507"/>
      <c r="AK567" s="507"/>
      <c r="AL567" s="507"/>
      <c r="AM567" s="507"/>
      <c r="AN567" s="507"/>
      <c r="AO567" s="507"/>
      <c r="AP567" s="507"/>
      <c r="AQ567" s="507"/>
      <c r="AR567" s="507"/>
      <c r="AS567" s="507"/>
      <c r="AT567" s="508"/>
      <c r="AU567" s="509"/>
      <c r="AV567" s="510" t="n">
        <f aca="false">A567</f>
        <v>0</v>
      </c>
      <c r="AW567" s="510" t="n">
        <f aca="false">B567</f>
        <v>0</v>
      </c>
      <c r="AX567" s="510" t="n">
        <f aca="false">C567</f>
        <v>0</v>
      </c>
      <c r="AY567" s="511" t="n">
        <f aca="false">ROUND($AY$6*AZ567/$AZ$5,2)</f>
        <v>0</v>
      </c>
      <c r="AZ567" s="502" t="n">
        <f aca="false">BA567+BL567</f>
        <v>0</v>
      </c>
      <c r="BA567" s="502" t="n">
        <f aca="false">SUM(BB567:BK567)</f>
        <v>0</v>
      </c>
      <c r="BB567" s="502" t="n">
        <f aca="false">IF($D567="是",I567-J567,0)</f>
        <v>0</v>
      </c>
      <c r="BC567" s="502" t="n">
        <f aca="false">IF($D567="是",K567-L567,0)</f>
        <v>0</v>
      </c>
      <c r="BD567" s="502" t="n">
        <f aca="false">IF($D567="是",M567-N567,0)</f>
        <v>0</v>
      </c>
      <c r="BE567" s="502" t="n">
        <f aca="false">IF($D567="是",O567-P567,0)</f>
        <v>0</v>
      </c>
      <c r="BF567" s="502" t="n">
        <f aca="false">IF($D567="是",Q567-R567,0)</f>
        <v>0</v>
      </c>
      <c r="BG567" s="502" t="n">
        <f aca="false">IF($D567="是",S567-T567,0)</f>
        <v>0</v>
      </c>
      <c r="BH567" s="502" t="n">
        <f aca="false">IF($D567="是",U567-V567,0)</f>
        <v>0</v>
      </c>
      <c r="BI567" s="502" t="n">
        <f aca="false">IF($D567="是",W567-X567,0)</f>
        <v>0</v>
      </c>
      <c r="BJ567" s="502" t="n">
        <f aca="false">IF($D567="是",Y567-Z567,0)</f>
        <v>0</v>
      </c>
      <c r="BK567" s="502" t="n">
        <f aca="false">IF($D567="是",AA567-AB567,0)</f>
        <v>0</v>
      </c>
      <c r="BL567" s="502" t="n">
        <f aca="false">SUM(BM567:BT567)</f>
        <v>0</v>
      </c>
      <c r="BM567" s="502" t="n">
        <f aca="false">IF($D567="是",AD567-AE567,0)</f>
        <v>0</v>
      </c>
      <c r="BN567" s="502" t="n">
        <f aca="false">IF($D567="是",AF567-AG567,0)</f>
        <v>0</v>
      </c>
      <c r="BO567" s="502" t="n">
        <f aca="false">IF($D567="是",AH567-AI567,0)</f>
        <v>0</v>
      </c>
      <c r="BP567" s="502" t="n">
        <f aca="false">IF($D567="是",AJ567-AK567,0)</f>
        <v>0</v>
      </c>
      <c r="BQ567" s="502" t="n">
        <f aca="false">IF($D567="是",AL567-AM567,0)</f>
        <v>0</v>
      </c>
      <c r="BR567" s="502" t="n">
        <f aca="false">IF($D567="是",AN567-AO567,0)</f>
        <v>0</v>
      </c>
      <c r="BS567" s="502" t="n">
        <f aca="false">IF($D567="是",AP567-AQ567,0)</f>
        <v>0</v>
      </c>
      <c r="BT567" s="512" t="n">
        <f aca="false">IF($D567="是",AR567-AS567,0)</f>
        <v>0</v>
      </c>
    </row>
    <row r="568" customFormat="false" ht="14.25" hidden="false" customHeight="false" outlineLevel="0" collapsed="false">
      <c r="A568" s="499"/>
      <c r="B568" s="500"/>
      <c r="C568" s="500"/>
      <c r="D568" s="501"/>
      <c r="E568" s="502" t="n">
        <f aca="false">IF($C$3="是",ROUND($A$3*G568/$B$3,2),ROUND($A$3*(G568-AT568)/$B$3,2))</f>
        <v>0</v>
      </c>
      <c r="F568" s="503"/>
      <c r="G568" s="504" t="n">
        <f aca="false">H568+AC568+AT568</f>
        <v>0</v>
      </c>
      <c r="H568" s="505" t="n">
        <f aca="false">SUMIF(I$12:AB$12,"总值",I568:AB568)</f>
        <v>0</v>
      </c>
      <c r="I568" s="506"/>
      <c r="J568" s="506"/>
      <c r="K568" s="506"/>
      <c r="L568" s="506"/>
      <c r="M568" s="506"/>
      <c r="N568" s="506"/>
      <c r="O568" s="506"/>
      <c r="P568" s="506"/>
      <c r="Q568" s="506"/>
      <c r="R568" s="506"/>
      <c r="S568" s="506"/>
      <c r="T568" s="506"/>
      <c r="U568" s="506"/>
      <c r="V568" s="506"/>
      <c r="W568" s="506"/>
      <c r="X568" s="506"/>
      <c r="Y568" s="506"/>
      <c r="Z568" s="506"/>
      <c r="AA568" s="506"/>
      <c r="AB568" s="506"/>
      <c r="AC568" s="502" t="n">
        <f aca="false">SUMIF(AD$12:AS$12,"总值",AD568:AS568)</f>
        <v>0</v>
      </c>
      <c r="AD568" s="507"/>
      <c r="AE568" s="507"/>
      <c r="AF568" s="507"/>
      <c r="AG568" s="507"/>
      <c r="AH568" s="507"/>
      <c r="AI568" s="507"/>
      <c r="AJ568" s="507"/>
      <c r="AK568" s="507"/>
      <c r="AL568" s="507"/>
      <c r="AM568" s="507"/>
      <c r="AN568" s="507"/>
      <c r="AO568" s="507"/>
      <c r="AP568" s="507"/>
      <c r="AQ568" s="507"/>
      <c r="AR568" s="507"/>
      <c r="AS568" s="507"/>
      <c r="AT568" s="508"/>
      <c r="AU568" s="509"/>
      <c r="AV568" s="510" t="n">
        <f aca="false">A568</f>
        <v>0</v>
      </c>
      <c r="AW568" s="510" t="n">
        <f aca="false">B568</f>
        <v>0</v>
      </c>
      <c r="AX568" s="510" t="n">
        <f aca="false">C568</f>
        <v>0</v>
      </c>
      <c r="AY568" s="511" t="n">
        <f aca="false">ROUND($AY$6*AZ568/$AZ$5,2)</f>
        <v>0</v>
      </c>
      <c r="AZ568" s="502" t="n">
        <f aca="false">BA568+BL568</f>
        <v>0</v>
      </c>
      <c r="BA568" s="502" t="n">
        <f aca="false">SUM(BB568:BK568)</f>
        <v>0</v>
      </c>
      <c r="BB568" s="502" t="n">
        <f aca="false">IF($D568="是",I568-J568,0)</f>
        <v>0</v>
      </c>
      <c r="BC568" s="502" t="n">
        <f aca="false">IF($D568="是",K568-L568,0)</f>
        <v>0</v>
      </c>
      <c r="BD568" s="502" t="n">
        <f aca="false">IF($D568="是",M568-N568,0)</f>
        <v>0</v>
      </c>
      <c r="BE568" s="502" t="n">
        <f aca="false">IF($D568="是",O568-P568,0)</f>
        <v>0</v>
      </c>
      <c r="BF568" s="502" t="n">
        <f aca="false">IF($D568="是",Q568-R568,0)</f>
        <v>0</v>
      </c>
      <c r="BG568" s="502" t="n">
        <f aca="false">IF($D568="是",S568-T568,0)</f>
        <v>0</v>
      </c>
      <c r="BH568" s="502" t="n">
        <f aca="false">IF($D568="是",U568-V568,0)</f>
        <v>0</v>
      </c>
      <c r="BI568" s="502" t="n">
        <f aca="false">IF($D568="是",W568-X568,0)</f>
        <v>0</v>
      </c>
      <c r="BJ568" s="502" t="n">
        <f aca="false">IF($D568="是",Y568-Z568,0)</f>
        <v>0</v>
      </c>
      <c r="BK568" s="502" t="n">
        <f aca="false">IF($D568="是",AA568-AB568,0)</f>
        <v>0</v>
      </c>
      <c r="BL568" s="502" t="n">
        <f aca="false">SUM(BM568:BT568)</f>
        <v>0</v>
      </c>
      <c r="BM568" s="502" t="n">
        <f aca="false">IF($D568="是",AD568-AE568,0)</f>
        <v>0</v>
      </c>
      <c r="BN568" s="502" t="n">
        <f aca="false">IF($D568="是",AF568-AG568,0)</f>
        <v>0</v>
      </c>
      <c r="BO568" s="502" t="n">
        <f aca="false">IF($D568="是",AH568-AI568,0)</f>
        <v>0</v>
      </c>
      <c r="BP568" s="502" t="n">
        <f aca="false">IF($D568="是",AJ568-AK568,0)</f>
        <v>0</v>
      </c>
      <c r="BQ568" s="502" t="n">
        <f aca="false">IF($D568="是",AL568-AM568,0)</f>
        <v>0</v>
      </c>
      <c r="BR568" s="502" t="n">
        <f aca="false">IF($D568="是",AN568-AO568,0)</f>
        <v>0</v>
      </c>
      <c r="BS568" s="502" t="n">
        <f aca="false">IF($D568="是",AP568-AQ568,0)</f>
        <v>0</v>
      </c>
      <c r="BT568" s="512" t="n">
        <f aca="false">IF($D568="是",AR568-AS568,0)</f>
        <v>0</v>
      </c>
    </row>
    <row r="569" customFormat="false" ht="14.25" hidden="false" customHeight="false" outlineLevel="0" collapsed="false">
      <c r="A569" s="499"/>
      <c r="B569" s="500"/>
      <c r="C569" s="500"/>
      <c r="D569" s="501"/>
      <c r="E569" s="502" t="n">
        <f aca="false">IF($C$3="是",ROUND($A$3*G569/$B$3,2),ROUND($A$3*(G569-AT569)/$B$3,2))</f>
        <v>0</v>
      </c>
      <c r="F569" s="503"/>
      <c r="G569" s="504" t="n">
        <f aca="false">H569+AC569+AT569</f>
        <v>0</v>
      </c>
      <c r="H569" s="505" t="n">
        <f aca="false">SUMIF(I$12:AB$12,"总值",I569:AB569)</f>
        <v>0</v>
      </c>
      <c r="I569" s="506"/>
      <c r="J569" s="506"/>
      <c r="K569" s="506"/>
      <c r="L569" s="506"/>
      <c r="M569" s="506"/>
      <c r="N569" s="506"/>
      <c r="O569" s="506"/>
      <c r="P569" s="506"/>
      <c r="Q569" s="506"/>
      <c r="R569" s="506"/>
      <c r="S569" s="506"/>
      <c r="T569" s="506"/>
      <c r="U569" s="506"/>
      <c r="V569" s="506"/>
      <c r="W569" s="506"/>
      <c r="X569" s="506"/>
      <c r="Y569" s="506"/>
      <c r="Z569" s="506"/>
      <c r="AA569" s="506"/>
      <c r="AB569" s="506"/>
      <c r="AC569" s="502" t="n">
        <f aca="false">SUMIF(AD$12:AS$12,"总值",AD569:AS569)</f>
        <v>0</v>
      </c>
      <c r="AD569" s="507"/>
      <c r="AE569" s="507"/>
      <c r="AF569" s="507"/>
      <c r="AG569" s="507"/>
      <c r="AH569" s="507"/>
      <c r="AI569" s="507"/>
      <c r="AJ569" s="507"/>
      <c r="AK569" s="507"/>
      <c r="AL569" s="507"/>
      <c r="AM569" s="507"/>
      <c r="AN569" s="507"/>
      <c r="AO569" s="507"/>
      <c r="AP569" s="507"/>
      <c r="AQ569" s="507"/>
      <c r="AR569" s="507"/>
      <c r="AS569" s="507"/>
      <c r="AT569" s="508"/>
      <c r="AU569" s="509"/>
      <c r="AV569" s="510" t="n">
        <f aca="false">A569</f>
        <v>0</v>
      </c>
      <c r="AW569" s="510" t="n">
        <f aca="false">B569</f>
        <v>0</v>
      </c>
      <c r="AX569" s="510" t="n">
        <f aca="false">C569</f>
        <v>0</v>
      </c>
      <c r="AY569" s="511" t="n">
        <f aca="false">ROUND($AY$6*AZ569/$AZ$5,2)</f>
        <v>0</v>
      </c>
      <c r="AZ569" s="502" t="n">
        <f aca="false">BA569+BL569</f>
        <v>0</v>
      </c>
      <c r="BA569" s="502" t="n">
        <f aca="false">SUM(BB569:BK569)</f>
        <v>0</v>
      </c>
      <c r="BB569" s="502" t="n">
        <f aca="false">IF($D569="是",I569-J569,0)</f>
        <v>0</v>
      </c>
      <c r="BC569" s="502" t="n">
        <f aca="false">IF($D569="是",K569-L569,0)</f>
        <v>0</v>
      </c>
      <c r="BD569" s="502" t="n">
        <f aca="false">IF($D569="是",M569-N569,0)</f>
        <v>0</v>
      </c>
      <c r="BE569" s="502" t="n">
        <f aca="false">IF($D569="是",O569-P569,0)</f>
        <v>0</v>
      </c>
      <c r="BF569" s="502" t="n">
        <f aca="false">IF($D569="是",Q569-R569,0)</f>
        <v>0</v>
      </c>
      <c r="BG569" s="502" t="n">
        <f aca="false">IF($D569="是",S569-T569,0)</f>
        <v>0</v>
      </c>
      <c r="BH569" s="502" t="n">
        <f aca="false">IF($D569="是",U569-V569,0)</f>
        <v>0</v>
      </c>
      <c r="BI569" s="502" t="n">
        <f aca="false">IF($D569="是",W569-X569,0)</f>
        <v>0</v>
      </c>
      <c r="BJ569" s="502" t="n">
        <f aca="false">IF($D569="是",Y569-Z569,0)</f>
        <v>0</v>
      </c>
      <c r="BK569" s="502" t="n">
        <f aca="false">IF($D569="是",AA569-AB569,0)</f>
        <v>0</v>
      </c>
      <c r="BL569" s="502" t="n">
        <f aca="false">SUM(BM569:BT569)</f>
        <v>0</v>
      </c>
      <c r="BM569" s="502" t="n">
        <f aca="false">IF($D569="是",AD569-AE569,0)</f>
        <v>0</v>
      </c>
      <c r="BN569" s="502" t="n">
        <f aca="false">IF($D569="是",AF569-AG569,0)</f>
        <v>0</v>
      </c>
      <c r="BO569" s="502" t="n">
        <f aca="false">IF($D569="是",AH569-AI569,0)</f>
        <v>0</v>
      </c>
      <c r="BP569" s="502" t="n">
        <f aca="false">IF($D569="是",AJ569-AK569,0)</f>
        <v>0</v>
      </c>
      <c r="BQ569" s="502" t="n">
        <f aca="false">IF($D569="是",AL569-AM569,0)</f>
        <v>0</v>
      </c>
      <c r="BR569" s="502" t="n">
        <f aca="false">IF($D569="是",AN569-AO569,0)</f>
        <v>0</v>
      </c>
      <c r="BS569" s="502" t="n">
        <f aca="false">IF($D569="是",AP569-AQ569,0)</f>
        <v>0</v>
      </c>
      <c r="BT569" s="512" t="n">
        <f aca="false">IF($D569="是",AR569-AS569,0)</f>
        <v>0</v>
      </c>
    </row>
    <row r="570" customFormat="false" ht="14.25" hidden="false" customHeight="false" outlineLevel="0" collapsed="false">
      <c r="A570" s="499"/>
      <c r="B570" s="500"/>
      <c r="C570" s="500"/>
      <c r="D570" s="501"/>
      <c r="E570" s="502" t="n">
        <f aca="false">IF($C$3="是",ROUND($A$3*G570/$B$3,2),ROUND($A$3*(G570-AT570)/$B$3,2))</f>
        <v>0</v>
      </c>
      <c r="F570" s="503"/>
      <c r="G570" s="504" t="n">
        <f aca="false">H570+AC570+AT570</f>
        <v>0</v>
      </c>
      <c r="H570" s="505" t="n">
        <f aca="false">SUMIF(I$12:AB$12,"总值",I570:AB570)</f>
        <v>0</v>
      </c>
      <c r="I570" s="506"/>
      <c r="J570" s="506"/>
      <c r="K570" s="506"/>
      <c r="L570" s="506"/>
      <c r="M570" s="506"/>
      <c r="N570" s="506"/>
      <c r="O570" s="506"/>
      <c r="P570" s="506"/>
      <c r="Q570" s="506"/>
      <c r="R570" s="506"/>
      <c r="S570" s="506"/>
      <c r="T570" s="506"/>
      <c r="U570" s="506"/>
      <c r="V570" s="506"/>
      <c r="W570" s="506"/>
      <c r="X570" s="506"/>
      <c r="Y570" s="506"/>
      <c r="Z570" s="506"/>
      <c r="AA570" s="506"/>
      <c r="AB570" s="506"/>
      <c r="AC570" s="502" t="n">
        <f aca="false">SUMIF(AD$12:AS$12,"总值",AD570:AS570)</f>
        <v>0</v>
      </c>
      <c r="AD570" s="507"/>
      <c r="AE570" s="507"/>
      <c r="AF570" s="507"/>
      <c r="AG570" s="507"/>
      <c r="AH570" s="507"/>
      <c r="AI570" s="507"/>
      <c r="AJ570" s="507"/>
      <c r="AK570" s="507"/>
      <c r="AL570" s="507"/>
      <c r="AM570" s="507"/>
      <c r="AN570" s="507"/>
      <c r="AO570" s="507"/>
      <c r="AP570" s="507"/>
      <c r="AQ570" s="507"/>
      <c r="AR570" s="507"/>
      <c r="AS570" s="507"/>
      <c r="AT570" s="508"/>
      <c r="AU570" s="509"/>
      <c r="AV570" s="510" t="n">
        <f aca="false">A570</f>
        <v>0</v>
      </c>
      <c r="AW570" s="510" t="n">
        <f aca="false">B570</f>
        <v>0</v>
      </c>
      <c r="AX570" s="510" t="n">
        <f aca="false">C570</f>
        <v>0</v>
      </c>
      <c r="AY570" s="511" t="n">
        <f aca="false">ROUND($AY$6*AZ570/$AZ$5,2)</f>
        <v>0</v>
      </c>
      <c r="AZ570" s="502" t="n">
        <f aca="false">BA570+BL570</f>
        <v>0</v>
      </c>
      <c r="BA570" s="502" t="n">
        <f aca="false">SUM(BB570:BK570)</f>
        <v>0</v>
      </c>
      <c r="BB570" s="502" t="n">
        <f aca="false">IF($D570="是",I570-J570,0)</f>
        <v>0</v>
      </c>
      <c r="BC570" s="502" t="n">
        <f aca="false">IF($D570="是",K570-L570,0)</f>
        <v>0</v>
      </c>
      <c r="BD570" s="502" t="n">
        <f aca="false">IF($D570="是",M570-N570,0)</f>
        <v>0</v>
      </c>
      <c r="BE570" s="502" t="n">
        <f aca="false">IF($D570="是",O570-P570,0)</f>
        <v>0</v>
      </c>
      <c r="BF570" s="502" t="n">
        <f aca="false">IF($D570="是",Q570-R570,0)</f>
        <v>0</v>
      </c>
      <c r="BG570" s="502" t="n">
        <f aca="false">IF($D570="是",S570-T570,0)</f>
        <v>0</v>
      </c>
      <c r="BH570" s="502" t="n">
        <f aca="false">IF($D570="是",U570-V570,0)</f>
        <v>0</v>
      </c>
      <c r="BI570" s="502" t="n">
        <f aca="false">IF($D570="是",W570-X570,0)</f>
        <v>0</v>
      </c>
      <c r="BJ570" s="502" t="n">
        <f aca="false">IF($D570="是",Y570-Z570,0)</f>
        <v>0</v>
      </c>
      <c r="BK570" s="502" t="n">
        <f aca="false">IF($D570="是",AA570-AB570,0)</f>
        <v>0</v>
      </c>
      <c r="BL570" s="502" t="n">
        <f aca="false">SUM(BM570:BT570)</f>
        <v>0</v>
      </c>
      <c r="BM570" s="502" t="n">
        <f aca="false">IF($D570="是",AD570-AE570,0)</f>
        <v>0</v>
      </c>
      <c r="BN570" s="502" t="n">
        <f aca="false">IF($D570="是",AF570-AG570,0)</f>
        <v>0</v>
      </c>
      <c r="BO570" s="502" t="n">
        <f aca="false">IF($D570="是",AH570-AI570,0)</f>
        <v>0</v>
      </c>
      <c r="BP570" s="502" t="n">
        <f aca="false">IF($D570="是",AJ570-AK570,0)</f>
        <v>0</v>
      </c>
      <c r="BQ570" s="502" t="n">
        <f aca="false">IF($D570="是",AL570-AM570,0)</f>
        <v>0</v>
      </c>
      <c r="BR570" s="502" t="n">
        <f aca="false">IF($D570="是",AN570-AO570,0)</f>
        <v>0</v>
      </c>
      <c r="BS570" s="502" t="n">
        <f aca="false">IF($D570="是",AP570-AQ570,0)</f>
        <v>0</v>
      </c>
      <c r="BT570" s="512" t="n">
        <f aca="false">IF($D570="是",AR570-AS570,0)</f>
        <v>0</v>
      </c>
    </row>
    <row r="571" customFormat="false" ht="14.25" hidden="false" customHeight="false" outlineLevel="0" collapsed="false">
      <c r="A571" s="499"/>
      <c r="B571" s="500"/>
      <c r="C571" s="500"/>
      <c r="D571" s="501"/>
      <c r="E571" s="502" t="n">
        <f aca="false">IF($C$3="是",ROUND($A$3*G571/$B$3,2),ROUND($A$3*(G571-AT571)/$B$3,2))</f>
        <v>0</v>
      </c>
      <c r="F571" s="503"/>
      <c r="G571" s="504" t="n">
        <f aca="false">H571+AC571+AT571</f>
        <v>0</v>
      </c>
      <c r="H571" s="505" t="n">
        <f aca="false">SUMIF(I$12:AB$12,"总值",I571:AB571)</f>
        <v>0</v>
      </c>
      <c r="I571" s="506"/>
      <c r="J571" s="506"/>
      <c r="K571" s="506"/>
      <c r="L571" s="506"/>
      <c r="M571" s="506"/>
      <c r="N571" s="506"/>
      <c r="O571" s="506"/>
      <c r="P571" s="506"/>
      <c r="Q571" s="506"/>
      <c r="R571" s="506"/>
      <c r="S571" s="506"/>
      <c r="T571" s="506"/>
      <c r="U571" s="506"/>
      <c r="V571" s="506"/>
      <c r="W571" s="506"/>
      <c r="X571" s="506"/>
      <c r="Y571" s="506"/>
      <c r="Z571" s="506"/>
      <c r="AA571" s="506"/>
      <c r="AB571" s="506"/>
      <c r="AC571" s="502" t="n">
        <f aca="false">SUMIF(AD$12:AS$12,"总值",AD571:AS571)</f>
        <v>0</v>
      </c>
      <c r="AD571" s="507"/>
      <c r="AE571" s="507"/>
      <c r="AF571" s="507"/>
      <c r="AG571" s="507"/>
      <c r="AH571" s="507"/>
      <c r="AI571" s="507"/>
      <c r="AJ571" s="507"/>
      <c r="AK571" s="507"/>
      <c r="AL571" s="507"/>
      <c r="AM571" s="507"/>
      <c r="AN571" s="507"/>
      <c r="AO571" s="507"/>
      <c r="AP571" s="507"/>
      <c r="AQ571" s="507"/>
      <c r="AR571" s="507"/>
      <c r="AS571" s="507"/>
      <c r="AT571" s="508"/>
      <c r="AU571" s="509"/>
      <c r="AV571" s="510" t="n">
        <f aca="false">A571</f>
        <v>0</v>
      </c>
      <c r="AW571" s="510" t="n">
        <f aca="false">B571</f>
        <v>0</v>
      </c>
      <c r="AX571" s="510" t="n">
        <f aca="false">C571</f>
        <v>0</v>
      </c>
      <c r="AY571" s="511" t="n">
        <f aca="false">ROUND($AY$6*AZ571/$AZ$5,2)</f>
        <v>0</v>
      </c>
      <c r="AZ571" s="502" t="n">
        <f aca="false">BA571+BL571</f>
        <v>0</v>
      </c>
      <c r="BA571" s="502" t="n">
        <f aca="false">SUM(BB571:BK571)</f>
        <v>0</v>
      </c>
      <c r="BB571" s="502" t="n">
        <f aca="false">IF($D571="是",I571-J571,0)</f>
        <v>0</v>
      </c>
      <c r="BC571" s="502" t="n">
        <f aca="false">IF($D571="是",K571-L571,0)</f>
        <v>0</v>
      </c>
      <c r="BD571" s="502" t="n">
        <f aca="false">IF($D571="是",M571-N571,0)</f>
        <v>0</v>
      </c>
      <c r="BE571" s="502" t="n">
        <f aca="false">IF($D571="是",O571-P571,0)</f>
        <v>0</v>
      </c>
      <c r="BF571" s="502" t="n">
        <f aca="false">IF($D571="是",Q571-R571,0)</f>
        <v>0</v>
      </c>
      <c r="BG571" s="502" t="n">
        <f aca="false">IF($D571="是",S571-T571,0)</f>
        <v>0</v>
      </c>
      <c r="BH571" s="502" t="n">
        <f aca="false">IF($D571="是",U571-V571,0)</f>
        <v>0</v>
      </c>
      <c r="BI571" s="502" t="n">
        <f aca="false">IF($D571="是",W571-X571,0)</f>
        <v>0</v>
      </c>
      <c r="BJ571" s="502" t="n">
        <f aca="false">IF($D571="是",Y571-Z571,0)</f>
        <v>0</v>
      </c>
      <c r="BK571" s="502" t="n">
        <f aca="false">IF($D571="是",AA571-AB571,0)</f>
        <v>0</v>
      </c>
      <c r="BL571" s="502" t="n">
        <f aca="false">SUM(BM571:BT571)</f>
        <v>0</v>
      </c>
      <c r="BM571" s="502" t="n">
        <f aca="false">IF($D571="是",AD571-AE571,0)</f>
        <v>0</v>
      </c>
      <c r="BN571" s="502" t="n">
        <f aca="false">IF($D571="是",AF571-AG571,0)</f>
        <v>0</v>
      </c>
      <c r="BO571" s="502" t="n">
        <f aca="false">IF($D571="是",AH571-AI571,0)</f>
        <v>0</v>
      </c>
      <c r="BP571" s="502" t="n">
        <f aca="false">IF($D571="是",AJ571-AK571,0)</f>
        <v>0</v>
      </c>
      <c r="BQ571" s="502" t="n">
        <f aca="false">IF($D571="是",AL571-AM571,0)</f>
        <v>0</v>
      </c>
      <c r="BR571" s="502" t="n">
        <f aca="false">IF($D571="是",AN571-AO571,0)</f>
        <v>0</v>
      </c>
      <c r="BS571" s="502" t="n">
        <f aca="false">IF($D571="是",AP571-AQ571,0)</f>
        <v>0</v>
      </c>
      <c r="BT571" s="512" t="n">
        <f aca="false">IF($D571="是",AR571-AS571,0)</f>
        <v>0</v>
      </c>
    </row>
    <row r="572" customFormat="false" ht="14.25" hidden="false" customHeight="false" outlineLevel="0" collapsed="false">
      <c r="A572" s="499"/>
      <c r="B572" s="500"/>
      <c r="C572" s="500"/>
      <c r="D572" s="501"/>
      <c r="E572" s="502" t="n">
        <f aca="false">IF($C$3="是",ROUND($A$3*G572/$B$3,2),ROUND($A$3*(G572-AT572)/$B$3,2))</f>
        <v>0</v>
      </c>
      <c r="F572" s="503"/>
      <c r="G572" s="504" t="n">
        <f aca="false">H572+AC572+AT572</f>
        <v>0</v>
      </c>
      <c r="H572" s="505" t="n">
        <f aca="false">SUMIF(I$12:AB$12,"总值",I572:AB572)</f>
        <v>0</v>
      </c>
      <c r="I572" s="506"/>
      <c r="J572" s="506"/>
      <c r="K572" s="506"/>
      <c r="L572" s="506"/>
      <c r="M572" s="506"/>
      <c r="N572" s="506"/>
      <c r="O572" s="506"/>
      <c r="P572" s="506"/>
      <c r="Q572" s="506"/>
      <c r="R572" s="506"/>
      <c r="S572" s="506"/>
      <c r="T572" s="506"/>
      <c r="U572" s="506"/>
      <c r="V572" s="506"/>
      <c r="W572" s="506"/>
      <c r="X572" s="506"/>
      <c r="Y572" s="506"/>
      <c r="Z572" s="506"/>
      <c r="AA572" s="506"/>
      <c r="AB572" s="506"/>
      <c r="AC572" s="502" t="n">
        <f aca="false">SUMIF(AD$12:AS$12,"总值",AD572:AS572)</f>
        <v>0</v>
      </c>
      <c r="AD572" s="507"/>
      <c r="AE572" s="507"/>
      <c r="AF572" s="507"/>
      <c r="AG572" s="507"/>
      <c r="AH572" s="507"/>
      <c r="AI572" s="507"/>
      <c r="AJ572" s="507"/>
      <c r="AK572" s="507"/>
      <c r="AL572" s="507"/>
      <c r="AM572" s="507"/>
      <c r="AN572" s="507"/>
      <c r="AO572" s="507"/>
      <c r="AP572" s="507"/>
      <c r="AQ572" s="507"/>
      <c r="AR572" s="507"/>
      <c r="AS572" s="507"/>
      <c r="AT572" s="508"/>
      <c r="AU572" s="509"/>
      <c r="AV572" s="510" t="n">
        <f aca="false">A572</f>
        <v>0</v>
      </c>
      <c r="AW572" s="510" t="n">
        <f aca="false">B572</f>
        <v>0</v>
      </c>
      <c r="AX572" s="510" t="n">
        <f aca="false">C572</f>
        <v>0</v>
      </c>
      <c r="AY572" s="511" t="n">
        <f aca="false">ROUND($AY$6*AZ572/$AZ$5,2)</f>
        <v>0</v>
      </c>
      <c r="AZ572" s="502" t="n">
        <f aca="false">BA572+BL572</f>
        <v>0</v>
      </c>
      <c r="BA572" s="502" t="n">
        <f aca="false">SUM(BB572:BK572)</f>
        <v>0</v>
      </c>
      <c r="BB572" s="502" t="n">
        <f aca="false">IF($D572="是",I572-J572,0)</f>
        <v>0</v>
      </c>
      <c r="BC572" s="502" t="n">
        <f aca="false">IF($D572="是",K572-L572,0)</f>
        <v>0</v>
      </c>
      <c r="BD572" s="502" t="n">
        <f aca="false">IF($D572="是",M572-N572,0)</f>
        <v>0</v>
      </c>
      <c r="BE572" s="502" t="n">
        <f aca="false">IF($D572="是",O572-P572,0)</f>
        <v>0</v>
      </c>
      <c r="BF572" s="502" t="n">
        <f aca="false">IF($D572="是",Q572-R572,0)</f>
        <v>0</v>
      </c>
      <c r="BG572" s="502" t="n">
        <f aca="false">IF($D572="是",S572-T572,0)</f>
        <v>0</v>
      </c>
      <c r="BH572" s="502" t="n">
        <f aca="false">IF($D572="是",U572-V572,0)</f>
        <v>0</v>
      </c>
      <c r="BI572" s="502" t="n">
        <f aca="false">IF($D572="是",W572-X572,0)</f>
        <v>0</v>
      </c>
      <c r="BJ572" s="502" t="n">
        <f aca="false">IF($D572="是",Y572-Z572,0)</f>
        <v>0</v>
      </c>
      <c r="BK572" s="502" t="n">
        <f aca="false">IF($D572="是",AA572-AB572,0)</f>
        <v>0</v>
      </c>
      <c r="BL572" s="502" t="n">
        <f aca="false">SUM(BM572:BT572)</f>
        <v>0</v>
      </c>
      <c r="BM572" s="502" t="n">
        <f aca="false">IF($D572="是",AD572-AE572,0)</f>
        <v>0</v>
      </c>
      <c r="BN572" s="502" t="n">
        <f aca="false">IF($D572="是",AF572-AG572,0)</f>
        <v>0</v>
      </c>
      <c r="BO572" s="502" t="n">
        <f aca="false">IF($D572="是",AH572-AI572,0)</f>
        <v>0</v>
      </c>
      <c r="BP572" s="502" t="n">
        <f aca="false">IF($D572="是",AJ572-AK572,0)</f>
        <v>0</v>
      </c>
      <c r="BQ572" s="502" t="n">
        <f aca="false">IF($D572="是",AL572-AM572,0)</f>
        <v>0</v>
      </c>
      <c r="BR572" s="502" t="n">
        <f aca="false">IF($D572="是",AN572-AO572,0)</f>
        <v>0</v>
      </c>
      <c r="BS572" s="502" t="n">
        <f aca="false">IF($D572="是",AP572-AQ572,0)</f>
        <v>0</v>
      </c>
      <c r="BT572" s="512" t="n">
        <f aca="false">IF($D572="是",AR572-AS572,0)</f>
        <v>0</v>
      </c>
    </row>
    <row r="573" customFormat="false" ht="14.25" hidden="false" customHeight="false" outlineLevel="0" collapsed="false">
      <c r="A573" s="499"/>
      <c r="B573" s="500"/>
      <c r="C573" s="500"/>
      <c r="D573" s="501"/>
      <c r="E573" s="502" t="n">
        <f aca="false">IF($C$3="是",ROUND($A$3*G573/$B$3,2),ROUND($A$3*(G573-AT573)/$B$3,2))</f>
        <v>0</v>
      </c>
      <c r="F573" s="503"/>
      <c r="G573" s="504" t="n">
        <f aca="false">H573+AC573+AT573</f>
        <v>0</v>
      </c>
      <c r="H573" s="505" t="n">
        <f aca="false">SUMIF(I$12:AB$12,"总值",I573:AB573)</f>
        <v>0</v>
      </c>
      <c r="I573" s="506"/>
      <c r="J573" s="506"/>
      <c r="K573" s="506"/>
      <c r="L573" s="506"/>
      <c r="M573" s="506"/>
      <c r="N573" s="506"/>
      <c r="O573" s="506"/>
      <c r="P573" s="506"/>
      <c r="Q573" s="506"/>
      <c r="R573" s="506"/>
      <c r="S573" s="506"/>
      <c r="T573" s="506"/>
      <c r="U573" s="506"/>
      <c r="V573" s="506"/>
      <c r="W573" s="506"/>
      <c r="X573" s="506"/>
      <c r="Y573" s="506"/>
      <c r="Z573" s="506"/>
      <c r="AA573" s="506"/>
      <c r="AB573" s="506"/>
      <c r="AC573" s="502" t="n">
        <f aca="false">SUMIF(AD$12:AS$12,"总值",AD573:AS573)</f>
        <v>0</v>
      </c>
      <c r="AD573" s="507"/>
      <c r="AE573" s="507"/>
      <c r="AF573" s="507"/>
      <c r="AG573" s="507"/>
      <c r="AH573" s="507"/>
      <c r="AI573" s="507"/>
      <c r="AJ573" s="507"/>
      <c r="AK573" s="507"/>
      <c r="AL573" s="507"/>
      <c r="AM573" s="507"/>
      <c r="AN573" s="507"/>
      <c r="AO573" s="507"/>
      <c r="AP573" s="507"/>
      <c r="AQ573" s="507"/>
      <c r="AR573" s="507"/>
      <c r="AS573" s="507"/>
      <c r="AT573" s="508"/>
      <c r="AU573" s="509"/>
      <c r="AV573" s="510" t="n">
        <f aca="false">A573</f>
        <v>0</v>
      </c>
      <c r="AW573" s="510" t="n">
        <f aca="false">B573</f>
        <v>0</v>
      </c>
      <c r="AX573" s="510" t="n">
        <f aca="false">C573</f>
        <v>0</v>
      </c>
      <c r="AY573" s="511" t="n">
        <f aca="false">ROUND($AY$6*AZ573/$AZ$5,2)</f>
        <v>0</v>
      </c>
      <c r="AZ573" s="502" t="n">
        <f aca="false">BA573+BL573</f>
        <v>0</v>
      </c>
      <c r="BA573" s="502" t="n">
        <f aca="false">SUM(BB573:BK573)</f>
        <v>0</v>
      </c>
      <c r="BB573" s="502" t="n">
        <f aca="false">IF($D573="是",I573-J573,0)</f>
        <v>0</v>
      </c>
      <c r="BC573" s="502" t="n">
        <f aca="false">IF($D573="是",K573-L573,0)</f>
        <v>0</v>
      </c>
      <c r="BD573" s="502" t="n">
        <f aca="false">IF($D573="是",M573-N573,0)</f>
        <v>0</v>
      </c>
      <c r="BE573" s="502" t="n">
        <f aca="false">IF($D573="是",O573-P573,0)</f>
        <v>0</v>
      </c>
      <c r="BF573" s="502" t="n">
        <f aca="false">IF($D573="是",Q573-R573,0)</f>
        <v>0</v>
      </c>
      <c r="BG573" s="502" t="n">
        <f aca="false">IF($D573="是",S573-T573,0)</f>
        <v>0</v>
      </c>
      <c r="BH573" s="502" t="n">
        <f aca="false">IF($D573="是",U573-V573,0)</f>
        <v>0</v>
      </c>
      <c r="BI573" s="502" t="n">
        <f aca="false">IF($D573="是",W573-X573,0)</f>
        <v>0</v>
      </c>
      <c r="BJ573" s="502" t="n">
        <f aca="false">IF($D573="是",Y573-Z573,0)</f>
        <v>0</v>
      </c>
      <c r="BK573" s="502" t="n">
        <f aca="false">IF($D573="是",AA573-AB573,0)</f>
        <v>0</v>
      </c>
      <c r="BL573" s="502" t="n">
        <f aca="false">SUM(BM573:BT573)</f>
        <v>0</v>
      </c>
      <c r="BM573" s="502" t="n">
        <f aca="false">IF($D573="是",AD573-AE573,0)</f>
        <v>0</v>
      </c>
      <c r="BN573" s="502" t="n">
        <f aca="false">IF($D573="是",AF573-AG573,0)</f>
        <v>0</v>
      </c>
      <c r="BO573" s="502" t="n">
        <f aca="false">IF($D573="是",AH573-AI573,0)</f>
        <v>0</v>
      </c>
      <c r="BP573" s="502" t="n">
        <f aca="false">IF($D573="是",AJ573-AK573,0)</f>
        <v>0</v>
      </c>
      <c r="BQ573" s="502" t="n">
        <f aca="false">IF($D573="是",AL573-AM573,0)</f>
        <v>0</v>
      </c>
      <c r="BR573" s="502" t="n">
        <f aca="false">IF($D573="是",AN573-AO573,0)</f>
        <v>0</v>
      </c>
      <c r="BS573" s="502" t="n">
        <f aca="false">IF($D573="是",AP573-AQ573,0)</f>
        <v>0</v>
      </c>
      <c r="BT573" s="512" t="n">
        <f aca="false">IF($D573="是",AR573-AS573,0)</f>
        <v>0</v>
      </c>
    </row>
    <row r="574" customFormat="false" ht="14.25" hidden="false" customHeight="false" outlineLevel="0" collapsed="false">
      <c r="A574" s="499"/>
      <c r="B574" s="500"/>
      <c r="C574" s="500"/>
      <c r="D574" s="501"/>
      <c r="E574" s="502" t="n">
        <f aca="false">IF($C$3="是",ROUND($A$3*G574/$B$3,2),ROUND($A$3*(G574-AT574)/$B$3,2))</f>
        <v>0</v>
      </c>
      <c r="F574" s="503"/>
      <c r="G574" s="504" t="n">
        <f aca="false">H574+AC574+AT574</f>
        <v>0</v>
      </c>
      <c r="H574" s="505" t="n">
        <f aca="false">SUMIF(I$12:AB$12,"总值",I574:AB574)</f>
        <v>0</v>
      </c>
      <c r="I574" s="506"/>
      <c r="J574" s="506"/>
      <c r="K574" s="506"/>
      <c r="L574" s="506"/>
      <c r="M574" s="506"/>
      <c r="N574" s="506"/>
      <c r="O574" s="506"/>
      <c r="P574" s="506"/>
      <c r="Q574" s="506"/>
      <c r="R574" s="506"/>
      <c r="S574" s="506"/>
      <c r="T574" s="506"/>
      <c r="U574" s="506"/>
      <c r="V574" s="506"/>
      <c r="W574" s="506"/>
      <c r="X574" s="506"/>
      <c r="Y574" s="506"/>
      <c r="Z574" s="506"/>
      <c r="AA574" s="506"/>
      <c r="AB574" s="506"/>
      <c r="AC574" s="502" t="n">
        <f aca="false">SUMIF(AD$12:AS$12,"总值",AD574:AS574)</f>
        <v>0</v>
      </c>
      <c r="AD574" s="507"/>
      <c r="AE574" s="507"/>
      <c r="AF574" s="507"/>
      <c r="AG574" s="507"/>
      <c r="AH574" s="507"/>
      <c r="AI574" s="507"/>
      <c r="AJ574" s="507"/>
      <c r="AK574" s="507"/>
      <c r="AL574" s="507"/>
      <c r="AM574" s="507"/>
      <c r="AN574" s="507"/>
      <c r="AO574" s="507"/>
      <c r="AP574" s="507"/>
      <c r="AQ574" s="507"/>
      <c r="AR574" s="507"/>
      <c r="AS574" s="507"/>
      <c r="AT574" s="508"/>
      <c r="AU574" s="509"/>
      <c r="AV574" s="510" t="n">
        <f aca="false">A574</f>
        <v>0</v>
      </c>
      <c r="AW574" s="510" t="n">
        <f aca="false">B574</f>
        <v>0</v>
      </c>
      <c r="AX574" s="510" t="n">
        <f aca="false">C574</f>
        <v>0</v>
      </c>
      <c r="AY574" s="511" t="n">
        <f aca="false">ROUND($AY$6*AZ574/$AZ$5,2)</f>
        <v>0</v>
      </c>
      <c r="AZ574" s="502" t="n">
        <f aca="false">BA574+BL574</f>
        <v>0</v>
      </c>
      <c r="BA574" s="502" t="n">
        <f aca="false">SUM(BB574:BK574)</f>
        <v>0</v>
      </c>
      <c r="BB574" s="502" t="n">
        <f aca="false">IF($D574="是",I574-J574,0)</f>
        <v>0</v>
      </c>
      <c r="BC574" s="502" t="n">
        <f aca="false">IF($D574="是",K574-L574,0)</f>
        <v>0</v>
      </c>
      <c r="BD574" s="502" t="n">
        <f aca="false">IF($D574="是",M574-N574,0)</f>
        <v>0</v>
      </c>
      <c r="BE574" s="502" t="n">
        <f aca="false">IF($D574="是",O574-P574,0)</f>
        <v>0</v>
      </c>
      <c r="BF574" s="502" t="n">
        <f aca="false">IF($D574="是",Q574-R574,0)</f>
        <v>0</v>
      </c>
      <c r="BG574" s="502" t="n">
        <f aca="false">IF($D574="是",S574-T574,0)</f>
        <v>0</v>
      </c>
      <c r="BH574" s="502" t="n">
        <f aca="false">IF($D574="是",U574-V574,0)</f>
        <v>0</v>
      </c>
      <c r="BI574" s="502" t="n">
        <f aca="false">IF($D574="是",W574-X574,0)</f>
        <v>0</v>
      </c>
      <c r="BJ574" s="502" t="n">
        <f aca="false">IF($D574="是",Y574-Z574,0)</f>
        <v>0</v>
      </c>
      <c r="BK574" s="502" t="n">
        <f aca="false">IF($D574="是",AA574-AB574,0)</f>
        <v>0</v>
      </c>
      <c r="BL574" s="502" t="n">
        <f aca="false">SUM(BM574:BT574)</f>
        <v>0</v>
      </c>
      <c r="BM574" s="502" t="n">
        <f aca="false">IF($D574="是",AD574-AE574,0)</f>
        <v>0</v>
      </c>
      <c r="BN574" s="502" t="n">
        <f aca="false">IF($D574="是",AF574-AG574,0)</f>
        <v>0</v>
      </c>
      <c r="BO574" s="502" t="n">
        <f aca="false">IF($D574="是",AH574-AI574,0)</f>
        <v>0</v>
      </c>
      <c r="BP574" s="502" t="n">
        <f aca="false">IF($D574="是",AJ574-AK574,0)</f>
        <v>0</v>
      </c>
      <c r="BQ574" s="502" t="n">
        <f aca="false">IF($D574="是",AL574-AM574,0)</f>
        <v>0</v>
      </c>
      <c r="BR574" s="502" t="n">
        <f aca="false">IF($D574="是",AN574-AO574,0)</f>
        <v>0</v>
      </c>
      <c r="BS574" s="502" t="n">
        <f aca="false">IF($D574="是",AP574-AQ574,0)</f>
        <v>0</v>
      </c>
      <c r="BT574" s="512" t="n">
        <f aca="false">IF($D574="是",AR574-AS574,0)</f>
        <v>0</v>
      </c>
    </row>
    <row r="575" customFormat="false" ht="14.25" hidden="false" customHeight="false" outlineLevel="0" collapsed="false">
      <c r="A575" s="499"/>
      <c r="B575" s="500"/>
      <c r="C575" s="500"/>
      <c r="D575" s="501"/>
      <c r="E575" s="502" t="n">
        <f aca="false">IF($C$3="是",ROUND($A$3*G575/$B$3,2),ROUND($A$3*(G575-AT575)/$B$3,2))</f>
        <v>0</v>
      </c>
      <c r="F575" s="503"/>
      <c r="G575" s="504" t="n">
        <f aca="false">H575+AC575+AT575</f>
        <v>0</v>
      </c>
      <c r="H575" s="505" t="n">
        <f aca="false">SUMIF(I$12:AB$12,"总值",I575:AB575)</f>
        <v>0</v>
      </c>
      <c r="I575" s="506"/>
      <c r="J575" s="506"/>
      <c r="K575" s="506"/>
      <c r="L575" s="506"/>
      <c r="M575" s="506"/>
      <c r="N575" s="506"/>
      <c r="O575" s="506"/>
      <c r="P575" s="506"/>
      <c r="Q575" s="506"/>
      <c r="R575" s="506"/>
      <c r="S575" s="506"/>
      <c r="T575" s="506"/>
      <c r="U575" s="506"/>
      <c r="V575" s="506"/>
      <c r="W575" s="506"/>
      <c r="X575" s="506"/>
      <c r="Y575" s="506"/>
      <c r="Z575" s="506"/>
      <c r="AA575" s="506"/>
      <c r="AB575" s="506"/>
      <c r="AC575" s="502" t="n">
        <f aca="false">SUMIF(AD$12:AS$12,"总值",AD575:AS575)</f>
        <v>0</v>
      </c>
      <c r="AD575" s="507"/>
      <c r="AE575" s="507"/>
      <c r="AF575" s="507"/>
      <c r="AG575" s="507"/>
      <c r="AH575" s="507"/>
      <c r="AI575" s="507"/>
      <c r="AJ575" s="507"/>
      <c r="AK575" s="507"/>
      <c r="AL575" s="507"/>
      <c r="AM575" s="507"/>
      <c r="AN575" s="507"/>
      <c r="AO575" s="507"/>
      <c r="AP575" s="507"/>
      <c r="AQ575" s="507"/>
      <c r="AR575" s="507"/>
      <c r="AS575" s="507"/>
      <c r="AT575" s="508"/>
      <c r="AU575" s="509"/>
      <c r="AV575" s="510" t="n">
        <f aca="false">A575</f>
        <v>0</v>
      </c>
      <c r="AW575" s="510" t="n">
        <f aca="false">B575</f>
        <v>0</v>
      </c>
      <c r="AX575" s="510" t="n">
        <f aca="false">C575</f>
        <v>0</v>
      </c>
      <c r="AY575" s="511" t="n">
        <f aca="false">ROUND($AY$6*AZ575/$AZ$5,2)</f>
        <v>0</v>
      </c>
      <c r="AZ575" s="502" t="n">
        <f aca="false">BA575+BL575</f>
        <v>0</v>
      </c>
      <c r="BA575" s="502" t="n">
        <f aca="false">SUM(BB575:BK575)</f>
        <v>0</v>
      </c>
      <c r="BB575" s="502" t="n">
        <f aca="false">IF($D575="是",I575-J575,0)</f>
        <v>0</v>
      </c>
      <c r="BC575" s="502" t="n">
        <f aca="false">IF($D575="是",K575-L575,0)</f>
        <v>0</v>
      </c>
      <c r="BD575" s="502" t="n">
        <f aca="false">IF($D575="是",M575-N575,0)</f>
        <v>0</v>
      </c>
      <c r="BE575" s="502" t="n">
        <f aca="false">IF($D575="是",O575-P575,0)</f>
        <v>0</v>
      </c>
      <c r="BF575" s="502" t="n">
        <f aca="false">IF($D575="是",Q575-R575,0)</f>
        <v>0</v>
      </c>
      <c r="BG575" s="502" t="n">
        <f aca="false">IF($D575="是",S575-T575,0)</f>
        <v>0</v>
      </c>
      <c r="BH575" s="502" t="n">
        <f aca="false">IF($D575="是",U575-V575,0)</f>
        <v>0</v>
      </c>
      <c r="BI575" s="502" t="n">
        <f aca="false">IF($D575="是",W575-X575,0)</f>
        <v>0</v>
      </c>
      <c r="BJ575" s="502" t="n">
        <f aca="false">IF($D575="是",Y575-Z575,0)</f>
        <v>0</v>
      </c>
      <c r="BK575" s="502" t="n">
        <f aca="false">IF($D575="是",AA575-AB575,0)</f>
        <v>0</v>
      </c>
      <c r="BL575" s="502" t="n">
        <f aca="false">SUM(BM575:BT575)</f>
        <v>0</v>
      </c>
      <c r="BM575" s="502" t="n">
        <f aca="false">IF($D575="是",AD575-AE575,0)</f>
        <v>0</v>
      </c>
      <c r="BN575" s="502" t="n">
        <f aca="false">IF($D575="是",AF575-AG575,0)</f>
        <v>0</v>
      </c>
      <c r="BO575" s="502" t="n">
        <f aca="false">IF($D575="是",AH575-AI575,0)</f>
        <v>0</v>
      </c>
      <c r="BP575" s="502" t="n">
        <f aca="false">IF($D575="是",AJ575-AK575,0)</f>
        <v>0</v>
      </c>
      <c r="BQ575" s="502" t="n">
        <f aca="false">IF($D575="是",AL575-AM575,0)</f>
        <v>0</v>
      </c>
      <c r="BR575" s="502" t="n">
        <f aca="false">IF($D575="是",AN575-AO575,0)</f>
        <v>0</v>
      </c>
      <c r="BS575" s="502" t="n">
        <f aca="false">IF($D575="是",AP575-AQ575,0)</f>
        <v>0</v>
      </c>
      <c r="BT575" s="512" t="n">
        <f aca="false">IF($D575="是",AR575-AS575,0)</f>
        <v>0</v>
      </c>
    </row>
    <row r="576" customFormat="false" ht="14.25" hidden="false" customHeight="false" outlineLevel="0" collapsed="false">
      <c r="A576" s="499"/>
      <c r="B576" s="500"/>
      <c r="C576" s="500"/>
      <c r="D576" s="501"/>
      <c r="E576" s="502" t="n">
        <f aca="false">IF($C$3="是",ROUND($A$3*G576/$B$3,2),ROUND($A$3*(G576-AT576)/$B$3,2))</f>
        <v>0</v>
      </c>
      <c r="F576" s="503"/>
      <c r="G576" s="504" t="n">
        <f aca="false">H576+AC576+AT576</f>
        <v>0</v>
      </c>
      <c r="H576" s="505" t="n">
        <f aca="false">SUMIF(I$12:AB$12,"总值",I576:AB576)</f>
        <v>0</v>
      </c>
      <c r="I576" s="506"/>
      <c r="J576" s="506"/>
      <c r="K576" s="506"/>
      <c r="L576" s="506"/>
      <c r="M576" s="506"/>
      <c r="N576" s="506"/>
      <c r="O576" s="506"/>
      <c r="P576" s="506"/>
      <c r="Q576" s="506"/>
      <c r="R576" s="506"/>
      <c r="S576" s="506"/>
      <c r="T576" s="506"/>
      <c r="U576" s="506"/>
      <c r="V576" s="506"/>
      <c r="W576" s="506"/>
      <c r="X576" s="506"/>
      <c r="Y576" s="506"/>
      <c r="Z576" s="506"/>
      <c r="AA576" s="506"/>
      <c r="AB576" s="506"/>
      <c r="AC576" s="502" t="n">
        <f aca="false">SUMIF(AD$12:AS$12,"总值",AD576:AS576)</f>
        <v>0</v>
      </c>
      <c r="AD576" s="507"/>
      <c r="AE576" s="507"/>
      <c r="AF576" s="507"/>
      <c r="AG576" s="507"/>
      <c r="AH576" s="507"/>
      <c r="AI576" s="507"/>
      <c r="AJ576" s="507"/>
      <c r="AK576" s="507"/>
      <c r="AL576" s="507"/>
      <c r="AM576" s="507"/>
      <c r="AN576" s="507"/>
      <c r="AO576" s="507"/>
      <c r="AP576" s="507"/>
      <c r="AQ576" s="507"/>
      <c r="AR576" s="507"/>
      <c r="AS576" s="507"/>
      <c r="AT576" s="508"/>
      <c r="AU576" s="509"/>
      <c r="AV576" s="510" t="n">
        <f aca="false">A576</f>
        <v>0</v>
      </c>
      <c r="AW576" s="510" t="n">
        <f aca="false">B576</f>
        <v>0</v>
      </c>
      <c r="AX576" s="510" t="n">
        <f aca="false">C576</f>
        <v>0</v>
      </c>
      <c r="AY576" s="511" t="n">
        <f aca="false">ROUND($AY$6*AZ576/$AZ$5,2)</f>
        <v>0</v>
      </c>
      <c r="AZ576" s="502" t="n">
        <f aca="false">BA576+BL576</f>
        <v>0</v>
      </c>
      <c r="BA576" s="502" t="n">
        <f aca="false">SUM(BB576:BK576)</f>
        <v>0</v>
      </c>
      <c r="BB576" s="502" t="n">
        <f aca="false">IF($D576="是",I576-J576,0)</f>
        <v>0</v>
      </c>
      <c r="BC576" s="502" t="n">
        <f aca="false">IF($D576="是",K576-L576,0)</f>
        <v>0</v>
      </c>
      <c r="BD576" s="502" t="n">
        <f aca="false">IF($D576="是",M576-N576,0)</f>
        <v>0</v>
      </c>
      <c r="BE576" s="502" t="n">
        <f aca="false">IF($D576="是",O576-P576,0)</f>
        <v>0</v>
      </c>
      <c r="BF576" s="502" t="n">
        <f aca="false">IF($D576="是",Q576-R576,0)</f>
        <v>0</v>
      </c>
      <c r="BG576" s="502" t="n">
        <f aca="false">IF($D576="是",S576-T576,0)</f>
        <v>0</v>
      </c>
      <c r="BH576" s="502" t="n">
        <f aca="false">IF($D576="是",U576-V576,0)</f>
        <v>0</v>
      </c>
      <c r="BI576" s="502" t="n">
        <f aca="false">IF($D576="是",W576-X576,0)</f>
        <v>0</v>
      </c>
      <c r="BJ576" s="502" t="n">
        <f aca="false">IF($D576="是",Y576-Z576,0)</f>
        <v>0</v>
      </c>
      <c r="BK576" s="502" t="n">
        <f aca="false">IF($D576="是",AA576-AB576,0)</f>
        <v>0</v>
      </c>
      <c r="BL576" s="502" t="n">
        <f aca="false">SUM(BM576:BT576)</f>
        <v>0</v>
      </c>
      <c r="BM576" s="502" t="n">
        <f aca="false">IF($D576="是",AD576-AE576,0)</f>
        <v>0</v>
      </c>
      <c r="BN576" s="502" t="n">
        <f aca="false">IF($D576="是",AF576-AG576,0)</f>
        <v>0</v>
      </c>
      <c r="BO576" s="502" t="n">
        <f aca="false">IF($D576="是",AH576-AI576,0)</f>
        <v>0</v>
      </c>
      <c r="BP576" s="502" t="n">
        <f aca="false">IF($D576="是",AJ576-AK576,0)</f>
        <v>0</v>
      </c>
      <c r="BQ576" s="502" t="n">
        <f aca="false">IF($D576="是",AL576-AM576,0)</f>
        <v>0</v>
      </c>
      <c r="BR576" s="502" t="n">
        <f aca="false">IF($D576="是",AN576-AO576,0)</f>
        <v>0</v>
      </c>
      <c r="BS576" s="502" t="n">
        <f aca="false">IF($D576="是",AP576-AQ576,0)</f>
        <v>0</v>
      </c>
      <c r="BT576" s="512" t="n">
        <f aca="false">IF($D576="是",AR576-AS576,0)</f>
        <v>0</v>
      </c>
    </row>
    <row r="577" customFormat="false" ht="14.25" hidden="false" customHeight="false" outlineLevel="0" collapsed="false">
      <c r="A577" s="499"/>
      <c r="B577" s="500"/>
      <c r="C577" s="500"/>
      <c r="D577" s="501"/>
      <c r="E577" s="502" t="n">
        <f aca="false">IF($C$3="是",ROUND($A$3*G577/$B$3,2),ROUND($A$3*(G577-AT577)/$B$3,2))</f>
        <v>0</v>
      </c>
      <c r="F577" s="503"/>
      <c r="G577" s="504" t="n">
        <f aca="false">H577+AC577+AT577</f>
        <v>0</v>
      </c>
      <c r="H577" s="505" t="n">
        <f aca="false">SUMIF(I$12:AB$12,"总值",I577:AB577)</f>
        <v>0</v>
      </c>
      <c r="I577" s="506"/>
      <c r="J577" s="506"/>
      <c r="K577" s="506"/>
      <c r="L577" s="506"/>
      <c r="M577" s="506"/>
      <c r="N577" s="506"/>
      <c r="O577" s="506"/>
      <c r="P577" s="506"/>
      <c r="Q577" s="506"/>
      <c r="R577" s="506"/>
      <c r="S577" s="506"/>
      <c r="T577" s="506"/>
      <c r="U577" s="506"/>
      <c r="V577" s="506"/>
      <c r="W577" s="506"/>
      <c r="X577" s="506"/>
      <c r="Y577" s="506"/>
      <c r="Z577" s="506"/>
      <c r="AA577" s="506"/>
      <c r="AB577" s="506"/>
      <c r="AC577" s="502" t="n">
        <f aca="false">SUMIF(AD$12:AS$12,"总值",AD577:AS577)</f>
        <v>0</v>
      </c>
      <c r="AD577" s="507"/>
      <c r="AE577" s="507"/>
      <c r="AF577" s="507"/>
      <c r="AG577" s="507"/>
      <c r="AH577" s="507"/>
      <c r="AI577" s="507"/>
      <c r="AJ577" s="507"/>
      <c r="AK577" s="507"/>
      <c r="AL577" s="507"/>
      <c r="AM577" s="507"/>
      <c r="AN577" s="507"/>
      <c r="AO577" s="507"/>
      <c r="AP577" s="507"/>
      <c r="AQ577" s="507"/>
      <c r="AR577" s="507"/>
      <c r="AS577" s="507"/>
      <c r="AT577" s="508"/>
      <c r="AU577" s="509"/>
      <c r="AV577" s="510" t="n">
        <f aca="false">A577</f>
        <v>0</v>
      </c>
      <c r="AW577" s="510" t="n">
        <f aca="false">B577</f>
        <v>0</v>
      </c>
      <c r="AX577" s="510" t="n">
        <f aca="false">C577</f>
        <v>0</v>
      </c>
      <c r="AY577" s="511" t="n">
        <f aca="false">ROUND($AY$6*AZ577/$AZ$5,2)</f>
        <v>0</v>
      </c>
      <c r="AZ577" s="502" t="n">
        <f aca="false">BA577+BL577</f>
        <v>0</v>
      </c>
      <c r="BA577" s="502" t="n">
        <f aca="false">SUM(BB577:BK577)</f>
        <v>0</v>
      </c>
      <c r="BB577" s="502" t="n">
        <f aca="false">IF($D577="是",I577-J577,0)</f>
        <v>0</v>
      </c>
      <c r="BC577" s="502" t="n">
        <f aca="false">IF($D577="是",K577-L577,0)</f>
        <v>0</v>
      </c>
      <c r="BD577" s="502" t="n">
        <f aca="false">IF($D577="是",M577-N577,0)</f>
        <v>0</v>
      </c>
      <c r="BE577" s="502" t="n">
        <f aca="false">IF($D577="是",O577-P577,0)</f>
        <v>0</v>
      </c>
      <c r="BF577" s="502" t="n">
        <f aca="false">IF($D577="是",Q577-R577,0)</f>
        <v>0</v>
      </c>
      <c r="BG577" s="502" t="n">
        <f aca="false">IF($D577="是",S577-T577,0)</f>
        <v>0</v>
      </c>
      <c r="BH577" s="502" t="n">
        <f aca="false">IF($D577="是",U577-V577,0)</f>
        <v>0</v>
      </c>
      <c r="BI577" s="502" t="n">
        <f aca="false">IF($D577="是",W577-X577,0)</f>
        <v>0</v>
      </c>
      <c r="BJ577" s="502" t="n">
        <f aca="false">IF($D577="是",Y577-Z577,0)</f>
        <v>0</v>
      </c>
      <c r="BK577" s="502" t="n">
        <f aca="false">IF($D577="是",AA577-AB577,0)</f>
        <v>0</v>
      </c>
      <c r="BL577" s="502" t="n">
        <f aca="false">SUM(BM577:BT577)</f>
        <v>0</v>
      </c>
      <c r="BM577" s="502" t="n">
        <f aca="false">IF($D577="是",AD577-AE577,0)</f>
        <v>0</v>
      </c>
      <c r="BN577" s="502" t="n">
        <f aca="false">IF($D577="是",AF577-AG577,0)</f>
        <v>0</v>
      </c>
      <c r="BO577" s="502" t="n">
        <f aca="false">IF($D577="是",AH577-AI577,0)</f>
        <v>0</v>
      </c>
      <c r="BP577" s="502" t="n">
        <f aca="false">IF($D577="是",AJ577-AK577,0)</f>
        <v>0</v>
      </c>
      <c r="BQ577" s="502" t="n">
        <f aca="false">IF($D577="是",AL577-AM577,0)</f>
        <v>0</v>
      </c>
      <c r="BR577" s="502" t="n">
        <f aca="false">IF($D577="是",AN577-AO577,0)</f>
        <v>0</v>
      </c>
      <c r="BS577" s="502" t="n">
        <f aca="false">IF($D577="是",AP577-AQ577,0)</f>
        <v>0</v>
      </c>
      <c r="BT577" s="512" t="n">
        <f aca="false">IF($D577="是",AR577-AS577,0)</f>
        <v>0</v>
      </c>
    </row>
    <row r="578" customFormat="false" ht="14.25" hidden="false" customHeight="false" outlineLevel="0" collapsed="false">
      <c r="A578" s="499"/>
      <c r="B578" s="500"/>
      <c r="C578" s="500"/>
      <c r="D578" s="501"/>
      <c r="E578" s="502" t="n">
        <f aca="false">IF($C$3="是",ROUND($A$3*G578/$B$3,2),ROUND($A$3*(G578-AT578)/$B$3,2))</f>
        <v>0</v>
      </c>
      <c r="F578" s="503"/>
      <c r="G578" s="504" t="n">
        <f aca="false">H578+AC578+AT578</f>
        <v>0</v>
      </c>
      <c r="H578" s="505" t="n">
        <f aca="false">SUMIF(I$12:AB$12,"总值",I578:AB578)</f>
        <v>0</v>
      </c>
      <c r="I578" s="506"/>
      <c r="J578" s="506"/>
      <c r="K578" s="506"/>
      <c r="L578" s="506"/>
      <c r="M578" s="506"/>
      <c r="N578" s="506"/>
      <c r="O578" s="506"/>
      <c r="P578" s="506"/>
      <c r="Q578" s="506"/>
      <c r="R578" s="506"/>
      <c r="S578" s="506"/>
      <c r="T578" s="506"/>
      <c r="U578" s="506"/>
      <c r="V578" s="506"/>
      <c r="W578" s="506"/>
      <c r="X578" s="506"/>
      <c r="Y578" s="506"/>
      <c r="Z578" s="506"/>
      <c r="AA578" s="506"/>
      <c r="AB578" s="506"/>
      <c r="AC578" s="502" t="n">
        <f aca="false">SUMIF(AD$12:AS$12,"总值",AD578:AS578)</f>
        <v>0</v>
      </c>
      <c r="AD578" s="507"/>
      <c r="AE578" s="507"/>
      <c r="AF578" s="507"/>
      <c r="AG578" s="507"/>
      <c r="AH578" s="507"/>
      <c r="AI578" s="507"/>
      <c r="AJ578" s="507"/>
      <c r="AK578" s="507"/>
      <c r="AL578" s="507"/>
      <c r="AM578" s="507"/>
      <c r="AN578" s="507"/>
      <c r="AO578" s="507"/>
      <c r="AP578" s="507"/>
      <c r="AQ578" s="507"/>
      <c r="AR578" s="507"/>
      <c r="AS578" s="507"/>
      <c r="AT578" s="508"/>
      <c r="AU578" s="509"/>
      <c r="AV578" s="510" t="n">
        <f aca="false">A578</f>
        <v>0</v>
      </c>
      <c r="AW578" s="510" t="n">
        <f aca="false">B578</f>
        <v>0</v>
      </c>
      <c r="AX578" s="510" t="n">
        <f aca="false">C578</f>
        <v>0</v>
      </c>
      <c r="AY578" s="511" t="n">
        <f aca="false">ROUND($AY$6*AZ578/$AZ$5,2)</f>
        <v>0</v>
      </c>
      <c r="AZ578" s="502" t="n">
        <f aca="false">BA578+BL578</f>
        <v>0</v>
      </c>
      <c r="BA578" s="502" t="n">
        <f aca="false">SUM(BB578:BK578)</f>
        <v>0</v>
      </c>
      <c r="BB578" s="502" t="n">
        <f aca="false">IF($D578="是",I578-J578,0)</f>
        <v>0</v>
      </c>
      <c r="BC578" s="502" t="n">
        <f aca="false">IF($D578="是",K578-L578,0)</f>
        <v>0</v>
      </c>
      <c r="BD578" s="502" t="n">
        <f aca="false">IF($D578="是",M578-N578,0)</f>
        <v>0</v>
      </c>
      <c r="BE578" s="502" t="n">
        <f aca="false">IF($D578="是",O578-P578,0)</f>
        <v>0</v>
      </c>
      <c r="BF578" s="502" t="n">
        <f aca="false">IF($D578="是",Q578-R578,0)</f>
        <v>0</v>
      </c>
      <c r="BG578" s="502" t="n">
        <f aca="false">IF($D578="是",S578-T578,0)</f>
        <v>0</v>
      </c>
      <c r="BH578" s="502" t="n">
        <f aca="false">IF($D578="是",U578-V578,0)</f>
        <v>0</v>
      </c>
      <c r="BI578" s="502" t="n">
        <f aca="false">IF($D578="是",W578-X578,0)</f>
        <v>0</v>
      </c>
      <c r="BJ578" s="502" t="n">
        <f aca="false">IF($D578="是",Y578-Z578,0)</f>
        <v>0</v>
      </c>
      <c r="BK578" s="502" t="n">
        <f aca="false">IF($D578="是",AA578-AB578,0)</f>
        <v>0</v>
      </c>
      <c r="BL578" s="502" t="n">
        <f aca="false">SUM(BM578:BT578)</f>
        <v>0</v>
      </c>
      <c r="BM578" s="502" t="n">
        <f aca="false">IF($D578="是",AD578-AE578,0)</f>
        <v>0</v>
      </c>
      <c r="BN578" s="502" t="n">
        <f aca="false">IF($D578="是",AF578-AG578,0)</f>
        <v>0</v>
      </c>
      <c r="BO578" s="502" t="n">
        <f aca="false">IF($D578="是",AH578-AI578,0)</f>
        <v>0</v>
      </c>
      <c r="BP578" s="502" t="n">
        <f aca="false">IF($D578="是",AJ578-AK578,0)</f>
        <v>0</v>
      </c>
      <c r="BQ578" s="502" t="n">
        <f aca="false">IF($D578="是",AL578-AM578,0)</f>
        <v>0</v>
      </c>
      <c r="BR578" s="502" t="n">
        <f aca="false">IF($D578="是",AN578-AO578,0)</f>
        <v>0</v>
      </c>
      <c r="BS578" s="502" t="n">
        <f aca="false">IF($D578="是",AP578-AQ578,0)</f>
        <v>0</v>
      </c>
      <c r="BT578" s="512" t="n">
        <f aca="false">IF($D578="是",AR578-AS578,0)</f>
        <v>0</v>
      </c>
    </row>
    <row r="579" customFormat="false" ht="14.25" hidden="false" customHeight="false" outlineLevel="0" collapsed="false">
      <c r="A579" s="499"/>
      <c r="B579" s="500"/>
      <c r="C579" s="500"/>
      <c r="D579" s="501"/>
      <c r="E579" s="502" t="n">
        <f aca="false">IF($C$3="是",ROUND($A$3*G579/$B$3,2),ROUND($A$3*(G579-AT579)/$B$3,2))</f>
        <v>0</v>
      </c>
      <c r="F579" s="503"/>
      <c r="G579" s="504" t="n">
        <f aca="false">H579+AC579+AT579</f>
        <v>0</v>
      </c>
      <c r="H579" s="505" t="n">
        <f aca="false">SUMIF(I$12:AB$12,"总值",I579:AB579)</f>
        <v>0</v>
      </c>
      <c r="I579" s="506"/>
      <c r="J579" s="506"/>
      <c r="K579" s="506"/>
      <c r="L579" s="506"/>
      <c r="M579" s="506"/>
      <c r="N579" s="506"/>
      <c r="O579" s="506"/>
      <c r="P579" s="506"/>
      <c r="Q579" s="506"/>
      <c r="R579" s="506"/>
      <c r="S579" s="506"/>
      <c r="T579" s="506"/>
      <c r="U579" s="506"/>
      <c r="V579" s="506"/>
      <c r="W579" s="506"/>
      <c r="X579" s="506"/>
      <c r="Y579" s="506"/>
      <c r="Z579" s="506"/>
      <c r="AA579" s="506"/>
      <c r="AB579" s="506"/>
      <c r="AC579" s="502" t="n">
        <f aca="false">SUMIF(AD$12:AS$12,"总值",AD579:AS579)</f>
        <v>0</v>
      </c>
      <c r="AD579" s="507"/>
      <c r="AE579" s="507"/>
      <c r="AF579" s="507"/>
      <c r="AG579" s="507"/>
      <c r="AH579" s="507"/>
      <c r="AI579" s="507"/>
      <c r="AJ579" s="507"/>
      <c r="AK579" s="507"/>
      <c r="AL579" s="507"/>
      <c r="AM579" s="507"/>
      <c r="AN579" s="507"/>
      <c r="AO579" s="507"/>
      <c r="AP579" s="507"/>
      <c r="AQ579" s="507"/>
      <c r="AR579" s="507"/>
      <c r="AS579" s="507"/>
      <c r="AT579" s="508"/>
      <c r="AU579" s="509"/>
      <c r="AV579" s="510" t="n">
        <f aca="false">A579</f>
        <v>0</v>
      </c>
      <c r="AW579" s="510" t="n">
        <f aca="false">B579</f>
        <v>0</v>
      </c>
      <c r="AX579" s="510" t="n">
        <f aca="false">C579</f>
        <v>0</v>
      </c>
      <c r="AY579" s="511" t="n">
        <f aca="false">ROUND($AY$6*AZ579/$AZ$5,2)</f>
        <v>0</v>
      </c>
      <c r="AZ579" s="502" t="n">
        <f aca="false">BA579+BL579</f>
        <v>0</v>
      </c>
      <c r="BA579" s="502" t="n">
        <f aca="false">SUM(BB579:BK579)</f>
        <v>0</v>
      </c>
      <c r="BB579" s="502" t="n">
        <f aca="false">IF($D579="是",I579-J579,0)</f>
        <v>0</v>
      </c>
      <c r="BC579" s="502" t="n">
        <f aca="false">IF($D579="是",K579-L579,0)</f>
        <v>0</v>
      </c>
      <c r="BD579" s="502" t="n">
        <f aca="false">IF($D579="是",M579-N579,0)</f>
        <v>0</v>
      </c>
      <c r="BE579" s="502" t="n">
        <f aca="false">IF($D579="是",O579-P579,0)</f>
        <v>0</v>
      </c>
      <c r="BF579" s="502" t="n">
        <f aca="false">IF($D579="是",Q579-R579,0)</f>
        <v>0</v>
      </c>
      <c r="BG579" s="502" t="n">
        <f aca="false">IF($D579="是",S579-T579,0)</f>
        <v>0</v>
      </c>
      <c r="BH579" s="502" t="n">
        <f aca="false">IF($D579="是",U579-V579,0)</f>
        <v>0</v>
      </c>
      <c r="BI579" s="502" t="n">
        <f aca="false">IF($D579="是",W579-X579,0)</f>
        <v>0</v>
      </c>
      <c r="BJ579" s="502" t="n">
        <f aca="false">IF($D579="是",Y579-Z579,0)</f>
        <v>0</v>
      </c>
      <c r="BK579" s="502" t="n">
        <f aca="false">IF($D579="是",AA579-AB579,0)</f>
        <v>0</v>
      </c>
      <c r="BL579" s="502" t="n">
        <f aca="false">SUM(BM579:BT579)</f>
        <v>0</v>
      </c>
      <c r="BM579" s="502" t="n">
        <f aca="false">IF($D579="是",AD579-AE579,0)</f>
        <v>0</v>
      </c>
      <c r="BN579" s="502" t="n">
        <f aca="false">IF($D579="是",AF579-AG579,0)</f>
        <v>0</v>
      </c>
      <c r="BO579" s="502" t="n">
        <f aca="false">IF($D579="是",AH579-AI579,0)</f>
        <v>0</v>
      </c>
      <c r="BP579" s="502" t="n">
        <f aca="false">IF($D579="是",AJ579-AK579,0)</f>
        <v>0</v>
      </c>
      <c r="BQ579" s="502" t="n">
        <f aca="false">IF($D579="是",AL579-AM579,0)</f>
        <v>0</v>
      </c>
      <c r="BR579" s="502" t="n">
        <f aca="false">IF($D579="是",AN579-AO579,0)</f>
        <v>0</v>
      </c>
      <c r="BS579" s="502" t="n">
        <f aca="false">IF($D579="是",AP579-AQ579,0)</f>
        <v>0</v>
      </c>
      <c r="BT579" s="512" t="n">
        <f aca="false">IF($D579="是",AR579-AS579,0)</f>
        <v>0</v>
      </c>
    </row>
    <row r="580" customFormat="false" ht="14.25" hidden="false" customHeight="false" outlineLevel="0" collapsed="false">
      <c r="A580" s="499"/>
      <c r="B580" s="500"/>
      <c r="C580" s="500"/>
      <c r="D580" s="501"/>
      <c r="E580" s="502" t="n">
        <f aca="false">IF($C$3="是",ROUND($A$3*G580/$B$3,2),ROUND($A$3*(G580-AT580)/$B$3,2))</f>
        <v>0</v>
      </c>
      <c r="F580" s="503"/>
      <c r="G580" s="504" t="n">
        <f aca="false">H580+AC580+AT580</f>
        <v>0</v>
      </c>
      <c r="H580" s="505" t="n">
        <f aca="false">SUMIF(I$12:AB$12,"总值",I580:AB580)</f>
        <v>0</v>
      </c>
      <c r="I580" s="506"/>
      <c r="J580" s="506"/>
      <c r="K580" s="506"/>
      <c r="L580" s="506"/>
      <c r="M580" s="506"/>
      <c r="N580" s="506"/>
      <c r="O580" s="506"/>
      <c r="P580" s="506"/>
      <c r="Q580" s="506"/>
      <c r="R580" s="506"/>
      <c r="S580" s="506"/>
      <c r="T580" s="506"/>
      <c r="U580" s="506"/>
      <c r="V580" s="506"/>
      <c r="W580" s="506"/>
      <c r="X580" s="506"/>
      <c r="Y580" s="506"/>
      <c r="Z580" s="506"/>
      <c r="AA580" s="506"/>
      <c r="AB580" s="506"/>
      <c r="AC580" s="502" t="n">
        <f aca="false">SUMIF(AD$12:AS$12,"总值",AD580:AS580)</f>
        <v>0</v>
      </c>
      <c r="AD580" s="507"/>
      <c r="AE580" s="507"/>
      <c r="AF580" s="507"/>
      <c r="AG580" s="507"/>
      <c r="AH580" s="507"/>
      <c r="AI580" s="507"/>
      <c r="AJ580" s="507"/>
      <c r="AK580" s="507"/>
      <c r="AL580" s="507"/>
      <c r="AM580" s="507"/>
      <c r="AN580" s="507"/>
      <c r="AO580" s="507"/>
      <c r="AP580" s="507"/>
      <c r="AQ580" s="507"/>
      <c r="AR580" s="507"/>
      <c r="AS580" s="507"/>
      <c r="AT580" s="508"/>
      <c r="AU580" s="509"/>
      <c r="AV580" s="510" t="n">
        <f aca="false">A580</f>
        <v>0</v>
      </c>
      <c r="AW580" s="510" t="n">
        <f aca="false">B580</f>
        <v>0</v>
      </c>
      <c r="AX580" s="510" t="n">
        <f aca="false">C580</f>
        <v>0</v>
      </c>
      <c r="AY580" s="511" t="n">
        <f aca="false">ROUND($AY$6*AZ580/$AZ$5,2)</f>
        <v>0</v>
      </c>
      <c r="AZ580" s="502" t="n">
        <f aca="false">BA580+BL580</f>
        <v>0</v>
      </c>
      <c r="BA580" s="502" t="n">
        <f aca="false">SUM(BB580:BK580)</f>
        <v>0</v>
      </c>
      <c r="BB580" s="502" t="n">
        <f aca="false">IF($D580="是",I580-J580,0)</f>
        <v>0</v>
      </c>
      <c r="BC580" s="502" t="n">
        <f aca="false">IF($D580="是",K580-L580,0)</f>
        <v>0</v>
      </c>
      <c r="BD580" s="502" t="n">
        <f aca="false">IF($D580="是",M580-N580,0)</f>
        <v>0</v>
      </c>
      <c r="BE580" s="502" t="n">
        <f aca="false">IF($D580="是",O580-P580,0)</f>
        <v>0</v>
      </c>
      <c r="BF580" s="502" t="n">
        <f aca="false">IF($D580="是",Q580-R580,0)</f>
        <v>0</v>
      </c>
      <c r="BG580" s="502" t="n">
        <f aca="false">IF($D580="是",S580-T580,0)</f>
        <v>0</v>
      </c>
      <c r="BH580" s="502" t="n">
        <f aca="false">IF($D580="是",U580-V580,0)</f>
        <v>0</v>
      </c>
      <c r="BI580" s="502" t="n">
        <f aca="false">IF($D580="是",W580-X580,0)</f>
        <v>0</v>
      </c>
      <c r="BJ580" s="502" t="n">
        <f aca="false">IF($D580="是",Y580-Z580,0)</f>
        <v>0</v>
      </c>
      <c r="BK580" s="502" t="n">
        <f aca="false">IF($D580="是",AA580-AB580,0)</f>
        <v>0</v>
      </c>
      <c r="BL580" s="502" t="n">
        <f aca="false">SUM(BM580:BT580)</f>
        <v>0</v>
      </c>
      <c r="BM580" s="502" t="n">
        <f aca="false">IF($D580="是",AD580-AE580,0)</f>
        <v>0</v>
      </c>
      <c r="BN580" s="502" t="n">
        <f aca="false">IF($D580="是",AF580-AG580,0)</f>
        <v>0</v>
      </c>
      <c r="BO580" s="502" t="n">
        <f aca="false">IF($D580="是",AH580-AI580,0)</f>
        <v>0</v>
      </c>
      <c r="BP580" s="502" t="n">
        <f aca="false">IF($D580="是",AJ580-AK580,0)</f>
        <v>0</v>
      </c>
      <c r="BQ580" s="502" t="n">
        <f aca="false">IF($D580="是",AL580-AM580,0)</f>
        <v>0</v>
      </c>
      <c r="BR580" s="502" t="n">
        <f aca="false">IF($D580="是",AN580-AO580,0)</f>
        <v>0</v>
      </c>
      <c r="BS580" s="502" t="n">
        <f aca="false">IF($D580="是",AP580-AQ580,0)</f>
        <v>0</v>
      </c>
      <c r="BT580" s="512" t="n">
        <f aca="false">IF($D580="是",AR580-AS580,0)</f>
        <v>0</v>
      </c>
    </row>
    <row r="581" customFormat="false" ht="14.25" hidden="false" customHeight="false" outlineLevel="0" collapsed="false">
      <c r="A581" s="499"/>
      <c r="B581" s="500"/>
      <c r="C581" s="500"/>
      <c r="D581" s="501"/>
      <c r="E581" s="502" t="n">
        <f aca="false">IF($C$3="是",ROUND($A$3*G581/$B$3,2),ROUND($A$3*(G581-AT581)/$B$3,2))</f>
        <v>0</v>
      </c>
      <c r="F581" s="503"/>
      <c r="G581" s="504" t="n">
        <f aca="false">H581+AC581+AT581</f>
        <v>0</v>
      </c>
      <c r="H581" s="505" t="n">
        <f aca="false">SUMIF(I$12:AB$12,"总值",I581:AB581)</f>
        <v>0</v>
      </c>
      <c r="I581" s="506"/>
      <c r="J581" s="506"/>
      <c r="K581" s="506"/>
      <c r="L581" s="506"/>
      <c r="M581" s="506"/>
      <c r="N581" s="506"/>
      <c r="O581" s="506"/>
      <c r="P581" s="506"/>
      <c r="Q581" s="506"/>
      <c r="R581" s="506"/>
      <c r="S581" s="506"/>
      <c r="T581" s="506"/>
      <c r="U581" s="506"/>
      <c r="V581" s="506"/>
      <c r="W581" s="506"/>
      <c r="X581" s="506"/>
      <c r="Y581" s="506"/>
      <c r="Z581" s="506"/>
      <c r="AA581" s="506"/>
      <c r="AB581" s="506"/>
      <c r="AC581" s="502" t="n">
        <f aca="false">SUMIF(AD$12:AS$12,"总值",AD581:AS581)</f>
        <v>0</v>
      </c>
      <c r="AD581" s="507"/>
      <c r="AE581" s="507"/>
      <c r="AF581" s="507"/>
      <c r="AG581" s="507"/>
      <c r="AH581" s="507"/>
      <c r="AI581" s="507"/>
      <c r="AJ581" s="507"/>
      <c r="AK581" s="507"/>
      <c r="AL581" s="507"/>
      <c r="AM581" s="507"/>
      <c r="AN581" s="507"/>
      <c r="AO581" s="507"/>
      <c r="AP581" s="507"/>
      <c r="AQ581" s="507"/>
      <c r="AR581" s="507"/>
      <c r="AS581" s="507"/>
      <c r="AT581" s="508"/>
      <c r="AU581" s="509"/>
      <c r="AV581" s="510" t="n">
        <f aca="false">A581</f>
        <v>0</v>
      </c>
      <c r="AW581" s="510" t="n">
        <f aca="false">B581</f>
        <v>0</v>
      </c>
      <c r="AX581" s="510" t="n">
        <f aca="false">C581</f>
        <v>0</v>
      </c>
      <c r="AY581" s="511" t="n">
        <f aca="false">ROUND($AY$6*AZ581/$AZ$5,2)</f>
        <v>0</v>
      </c>
      <c r="AZ581" s="502" t="n">
        <f aca="false">BA581+BL581</f>
        <v>0</v>
      </c>
      <c r="BA581" s="502" t="n">
        <f aca="false">SUM(BB581:BK581)</f>
        <v>0</v>
      </c>
      <c r="BB581" s="502" t="n">
        <f aca="false">IF($D581="是",I581-J581,0)</f>
        <v>0</v>
      </c>
      <c r="BC581" s="502" t="n">
        <f aca="false">IF($D581="是",K581-L581,0)</f>
        <v>0</v>
      </c>
      <c r="BD581" s="502" t="n">
        <f aca="false">IF($D581="是",M581-N581,0)</f>
        <v>0</v>
      </c>
      <c r="BE581" s="502" t="n">
        <f aca="false">IF($D581="是",O581-P581,0)</f>
        <v>0</v>
      </c>
      <c r="BF581" s="502" t="n">
        <f aca="false">IF($D581="是",Q581-R581,0)</f>
        <v>0</v>
      </c>
      <c r="BG581" s="502" t="n">
        <f aca="false">IF($D581="是",S581-T581,0)</f>
        <v>0</v>
      </c>
      <c r="BH581" s="502" t="n">
        <f aca="false">IF($D581="是",U581-V581,0)</f>
        <v>0</v>
      </c>
      <c r="BI581" s="502" t="n">
        <f aca="false">IF($D581="是",W581-X581,0)</f>
        <v>0</v>
      </c>
      <c r="BJ581" s="502" t="n">
        <f aca="false">IF($D581="是",Y581-Z581,0)</f>
        <v>0</v>
      </c>
      <c r="BK581" s="502" t="n">
        <f aca="false">IF($D581="是",AA581-AB581,0)</f>
        <v>0</v>
      </c>
      <c r="BL581" s="502" t="n">
        <f aca="false">SUM(BM581:BT581)</f>
        <v>0</v>
      </c>
      <c r="BM581" s="502" t="n">
        <f aca="false">IF($D581="是",AD581-AE581,0)</f>
        <v>0</v>
      </c>
      <c r="BN581" s="502" t="n">
        <f aca="false">IF($D581="是",AF581-AG581,0)</f>
        <v>0</v>
      </c>
      <c r="BO581" s="502" t="n">
        <f aca="false">IF($D581="是",AH581-AI581,0)</f>
        <v>0</v>
      </c>
      <c r="BP581" s="502" t="n">
        <f aca="false">IF($D581="是",AJ581-AK581,0)</f>
        <v>0</v>
      </c>
      <c r="BQ581" s="502" t="n">
        <f aca="false">IF($D581="是",AL581-AM581,0)</f>
        <v>0</v>
      </c>
      <c r="BR581" s="502" t="n">
        <f aca="false">IF($D581="是",AN581-AO581,0)</f>
        <v>0</v>
      </c>
      <c r="BS581" s="502" t="n">
        <f aca="false">IF($D581="是",AP581-AQ581,0)</f>
        <v>0</v>
      </c>
      <c r="BT581" s="512" t="n">
        <f aca="false">IF($D581="是",AR581-AS581,0)</f>
        <v>0</v>
      </c>
    </row>
    <row r="582" customFormat="false" ht="14.25" hidden="false" customHeight="false" outlineLevel="0" collapsed="false">
      <c r="A582" s="499"/>
      <c r="B582" s="500"/>
      <c r="C582" s="500"/>
      <c r="D582" s="501"/>
      <c r="E582" s="502" t="n">
        <f aca="false">IF($C$3="是",ROUND($A$3*G582/$B$3,2),ROUND($A$3*(G582-AT582)/$B$3,2))</f>
        <v>0</v>
      </c>
      <c r="F582" s="503"/>
      <c r="G582" s="504" t="n">
        <f aca="false">H582+AC582+AT582</f>
        <v>0</v>
      </c>
      <c r="H582" s="505" t="n">
        <f aca="false">SUMIF(I$12:AB$12,"总值",I582:AB582)</f>
        <v>0</v>
      </c>
      <c r="I582" s="506"/>
      <c r="J582" s="506"/>
      <c r="K582" s="506"/>
      <c r="L582" s="506"/>
      <c r="M582" s="506"/>
      <c r="N582" s="506"/>
      <c r="O582" s="506"/>
      <c r="P582" s="506"/>
      <c r="Q582" s="506"/>
      <c r="R582" s="506"/>
      <c r="S582" s="506"/>
      <c r="T582" s="506"/>
      <c r="U582" s="506"/>
      <c r="V582" s="506"/>
      <c r="W582" s="506"/>
      <c r="X582" s="506"/>
      <c r="Y582" s="506"/>
      <c r="Z582" s="506"/>
      <c r="AA582" s="506"/>
      <c r="AB582" s="506"/>
      <c r="AC582" s="502" t="n">
        <f aca="false">SUMIF(AD$12:AS$12,"总值",AD582:AS582)</f>
        <v>0</v>
      </c>
      <c r="AD582" s="507"/>
      <c r="AE582" s="507"/>
      <c r="AF582" s="507"/>
      <c r="AG582" s="507"/>
      <c r="AH582" s="507"/>
      <c r="AI582" s="507"/>
      <c r="AJ582" s="507"/>
      <c r="AK582" s="507"/>
      <c r="AL582" s="507"/>
      <c r="AM582" s="507"/>
      <c r="AN582" s="507"/>
      <c r="AO582" s="507"/>
      <c r="AP582" s="507"/>
      <c r="AQ582" s="507"/>
      <c r="AR582" s="507"/>
      <c r="AS582" s="507"/>
      <c r="AT582" s="508"/>
      <c r="AU582" s="509"/>
      <c r="AV582" s="510" t="n">
        <f aca="false">A582</f>
        <v>0</v>
      </c>
      <c r="AW582" s="510" t="n">
        <f aca="false">B582</f>
        <v>0</v>
      </c>
      <c r="AX582" s="510" t="n">
        <f aca="false">C582</f>
        <v>0</v>
      </c>
      <c r="AY582" s="511" t="n">
        <f aca="false">ROUND($AY$6*AZ582/$AZ$5,2)</f>
        <v>0</v>
      </c>
      <c r="AZ582" s="502" t="n">
        <f aca="false">BA582+BL582</f>
        <v>0</v>
      </c>
      <c r="BA582" s="502" t="n">
        <f aca="false">SUM(BB582:BK582)</f>
        <v>0</v>
      </c>
      <c r="BB582" s="502" t="n">
        <f aca="false">IF($D582="是",I582-J582,0)</f>
        <v>0</v>
      </c>
      <c r="BC582" s="502" t="n">
        <f aca="false">IF($D582="是",K582-L582,0)</f>
        <v>0</v>
      </c>
      <c r="BD582" s="502" t="n">
        <f aca="false">IF($D582="是",M582-N582,0)</f>
        <v>0</v>
      </c>
      <c r="BE582" s="502" t="n">
        <f aca="false">IF($D582="是",O582-P582,0)</f>
        <v>0</v>
      </c>
      <c r="BF582" s="502" t="n">
        <f aca="false">IF($D582="是",Q582-R582,0)</f>
        <v>0</v>
      </c>
      <c r="BG582" s="502" t="n">
        <f aca="false">IF($D582="是",S582-T582,0)</f>
        <v>0</v>
      </c>
      <c r="BH582" s="502" t="n">
        <f aca="false">IF($D582="是",U582-V582,0)</f>
        <v>0</v>
      </c>
      <c r="BI582" s="502" t="n">
        <f aca="false">IF($D582="是",W582-X582,0)</f>
        <v>0</v>
      </c>
      <c r="BJ582" s="502" t="n">
        <f aca="false">IF($D582="是",Y582-Z582,0)</f>
        <v>0</v>
      </c>
      <c r="BK582" s="502" t="n">
        <f aca="false">IF($D582="是",AA582-AB582,0)</f>
        <v>0</v>
      </c>
      <c r="BL582" s="502" t="n">
        <f aca="false">SUM(BM582:BT582)</f>
        <v>0</v>
      </c>
      <c r="BM582" s="502" t="n">
        <f aca="false">IF($D582="是",AD582-AE582,0)</f>
        <v>0</v>
      </c>
      <c r="BN582" s="502" t="n">
        <f aca="false">IF($D582="是",AF582-AG582,0)</f>
        <v>0</v>
      </c>
      <c r="BO582" s="502" t="n">
        <f aca="false">IF($D582="是",AH582-AI582,0)</f>
        <v>0</v>
      </c>
      <c r="BP582" s="502" t="n">
        <f aca="false">IF($D582="是",AJ582-AK582,0)</f>
        <v>0</v>
      </c>
      <c r="BQ582" s="502" t="n">
        <f aca="false">IF($D582="是",AL582-AM582,0)</f>
        <v>0</v>
      </c>
      <c r="BR582" s="502" t="n">
        <f aca="false">IF($D582="是",AN582-AO582,0)</f>
        <v>0</v>
      </c>
      <c r="BS582" s="502" t="n">
        <f aca="false">IF($D582="是",AP582-AQ582,0)</f>
        <v>0</v>
      </c>
      <c r="BT582" s="512" t="n">
        <f aca="false">IF($D582="是",AR582-AS582,0)</f>
        <v>0</v>
      </c>
    </row>
    <row r="583" customFormat="false" ht="14.25" hidden="false" customHeight="false" outlineLevel="0" collapsed="false">
      <c r="A583" s="499"/>
      <c r="B583" s="500"/>
      <c r="C583" s="500"/>
      <c r="D583" s="501"/>
      <c r="E583" s="502" t="n">
        <f aca="false">IF($C$3="是",ROUND($A$3*G583/$B$3,2),ROUND($A$3*(G583-AT583)/$B$3,2))</f>
        <v>0</v>
      </c>
      <c r="F583" s="503"/>
      <c r="G583" s="504" t="n">
        <f aca="false">H583+AC583+AT583</f>
        <v>0</v>
      </c>
      <c r="H583" s="505" t="n">
        <f aca="false">SUMIF(I$12:AB$12,"总值",I583:AB583)</f>
        <v>0</v>
      </c>
      <c r="I583" s="506"/>
      <c r="J583" s="506"/>
      <c r="K583" s="506"/>
      <c r="L583" s="506"/>
      <c r="M583" s="506"/>
      <c r="N583" s="506"/>
      <c r="O583" s="506"/>
      <c r="P583" s="506"/>
      <c r="Q583" s="506"/>
      <c r="R583" s="506"/>
      <c r="S583" s="506"/>
      <c r="T583" s="506"/>
      <c r="U583" s="506"/>
      <c r="V583" s="506"/>
      <c r="W583" s="506"/>
      <c r="X583" s="506"/>
      <c r="Y583" s="506"/>
      <c r="Z583" s="506"/>
      <c r="AA583" s="506"/>
      <c r="AB583" s="506"/>
      <c r="AC583" s="502" t="n">
        <f aca="false">SUMIF(AD$12:AS$12,"总值",AD583:AS583)</f>
        <v>0</v>
      </c>
      <c r="AD583" s="507"/>
      <c r="AE583" s="507"/>
      <c r="AF583" s="507"/>
      <c r="AG583" s="507"/>
      <c r="AH583" s="507"/>
      <c r="AI583" s="507"/>
      <c r="AJ583" s="507"/>
      <c r="AK583" s="507"/>
      <c r="AL583" s="507"/>
      <c r="AM583" s="507"/>
      <c r="AN583" s="507"/>
      <c r="AO583" s="507"/>
      <c r="AP583" s="507"/>
      <c r="AQ583" s="507"/>
      <c r="AR583" s="507"/>
      <c r="AS583" s="507"/>
      <c r="AT583" s="508"/>
      <c r="AU583" s="509"/>
      <c r="AV583" s="510" t="n">
        <f aca="false">A583</f>
        <v>0</v>
      </c>
      <c r="AW583" s="510" t="n">
        <f aca="false">B583</f>
        <v>0</v>
      </c>
      <c r="AX583" s="510" t="n">
        <f aca="false">C583</f>
        <v>0</v>
      </c>
      <c r="AY583" s="511" t="n">
        <f aca="false">ROUND($AY$6*AZ583/$AZ$5,2)</f>
        <v>0</v>
      </c>
      <c r="AZ583" s="502" t="n">
        <f aca="false">BA583+BL583</f>
        <v>0</v>
      </c>
      <c r="BA583" s="502" t="n">
        <f aca="false">SUM(BB583:BK583)</f>
        <v>0</v>
      </c>
      <c r="BB583" s="502" t="n">
        <f aca="false">IF($D583="是",I583-J583,0)</f>
        <v>0</v>
      </c>
      <c r="BC583" s="502" t="n">
        <f aca="false">IF($D583="是",K583-L583,0)</f>
        <v>0</v>
      </c>
      <c r="BD583" s="502" t="n">
        <f aca="false">IF($D583="是",M583-N583,0)</f>
        <v>0</v>
      </c>
      <c r="BE583" s="502" t="n">
        <f aca="false">IF($D583="是",O583-P583,0)</f>
        <v>0</v>
      </c>
      <c r="BF583" s="502" t="n">
        <f aca="false">IF($D583="是",Q583-R583,0)</f>
        <v>0</v>
      </c>
      <c r="BG583" s="502" t="n">
        <f aca="false">IF($D583="是",S583-T583,0)</f>
        <v>0</v>
      </c>
      <c r="BH583" s="502" t="n">
        <f aca="false">IF($D583="是",U583-V583,0)</f>
        <v>0</v>
      </c>
      <c r="BI583" s="502" t="n">
        <f aca="false">IF($D583="是",W583-X583,0)</f>
        <v>0</v>
      </c>
      <c r="BJ583" s="502" t="n">
        <f aca="false">IF($D583="是",Y583-Z583,0)</f>
        <v>0</v>
      </c>
      <c r="BK583" s="502" t="n">
        <f aca="false">IF($D583="是",AA583-AB583,0)</f>
        <v>0</v>
      </c>
      <c r="BL583" s="502" t="n">
        <f aca="false">SUM(BM583:BT583)</f>
        <v>0</v>
      </c>
      <c r="BM583" s="502" t="n">
        <f aca="false">IF($D583="是",AD583-AE583,0)</f>
        <v>0</v>
      </c>
      <c r="BN583" s="502" t="n">
        <f aca="false">IF($D583="是",AF583-AG583,0)</f>
        <v>0</v>
      </c>
      <c r="BO583" s="502" t="n">
        <f aca="false">IF($D583="是",AH583-AI583,0)</f>
        <v>0</v>
      </c>
      <c r="BP583" s="502" t="n">
        <f aca="false">IF($D583="是",AJ583-AK583,0)</f>
        <v>0</v>
      </c>
      <c r="BQ583" s="502" t="n">
        <f aca="false">IF($D583="是",AL583-AM583,0)</f>
        <v>0</v>
      </c>
      <c r="BR583" s="502" t="n">
        <f aca="false">IF($D583="是",AN583-AO583,0)</f>
        <v>0</v>
      </c>
      <c r="BS583" s="502" t="n">
        <f aca="false">IF($D583="是",AP583-AQ583,0)</f>
        <v>0</v>
      </c>
      <c r="BT583" s="512" t="n">
        <f aca="false">IF($D583="是",AR583-AS583,0)</f>
        <v>0</v>
      </c>
    </row>
    <row r="584" customFormat="false" ht="14.25" hidden="false" customHeight="false" outlineLevel="0" collapsed="false">
      <c r="A584" s="499"/>
      <c r="B584" s="500"/>
      <c r="C584" s="500"/>
      <c r="D584" s="501"/>
      <c r="E584" s="502" t="n">
        <f aca="false">IF($C$3="是",ROUND($A$3*G584/$B$3,2),ROUND($A$3*(G584-AT584)/$B$3,2))</f>
        <v>0</v>
      </c>
      <c r="F584" s="503"/>
      <c r="G584" s="504" t="n">
        <f aca="false">H584+AC584+AT584</f>
        <v>0</v>
      </c>
      <c r="H584" s="505" t="n">
        <f aca="false">SUMIF(I$12:AB$12,"总值",I584:AB584)</f>
        <v>0</v>
      </c>
      <c r="I584" s="506"/>
      <c r="J584" s="506"/>
      <c r="K584" s="506"/>
      <c r="L584" s="506"/>
      <c r="M584" s="506"/>
      <c r="N584" s="506"/>
      <c r="O584" s="506"/>
      <c r="P584" s="506"/>
      <c r="Q584" s="506"/>
      <c r="R584" s="506"/>
      <c r="S584" s="506"/>
      <c r="T584" s="506"/>
      <c r="U584" s="506"/>
      <c r="V584" s="506"/>
      <c r="W584" s="506"/>
      <c r="X584" s="506"/>
      <c r="Y584" s="506"/>
      <c r="Z584" s="506"/>
      <c r="AA584" s="506"/>
      <c r="AB584" s="506"/>
      <c r="AC584" s="502" t="n">
        <f aca="false">SUMIF(AD$12:AS$12,"总值",AD584:AS584)</f>
        <v>0</v>
      </c>
      <c r="AD584" s="507"/>
      <c r="AE584" s="507"/>
      <c r="AF584" s="507"/>
      <c r="AG584" s="507"/>
      <c r="AH584" s="507"/>
      <c r="AI584" s="507"/>
      <c r="AJ584" s="507"/>
      <c r="AK584" s="507"/>
      <c r="AL584" s="507"/>
      <c r="AM584" s="507"/>
      <c r="AN584" s="507"/>
      <c r="AO584" s="507"/>
      <c r="AP584" s="507"/>
      <c r="AQ584" s="507"/>
      <c r="AR584" s="507"/>
      <c r="AS584" s="507"/>
      <c r="AT584" s="508"/>
      <c r="AU584" s="509"/>
      <c r="AV584" s="510" t="n">
        <f aca="false">A584</f>
        <v>0</v>
      </c>
      <c r="AW584" s="510" t="n">
        <f aca="false">B584</f>
        <v>0</v>
      </c>
      <c r="AX584" s="510" t="n">
        <f aca="false">C584</f>
        <v>0</v>
      </c>
      <c r="AY584" s="511" t="n">
        <f aca="false">ROUND($AY$6*AZ584/$AZ$5,2)</f>
        <v>0</v>
      </c>
      <c r="AZ584" s="502" t="n">
        <f aca="false">BA584+BL584</f>
        <v>0</v>
      </c>
      <c r="BA584" s="502" t="n">
        <f aca="false">SUM(BB584:BK584)</f>
        <v>0</v>
      </c>
      <c r="BB584" s="502" t="n">
        <f aca="false">IF($D584="是",I584-J584,0)</f>
        <v>0</v>
      </c>
      <c r="BC584" s="502" t="n">
        <f aca="false">IF($D584="是",K584-L584,0)</f>
        <v>0</v>
      </c>
      <c r="BD584" s="502" t="n">
        <f aca="false">IF($D584="是",M584-N584,0)</f>
        <v>0</v>
      </c>
      <c r="BE584" s="502" t="n">
        <f aca="false">IF($D584="是",O584-P584,0)</f>
        <v>0</v>
      </c>
      <c r="BF584" s="502" t="n">
        <f aca="false">IF($D584="是",Q584-R584,0)</f>
        <v>0</v>
      </c>
      <c r="BG584" s="502" t="n">
        <f aca="false">IF($D584="是",S584-T584,0)</f>
        <v>0</v>
      </c>
      <c r="BH584" s="502" t="n">
        <f aca="false">IF($D584="是",U584-V584,0)</f>
        <v>0</v>
      </c>
      <c r="BI584" s="502" t="n">
        <f aca="false">IF($D584="是",W584-X584,0)</f>
        <v>0</v>
      </c>
      <c r="BJ584" s="502" t="n">
        <f aca="false">IF($D584="是",Y584-Z584,0)</f>
        <v>0</v>
      </c>
      <c r="BK584" s="502" t="n">
        <f aca="false">IF($D584="是",AA584-AB584,0)</f>
        <v>0</v>
      </c>
      <c r="BL584" s="502" t="n">
        <f aca="false">SUM(BM584:BT584)</f>
        <v>0</v>
      </c>
      <c r="BM584" s="502" t="n">
        <f aca="false">IF($D584="是",AD584-AE584,0)</f>
        <v>0</v>
      </c>
      <c r="BN584" s="502" t="n">
        <f aca="false">IF($D584="是",AF584-AG584,0)</f>
        <v>0</v>
      </c>
      <c r="BO584" s="502" t="n">
        <f aca="false">IF($D584="是",AH584-AI584,0)</f>
        <v>0</v>
      </c>
      <c r="BP584" s="502" t="n">
        <f aca="false">IF($D584="是",AJ584-AK584,0)</f>
        <v>0</v>
      </c>
      <c r="BQ584" s="502" t="n">
        <f aca="false">IF($D584="是",AL584-AM584,0)</f>
        <v>0</v>
      </c>
      <c r="BR584" s="502" t="n">
        <f aca="false">IF($D584="是",AN584-AO584,0)</f>
        <v>0</v>
      </c>
      <c r="BS584" s="502" t="n">
        <f aca="false">IF($D584="是",AP584-AQ584,0)</f>
        <v>0</v>
      </c>
      <c r="BT584" s="512" t="n">
        <f aca="false">IF($D584="是",AR584-AS584,0)</f>
        <v>0</v>
      </c>
    </row>
    <row r="585" customFormat="false" ht="14.25" hidden="false" customHeight="false" outlineLevel="0" collapsed="false">
      <c r="A585" s="499"/>
      <c r="B585" s="499"/>
      <c r="C585" s="499"/>
      <c r="D585" s="501"/>
      <c r="E585" s="502" t="n">
        <f aca="false">IF($C$3="是",ROUND($A$3*G585/$B$3,2),ROUND($A$3*(G585-AT585)/$B$3,2))</f>
        <v>0</v>
      </c>
      <c r="F585" s="513"/>
      <c r="G585" s="504" t="n">
        <f aca="false">H585+AC585+AT585</f>
        <v>0</v>
      </c>
      <c r="H585" s="505" t="n">
        <f aca="false">SUMIF(I$12:AB$12,"总值",I585:AB585)</f>
        <v>0</v>
      </c>
      <c r="I585" s="514"/>
      <c r="J585" s="514"/>
      <c r="K585" s="506"/>
      <c r="L585" s="506"/>
      <c r="M585" s="506"/>
      <c r="N585" s="506"/>
      <c r="O585" s="506"/>
      <c r="P585" s="506"/>
      <c r="Q585" s="506"/>
      <c r="R585" s="506"/>
      <c r="S585" s="506"/>
      <c r="T585" s="506"/>
      <c r="U585" s="506"/>
      <c r="V585" s="506"/>
      <c r="W585" s="506"/>
      <c r="X585" s="506"/>
      <c r="Y585" s="506"/>
      <c r="Z585" s="506"/>
      <c r="AA585" s="506"/>
      <c r="AB585" s="506"/>
      <c r="AC585" s="502" t="n">
        <f aca="false">SUMIF(AD$12:AS$12,"总值",AD585:AS585)</f>
        <v>0</v>
      </c>
      <c r="AD585" s="507"/>
      <c r="AE585" s="507"/>
      <c r="AF585" s="507"/>
      <c r="AG585" s="507"/>
      <c r="AH585" s="507"/>
      <c r="AI585" s="507"/>
      <c r="AJ585" s="507"/>
      <c r="AK585" s="507"/>
      <c r="AL585" s="507"/>
      <c r="AM585" s="507"/>
      <c r="AN585" s="507"/>
      <c r="AO585" s="507"/>
      <c r="AP585" s="507"/>
      <c r="AQ585" s="507"/>
      <c r="AR585" s="507"/>
      <c r="AS585" s="507"/>
      <c r="AT585" s="507"/>
      <c r="AU585" s="515"/>
      <c r="AV585" s="510" t="n">
        <f aca="false">A585</f>
        <v>0</v>
      </c>
      <c r="AW585" s="510" t="n">
        <f aca="false">B585</f>
        <v>0</v>
      </c>
      <c r="AX585" s="510" t="n">
        <f aca="false">C585</f>
        <v>0</v>
      </c>
      <c r="AY585" s="511" t="n">
        <f aca="false">ROUND($AY$6*AZ585/$AZ$5,2)</f>
        <v>0</v>
      </c>
      <c r="AZ585" s="502" t="n">
        <f aca="false">BA585+BL585</f>
        <v>0</v>
      </c>
      <c r="BA585" s="502" t="n">
        <f aca="false">SUM(BB585:BK585)</f>
        <v>0</v>
      </c>
      <c r="BB585" s="502" t="n">
        <f aca="false">IF($D585="是",I585-J585,0)</f>
        <v>0</v>
      </c>
      <c r="BC585" s="502" t="n">
        <f aca="false">IF($D585="是",K585-L585,0)</f>
        <v>0</v>
      </c>
      <c r="BD585" s="502" t="n">
        <f aca="false">IF($D585="是",M585-N585,0)</f>
        <v>0</v>
      </c>
      <c r="BE585" s="502" t="n">
        <f aca="false">IF($D585="是",O585-P585,0)</f>
        <v>0</v>
      </c>
      <c r="BF585" s="502" t="n">
        <f aca="false">IF($D585="是",Q585-R585,0)</f>
        <v>0</v>
      </c>
      <c r="BG585" s="502" t="n">
        <f aca="false">IF($D585="是",S585-T585,0)</f>
        <v>0</v>
      </c>
      <c r="BH585" s="502" t="n">
        <f aca="false">IF($D585="是",U585-V585,0)</f>
        <v>0</v>
      </c>
      <c r="BI585" s="502" t="n">
        <f aca="false">IF($D585="是",W585-X585,0)</f>
        <v>0</v>
      </c>
      <c r="BJ585" s="502" t="n">
        <f aca="false">IF($D585="是",Y585-Z585,0)</f>
        <v>0</v>
      </c>
      <c r="BK585" s="502" t="n">
        <f aca="false">IF($D585="是",AA585-AB585,0)</f>
        <v>0</v>
      </c>
      <c r="BL585" s="502" t="n">
        <f aca="false">SUM(BM585:BT585)</f>
        <v>0</v>
      </c>
      <c r="BM585" s="502" t="n">
        <f aca="false">IF($D585="是",AD585-AE585,0)</f>
        <v>0</v>
      </c>
      <c r="BN585" s="502" t="n">
        <f aca="false">IF($D585="是",AF585-AG585,0)</f>
        <v>0</v>
      </c>
      <c r="BO585" s="502" t="n">
        <f aca="false">IF($D585="是",AH585-AI585,0)</f>
        <v>0</v>
      </c>
      <c r="BP585" s="502" t="n">
        <f aca="false">IF($D585="是",AJ585-AK585,0)</f>
        <v>0</v>
      </c>
      <c r="BQ585" s="502" t="n">
        <f aca="false">IF($D585="是",AL585-AM585,0)</f>
        <v>0</v>
      </c>
      <c r="BR585" s="502" t="n">
        <f aca="false">IF($D585="是",AN585-AO585,0)</f>
        <v>0</v>
      </c>
      <c r="BS585" s="502" t="n">
        <f aca="false">IF($D585="是",AP585-AQ585,0)</f>
        <v>0</v>
      </c>
      <c r="BT585" s="512" t="n">
        <f aca="false">IF($D585="是",AR585-AS585,0)</f>
        <v>0</v>
      </c>
    </row>
    <row r="586" customFormat="false" ht="14.25" hidden="false" customHeight="false" outlineLevel="0" collapsed="false">
      <c r="A586" s="499"/>
      <c r="B586" s="499"/>
      <c r="C586" s="499"/>
      <c r="D586" s="501"/>
      <c r="E586" s="502" t="n">
        <f aca="false">IF($C$3="是",ROUND($A$3*G586/$B$3,2),ROUND($A$3*(G586-AT586)/$B$3,2))</f>
        <v>0</v>
      </c>
      <c r="F586" s="513"/>
      <c r="G586" s="504" t="n">
        <f aca="false">H586+AC586+AT586</f>
        <v>0</v>
      </c>
      <c r="H586" s="505" t="n">
        <f aca="false">SUMIF(I$12:AB$12,"总值",I586:AB586)</f>
        <v>0</v>
      </c>
      <c r="I586" s="506"/>
      <c r="J586" s="506"/>
      <c r="K586" s="506"/>
      <c r="L586" s="506"/>
      <c r="M586" s="506"/>
      <c r="N586" s="506"/>
      <c r="O586" s="506"/>
      <c r="P586" s="506"/>
      <c r="Q586" s="506"/>
      <c r="R586" s="506"/>
      <c r="S586" s="506"/>
      <c r="T586" s="506"/>
      <c r="U586" s="506"/>
      <c r="V586" s="506"/>
      <c r="W586" s="506"/>
      <c r="X586" s="506"/>
      <c r="Y586" s="506"/>
      <c r="Z586" s="506"/>
      <c r="AA586" s="506"/>
      <c r="AB586" s="506"/>
      <c r="AC586" s="502" t="n">
        <f aca="false">SUMIF(AD$12:AS$12,"总值",AD586:AS586)</f>
        <v>0</v>
      </c>
      <c r="AD586" s="507"/>
      <c r="AE586" s="507"/>
      <c r="AF586" s="507"/>
      <c r="AG586" s="507"/>
      <c r="AH586" s="507"/>
      <c r="AI586" s="507"/>
      <c r="AJ586" s="507"/>
      <c r="AK586" s="507"/>
      <c r="AL586" s="507"/>
      <c r="AM586" s="507"/>
      <c r="AN586" s="507"/>
      <c r="AO586" s="507"/>
      <c r="AP586" s="507"/>
      <c r="AQ586" s="507"/>
      <c r="AR586" s="507"/>
      <c r="AS586" s="507"/>
      <c r="AT586" s="507"/>
      <c r="AU586" s="515"/>
      <c r="AV586" s="510" t="n">
        <f aca="false">A586</f>
        <v>0</v>
      </c>
      <c r="AW586" s="510" t="n">
        <f aca="false">B586</f>
        <v>0</v>
      </c>
      <c r="AX586" s="510" t="n">
        <f aca="false">C586</f>
        <v>0</v>
      </c>
      <c r="AY586" s="511" t="n">
        <f aca="false">ROUND($AY$6*AZ586/$AZ$5,2)</f>
        <v>0</v>
      </c>
      <c r="AZ586" s="502" t="n">
        <f aca="false">BA586+BL586</f>
        <v>0</v>
      </c>
      <c r="BA586" s="502" t="n">
        <f aca="false">SUM(BB586:BK586)</f>
        <v>0</v>
      </c>
      <c r="BB586" s="502" t="n">
        <f aca="false">IF($D586="是",I586-J586,0)</f>
        <v>0</v>
      </c>
      <c r="BC586" s="502" t="n">
        <f aca="false">IF($D586="是",K586-L586,0)</f>
        <v>0</v>
      </c>
      <c r="BD586" s="502" t="n">
        <f aca="false">IF($D586="是",M586-N586,0)</f>
        <v>0</v>
      </c>
      <c r="BE586" s="502" t="n">
        <f aca="false">IF($D586="是",O586-P586,0)</f>
        <v>0</v>
      </c>
      <c r="BF586" s="502" t="n">
        <f aca="false">IF($D586="是",Q586-R586,0)</f>
        <v>0</v>
      </c>
      <c r="BG586" s="502" t="n">
        <f aca="false">IF($D586="是",S586-T586,0)</f>
        <v>0</v>
      </c>
      <c r="BH586" s="502" t="n">
        <f aca="false">IF($D586="是",U586-V586,0)</f>
        <v>0</v>
      </c>
      <c r="BI586" s="502" t="n">
        <f aca="false">IF($D586="是",W586-X586,0)</f>
        <v>0</v>
      </c>
      <c r="BJ586" s="502" t="n">
        <f aca="false">IF($D586="是",Y586-Z586,0)</f>
        <v>0</v>
      </c>
      <c r="BK586" s="502" t="n">
        <f aca="false">IF($D586="是",AA586-AB586,0)</f>
        <v>0</v>
      </c>
      <c r="BL586" s="502" t="n">
        <f aca="false">SUM(BM586:BT586)</f>
        <v>0</v>
      </c>
      <c r="BM586" s="502" t="n">
        <f aca="false">IF($D586="是",AD586-AE586,0)</f>
        <v>0</v>
      </c>
      <c r="BN586" s="502" t="n">
        <f aca="false">IF($D586="是",AF586-AG586,0)</f>
        <v>0</v>
      </c>
      <c r="BO586" s="502" t="n">
        <f aca="false">IF($D586="是",AH586-AI586,0)</f>
        <v>0</v>
      </c>
      <c r="BP586" s="502" t="n">
        <f aca="false">IF($D586="是",AJ586-AK586,0)</f>
        <v>0</v>
      </c>
      <c r="BQ586" s="502" t="n">
        <f aca="false">IF($D586="是",AL586-AM586,0)</f>
        <v>0</v>
      </c>
      <c r="BR586" s="502" t="n">
        <f aca="false">IF($D586="是",AN586-AO586,0)</f>
        <v>0</v>
      </c>
      <c r="BS586" s="502" t="n">
        <f aca="false">IF($D586="是",AP586-AQ586,0)</f>
        <v>0</v>
      </c>
      <c r="BT586" s="512" t="n">
        <f aca="false">IF($D586="是",AR586-AS586,0)</f>
        <v>0</v>
      </c>
    </row>
    <row r="587" customFormat="false" ht="14.25" hidden="false" customHeight="false" outlineLevel="0" collapsed="false">
      <c r="A587" s="499"/>
      <c r="B587" s="499"/>
      <c r="C587" s="499"/>
      <c r="D587" s="501"/>
      <c r="E587" s="502" t="n">
        <f aca="false">IF($C$3="是",ROUND($A$3*G587/$B$3,2),ROUND($A$3*(G587-AT587)/$B$3,2))</f>
        <v>0</v>
      </c>
      <c r="F587" s="513"/>
      <c r="G587" s="504" t="n">
        <f aca="false">H587+AC587+AT587</f>
        <v>0</v>
      </c>
      <c r="H587" s="505" t="n">
        <f aca="false">SUMIF(I$12:AB$12,"总值",I587:AB587)</f>
        <v>0</v>
      </c>
      <c r="I587" s="506"/>
      <c r="J587" s="506"/>
      <c r="K587" s="506"/>
      <c r="L587" s="506"/>
      <c r="M587" s="506"/>
      <c r="N587" s="506"/>
      <c r="O587" s="506"/>
      <c r="P587" s="506"/>
      <c r="Q587" s="506"/>
      <c r="R587" s="506"/>
      <c r="S587" s="506"/>
      <c r="T587" s="506"/>
      <c r="U587" s="506"/>
      <c r="V587" s="506"/>
      <c r="W587" s="506"/>
      <c r="X587" s="506"/>
      <c r="Y587" s="506"/>
      <c r="Z587" s="506"/>
      <c r="AA587" s="506"/>
      <c r="AB587" s="506"/>
      <c r="AC587" s="502" t="n">
        <f aca="false">SUMIF(AD$12:AS$12,"总值",AD587:AS587)</f>
        <v>0</v>
      </c>
      <c r="AD587" s="507"/>
      <c r="AE587" s="507"/>
      <c r="AF587" s="507"/>
      <c r="AG587" s="507"/>
      <c r="AH587" s="507"/>
      <c r="AI587" s="507"/>
      <c r="AJ587" s="507"/>
      <c r="AK587" s="507"/>
      <c r="AL587" s="507"/>
      <c r="AM587" s="507"/>
      <c r="AN587" s="507"/>
      <c r="AO587" s="507"/>
      <c r="AP587" s="507"/>
      <c r="AQ587" s="507"/>
      <c r="AR587" s="507"/>
      <c r="AS587" s="507"/>
      <c r="AT587" s="507"/>
      <c r="AU587" s="515"/>
      <c r="AV587" s="510" t="n">
        <f aca="false">A587</f>
        <v>0</v>
      </c>
      <c r="AW587" s="510" t="n">
        <f aca="false">B587</f>
        <v>0</v>
      </c>
      <c r="AX587" s="510" t="n">
        <f aca="false">C587</f>
        <v>0</v>
      </c>
      <c r="AY587" s="511" t="n">
        <f aca="false">ROUND($AY$6*AZ587/$AZ$5,2)</f>
        <v>0</v>
      </c>
      <c r="AZ587" s="502" t="n">
        <f aca="false">BA587+BL587</f>
        <v>0</v>
      </c>
      <c r="BA587" s="502" t="n">
        <f aca="false">SUM(BB587:BK587)</f>
        <v>0</v>
      </c>
      <c r="BB587" s="502" t="n">
        <f aca="false">IF($D587="是",I587-J587,0)</f>
        <v>0</v>
      </c>
      <c r="BC587" s="502" t="n">
        <f aca="false">IF($D587="是",K587-L587,0)</f>
        <v>0</v>
      </c>
      <c r="BD587" s="502" t="n">
        <f aca="false">IF($D587="是",M587-N587,0)</f>
        <v>0</v>
      </c>
      <c r="BE587" s="502" t="n">
        <f aca="false">IF($D587="是",O587-P587,0)</f>
        <v>0</v>
      </c>
      <c r="BF587" s="502" t="n">
        <f aca="false">IF($D587="是",Q587-R587,0)</f>
        <v>0</v>
      </c>
      <c r="BG587" s="502" t="n">
        <f aca="false">IF($D587="是",S587-T587,0)</f>
        <v>0</v>
      </c>
      <c r="BH587" s="502" t="n">
        <f aca="false">IF($D587="是",U587-V587,0)</f>
        <v>0</v>
      </c>
      <c r="BI587" s="502" t="n">
        <f aca="false">IF($D587="是",W587-X587,0)</f>
        <v>0</v>
      </c>
      <c r="BJ587" s="502" t="n">
        <f aca="false">IF($D587="是",Y587-Z587,0)</f>
        <v>0</v>
      </c>
      <c r="BK587" s="502" t="n">
        <f aca="false">IF($D587="是",AA587-AB587,0)</f>
        <v>0</v>
      </c>
      <c r="BL587" s="502" t="n">
        <f aca="false">SUM(BM587:BT587)</f>
        <v>0</v>
      </c>
      <c r="BM587" s="502" t="n">
        <f aca="false">IF($D587="是",AD587-AE587,0)</f>
        <v>0</v>
      </c>
      <c r="BN587" s="502" t="n">
        <f aca="false">IF($D587="是",AF587-AG587,0)</f>
        <v>0</v>
      </c>
      <c r="BO587" s="502" t="n">
        <f aca="false">IF($D587="是",AH587-AI587,0)</f>
        <v>0</v>
      </c>
      <c r="BP587" s="502" t="n">
        <f aca="false">IF($D587="是",AJ587-AK587,0)</f>
        <v>0</v>
      </c>
      <c r="BQ587" s="502" t="n">
        <f aca="false">IF($D587="是",AL587-AM587,0)</f>
        <v>0</v>
      </c>
      <c r="BR587" s="502" t="n">
        <f aca="false">IF($D587="是",AN587-AO587,0)</f>
        <v>0</v>
      </c>
      <c r="BS587" s="502" t="n">
        <f aca="false">IF($D587="是",AP587-AQ587,0)</f>
        <v>0</v>
      </c>
      <c r="BT587" s="512" t="n">
        <f aca="false">IF($D587="是",AR587-AS587,0)</f>
        <v>0</v>
      </c>
    </row>
    <row r="588" s="403" customFormat="true" ht="14.25" hidden="false" customHeight="false" outlineLevel="0" collapsed="false">
      <c r="A588" s="516"/>
      <c r="B588" s="516"/>
      <c r="C588" s="516"/>
      <c r="D588" s="516"/>
      <c r="E588" s="517"/>
      <c r="F588" s="517"/>
      <c r="G588" s="516"/>
      <c r="H588" s="517"/>
      <c r="I588" s="517"/>
      <c r="J588" s="517"/>
      <c r="K588" s="517"/>
      <c r="L588" s="517"/>
      <c r="M588" s="517"/>
      <c r="N588" s="517"/>
      <c r="O588" s="517"/>
      <c r="P588" s="517"/>
      <c r="Q588" s="517"/>
      <c r="R588" s="517"/>
      <c r="S588" s="517"/>
      <c r="T588" s="517"/>
      <c r="U588" s="517"/>
      <c r="V588" s="517"/>
      <c r="W588" s="517"/>
      <c r="X588" s="517"/>
      <c r="Y588" s="517"/>
      <c r="Z588" s="517"/>
      <c r="AA588" s="517"/>
      <c r="AB588" s="517"/>
      <c r="AC588" s="517"/>
      <c r="AD588" s="517"/>
      <c r="AE588" s="517"/>
      <c r="AF588" s="517"/>
      <c r="AG588" s="517"/>
      <c r="AH588" s="517"/>
      <c r="AI588" s="517"/>
      <c r="AJ588" s="517"/>
      <c r="AK588" s="517"/>
      <c r="AL588" s="517"/>
      <c r="AM588" s="517"/>
      <c r="AN588" s="517"/>
      <c r="AO588" s="517"/>
      <c r="AP588" s="517"/>
      <c r="AQ588" s="517"/>
      <c r="AR588" s="517"/>
      <c r="AS588" s="517"/>
      <c r="AT588" s="517"/>
      <c r="AU588" s="516"/>
      <c r="AV588" s="516"/>
      <c r="AW588" s="516"/>
      <c r="AX588" s="516"/>
    </row>
    <row r="589" s="518" customFormat="true" ht="14.25" hidden="false" customHeight="false" outlineLevel="0" collapsed="false">
      <c r="C589" s="519"/>
      <c r="D589" s="519"/>
    </row>
    <row r="590" s="518" customFormat="true" ht="14.25" hidden="false" customHeight="false" outlineLevel="0" collapsed="false">
      <c r="C590" s="519"/>
      <c r="D590" s="519"/>
    </row>
    <row r="593" customFormat="false" ht="14.25" hidden="false" customHeight="false" outlineLevel="0" collapsed="false">
      <c r="B593" s="519"/>
    </row>
  </sheetData>
  <sheetProtection sheet="true" password="cee9" objects="true" scenarios="true" formatCells="false" formatColumns="false" formatRows="false"/>
  <dataValidations count="5">
    <dataValidation allowBlank="true" operator="between" showDropDown="false" showErrorMessage="true" showInputMessage="true" sqref="C3 D13:D587" type="list">
      <formula1>估价范围判定</formula1>
      <formula2>0</formula2>
    </dataValidation>
    <dataValidation allowBlank="true" operator="between" showDropDown="false" showErrorMessage="true" showInputMessage="true" sqref="I9 K9 M9 O9 Q9 S9 U9 W9 Y9 AA9" type="list">
      <formula1>位置</formula1>
      <formula2>0</formula2>
    </dataValidation>
    <dataValidation allowBlank="true" operator="between" showDropDown="false" showErrorMessage="true" showInputMessage="true" sqref="I10" type="list">
      <formula1>主用途</formula1>
      <formula2>0</formula2>
    </dataValidation>
    <dataValidation allowBlank="true" operator="between" showDropDown="false" showErrorMessage="true" showInputMessage="false" sqref="K10 M10 O10 Q10 S10 U10 W10 Y10 AA10" type="list">
      <formula1>主用途</formula1>
      <formula2>0</formula2>
    </dataValidation>
    <dataValidation allowBlank="true" operator="between" showDropDown="false" showErrorMessage="true" showInputMessage="true" sqref="I11 K11 M11 O11 Q11 S11 U11 W11 Y11 AA11" type="list">
      <formula1>用途明细</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14.xml><?xml version="1.0" encoding="utf-8"?>
<worksheet xmlns="http://schemas.openxmlformats.org/spreadsheetml/2006/main" xmlns:r="http://schemas.openxmlformats.org/officeDocument/2006/relationships">
  <sheetPr filterMode="false">
    <pageSetUpPr fitToPage="true"/>
  </sheetPr>
  <dimension ref="A1:S3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F20" activeCellId="0" sqref="F20"/>
    </sheetView>
  </sheetViews>
  <sheetFormatPr defaultRowHeight="14.25" zeroHeight="false" outlineLevelRow="0" outlineLevelCol="0"/>
  <cols>
    <col collapsed="false" customWidth="true" hidden="false" outlineLevel="0" max="1" min="1" style="37" width="12.12"/>
    <col collapsed="false" customWidth="true" hidden="false" outlineLevel="0" max="2" min="2" style="37" width="10.26"/>
    <col collapsed="false" customWidth="true" hidden="false" outlineLevel="0" max="3" min="3" style="37" width="18.51"/>
    <col collapsed="false" customWidth="true" hidden="false" outlineLevel="0" max="4" min="4" style="37" width="11.62"/>
    <col collapsed="false" customWidth="true" hidden="false" outlineLevel="0" max="5" min="5" style="37" width="13.38"/>
    <col collapsed="false" customWidth="false" hidden="false" outlineLevel="0" max="8" min="6" style="37" width="11.5"/>
    <col collapsed="false" customWidth="true" hidden="false" outlineLevel="0" max="9" min="9" style="37" width="11.12"/>
    <col collapsed="false" customWidth="true" hidden="false" outlineLevel="0" max="10" min="10" style="520" width="3.13"/>
    <col collapsed="false" customWidth="true" hidden="false" outlineLevel="0" max="16" min="11" style="37" width="10"/>
    <col collapsed="false" customWidth="true" hidden="false" outlineLevel="0" max="17" min="17" style="37" width="2.63"/>
    <col collapsed="false" customWidth="true" hidden="false" outlineLevel="0" max="18" min="18" style="37" width="9.38"/>
    <col collapsed="false" customWidth="true" hidden="false" outlineLevel="0" max="19" min="19" style="37" width="10.5"/>
    <col collapsed="false" customWidth="true" hidden="false" outlineLevel="0" max="1025" min="20" style="37" width="9.26"/>
  </cols>
  <sheetData>
    <row r="1" customFormat="false" ht="18.75" hidden="false" customHeight="false" outlineLevel="0" collapsed="false">
      <c r="A1" s="521" t="s">
        <v>523</v>
      </c>
      <c r="B1" s="522"/>
      <c r="C1" s="522"/>
      <c r="D1" s="522"/>
      <c r="E1" s="522"/>
      <c r="F1" s="522"/>
      <c r="G1" s="522"/>
      <c r="H1" s="522"/>
      <c r="I1" s="522"/>
      <c r="J1" s="522"/>
      <c r="K1" s="522"/>
      <c r="L1" s="522"/>
      <c r="M1" s="522"/>
      <c r="N1" s="522"/>
      <c r="O1" s="522"/>
      <c r="P1" s="522"/>
    </row>
    <row r="2" customFormat="false" ht="15" hidden="false" customHeight="false" outlineLevel="0" collapsed="false">
      <c r="A2" s="523" t="s">
        <v>373</v>
      </c>
      <c r="B2" s="523"/>
      <c r="C2" s="523"/>
      <c r="D2" s="523" t="s">
        <v>443</v>
      </c>
      <c r="E2" s="524" t="s">
        <v>107</v>
      </c>
      <c r="F2" s="525"/>
      <c r="G2" s="526"/>
      <c r="H2" s="527"/>
      <c r="I2" s="528" t="s">
        <v>524</v>
      </c>
      <c r="J2" s="525"/>
      <c r="K2" s="525"/>
      <c r="L2" s="525"/>
      <c r="M2" s="525"/>
      <c r="N2" s="529"/>
      <c r="O2" s="525"/>
      <c r="P2" s="525"/>
    </row>
    <row r="3" customFormat="false" ht="15" hidden="false" customHeight="false" outlineLevel="0" collapsed="false">
      <c r="A3" s="530" t="s">
        <v>525</v>
      </c>
      <c r="B3" s="530"/>
      <c r="C3" s="530"/>
      <c r="D3" s="531" t="n">
        <f aca="false">'数据-基础表'!AY6</f>
        <v>0</v>
      </c>
      <c r="E3" s="531" t="n">
        <f aca="false">'数据-基础表'!AZ5</f>
        <v>58.3</v>
      </c>
      <c r="F3" s="525"/>
      <c r="G3" s="532"/>
      <c r="H3" s="533" t="s">
        <v>526</v>
      </c>
      <c r="I3" s="534" t="e">
        <f aca="false">ROUND('数据-基础表'!B3/'数据-基础表'!A3,2)</f>
        <v>#DIV/0!</v>
      </c>
      <c r="J3" s="525"/>
      <c r="K3" s="525"/>
      <c r="L3" s="525"/>
      <c r="M3" s="525"/>
      <c r="N3" s="529"/>
      <c r="O3" s="525"/>
      <c r="P3" s="525"/>
    </row>
    <row r="4" customFormat="false" ht="15" hidden="false" customHeight="false" outlineLevel="0" collapsed="false">
      <c r="A4" s="535"/>
      <c r="B4" s="535"/>
      <c r="C4" s="535"/>
      <c r="D4" s="536" t="s">
        <v>443</v>
      </c>
      <c r="E4" s="537" t="s">
        <v>107</v>
      </c>
      <c r="F4" s="525"/>
      <c r="G4" s="538" t="s">
        <v>527</v>
      </c>
      <c r="H4" s="533" t="s">
        <v>228</v>
      </c>
      <c r="I4" s="534" t="e">
        <f aca="false">ROUND(SUMIF('数据-基础表'!I9:AS9,"地上",'数据-基础表'!I5:AS5)/'数据-基础表'!A3,2)</f>
        <v>#DIV/0!</v>
      </c>
      <c r="J4" s="525"/>
      <c r="K4" s="525"/>
      <c r="L4" s="525"/>
      <c r="M4" s="525"/>
      <c r="N4" s="529"/>
      <c r="O4" s="525"/>
      <c r="P4" s="525"/>
    </row>
    <row r="5" customFormat="false" ht="14.25" hidden="false" customHeight="false" outlineLevel="0" collapsed="false">
      <c r="A5" s="539" t="s">
        <v>528</v>
      </c>
      <c r="B5" s="540" t="s">
        <v>156</v>
      </c>
      <c r="C5" s="540"/>
      <c r="D5" s="541" t="n">
        <f aca="false">ROUND($D$3*E5/$E$3,2)</f>
        <v>0</v>
      </c>
      <c r="E5" s="542" t="n">
        <f aca="false">SUMIF('数据-基础表'!$11:$11,"住宅",'数据-基础表'!$5:$5)</f>
        <v>58.3</v>
      </c>
      <c r="F5" s="525"/>
      <c r="G5" s="532"/>
      <c r="H5" s="533" t="s">
        <v>526</v>
      </c>
      <c r="I5" s="534" t="e">
        <f aca="false">ROUND(E31/D31,2)</f>
        <v>#DIV/0!</v>
      </c>
      <c r="J5" s="525"/>
      <c r="K5" s="525"/>
      <c r="L5" s="525"/>
      <c r="M5" s="525"/>
      <c r="N5" s="525"/>
      <c r="O5" s="525"/>
      <c r="P5" s="525"/>
    </row>
    <row r="6" customFormat="false" ht="14.25" hidden="false" customHeight="false" outlineLevel="0" collapsed="false">
      <c r="A6" s="543"/>
      <c r="B6" s="540" t="s">
        <v>529</v>
      </c>
      <c r="C6" s="540"/>
      <c r="D6" s="541" t="n">
        <f aca="false">ROUND($D$3*E6/$E$3,2)</f>
        <v>0</v>
      </c>
      <c r="E6" s="542" t="n">
        <f aca="false">E3-E5</f>
        <v>0</v>
      </c>
      <c r="F6" s="525"/>
      <c r="G6" s="544" t="s">
        <v>373</v>
      </c>
      <c r="H6" s="545" t="s">
        <v>228</v>
      </c>
      <c r="I6" s="546" t="e">
        <f aca="false">ROUND(F31/D31,2)</f>
        <v>#DIV/0!</v>
      </c>
      <c r="J6" s="525"/>
      <c r="K6" s="525"/>
      <c r="L6" s="525"/>
      <c r="M6" s="525"/>
      <c r="N6" s="525"/>
      <c r="O6" s="525"/>
      <c r="P6" s="525"/>
    </row>
    <row r="7" customFormat="false" ht="15" hidden="false" customHeight="false" outlineLevel="0" collapsed="false">
      <c r="A7" s="547"/>
      <c r="B7" s="547"/>
      <c r="C7" s="547"/>
      <c r="D7" s="536" t="s">
        <v>443</v>
      </c>
      <c r="E7" s="548" t="s">
        <v>107</v>
      </c>
      <c r="F7" s="525"/>
      <c r="G7" s="549" t="s">
        <v>530</v>
      </c>
      <c r="H7" s="550"/>
      <c r="I7" s="551"/>
      <c r="J7" s="525"/>
      <c r="K7" s="525"/>
      <c r="L7" s="525"/>
      <c r="M7" s="525"/>
      <c r="N7" s="525"/>
      <c r="O7" s="525"/>
      <c r="P7" s="525"/>
    </row>
    <row r="8" customFormat="false" ht="14.25" hidden="false" customHeight="false" outlineLevel="0" collapsed="false">
      <c r="A8" s="539" t="s">
        <v>531</v>
      </c>
      <c r="B8" s="552" t="s">
        <v>532</v>
      </c>
      <c r="C8" s="553" t="s">
        <v>533</v>
      </c>
      <c r="D8" s="553" t="n">
        <f aca="false">ROUND($D$3*E8/$E$3,2)</f>
        <v>0</v>
      </c>
      <c r="E8" s="554" t="n">
        <f aca="false">SUMIF('数据-基础表'!BB10:BK10,"地上",'数据-基础表'!BB5:BK5)</f>
        <v>58.3</v>
      </c>
      <c r="F8" s="525"/>
      <c r="G8" s="555"/>
      <c r="H8" s="555"/>
      <c r="I8" s="525"/>
      <c r="J8" s="525"/>
      <c r="K8" s="525"/>
      <c r="L8" s="525"/>
      <c r="M8" s="525"/>
      <c r="N8" s="525"/>
      <c r="O8" s="525"/>
      <c r="P8" s="525"/>
    </row>
    <row r="9" customFormat="false" ht="14.25" hidden="false" customHeight="false" outlineLevel="0" collapsed="false">
      <c r="A9" s="556"/>
      <c r="B9" s="557"/>
      <c r="C9" s="553" t="s">
        <v>534</v>
      </c>
      <c r="D9" s="553" t="n">
        <f aca="false">ROUND($D$3*E9/$E$3,2)</f>
        <v>0</v>
      </c>
      <c r="E9" s="558" t="n">
        <v>0</v>
      </c>
      <c r="F9" s="525"/>
      <c r="G9" s="555"/>
      <c r="H9" s="555"/>
      <c r="I9" s="525"/>
      <c r="J9" s="525"/>
      <c r="K9" s="525"/>
      <c r="L9" s="525"/>
      <c r="M9" s="525"/>
      <c r="N9" s="525"/>
      <c r="O9" s="525"/>
      <c r="P9" s="525"/>
    </row>
    <row r="10" customFormat="false" ht="14.25" hidden="false" customHeight="false" outlineLevel="0" collapsed="false">
      <c r="A10" s="556"/>
      <c r="B10" s="557"/>
      <c r="C10" s="553" t="s">
        <v>535</v>
      </c>
      <c r="D10" s="553" t="n">
        <f aca="false">ROUND($D$3*E10/$E$3,2)</f>
        <v>0</v>
      </c>
      <c r="E10" s="554" t="n">
        <f aca="false">SUMPRODUCT(('数据-基础表'!BB10:BK10="地下")*('数据-基础表'!BB11:BK11="商业")*('数据-基础表'!BB5:BK5))</f>
        <v>0</v>
      </c>
      <c r="F10" s="525"/>
      <c r="G10" s="555"/>
      <c r="H10" s="555"/>
      <c r="I10" s="525"/>
      <c r="J10" s="525"/>
      <c r="K10" s="525"/>
      <c r="L10" s="525"/>
      <c r="M10" s="525"/>
      <c r="N10" s="525"/>
      <c r="O10" s="525"/>
      <c r="P10" s="525"/>
    </row>
    <row r="11" customFormat="false" ht="14.25" hidden="false" customHeight="false" outlineLevel="0" collapsed="false">
      <c r="A11" s="556"/>
      <c r="B11" s="557"/>
      <c r="C11" s="553" t="s">
        <v>536</v>
      </c>
      <c r="D11" s="553" t="n">
        <f aca="false">ROUND($D$3*E11/$E$3,2)</f>
        <v>0</v>
      </c>
      <c r="E11" s="554" t="n">
        <f aca="false">SUMPRODUCT(('数据-基础表'!BB10:BK10="地下")*('数据-基础表'!BB11:BK11="办公")*('数据-基础表'!BB5:BK5))+'数据-基础表'!BP5</f>
        <v>0</v>
      </c>
      <c r="F11" s="525"/>
      <c r="G11" s="555"/>
      <c r="H11" s="555"/>
      <c r="I11" s="525"/>
      <c r="J11" s="525"/>
      <c r="K11" s="525"/>
      <c r="L11" s="525"/>
      <c r="M11" s="525"/>
      <c r="N11" s="525"/>
      <c r="O11" s="525"/>
      <c r="P11" s="525"/>
    </row>
    <row r="12" customFormat="false" ht="14.25" hidden="false" customHeight="false" outlineLevel="0" collapsed="false">
      <c r="A12" s="556"/>
      <c r="B12" s="557"/>
      <c r="C12" s="553" t="s">
        <v>537</v>
      </c>
      <c r="D12" s="553" t="n">
        <f aca="false">ROUND($D$3*E12/$E$3,2)</f>
        <v>0</v>
      </c>
      <c r="E12" s="554" t="n">
        <f aca="false">SUMPRODUCT(('数据-基础表'!BB10:BK10="地下")*('数据-基础表'!BB11:BK11="仓储")*('数据-基础表'!BB5:BK5))</f>
        <v>0</v>
      </c>
      <c r="F12" s="525"/>
      <c r="G12" s="555"/>
      <c r="H12" s="555"/>
      <c r="I12" s="525"/>
      <c r="J12" s="525"/>
      <c r="K12" s="525"/>
      <c r="L12" s="525"/>
      <c r="M12" s="525"/>
      <c r="N12" s="525"/>
      <c r="O12" s="525"/>
      <c r="P12" s="525"/>
    </row>
    <row r="13" customFormat="false" ht="14.25" hidden="false" customHeight="false" outlineLevel="0" collapsed="false">
      <c r="A13" s="556"/>
      <c r="B13" s="557"/>
      <c r="C13" s="553" t="s">
        <v>538</v>
      </c>
      <c r="D13" s="553" t="n">
        <f aca="false">ROUND($D$3*E13/$E$3,2)</f>
        <v>0</v>
      </c>
      <c r="E13" s="554" t="n">
        <f aca="false">SUMPRODUCT(('数据-基础表'!BB10:BK10="地下")*('数据-基础表'!BB11:BK11="车库")*('数据-基础表'!BB5:BK5))</f>
        <v>0</v>
      </c>
      <c r="F13" s="525"/>
      <c r="G13" s="555"/>
      <c r="H13" s="555"/>
      <c r="I13" s="525"/>
      <c r="J13" s="525"/>
      <c r="K13" s="525"/>
      <c r="L13" s="525"/>
      <c r="M13" s="525"/>
      <c r="N13" s="525"/>
      <c r="O13" s="525"/>
      <c r="P13" s="525"/>
    </row>
    <row r="14" customFormat="false" ht="14.25" hidden="false" customHeight="false" outlineLevel="0" collapsed="false">
      <c r="A14" s="556"/>
      <c r="B14" s="557"/>
      <c r="C14" s="553" t="s">
        <v>539</v>
      </c>
      <c r="D14" s="553" t="n">
        <f aca="false">ROUND($D$3*E14/$E$3,2)</f>
        <v>0</v>
      </c>
      <c r="E14" s="554" t="n">
        <f aca="false">SUMPRODUCT(('数据-基础表'!BB10:BK10="地下")*('数据-基础表'!BB11:BK11="车库—商业")*('数据-基础表'!BB5:BK5))</f>
        <v>0</v>
      </c>
      <c r="F14" s="525"/>
      <c r="G14" s="555"/>
      <c r="H14" s="555"/>
      <c r="I14" s="525"/>
      <c r="J14" s="525"/>
      <c r="K14" s="525"/>
      <c r="L14" s="525"/>
      <c r="M14" s="525"/>
      <c r="N14" s="525"/>
      <c r="O14" s="525"/>
      <c r="P14" s="525"/>
    </row>
    <row r="15" customFormat="false" ht="14.25" hidden="false" customHeight="false" outlineLevel="0" collapsed="false">
      <c r="A15" s="556"/>
      <c r="B15" s="557"/>
      <c r="C15" s="553" t="s">
        <v>540</v>
      </c>
      <c r="D15" s="553" t="n">
        <f aca="false">ROUND($D$3*E15/$E$3,2)</f>
        <v>0</v>
      </c>
      <c r="E15" s="554" t="n">
        <f aca="false">SUMPRODUCT(('数据-基础表'!BB10:BK10="地下")*('数据-基础表'!BB11:BK11="车库—办公")*('数据-基础表'!BB5:BK5))</f>
        <v>0</v>
      </c>
      <c r="F15" s="525"/>
      <c r="G15" s="555"/>
      <c r="H15" s="555"/>
      <c r="I15" s="525"/>
      <c r="J15" s="525"/>
      <c r="K15" s="525"/>
      <c r="L15" s="525"/>
      <c r="M15" s="525"/>
      <c r="N15" s="525"/>
      <c r="O15" s="525"/>
      <c r="P15" s="525"/>
    </row>
    <row r="16" customFormat="false" ht="15" hidden="false" customHeight="false" outlineLevel="0" collapsed="false">
      <c r="A16" s="543"/>
      <c r="B16" s="557"/>
      <c r="C16" s="552" t="s">
        <v>512</v>
      </c>
      <c r="D16" s="552" t="n">
        <f aca="false">SUM(D8:D15)</f>
        <v>0</v>
      </c>
      <c r="E16" s="559" t="n">
        <f aca="false">SUM(E8:E15)</f>
        <v>58.3</v>
      </c>
      <c r="F16" s="525"/>
      <c r="G16" s="555"/>
      <c r="H16" s="560" t="s">
        <v>541</v>
      </c>
      <c r="I16" s="561"/>
      <c r="J16" s="522"/>
      <c r="K16" s="562" t="s">
        <v>541</v>
      </c>
      <c r="L16" s="562"/>
      <c r="M16" s="562"/>
      <c r="N16" s="562"/>
      <c r="O16" s="562"/>
      <c r="P16" s="562"/>
    </row>
    <row r="17" customFormat="false" ht="15" hidden="false" customHeight="false" outlineLevel="0" collapsed="false">
      <c r="A17" s="563" t="s">
        <v>542</v>
      </c>
      <c r="B17" s="564" t="s">
        <v>211</v>
      </c>
      <c r="C17" s="565" t="s">
        <v>463</v>
      </c>
      <c r="D17" s="566" t="s">
        <v>443</v>
      </c>
      <c r="E17" s="567" t="s">
        <v>107</v>
      </c>
      <c r="F17" s="568"/>
      <c r="G17" s="569"/>
      <c r="H17" s="570" t="s">
        <v>543</v>
      </c>
      <c r="I17" s="571" t="s">
        <v>544</v>
      </c>
      <c r="J17" s="522"/>
      <c r="K17" s="572" t="s">
        <v>545</v>
      </c>
      <c r="L17" s="572"/>
      <c r="M17" s="572"/>
      <c r="N17" s="572" t="s">
        <v>546</v>
      </c>
      <c r="O17" s="572"/>
      <c r="P17" s="572"/>
      <c r="R17" s="573" t="s">
        <v>547</v>
      </c>
      <c r="S17" s="574"/>
    </row>
    <row r="18" customFormat="false" ht="15" hidden="false" customHeight="false" outlineLevel="0" collapsed="false">
      <c r="A18" s="556"/>
      <c r="B18" s="575"/>
      <c r="C18" s="576"/>
      <c r="D18" s="577"/>
      <c r="E18" s="578" t="s">
        <v>345</v>
      </c>
      <c r="F18" s="579" t="s">
        <v>228</v>
      </c>
      <c r="G18" s="580" t="s">
        <v>248</v>
      </c>
      <c r="H18" s="581" t="s">
        <v>443</v>
      </c>
      <c r="I18" s="582" t="s">
        <v>107</v>
      </c>
      <c r="J18" s="522"/>
      <c r="K18" s="581" t="s">
        <v>548</v>
      </c>
      <c r="L18" s="583" t="s">
        <v>549</v>
      </c>
      <c r="M18" s="584" t="s">
        <v>550</v>
      </c>
      <c r="N18" s="581" t="s">
        <v>548</v>
      </c>
      <c r="O18" s="583" t="s">
        <v>549</v>
      </c>
      <c r="P18" s="584" t="s">
        <v>550</v>
      </c>
      <c r="R18" s="533" t="s">
        <v>443</v>
      </c>
      <c r="S18" s="533" t="s">
        <v>107</v>
      </c>
    </row>
    <row r="19" customFormat="false" ht="14.25" hidden="false" customHeight="false" outlineLevel="0" collapsed="false">
      <c r="A19" s="585"/>
      <c r="B19" s="552" t="s">
        <v>230</v>
      </c>
      <c r="C19" s="586" t="s">
        <v>156</v>
      </c>
      <c r="D19" s="553" t="n">
        <f aca="false">ROUND($D$3*E19/$E$3,2)</f>
        <v>0</v>
      </c>
      <c r="E19" s="587" t="n">
        <f aca="false">SUM(F19:G19)</f>
        <v>58.3</v>
      </c>
      <c r="F19" s="588" t="n">
        <f aca="false">'数据-基础表'!G13</f>
        <v>58.3</v>
      </c>
      <c r="G19" s="589"/>
      <c r="H19" s="590" t="n">
        <f aca="false">ROUND($D$3*I19/$E$3,2)</f>
        <v>0</v>
      </c>
      <c r="I19" s="554" t="n">
        <f aca="false">IF($I$17="自定义",P19,M19)</f>
        <v>0</v>
      </c>
      <c r="J19" s="522"/>
      <c r="K19" s="591" t="n">
        <f aca="false">ROUND(E$28*E19/E$27,2)</f>
        <v>0</v>
      </c>
      <c r="L19" s="533" t="n">
        <f aca="false">ROUND(IF(COUNTIF(C19,"*住宅*")&gt;0,E$29*E19/E$32,0),2)</f>
        <v>0</v>
      </c>
      <c r="M19" s="592" t="n">
        <f aca="false">K19+L19</f>
        <v>0</v>
      </c>
      <c r="N19" s="593"/>
      <c r="O19" s="594"/>
      <c r="P19" s="592" t="n">
        <f aca="false">N19+O19</f>
        <v>0</v>
      </c>
      <c r="R19" s="533" t="n">
        <f aca="false">D19+H19</f>
        <v>0</v>
      </c>
      <c r="S19" s="595" t="n">
        <f aca="false">E19+I19</f>
        <v>58.3</v>
      </c>
    </row>
    <row r="20" customFormat="false" ht="14.25" hidden="false" customHeight="false" outlineLevel="0" collapsed="false">
      <c r="A20" s="596"/>
      <c r="B20" s="552" t="s">
        <v>230</v>
      </c>
      <c r="C20" s="586"/>
      <c r="D20" s="553" t="n">
        <f aca="false">ROUND($D$3*E20/$E$3,2)</f>
        <v>0</v>
      </c>
      <c r="E20" s="587" t="n">
        <f aca="false">SUM(F20:G20)</f>
        <v>0</v>
      </c>
      <c r="F20" s="588"/>
      <c r="G20" s="589"/>
      <c r="H20" s="590" t="n">
        <f aca="false">ROUND($D$3*I20/$E$3,2)</f>
        <v>0</v>
      </c>
      <c r="I20" s="554" t="n">
        <f aca="false">IF($I$17="自定义",P20,M20)</f>
        <v>0</v>
      </c>
      <c r="J20" s="522"/>
      <c r="K20" s="591" t="n">
        <f aca="false">ROUND(E$28*E20/E$27,2)</f>
        <v>0</v>
      </c>
      <c r="L20" s="533" t="n">
        <f aca="false">ROUND(IF(COUNTIF(C20,"*住宅*")&gt;0,E$29*E20/E$32,0),2)</f>
        <v>0</v>
      </c>
      <c r="M20" s="592" t="n">
        <f aca="false">K20+L20</f>
        <v>0</v>
      </c>
      <c r="N20" s="593"/>
      <c r="O20" s="594"/>
      <c r="P20" s="592" t="n">
        <f aca="false">N20+O20</f>
        <v>0</v>
      </c>
      <c r="R20" s="533" t="n">
        <f aca="false">D20+H20</f>
        <v>0</v>
      </c>
      <c r="S20" s="595" t="n">
        <f aca="false">E20+I20</f>
        <v>0</v>
      </c>
    </row>
    <row r="21" customFormat="false" ht="14.25" hidden="false" customHeight="false" outlineLevel="0" collapsed="false">
      <c r="A21" s="596"/>
      <c r="B21" s="552" t="s">
        <v>230</v>
      </c>
      <c r="C21" s="586"/>
      <c r="D21" s="553" t="n">
        <f aca="false">ROUND($D$3*E21/$E$3,2)</f>
        <v>0</v>
      </c>
      <c r="E21" s="587" t="n">
        <f aca="false">SUM(F21:G21)</f>
        <v>0</v>
      </c>
      <c r="F21" s="588"/>
      <c r="G21" s="589"/>
      <c r="H21" s="590" t="n">
        <f aca="false">ROUND($D$3*I21/$E$3,2)</f>
        <v>0</v>
      </c>
      <c r="I21" s="554" t="n">
        <f aca="false">IF($I$17="自定义",P21,M21)</f>
        <v>0</v>
      </c>
      <c r="J21" s="522"/>
      <c r="K21" s="591" t="n">
        <f aca="false">ROUND(E$28*E21/E$27,2)</f>
        <v>0</v>
      </c>
      <c r="L21" s="533" t="n">
        <f aca="false">ROUND(IF(COUNTIF(C21,"*住宅*")&gt;0,E$29*E21/E$32,0),2)</f>
        <v>0</v>
      </c>
      <c r="M21" s="592" t="n">
        <f aca="false">K21+L21</f>
        <v>0</v>
      </c>
      <c r="N21" s="593"/>
      <c r="O21" s="594"/>
      <c r="P21" s="592" t="n">
        <f aca="false">N21+O21</f>
        <v>0</v>
      </c>
      <c r="R21" s="533" t="n">
        <f aca="false">D21+H21</f>
        <v>0</v>
      </c>
      <c r="S21" s="595" t="n">
        <f aca="false">E21+I21</f>
        <v>0</v>
      </c>
    </row>
    <row r="22" customFormat="false" ht="14.25" hidden="false" customHeight="false" outlineLevel="0" collapsed="false">
      <c r="A22" s="596"/>
      <c r="B22" s="552" t="s">
        <v>230</v>
      </c>
      <c r="C22" s="597"/>
      <c r="D22" s="553" t="n">
        <f aca="false">ROUND($D$3*E22/$E$3,2)</f>
        <v>0</v>
      </c>
      <c r="E22" s="587" t="n">
        <f aca="false">SUM(F22:G22)</f>
        <v>0</v>
      </c>
      <c r="F22" s="598"/>
      <c r="G22" s="599"/>
      <c r="H22" s="590" t="n">
        <f aca="false">ROUND($D$3*I22/$E$3,2)</f>
        <v>0</v>
      </c>
      <c r="I22" s="554" t="n">
        <f aca="false">IF($I$17="自定义",P22,M22)</f>
        <v>0</v>
      </c>
      <c r="J22" s="522"/>
      <c r="K22" s="591" t="n">
        <f aca="false">ROUND(E$28*E22/E$27,2)</f>
        <v>0</v>
      </c>
      <c r="L22" s="533" t="n">
        <f aca="false">ROUND(IF(COUNTIF(C22,"*住宅*")&gt;0,E$29*E22/E$32,0),2)</f>
        <v>0</v>
      </c>
      <c r="M22" s="592" t="n">
        <f aca="false">K22+L22</f>
        <v>0</v>
      </c>
      <c r="N22" s="593"/>
      <c r="O22" s="594"/>
      <c r="P22" s="592" t="n">
        <f aca="false">N22+O22</f>
        <v>0</v>
      </c>
      <c r="R22" s="533" t="n">
        <f aca="false">D22+H22</f>
        <v>0</v>
      </c>
      <c r="S22" s="595" t="n">
        <f aca="false">E22+I22</f>
        <v>0</v>
      </c>
    </row>
    <row r="23" customFormat="false" ht="14.25" hidden="false" customHeight="false" outlineLevel="0" collapsed="false">
      <c r="A23" s="596"/>
      <c r="B23" s="552" t="s">
        <v>230</v>
      </c>
      <c r="C23" s="597"/>
      <c r="D23" s="553" t="n">
        <f aca="false">ROUND($D$3*E23/$E$3,2)</f>
        <v>0</v>
      </c>
      <c r="E23" s="587" t="n">
        <f aca="false">SUM(F23:G23)</f>
        <v>0</v>
      </c>
      <c r="F23" s="598"/>
      <c r="G23" s="599"/>
      <c r="H23" s="590" t="n">
        <f aca="false">ROUND($D$3*I23/$E$3,2)</f>
        <v>0</v>
      </c>
      <c r="I23" s="554" t="n">
        <f aca="false">IF($I$17="自定义",P23,M23)</f>
        <v>0</v>
      </c>
      <c r="J23" s="522"/>
      <c r="K23" s="591" t="n">
        <f aca="false">ROUND(E$28*E23/E$27,2)</f>
        <v>0</v>
      </c>
      <c r="L23" s="533" t="n">
        <f aca="false">ROUND(IF(COUNTIF(C23,"*住宅*")&gt;0,E$29*E23/E$32,0),2)</f>
        <v>0</v>
      </c>
      <c r="M23" s="592" t="n">
        <f aca="false">K23+L23</f>
        <v>0</v>
      </c>
      <c r="N23" s="593"/>
      <c r="O23" s="594"/>
      <c r="P23" s="592" t="n">
        <f aca="false">N23+O23</f>
        <v>0</v>
      </c>
      <c r="R23" s="533" t="n">
        <f aca="false">D23+H23</f>
        <v>0</v>
      </c>
      <c r="S23" s="595" t="n">
        <f aca="false">E23+I23</f>
        <v>0</v>
      </c>
    </row>
    <row r="24" customFormat="false" ht="14.25" hidden="false" customHeight="false" outlineLevel="0" collapsed="false">
      <c r="A24" s="596"/>
      <c r="B24" s="552" t="s">
        <v>230</v>
      </c>
      <c r="C24" s="597"/>
      <c r="D24" s="553" t="n">
        <f aca="false">ROUND($D$3*E24/$E$3,2)</f>
        <v>0</v>
      </c>
      <c r="E24" s="587" t="n">
        <f aca="false">SUM(F24:G24)</f>
        <v>0</v>
      </c>
      <c r="F24" s="598"/>
      <c r="G24" s="599"/>
      <c r="H24" s="590" t="n">
        <f aca="false">ROUND($D$3*I24/$E$3,2)</f>
        <v>0</v>
      </c>
      <c r="I24" s="554" t="n">
        <f aca="false">IF($I$17="自定义",P24,M24)</f>
        <v>0</v>
      </c>
      <c r="J24" s="522"/>
      <c r="K24" s="591" t="n">
        <f aca="false">ROUND(E$28*E24/E$27,2)</f>
        <v>0</v>
      </c>
      <c r="L24" s="533" t="n">
        <f aca="false">ROUND(IF(COUNTIF(C24,"*住宅*")&gt;0,E$29*E24/E$32,0),2)</f>
        <v>0</v>
      </c>
      <c r="M24" s="592" t="n">
        <f aca="false">K24+L24</f>
        <v>0</v>
      </c>
      <c r="N24" s="593"/>
      <c r="O24" s="594"/>
      <c r="P24" s="592" t="n">
        <f aca="false">N24+O24</f>
        <v>0</v>
      </c>
      <c r="R24" s="533" t="n">
        <f aca="false">D24+H24</f>
        <v>0</v>
      </c>
      <c r="S24" s="595" t="n">
        <f aca="false">E24+I24</f>
        <v>0</v>
      </c>
    </row>
    <row r="25" customFormat="false" ht="14.25" hidden="false" customHeight="false" outlineLevel="0" collapsed="false">
      <c r="A25" s="596"/>
      <c r="B25" s="552" t="s">
        <v>230</v>
      </c>
      <c r="C25" s="597"/>
      <c r="D25" s="553" t="n">
        <f aca="false">ROUND($D$3*E25/$E$3,2)</f>
        <v>0</v>
      </c>
      <c r="E25" s="587" t="n">
        <f aca="false">SUM(F25:G25)</f>
        <v>0</v>
      </c>
      <c r="F25" s="598"/>
      <c r="G25" s="599"/>
      <c r="H25" s="539" t="n">
        <f aca="false">ROUND($D$3*I25/$E$3,2)</f>
        <v>0</v>
      </c>
      <c r="I25" s="554" t="n">
        <f aca="false">IF($I$17="自定义",P25,M25)</f>
        <v>0</v>
      </c>
      <c r="J25" s="522"/>
      <c r="K25" s="591" t="n">
        <f aca="false">ROUND(E$28*E25/E$27,2)</f>
        <v>0</v>
      </c>
      <c r="L25" s="533" t="n">
        <f aca="false">ROUND(IF(COUNTIF(C25,"*住宅*")&gt;0,E$29*E25/E$32,0),2)</f>
        <v>0</v>
      </c>
      <c r="M25" s="592" t="n">
        <f aca="false">K25+L25</f>
        <v>0</v>
      </c>
      <c r="N25" s="593"/>
      <c r="O25" s="594"/>
      <c r="P25" s="592" t="n">
        <f aca="false">N25+O25</f>
        <v>0</v>
      </c>
      <c r="R25" s="533" t="n">
        <f aca="false">D25+H25</f>
        <v>0</v>
      </c>
      <c r="S25" s="595" t="n">
        <f aca="false">E25+I25</f>
        <v>0</v>
      </c>
    </row>
    <row r="26" customFormat="false" ht="14.25" hidden="false" customHeight="false" outlineLevel="0" collapsed="false">
      <c r="A26" s="596"/>
      <c r="B26" s="552" t="s">
        <v>230</v>
      </c>
      <c r="C26" s="600"/>
      <c r="D26" s="553" t="n">
        <f aca="false">ROUND($D$3*E26/$E$3,2)</f>
        <v>0</v>
      </c>
      <c r="E26" s="587" t="n">
        <f aca="false">SUM(F26:G26)</f>
        <v>0</v>
      </c>
      <c r="F26" s="598"/>
      <c r="G26" s="599"/>
      <c r="H26" s="539" t="n">
        <f aca="false">ROUND($D$3*I26/$E$3,2)</f>
        <v>0</v>
      </c>
      <c r="I26" s="554" t="n">
        <f aca="false">IF($I$17="自定义",P26,M26)</f>
        <v>0</v>
      </c>
      <c r="J26" s="522"/>
      <c r="K26" s="532" t="n">
        <f aca="false">ROUND(E$28*E26/E$27,2)</f>
        <v>0</v>
      </c>
      <c r="L26" s="545" t="n">
        <f aca="false">ROUND(IF(COUNTIF(C26,"*住宅*")&gt;0,E$29*E26/E$32,0),2)</f>
        <v>0</v>
      </c>
      <c r="M26" s="601" t="n">
        <f aca="false">K26+L26</f>
        <v>0</v>
      </c>
      <c r="N26" s="602"/>
      <c r="O26" s="603"/>
      <c r="P26" s="601" t="n">
        <f aca="false">N26+O26</f>
        <v>0</v>
      </c>
      <c r="R26" s="533" t="n">
        <f aca="false">D26+H26</f>
        <v>0</v>
      </c>
      <c r="S26" s="595" t="n">
        <f aca="false">E26+I26</f>
        <v>0</v>
      </c>
    </row>
    <row r="27" customFormat="false" ht="15" hidden="false" customHeight="false" outlineLevel="0" collapsed="false">
      <c r="A27" s="596"/>
      <c r="B27" s="541"/>
      <c r="C27" s="604" t="s">
        <v>512</v>
      </c>
      <c r="D27" s="605" t="n">
        <f aca="false">SUM(D19:D26)</f>
        <v>0</v>
      </c>
      <c r="E27" s="606" t="n">
        <f aca="false">IF(SUM(E19:E26)='数据-基础表'!BA5,SUM(E19:E26),IF(F27="地上面积有误","面积有误","地下面积有误"))</f>
        <v>58.3</v>
      </c>
      <c r="F27" s="605" t="n">
        <f aca="false">IF(SUM(F19:F26)=E8,SUM(F19:F26),"地上面积有误")</f>
        <v>58.3</v>
      </c>
      <c r="G27" s="607" t="n">
        <f aca="false">SUM(G19:G26)</f>
        <v>0</v>
      </c>
      <c r="H27" s="608" t="n">
        <f aca="false">SUM(H19:H26)</f>
        <v>0</v>
      </c>
      <c r="I27" s="609" t="n">
        <f aca="false">SUM(I19:I26)</f>
        <v>0</v>
      </c>
      <c r="J27" s="522"/>
      <c r="K27" s="610" t="n">
        <f aca="false">SUM(K19:K26)</f>
        <v>0</v>
      </c>
      <c r="L27" s="611" t="n">
        <f aca="false">SUM(L19:L26)</f>
        <v>0</v>
      </c>
      <c r="M27" s="612" t="n">
        <f aca="false">SUM(M19:M26)</f>
        <v>0</v>
      </c>
      <c r="N27" s="610" t="n">
        <f aca="false">SUM(N19:N26)</f>
        <v>0</v>
      </c>
      <c r="O27" s="611" t="n">
        <f aca="false">SUM(O19:O26)</f>
        <v>0</v>
      </c>
      <c r="P27" s="613" t="n">
        <f aca="false">SUM(P19:P26)</f>
        <v>0</v>
      </c>
      <c r="R27" s="614" t="n">
        <f aca="false">IF(SUM(R19:R26)=$D$3,SUM(R19:R26),SUM(R19:R26)&amp;"误差"&amp;ROUND(SUM(R19:R26)-$D$3,2))</f>
        <v>0</v>
      </c>
      <c r="S27" s="533" t="n">
        <f aca="false">IF(SUM(S19:S26)=$E$3,SUM(S19:S26),SUM(S19:S26)&amp;"误差"&amp;ROUND(SUM(S19:S26)-E3,2))</f>
        <v>58.3</v>
      </c>
    </row>
    <row r="28" customFormat="false" ht="14.25" hidden="false" customHeight="false" outlineLevel="0" collapsed="false">
      <c r="A28" s="596"/>
      <c r="B28" s="552" t="s">
        <v>240</v>
      </c>
      <c r="C28" s="615" t="s">
        <v>517</v>
      </c>
      <c r="D28" s="553" t="n">
        <f aca="false">ROUND($D$3*E28/$E$3,2)</f>
        <v>0</v>
      </c>
      <c r="E28" s="587" t="n">
        <f aca="false">SUM(F28:G28)</f>
        <v>0</v>
      </c>
      <c r="F28" s="574" t="n">
        <f aca="false">'数据-基础表'!BQ5+'数据-基础表'!BS5</f>
        <v>0</v>
      </c>
      <c r="G28" s="616" t="n">
        <f aca="false">'数据-基础表'!BR5+'数据-基础表'!BT5</f>
        <v>0</v>
      </c>
      <c r="H28" s="525"/>
      <c r="I28" s="525"/>
      <c r="J28" s="525"/>
      <c r="K28" s="525"/>
      <c r="L28" s="525"/>
      <c r="M28" s="525"/>
      <c r="N28" s="525"/>
      <c r="O28" s="525"/>
      <c r="P28" s="525"/>
    </row>
    <row r="29" customFormat="false" ht="14.25" hidden="false" customHeight="false" outlineLevel="0" collapsed="false">
      <c r="A29" s="596"/>
      <c r="B29" s="552" t="s">
        <v>240</v>
      </c>
      <c r="C29" s="617" t="s">
        <v>551</v>
      </c>
      <c r="D29" s="553" t="n">
        <f aca="false">ROUND($D$3*E29/$E$3,2)</f>
        <v>0</v>
      </c>
      <c r="E29" s="587" t="n">
        <f aca="false">SUM(F29:G29)</f>
        <v>0</v>
      </c>
      <c r="F29" s="618" t="n">
        <f aca="false">'数据-基础表'!BM5+'数据-基础表'!BO5</f>
        <v>0</v>
      </c>
      <c r="G29" s="601" t="n">
        <f aca="false">'数据-基础表'!BN5+'数据-基础表'!BP5</f>
        <v>0</v>
      </c>
      <c r="H29" s="525"/>
      <c r="I29" s="525"/>
      <c r="J29" s="525"/>
      <c r="K29" s="525"/>
      <c r="L29" s="525"/>
      <c r="M29" s="525"/>
      <c r="N29" s="525"/>
      <c r="O29" s="525"/>
      <c r="P29" s="525"/>
    </row>
    <row r="30" customFormat="false" ht="15" hidden="false" customHeight="false" outlineLevel="0" collapsed="false">
      <c r="A30" s="596"/>
      <c r="B30" s="552"/>
      <c r="C30" s="619" t="s">
        <v>512</v>
      </c>
      <c r="D30" s="605" t="n">
        <f aca="false">SUM(D28:D29)</f>
        <v>0</v>
      </c>
      <c r="E30" s="605" t="n">
        <f aca="false">SUM(E28:E29)</f>
        <v>0</v>
      </c>
      <c r="F30" s="605" t="n">
        <f aca="false">SUM(F28:F29)</f>
        <v>0</v>
      </c>
      <c r="G30" s="607" t="n">
        <f aca="false">SUM(G28:G29)</f>
        <v>0</v>
      </c>
      <c r="H30" s="525"/>
      <c r="I30" s="525"/>
      <c r="J30" s="525"/>
      <c r="K30" s="525"/>
      <c r="L30" s="525"/>
      <c r="M30" s="525"/>
      <c r="N30" s="525"/>
      <c r="O30" s="525"/>
      <c r="P30" s="525"/>
    </row>
    <row r="31" customFormat="false" ht="15" hidden="false" customHeight="false" outlineLevel="0" collapsed="false">
      <c r="A31" s="620"/>
      <c r="B31" s="621"/>
      <c r="C31" s="622" t="s">
        <v>345</v>
      </c>
      <c r="D31" s="623" t="n">
        <f aca="false">D27+D30</f>
        <v>0</v>
      </c>
      <c r="E31" s="623" t="n">
        <f aca="false">E27+E30</f>
        <v>58.3</v>
      </c>
      <c r="F31" s="624" t="n">
        <f aca="false">F27+F30</f>
        <v>58.3</v>
      </c>
      <c r="G31" s="625" t="n">
        <f aca="false">G27+G30</f>
        <v>0</v>
      </c>
      <c r="H31" s="525"/>
      <c r="I31" s="525"/>
      <c r="J31" s="525"/>
      <c r="K31" s="525"/>
      <c r="L31" s="525"/>
      <c r="M31" s="525"/>
      <c r="N31" s="525"/>
      <c r="O31" s="525"/>
      <c r="P31" s="525"/>
    </row>
    <row r="32" customFormat="false" ht="14.25" hidden="false" customHeight="false" outlineLevel="0" collapsed="false">
      <c r="A32" s="626"/>
      <c r="B32" s="627" t="s">
        <v>552</v>
      </c>
      <c r="C32" s="626"/>
      <c r="D32" s="626"/>
      <c r="E32" s="628" t="n">
        <f aca="false">SUMIF(C19:C26,"*住宅*",E19:E26)</f>
        <v>58.3</v>
      </c>
      <c r="F32" s="626"/>
      <c r="G32" s="626"/>
      <c r="H32" s="525"/>
      <c r="I32" s="525"/>
      <c r="J32" s="525"/>
      <c r="K32" s="525"/>
      <c r="L32" s="525"/>
      <c r="M32" s="525"/>
      <c r="N32" s="525"/>
      <c r="O32" s="525"/>
      <c r="P32" s="525"/>
    </row>
    <row r="33" customFormat="false" ht="14.25" hidden="false" customHeight="false" outlineLevel="0" collapsed="false">
      <c r="D33" s="629"/>
    </row>
  </sheetData>
  <sheetProtection sheet="true" password="cee9" objects="true" scenarios="true" formatCells="false" formatColumns="false" formatRows="false"/>
  <mergeCells count="9">
    <mergeCell ref="A2:C2"/>
    <mergeCell ref="A3:C3"/>
    <mergeCell ref="A4:C4"/>
    <mergeCell ref="B5:C5"/>
    <mergeCell ref="B6:C6"/>
    <mergeCell ref="A7:C7"/>
    <mergeCell ref="K16:P16"/>
    <mergeCell ref="K17:M17"/>
    <mergeCell ref="N17:P17"/>
  </mergeCells>
  <conditionalFormatting sqref="E27">
    <cfRule type="containsText" priority="2" operator="containsText" aboveAverage="0" equalAverage="0" bottom="0" percent="0" rank="0" text="面积有误" dxfId="52">
      <formula>NOT(ISERROR(SEARCH("面积有误",E27)))</formula>
    </cfRule>
    <cfRule type="cellIs" priority="3" operator="equal" aboveAverage="0" equalAverage="0" bottom="0" percent="0" rank="0" text="" dxfId="53">
      <formula>"地下面积有误"</formula>
    </cfRule>
  </conditionalFormatting>
  <conditionalFormatting sqref="F27">
    <cfRule type="cellIs" priority="4" operator="equal" aboveAverage="0" equalAverage="0" bottom="0" percent="0" rank="0" text="" dxfId="54">
      <formula>"地上面积有误"</formula>
    </cfRule>
  </conditionalFormatting>
  <dataValidations count="2">
    <dataValidation allowBlank="true" operator="between" showDropDown="false" showErrorMessage="true" showInputMessage="true" sqref="I17" type="list">
      <formula1>"自定义,按面积比例"</formula1>
      <formula2>0</formula2>
    </dataValidation>
    <dataValidation allowBlank="true" operator="between" showDropDown="false" showErrorMessage="true" showInputMessage="true" sqref="B19:B26 B28:B29" type="list">
      <formula1>类别</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0" pageOrder="downThenOver" orientation="landscape" blackAndWhite="false" draft="false" cellComments="none" useFirstPageNumber="false" horizontalDpi="300" verticalDpi="300" copies="1"/>
  <headerFooter differentFirst="false" differentOddEven="false">
    <oddHeader/>
    <oddFooter/>
  </headerFooter>
  <legacyDrawing r:id="rId2"/>
</worksheet>
</file>

<file path=xl/worksheets/sheet15.xml><?xml version="1.0" encoding="utf-8"?>
<worksheet xmlns="http://schemas.openxmlformats.org/spreadsheetml/2006/main" xmlns:r="http://schemas.openxmlformats.org/officeDocument/2006/relationships">
  <sheetPr filterMode="false">
    <tabColor rgb="FFFFFF00"/>
    <pageSetUpPr fitToPage="true"/>
  </sheetPr>
  <dimension ref="A1:BO174"/>
  <sheetViews>
    <sheetView showFormulas="false" showGridLines="true" showRowColHeaders="true" showZeros="true" rightToLeft="false" tabSelected="false" showOutlineSymbols="true" defaultGridColor="true" view="pageBreakPreview" topLeftCell="A1" colorId="64" zoomScale="100" zoomScaleNormal="60" zoomScalePageLayoutView="100" workbookViewId="0">
      <pane xSplit="3" ySplit="5" topLeftCell="L6" activePane="bottomRight" state="frozen"/>
      <selection pane="topLeft" activeCell="A1" activeCellId="0" sqref="A1"/>
      <selection pane="topRight" activeCell="L1" activeCellId="0" sqref="L1"/>
      <selection pane="bottomLeft" activeCell="A6" activeCellId="0" sqref="A6"/>
      <selection pane="bottomRight" activeCell="L6" activeCellId="0" sqref="L6"/>
    </sheetView>
  </sheetViews>
  <sheetFormatPr defaultRowHeight="12.75" zeroHeight="false" outlineLevelRow="0" outlineLevelCol="0"/>
  <cols>
    <col collapsed="false" customWidth="true" hidden="false" outlineLevel="0" max="1" min="1" style="224" width="20.88"/>
    <col collapsed="false" customWidth="true" hidden="false" outlineLevel="0" max="2" min="2" style="237" width="12"/>
    <col collapsed="false" customWidth="true" hidden="false" outlineLevel="0" max="3" min="3" style="237" width="12.76"/>
    <col collapsed="false" customWidth="true" hidden="false" outlineLevel="0" max="4" min="4" style="630" width="9.12"/>
    <col collapsed="false" customWidth="true" hidden="false" outlineLevel="0" max="5" min="5" style="237" width="15"/>
    <col collapsed="false" customWidth="true" hidden="false" outlineLevel="0" max="10" min="6" style="237" width="8.88"/>
    <col collapsed="false" customWidth="true" hidden="false" outlineLevel="0" max="12" min="11" style="454" width="12.38"/>
    <col collapsed="false" customWidth="true" hidden="false" outlineLevel="0" max="13" min="13" style="237" width="8.62"/>
    <col collapsed="false" customWidth="true" hidden="false" outlineLevel="0" max="14" min="14" style="237" width="11.88"/>
    <col collapsed="false" customWidth="true" hidden="false" outlineLevel="0" max="15" min="15" style="237" width="8.5"/>
    <col collapsed="false" customWidth="true" hidden="false" outlineLevel="0" max="17" min="16" style="237" width="10.88"/>
    <col collapsed="false" customWidth="true" hidden="false" outlineLevel="0" max="19" min="18" style="237" width="12.5"/>
    <col collapsed="false" customWidth="true" hidden="false" outlineLevel="0" max="20" min="20" style="237" width="12.12"/>
    <col collapsed="false" customWidth="true" hidden="false" outlineLevel="0" max="21" min="21" style="237" width="7.5"/>
    <col collapsed="false" customWidth="true" hidden="false" outlineLevel="0" max="22" min="22" style="237" width="6.37"/>
    <col collapsed="false" customWidth="true" hidden="false" outlineLevel="0" max="30" min="23" style="237" width="6.76"/>
    <col collapsed="false" customWidth="true" hidden="false" outlineLevel="0" max="31" min="31" style="237" width="8"/>
    <col collapsed="false" customWidth="true" hidden="false" outlineLevel="0" max="34" min="32" style="237" width="7.26"/>
    <col collapsed="false" customWidth="true" hidden="false" outlineLevel="0" max="39" min="35" style="237" width="8"/>
    <col collapsed="false" customWidth="true" hidden="false" outlineLevel="0" max="40" min="40" style="631" width="13.76"/>
    <col collapsed="false" customWidth="true" hidden="false" outlineLevel="0" max="41" min="41" style="631" width="11.62"/>
    <col collapsed="false" customWidth="true" hidden="false" outlineLevel="0" max="42" min="42" style="631" width="9.76"/>
    <col collapsed="false" customWidth="true" hidden="false" outlineLevel="0" max="67" min="43" style="631" width="13.76"/>
    <col collapsed="false" customWidth="true" hidden="false" outlineLevel="0" max="1025" min="68" style="237" width="13.76"/>
  </cols>
  <sheetData>
    <row r="1" customFormat="false" ht="18.75" hidden="false" customHeight="false" outlineLevel="0" collapsed="false">
      <c r="A1" s="632" t="s">
        <v>553</v>
      </c>
      <c r="B1" s="633"/>
      <c r="C1" s="634"/>
      <c r="D1" s="635"/>
      <c r="E1" s="634"/>
      <c r="F1" s="634"/>
      <c r="G1" s="634"/>
      <c r="H1" s="634"/>
      <c r="I1" s="634"/>
      <c r="J1" s="634"/>
      <c r="K1" s="636"/>
      <c r="L1" s="636"/>
      <c r="M1" s="634"/>
      <c r="N1" s="634"/>
      <c r="O1" s="634"/>
      <c r="P1" s="634"/>
      <c r="Q1" s="634"/>
      <c r="R1" s="634"/>
      <c r="S1" s="634"/>
      <c r="T1" s="634"/>
      <c r="U1" s="634"/>
      <c r="V1" s="634"/>
      <c r="W1" s="634"/>
      <c r="X1" s="634"/>
      <c r="Y1" s="634"/>
      <c r="Z1" s="634"/>
      <c r="AA1" s="634"/>
      <c r="AB1" s="634"/>
      <c r="AC1" s="634"/>
      <c r="AD1" s="634"/>
      <c r="AE1" s="634"/>
      <c r="AF1" s="634"/>
      <c r="AG1" s="634"/>
      <c r="AH1" s="634"/>
      <c r="AI1" s="634"/>
      <c r="AJ1" s="634"/>
      <c r="AK1" s="634"/>
      <c r="AL1" s="634"/>
      <c r="AM1" s="634"/>
      <c r="AN1" s="637"/>
      <c r="AO1" s="637"/>
      <c r="AP1" s="637"/>
      <c r="AQ1" s="637"/>
      <c r="AR1" s="637"/>
    </row>
    <row r="2" s="644" customFormat="true" ht="15" hidden="false" customHeight="false" outlineLevel="0" collapsed="false">
      <c r="A2" s="638" t="s">
        <v>554</v>
      </c>
      <c r="B2" s="639" t="n">
        <f aca="false">项目基本情况!D3</f>
        <v>39031</v>
      </c>
      <c r="C2" s="640"/>
      <c r="D2" s="641"/>
      <c r="E2" s="640"/>
      <c r="F2" s="640"/>
      <c r="G2" s="640"/>
      <c r="H2" s="640"/>
      <c r="I2" s="640"/>
      <c r="J2" s="640"/>
      <c r="K2" s="162"/>
      <c r="L2" s="162"/>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2"/>
      <c r="AO2" s="642"/>
      <c r="AP2" s="642"/>
      <c r="AQ2" s="642"/>
      <c r="AR2" s="642"/>
      <c r="AS2" s="643"/>
      <c r="AT2" s="643"/>
      <c r="AU2" s="643"/>
      <c r="AV2" s="643"/>
      <c r="AW2" s="643"/>
      <c r="AX2" s="643"/>
      <c r="AY2" s="643"/>
      <c r="AZ2" s="643"/>
      <c r="BA2" s="643"/>
      <c r="BB2" s="643"/>
      <c r="BC2" s="643"/>
      <c r="BD2" s="643"/>
      <c r="BE2" s="643"/>
      <c r="BF2" s="643"/>
      <c r="BG2" s="643"/>
      <c r="BH2" s="643"/>
      <c r="BI2" s="643"/>
      <c r="BJ2" s="643"/>
      <c r="BK2" s="643"/>
      <c r="BL2" s="643"/>
      <c r="BM2" s="643"/>
      <c r="BN2" s="643"/>
      <c r="BO2" s="643"/>
    </row>
    <row r="3" s="644" customFormat="true" ht="14.25" hidden="false" customHeight="false" outlineLevel="0" collapsed="false">
      <c r="A3" s="645"/>
      <c r="B3" s="646"/>
      <c r="C3" s="640"/>
      <c r="D3" s="641"/>
      <c r="E3" s="640"/>
      <c r="F3" s="640"/>
      <c r="G3" s="640"/>
      <c r="H3" s="640"/>
      <c r="I3" s="640"/>
      <c r="J3" s="640"/>
      <c r="K3" s="162"/>
      <c r="L3" s="162"/>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2"/>
      <c r="AO3" s="642"/>
      <c r="AP3" s="642"/>
      <c r="AQ3" s="642"/>
      <c r="AR3" s="642"/>
      <c r="AS3" s="643"/>
      <c r="AT3" s="643"/>
      <c r="AU3" s="643"/>
      <c r="AV3" s="643"/>
      <c r="AW3" s="643"/>
      <c r="AX3" s="643"/>
      <c r="AY3" s="643"/>
      <c r="AZ3" s="643"/>
      <c r="BA3" s="643"/>
      <c r="BB3" s="643"/>
      <c r="BC3" s="643"/>
      <c r="BD3" s="643"/>
      <c r="BE3" s="643"/>
      <c r="BF3" s="643"/>
      <c r="BG3" s="643"/>
      <c r="BH3" s="643"/>
      <c r="BI3" s="643"/>
      <c r="BJ3" s="643"/>
      <c r="BK3" s="643"/>
      <c r="BL3" s="643"/>
      <c r="BM3" s="643"/>
      <c r="BN3" s="643"/>
      <c r="BO3" s="643"/>
    </row>
    <row r="4" s="644" customFormat="true" ht="14.25" hidden="false" customHeight="false" outlineLevel="0" collapsed="false">
      <c r="A4" s="647" t="s">
        <v>555</v>
      </c>
      <c r="B4" s="648"/>
      <c r="C4" s="649"/>
      <c r="D4" s="650"/>
      <c r="E4" s="651" t="s">
        <v>556</v>
      </c>
      <c r="F4" s="649"/>
      <c r="G4" s="649"/>
      <c r="H4" s="649"/>
      <c r="I4" s="649"/>
      <c r="J4" s="652"/>
      <c r="K4" s="653"/>
      <c r="L4" s="654"/>
      <c r="M4" s="649"/>
      <c r="N4" s="651" t="s">
        <v>557</v>
      </c>
      <c r="O4" s="649"/>
      <c r="P4" s="649"/>
      <c r="Q4" s="649"/>
      <c r="R4" s="649"/>
      <c r="S4" s="652"/>
      <c r="T4" s="655" t="str">
        <f aca="false">'数据-汇总表'!I17</f>
        <v>按面积比例</v>
      </c>
      <c r="U4" s="656" t="s">
        <v>558</v>
      </c>
      <c r="V4" s="649"/>
      <c r="W4" s="649"/>
      <c r="X4" s="649"/>
      <c r="Y4" s="652"/>
      <c r="Z4" s="565" t="s">
        <v>559</v>
      </c>
      <c r="AA4" s="565"/>
      <c r="AB4" s="565"/>
      <c r="AC4" s="565"/>
      <c r="AD4" s="565"/>
      <c r="AE4" s="657" t="s">
        <v>560</v>
      </c>
      <c r="AF4" s="565"/>
      <c r="AG4" s="658"/>
      <c r="AH4" s="648"/>
      <c r="AI4" s="649"/>
      <c r="AJ4" s="649"/>
      <c r="AK4" s="649"/>
      <c r="AL4" s="649"/>
      <c r="AM4" s="652"/>
      <c r="AN4" s="642"/>
      <c r="AO4" s="642"/>
      <c r="AP4" s="642"/>
      <c r="AQ4" s="642"/>
      <c r="AR4" s="642"/>
      <c r="AS4" s="643"/>
      <c r="AT4" s="643"/>
      <c r="AU4" s="643"/>
      <c r="AV4" s="643"/>
      <c r="AW4" s="643"/>
      <c r="AX4" s="643"/>
      <c r="AY4" s="643"/>
      <c r="AZ4" s="643"/>
      <c r="BA4" s="643"/>
      <c r="BB4" s="643"/>
      <c r="BC4" s="643"/>
      <c r="BD4" s="643"/>
      <c r="BE4" s="643"/>
      <c r="BF4" s="643"/>
      <c r="BG4" s="643"/>
      <c r="BH4" s="643"/>
      <c r="BI4" s="643"/>
      <c r="BJ4" s="643"/>
      <c r="BK4" s="643"/>
      <c r="BL4" s="643"/>
      <c r="BM4" s="643"/>
      <c r="BN4" s="643"/>
      <c r="BO4" s="643"/>
    </row>
    <row r="5" s="683" customFormat="true" ht="42" hidden="false" customHeight="false" outlineLevel="0" collapsed="false">
      <c r="A5" s="659" t="s">
        <v>463</v>
      </c>
      <c r="B5" s="660" t="s">
        <v>211</v>
      </c>
      <c r="C5" s="661" t="s">
        <v>209</v>
      </c>
      <c r="D5" s="662" t="s">
        <v>561</v>
      </c>
      <c r="E5" s="663" t="s">
        <v>347</v>
      </c>
      <c r="F5" s="664" t="s">
        <v>348</v>
      </c>
      <c r="G5" s="663" t="s">
        <v>349</v>
      </c>
      <c r="H5" s="663" t="s">
        <v>562</v>
      </c>
      <c r="I5" s="663" t="s">
        <v>563</v>
      </c>
      <c r="J5" s="665" t="s">
        <v>564</v>
      </c>
      <c r="K5" s="666" t="s">
        <v>107</v>
      </c>
      <c r="L5" s="667" t="s">
        <v>565</v>
      </c>
      <c r="M5" s="668" t="s">
        <v>566</v>
      </c>
      <c r="N5" s="669" t="s">
        <v>567</v>
      </c>
      <c r="O5" s="667" t="s">
        <v>568</v>
      </c>
      <c r="P5" s="670" t="s">
        <v>569</v>
      </c>
      <c r="Q5" s="671" t="s">
        <v>570</v>
      </c>
      <c r="R5" s="672" t="s">
        <v>571</v>
      </c>
      <c r="S5" s="673" t="s">
        <v>572</v>
      </c>
      <c r="T5" s="674" t="s">
        <v>573</v>
      </c>
      <c r="U5" s="675" t="s">
        <v>574</v>
      </c>
      <c r="V5" s="663" t="s">
        <v>575</v>
      </c>
      <c r="W5" s="663" t="s">
        <v>576</v>
      </c>
      <c r="X5" s="676"/>
      <c r="Y5" s="665" t="s">
        <v>567</v>
      </c>
      <c r="Z5" s="677" t="s">
        <v>574</v>
      </c>
      <c r="AA5" s="663" t="s">
        <v>575</v>
      </c>
      <c r="AB5" s="663" t="s">
        <v>576</v>
      </c>
      <c r="AC5" s="676"/>
      <c r="AD5" s="678" t="s">
        <v>567</v>
      </c>
      <c r="AE5" s="675" t="s">
        <v>577</v>
      </c>
      <c r="AF5" s="663" t="s">
        <v>578</v>
      </c>
      <c r="AG5" s="665" t="s">
        <v>579</v>
      </c>
      <c r="AH5" s="675" t="s">
        <v>580</v>
      </c>
      <c r="AI5" s="677" t="s">
        <v>581</v>
      </c>
      <c r="AJ5" s="677" t="s">
        <v>582</v>
      </c>
      <c r="AK5" s="663" t="s">
        <v>583</v>
      </c>
      <c r="AL5" s="663" t="s">
        <v>584</v>
      </c>
      <c r="AM5" s="665" t="s">
        <v>585</v>
      </c>
      <c r="AN5" s="679" t="s">
        <v>586</v>
      </c>
      <c r="AO5" s="680" t="s">
        <v>587</v>
      </c>
      <c r="AP5" s="681" t="s">
        <v>588</v>
      </c>
      <c r="AQ5" s="682" t="s">
        <v>589</v>
      </c>
      <c r="AR5" s="682" t="s">
        <v>590</v>
      </c>
      <c r="AS5" s="90"/>
      <c r="AT5" s="90"/>
      <c r="AU5" s="90"/>
      <c r="AV5" s="90"/>
      <c r="AW5" s="90"/>
      <c r="AX5" s="90"/>
      <c r="AY5" s="90"/>
      <c r="AZ5" s="90"/>
      <c r="BA5" s="90"/>
      <c r="BB5" s="90"/>
      <c r="BC5" s="90"/>
      <c r="BD5" s="90"/>
      <c r="BE5" s="90"/>
      <c r="BF5" s="90"/>
      <c r="BG5" s="90"/>
      <c r="BH5" s="90"/>
      <c r="BI5" s="90"/>
      <c r="BJ5" s="90"/>
      <c r="BK5" s="90"/>
      <c r="BL5" s="90"/>
      <c r="BM5" s="90"/>
      <c r="BN5" s="90"/>
      <c r="BO5" s="90"/>
    </row>
    <row r="6" s="644" customFormat="true" ht="14.25" hidden="false" customHeight="false" outlineLevel="0" collapsed="false">
      <c r="A6" s="684" t="str">
        <f aca="false">'数据-汇总表'!C19</f>
        <v>住宅</v>
      </c>
      <c r="B6" s="685" t="str">
        <f aca="false">IF(A6=0,"","经营性")</f>
        <v>经营性</v>
      </c>
      <c r="C6" s="686" t="s">
        <v>156</v>
      </c>
      <c r="D6" s="687" t="n">
        <f aca="false">SUMIF(项目基本情况!C$12:I$12,C6,项目基本情况!C$14:I$14)</f>
        <v>70</v>
      </c>
      <c r="E6" s="688" t="n">
        <f aca="false">IF(B6="","",SUMIF(项目基本情况!C$12:I$12,C6,项目基本情况!C$13:I$13))</f>
        <v>0</v>
      </c>
      <c r="F6" s="689" t="n">
        <f aca="false">SUMIF(项目基本情况!C$12:I$12,C6,项目基本情况!C$15:I$15)</f>
        <v>70</v>
      </c>
      <c r="G6" s="690" t="n">
        <f aca="false">IF(ISERROR(ROUND(POWER(1+H6,D6-F6)*(POWER(1+H6,F6)-1)/(POWER(1+H6,D6)-1),3)),0,ROUND(POWER(1+H6,D6-F6)*(POWER(1+H6,F6)-1)/(POWER(1+H6,D6)-1),3))</f>
        <v>1</v>
      </c>
      <c r="H6" s="691" t="n">
        <v>0.04</v>
      </c>
      <c r="I6" s="691" t="n">
        <v>0.06</v>
      </c>
      <c r="J6" s="692" t="n">
        <v>0.07</v>
      </c>
      <c r="K6" s="693" t="n">
        <f aca="false">SUMIF('数据-汇总表'!C$19:C$33,A6,'数据-汇总表'!E$19:E$33)</f>
        <v>58.3</v>
      </c>
      <c r="L6" s="694" t="n">
        <v>1400</v>
      </c>
      <c r="M6" s="695" t="n">
        <f aca="false">ROUND(K6*L6/10000,0)</f>
        <v>8</v>
      </c>
      <c r="N6" s="696" t="n">
        <v>0.6</v>
      </c>
      <c r="O6" s="695" t="str">
        <f aca="false">IF($N$5="成新度","——",ROUND(M6*N6,0))</f>
        <v>——</v>
      </c>
      <c r="P6" s="697" t="str">
        <f aca="false">IF($N$5="成新度","——",M6-O6)</f>
        <v>——</v>
      </c>
      <c r="Q6" s="698" t="n">
        <v>0.15</v>
      </c>
      <c r="R6" s="699" t="n">
        <f aca="false">SUMIF('数据-汇总表'!C$19:C$33,A6,'数据-汇总表'!R$19:R$27)</f>
        <v>0</v>
      </c>
      <c r="S6" s="700" t="n">
        <f aca="false">IF('数据-汇总表'!$I$17="按面积比例",SUMIF('数据-汇总表'!C$19:C$33,A6,'数据-汇总表'!K$19:K$33),SUMIF('数据-汇总表'!C$19:C$33,A6,'数据-汇总表'!N$19:N$33))</f>
        <v>0</v>
      </c>
      <c r="T6" s="701" t="n">
        <f aca="false">ROUND($L$14*S6/10000,0)</f>
        <v>0</v>
      </c>
      <c r="U6" s="702"/>
      <c r="V6" s="703"/>
      <c r="W6" s="703"/>
      <c r="X6" s="704"/>
      <c r="Y6" s="705"/>
      <c r="Z6" s="706"/>
      <c r="AA6" s="692"/>
      <c r="AB6" s="692"/>
      <c r="AC6" s="704"/>
      <c r="AD6" s="707"/>
      <c r="AE6" s="581" t="n">
        <f aca="true">IF(AN6="",0,SUMIF(INDIRECT("'"&amp;AN6&amp;"'"&amp;"!E:E"),$AE$5,INDIRECT("'"&amp;AN6&amp;"'"&amp;"!F:F")))</f>
        <v>0</v>
      </c>
      <c r="AF6" s="708"/>
      <c r="AG6" s="584" t="n">
        <f aca="false">IF(AF6="",0,AE6-AF6)</f>
        <v>0</v>
      </c>
      <c r="AH6" s="709"/>
      <c r="AI6" s="710"/>
      <c r="AJ6" s="711"/>
      <c r="AK6" s="712"/>
      <c r="AL6" s="713"/>
      <c r="AM6" s="714"/>
      <c r="AN6" s="710"/>
      <c r="AO6" s="715" t="e">
        <f aca="true">SUMIF(INDIRECT("'"&amp;AN6&amp;"'"&amp;"!A:A"),"总价",INDIRECT("'"&amp;AN6&amp;"'"&amp;"!B:B"))</f>
        <v>#REF!</v>
      </c>
      <c r="AP6" s="716" t="n">
        <f aca="false">IF(C6="住宅",K6*L6,0)</f>
        <v>81620</v>
      </c>
      <c r="AQ6" s="715" t="n">
        <f aca="false">ROUND($L$14*$N$14*S6/10000,0)</f>
        <v>0</v>
      </c>
      <c r="AR6" s="715" t="n">
        <f aca="false">ROUND($L$14*(1-$N$14)*S6/10000,0)</f>
        <v>0</v>
      </c>
      <c r="AS6" s="643"/>
      <c r="AT6" s="643"/>
      <c r="AU6" s="643"/>
      <c r="AV6" s="643"/>
      <c r="AW6" s="643"/>
      <c r="AX6" s="643"/>
      <c r="AY6" s="643"/>
      <c r="AZ6" s="643"/>
      <c r="BA6" s="643"/>
      <c r="BB6" s="643"/>
      <c r="BC6" s="643"/>
      <c r="BD6" s="643"/>
      <c r="BE6" s="643"/>
      <c r="BF6" s="643"/>
      <c r="BG6" s="643"/>
      <c r="BH6" s="643"/>
      <c r="BI6" s="643"/>
      <c r="BJ6" s="643"/>
      <c r="BK6" s="643"/>
      <c r="BL6" s="643"/>
      <c r="BM6" s="643"/>
      <c r="BN6" s="643"/>
      <c r="BO6" s="643"/>
    </row>
    <row r="7" s="644" customFormat="true" ht="14.25" hidden="false" customHeight="false" outlineLevel="0" collapsed="false">
      <c r="A7" s="684" t="n">
        <f aca="false">'数据-汇总表'!C20</f>
        <v>0</v>
      </c>
      <c r="B7" s="685" t="str">
        <f aca="false">IF(A7=0,"","经营性")</f>
        <v/>
      </c>
      <c r="C7" s="686"/>
      <c r="D7" s="687" t="n">
        <f aca="false">SUMIF(项目基本情况!C$12:I$12,C7,项目基本情况!C$14:I$14)</f>
        <v>0</v>
      </c>
      <c r="E7" s="688" t="str">
        <f aca="false">IF(B7="","",SUMIF(项目基本情况!C$12:I$12,C7,项目基本情况!C$13:I$13))</f>
        <v/>
      </c>
      <c r="F7" s="689" t="n">
        <f aca="false">SUMIF(项目基本情况!C$12:I$12,C7,项目基本情况!C$15:I$15)</f>
        <v>0</v>
      </c>
      <c r="G7" s="690" t="n">
        <f aca="false">IF(ISERROR(ROUND(POWER(1+H7,D7-F7)*(POWER(1+H7,F7)-1)/(POWER(1+H7,D7)-1),3)),0,ROUND(POWER(1+H7,D7-F7)*(POWER(1+H7,F7)-1)/(POWER(1+H7,D7)-1),3))</f>
        <v>0</v>
      </c>
      <c r="H7" s="691"/>
      <c r="I7" s="691"/>
      <c r="J7" s="692"/>
      <c r="K7" s="693" t="n">
        <f aca="false">SUMIF('数据-汇总表'!C$19:C$33,A7,'数据-汇总表'!E$19:E$33)</f>
        <v>0</v>
      </c>
      <c r="L7" s="694"/>
      <c r="M7" s="695" t="n">
        <f aca="false">ROUND(K7*L7/10000,0)</f>
        <v>0</v>
      </c>
      <c r="N7" s="696"/>
      <c r="O7" s="695" t="str">
        <f aca="false">IF($N$5="成新度","——",ROUND(M7*N7,0))</f>
        <v>——</v>
      </c>
      <c r="P7" s="697" t="str">
        <f aca="false">IF($N$5="成新度","——",M7-O7)</f>
        <v>——</v>
      </c>
      <c r="Q7" s="698"/>
      <c r="R7" s="699" t="n">
        <f aca="false">SUMIF('数据-汇总表'!C$19:C$33,A7,'数据-汇总表'!R$19:R$27)</f>
        <v>0</v>
      </c>
      <c r="S7" s="700" t="n">
        <f aca="false">IF('数据-汇总表'!$I$17="按面积比例",SUMIF('数据-汇总表'!C$19:C$33,A7,'数据-汇总表'!K$19:K$33),SUMIF('数据-汇总表'!C$19:C$33,A7,'数据-汇总表'!N$19:N$33))</f>
        <v>0</v>
      </c>
      <c r="T7" s="701" t="n">
        <f aca="false">ROUND($L$14*S7/10000,0)</f>
        <v>0</v>
      </c>
      <c r="U7" s="702"/>
      <c r="V7" s="703"/>
      <c r="W7" s="703"/>
      <c r="X7" s="704"/>
      <c r="Y7" s="705"/>
      <c r="Z7" s="706"/>
      <c r="AA7" s="692"/>
      <c r="AB7" s="692"/>
      <c r="AC7" s="704"/>
      <c r="AD7" s="707"/>
      <c r="AE7" s="581" t="n">
        <f aca="true">IF(AN7="",0,SUMIF(INDIRECT("'"&amp;AN7&amp;"'"&amp;"!E:E"),$AE$5,INDIRECT("'"&amp;AN7&amp;"'"&amp;"!F:F")))</f>
        <v>0</v>
      </c>
      <c r="AF7" s="708"/>
      <c r="AG7" s="584" t="n">
        <f aca="false">IF(AF7="",0,AE7-AF7)</f>
        <v>0</v>
      </c>
      <c r="AH7" s="709"/>
      <c r="AI7" s="710"/>
      <c r="AJ7" s="711"/>
      <c r="AK7" s="712"/>
      <c r="AL7" s="713"/>
      <c r="AM7" s="714"/>
      <c r="AN7" s="710"/>
      <c r="AO7" s="715" t="e">
        <f aca="true">SUMIF(INDIRECT("'"&amp;AN7&amp;"'"&amp;"!A:A"),"总价",INDIRECT("'"&amp;AN7&amp;"'"&amp;"!B:B"))</f>
        <v>#REF!</v>
      </c>
      <c r="AP7" s="716" t="n">
        <f aca="false">IF(C7="住宅",K7*L7,0)</f>
        <v>0</v>
      </c>
      <c r="AQ7" s="715" t="n">
        <f aca="false">ROUND($L$14*$N$14*S7/10000,0)</f>
        <v>0</v>
      </c>
      <c r="AR7" s="715" t="n">
        <f aca="false">ROUND($L$14*(1-$N$14)*S7/10000,0)</f>
        <v>0</v>
      </c>
      <c r="AS7" s="643"/>
      <c r="AT7" s="643"/>
      <c r="AU7" s="643"/>
      <c r="AV7" s="643"/>
      <c r="AW7" s="643"/>
      <c r="AX7" s="643"/>
      <c r="AY7" s="643"/>
      <c r="AZ7" s="643"/>
      <c r="BA7" s="643"/>
      <c r="BB7" s="643"/>
      <c r="BC7" s="643"/>
      <c r="BD7" s="643"/>
      <c r="BE7" s="643"/>
      <c r="BF7" s="643"/>
      <c r="BG7" s="643"/>
      <c r="BH7" s="643"/>
      <c r="BI7" s="643"/>
      <c r="BJ7" s="643"/>
      <c r="BK7" s="643"/>
      <c r="BL7" s="643"/>
      <c r="BM7" s="643"/>
      <c r="BN7" s="643"/>
      <c r="BO7" s="643"/>
    </row>
    <row r="8" s="644" customFormat="true" ht="14.25" hidden="false" customHeight="false" outlineLevel="0" collapsed="false">
      <c r="A8" s="684" t="n">
        <f aca="false">'数据-汇总表'!C21</f>
        <v>0</v>
      </c>
      <c r="B8" s="685" t="str">
        <f aca="false">IF(A8=0,"","经营性")</f>
        <v/>
      </c>
      <c r="C8" s="686"/>
      <c r="D8" s="687" t="n">
        <f aca="false">SUMIF(项目基本情况!C$12:I$12,C8,项目基本情况!C$14:I$14)</f>
        <v>0</v>
      </c>
      <c r="E8" s="688" t="str">
        <f aca="false">IF(B8="","",SUMIF(项目基本情况!C$12:I$12,C8,项目基本情况!C$13:I$13))</f>
        <v/>
      </c>
      <c r="F8" s="689" t="n">
        <f aca="false">SUMIF(项目基本情况!C$12:I$12,C8,项目基本情况!C$15:I$15)</f>
        <v>0</v>
      </c>
      <c r="G8" s="690" t="n">
        <f aca="false">IF(ISERROR(ROUND(POWER(1+H8,D8-F8)*(POWER(1+H8,F8)-1)/(POWER(1+H8,D8)-1),3)),0,ROUND(POWER(1+H8,D8-F8)*(POWER(1+H8,F8)-1)/(POWER(1+H8,D8)-1),3))</f>
        <v>0</v>
      </c>
      <c r="H8" s="691"/>
      <c r="I8" s="691"/>
      <c r="J8" s="692"/>
      <c r="K8" s="693" t="n">
        <f aca="false">SUMIF('数据-汇总表'!C$19:C$33,A8,'数据-汇总表'!E$19:E$33)</f>
        <v>0</v>
      </c>
      <c r="L8" s="694"/>
      <c r="M8" s="695" t="n">
        <f aca="false">ROUND(K8*L8/10000,0)</f>
        <v>0</v>
      </c>
      <c r="N8" s="696"/>
      <c r="O8" s="695" t="str">
        <f aca="false">IF($N$5="成新度","——",ROUND(M8*N8,0))</f>
        <v>——</v>
      </c>
      <c r="P8" s="697" t="str">
        <f aca="false">IF($N$5="成新度","——",M8-O8)</f>
        <v>——</v>
      </c>
      <c r="Q8" s="698"/>
      <c r="R8" s="699" t="n">
        <f aca="false">SUMIF('数据-汇总表'!C$19:C$33,A8,'数据-汇总表'!R$19:R$27)</f>
        <v>0</v>
      </c>
      <c r="S8" s="700" t="n">
        <f aca="false">IF('数据-汇总表'!$I$17="按面积比例",SUMIF('数据-汇总表'!C$19:C$33,A8,'数据-汇总表'!K$19:K$33),SUMIF('数据-汇总表'!C$19:C$33,A8,'数据-汇总表'!N$19:N$33))</f>
        <v>0</v>
      </c>
      <c r="T8" s="701" t="n">
        <f aca="false">ROUND($L$14*S8/10000,0)</f>
        <v>0</v>
      </c>
      <c r="U8" s="717"/>
      <c r="V8" s="718"/>
      <c r="W8" s="718"/>
      <c r="X8" s="704"/>
      <c r="Y8" s="705"/>
      <c r="Z8" s="706"/>
      <c r="AA8" s="692"/>
      <c r="AB8" s="692"/>
      <c r="AC8" s="704"/>
      <c r="AD8" s="707"/>
      <c r="AE8" s="581" t="n">
        <f aca="true">IF(AN8="",0,SUMIF(INDIRECT("'"&amp;AN8&amp;"'"&amp;"!E:E"),$AE$5,INDIRECT("'"&amp;AN8&amp;"'"&amp;"!F:F")))</f>
        <v>0</v>
      </c>
      <c r="AF8" s="708"/>
      <c r="AG8" s="584" t="n">
        <f aca="false">IF(AF8="",0,AE8-AF8)</f>
        <v>0</v>
      </c>
      <c r="AH8" s="719"/>
      <c r="AI8" s="710"/>
      <c r="AJ8" s="711"/>
      <c r="AK8" s="720"/>
      <c r="AL8" s="721"/>
      <c r="AM8" s="722"/>
      <c r="AN8" s="710"/>
      <c r="AO8" s="715" t="e">
        <f aca="true">SUMIF(INDIRECT("'"&amp;AN8&amp;"'"&amp;"!A:A"),"总价",INDIRECT("'"&amp;AN8&amp;"'"&amp;"!B:B"))</f>
        <v>#REF!</v>
      </c>
      <c r="AP8" s="716" t="n">
        <f aca="false">IF(C8="住宅",K8*L8,0)</f>
        <v>0</v>
      </c>
      <c r="AQ8" s="715" t="n">
        <f aca="false">ROUND($L$14*$N$14*S8/10000,0)</f>
        <v>0</v>
      </c>
      <c r="AR8" s="715" t="n">
        <f aca="false">ROUND($L$14*(1-$N$14)*S8/10000,0)</f>
        <v>0</v>
      </c>
      <c r="AS8" s="643"/>
      <c r="AT8" s="643"/>
      <c r="AU8" s="643"/>
      <c r="AV8" s="643"/>
      <c r="AW8" s="643"/>
      <c r="AX8" s="643"/>
      <c r="AY8" s="643"/>
      <c r="AZ8" s="643"/>
      <c r="BA8" s="643"/>
      <c r="BB8" s="643"/>
      <c r="BC8" s="643"/>
      <c r="BD8" s="643"/>
      <c r="BE8" s="643"/>
      <c r="BF8" s="643"/>
      <c r="BG8" s="643"/>
      <c r="BH8" s="643"/>
      <c r="BI8" s="643"/>
      <c r="BJ8" s="643"/>
      <c r="BK8" s="643"/>
      <c r="BL8" s="643"/>
      <c r="BM8" s="643"/>
      <c r="BN8" s="643"/>
      <c r="BO8" s="643"/>
    </row>
    <row r="9" s="644" customFormat="true" ht="14.25" hidden="false" customHeight="false" outlineLevel="0" collapsed="false">
      <c r="A9" s="684" t="n">
        <f aca="false">'数据-汇总表'!C22</f>
        <v>0</v>
      </c>
      <c r="B9" s="685" t="str">
        <f aca="false">IF(A9=0,"","经营性")</f>
        <v/>
      </c>
      <c r="C9" s="686"/>
      <c r="D9" s="687" t="n">
        <f aca="false">SUMIF(项目基本情况!C$12:I$12,C9,项目基本情况!C$14:I$14)</f>
        <v>0</v>
      </c>
      <c r="E9" s="688" t="str">
        <f aca="false">IF(B9="","",SUMIF(项目基本情况!C$12:I$12,C9,项目基本情况!C$13:I$13))</f>
        <v/>
      </c>
      <c r="F9" s="689" t="n">
        <f aca="false">SUMIF(项目基本情况!C$12:I$12,C9,项目基本情况!C$15:I$15)</f>
        <v>0</v>
      </c>
      <c r="G9" s="690" t="n">
        <f aca="false">IF(ISERROR(ROUND(POWER(1+H9,D9-F9)*(POWER(1+H9,F9)-1)/(POWER(1+H9,D9)-1),3)),0,ROUND(POWER(1+H9,D9-F9)*(POWER(1+H9,F9)-1)/(POWER(1+H9,D9)-1),3))</f>
        <v>0</v>
      </c>
      <c r="H9" s="692"/>
      <c r="I9" s="692"/>
      <c r="J9" s="692"/>
      <c r="K9" s="693" t="n">
        <f aca="false">SUMIF('数据-汇总表'!C$19:C$33,A9,'数据-汇总表'!E$19:E$33)</f>
        <v>0</v>
      </c>
      <c r="L9" s="694"/>
      <c r="M9" s="695" t="n">
        <f aca="false">ROUND(K9*L9/10000,0)</f>
        <v>0</v>
      </c>
      <c r="N9" s="696"/>
      <c r="O9" s="695" t="str">
        <f aca="false">IF($N$5="成新度","——",ROUND(M9*N9,0))</f>
        <v>——</v>
      </c>
      <c r="P9" s="697" t="str">
        <f aca="false">IF($N$5="成新度","——",M9-O9)</f>
        <v>——</v>
      </c>
      <c r="Q9" s="723"/>
      <c r="R9" s="699" t="n">
        <f aca="false">SUMIF('数据-汇总表'!C$19:C$33,A9,'数据-汇总表'!R$19:R$27)</f>
        <v>0</v>
      </c>
      <c r="S9" s="700" t="n">
        <f aca="false">IF('数据-汇总表'!$I$17="按面积比例",SUMIF('数据-汇总表'!C$19:C$33,A9,'数据-汇总表'!K$19:K$33),SUMIF('数据-汇总表'!C$19:C$33,A9,'数据-汇总表'!N$19:N$33))</f>
        <v>0</v>
      </c>
      <c r="T9" s="701" t="n">
        <f aca="false">ROUND($L$14*S9/10000,0)</f>
        <v>0</v>
      </c>
      <c r="U9" s="702"/>
      <c r="V9" s="703"/>
      <c r="W9" s="703"/>
      <c r="X9" s="704"/>
      <c r="Y9" s="705"/>
      <c r="Z9" s="706"/>
      <c r="AA9" s="692"/>
      <c r="AB9" s="692"/>
      <c r="AC9" s="704"/>
      <c r="AD9" s="707"/>
      <c r="AE9" s="581" t="n">
        <f aca="true">IF(AN9="",0,SUMIF(INDIRECT("'"&amp;AN9&amp;"'"&amp;"!E:E"),$AE$5,INDIRECT("'"&amp;AN9&amp;"'"&amp;"!F:F")))</f>
        <v>0</v>
      </c>
      <c r="AF9" s="708"/>
      <c r="AG9" s="584" t="n">
        <f aca="false">IF(AF9="",0,AE9-AF9)</f>
        <v>0</v>
      </c>
      <c r="AH9" s="709"/>
      <c r="AI9" s="710"/>
      <c r="AJ9" s="711"/>
      <c r="AK9" s="712"/>
      <c r="AL9" s="713"/>
      <c r="AM9" s="714"/>
      <c r="AN9" s="710"/>
      <c r="AO9" s="715" t="e">
        <f aca="true">SUMIF(INDIRECT("'"&amp;AN9&amp;"'"&amp;"!A:A"),"总价",INDIRECT("'"&amp;AN9&amp;"'"&amp;"!B:B"))</f>
        <v>#REF!</v>
      </c>
      <c r="AP9" s="716" t="n">
        <f aca="false">IF(C9="住宅",K9*L9,0)</f>
        <v>0</v>
      </c>
      <c r="AQ9" s="715" t="n">
        <f aca="false">ROUND($L$14*$N$14*S9/10000,0)</f>
        <v>0</v>
      </c>
      <c r="AR9" s="715" t="n">
        <f aca="false">ROUND($L$14*(1-$N$14)*S9/10000,0)</f>
        <v>0</v>
      </c>
      <c r="AS9" s="643"/>
      <c r="AT9" s="643"/>
      <c r="AU9" s="643"/>
      <c r="AV9" s="643"/>
      <c r="AW9" s="643"/>
      <c r="AX9" s="643"/>
      <c r="AY9" s="643"/>
      <c r="AZ9" s="643"/>
      <c r="BA9" s="643"/>
      <c r="BB9" s="643"/>
      <c r="BC9" s="643"/>
      <c r="BD9" s="643"/>
      <c r="BE9" s="643"/>
      <c r="BF9" s="643"/>
      <c r="BG9" s="643"/>
      <c r="BH9" s="643"/>
      <c r="BI9" s="643"/>
      <c r="BJ9" s="643"/>
      <c r="BK9" s="643"/>
      <c r="BL9" s="643"/>
      <c r="BM9" s="643"/>
      <c r="BN9" s="643"/>
      <c r="BO9" s="643"/>
    </row>
    <row r="10" s="644" customFormat="true" ht="14.25" hidden="false" customHeight="false" outlineLevel="0" collapsed="false">
      <c r="A10" s="684" t="n">
        <f aca="false">'数据-汇总表'!C23</f>
        <v>0</v>
      </c>
      <c r="B10" s="685" t="str">
        <f aca="false">IF(A10=0,"","经营性")</f>
        <v/>
      </c>
      <c r="C10" s="686"/>
      <c r="D10" s="687" t="n">
        <f aca="false">SUMIF(项目基本情况!C$12:I$12,C10,项目基本情况!C$14:I$14)</f>
        <v>0</v>
      </c>
      <c r="E10" s="688" t="str">
        <f aca="false">IF(B10="","",SUMIF(项目基本情况!C$12:I$12,C10,项目基本情况!C$13:I$13))</f>
        <v/>
      </c>
      <c r="F10" s="689" t="n">
        <f aca="false">SUMIF(项目基本情况!C$12:I$12,C10,项目基本情况!C$15:I$15)</f>
        <v>0</v>
      </c>
      <c r="G10" s="690" t="n">
        <f aca="false">IF(ISERROR(ROUND(POWER(1+H10,D10-F10)*(POWER(1+H10,F10)-1)/(POWER(1+H10,D10)-1),3)),0,ROUND(POWER(1+H10,D10-F10)*(POWER(1+H10,F10)-1)/(POWER(1+H10,D10)-1),3))</f>
        <v>0</v>
      </c>
      <c r="H10" s="692"/>
      <c r="I10" s="692"/>
      <c r="J10" s="692"/>
      <c r="K10" s="693" t="n">
        <f aca="false">SUMIF('数据-汇总表'!C$19:C$33,A10,'数据-汇总表'!E$19:E$33)</f>
        <v>0</v>
      </c>
      <c r="L10" s="694"/>
      <c r="M10" s="695" t="n">
        <f aca="false">ROUND(K10*L10/10000,0)</f>
        <v>0</v>
      </c>
      <c r="N10" s="696"/>
      <c r="O10" s="695" t="str">
        <f aca="false">IF($N$5="成新度","——",ROUND(M10*N10,0))</f>
        <v>——</v>
      </c>
      <c r="P10" s="697" t="str">
        <f aca="false">IF($N$5="成新度","——",M10-O10)</f>
        <v>——</v>
      </c>
      <c r="Q10" s="723"/>
      <c r="R10" s="699" t="n">
        <f aca="false">SUMIF('数据-汇总表'!C$19:C$33,A10,'数据-汇总表'!R$19:R$27)</f>
        <v>0</v>
      </c>
      <c r="S10" s="700" t="n">
        <f aca="false">IF('数据-汇总表'!$I$17="按面积比例",SUMIF('数据-汇总表'!C$19:C$33,A10,'数据-汇总表'!K$19:K$33),SUMIF('数据-汇总表'!C$19:C$33,A10,'数据-汇总表'!N$19:N$33))</f>
        <v>0</v>
      </c>
      <c r="T10" s="701" t="n">
        <f aca="false">ROUND($L$14*S10/10000,0)</f>
        <v>0</v>
      </c>
      <c r="U10" s="702"/>
      <c r="V10" s="703"/>
      <c r="W10" s="703"/>
      <c r="X10" s="704"/>
      <c r="Y10" s="705"/>
      <c r="Z10" s="706"/>
      <c r="AA10" s="692"/>
      <c r="AB10" s="692"/>
      <c r="AC10" s="704"/>
      <c r="AD10" s="707"/>
      <c r="AE10" s="581" t="n">
        <f aca="true">IF(AN10="",0,SUMIF(INDIRECT("'"&amp;AN10&amp;"'"&amp;"!E:E"),$AE$5,INDIRECT("'"&amp;AN10&amp;"'"&amp;"!F:F")))</f>
        <v>0</v>
      </c>
      <c r="AF10" s="708"/>
      <c r="AG10" s="584" t="n">
        <f aca="false">IF(AF10="",0,AE10-AF10)</f>
        <v>0</v>
      </c>
      <c r="AH10" s="709"/>
      <c r="AI10" s="710"/>
      <c r="AJ10" s="711"/>
      <c r="AK10" s="712"/>
      <c r="AL10" s="713"/>
      <c r="AM10" s="714"/>
      <c r="AN10" s="710"/>
      <c r="AO10" s="715" t="e">
        <f aca="true">SUMIF(INDIRECT("'"&amp;AN10&amp;"'"&amp;"!A:A"),"总价",INDIRECT("'"&amp;AN10&amp;"'"&amp;"!B:B"))</f>
        <v>#REF!</v>
      </c>
      <c r="AP10" s="716" t="n">
        <f aca="false">IF(C10="住宅",K10*L10,0)</f>
        <v>0</v>
      </c>
      <c r="AQ10" s="715" t="n">
        <f aca="false">ROUND($L$14*$N$14*S10/10000,0)</f>
        <v>0</v>
      </c>
      <c r="AR10" s="715" t="n">
        <f aca="false">ROUND($L$14*(1-$N$14)*S10/10000,0)</f>
        <v>0</v>
      </c>
      <c r="AS10" s="643"/>
      <c r="AT10" s="643"/>
      <c r="AU10" s="643"/>
      <c r="AV10" s="643"/>
      <c r="AW10" s="643"/>
      <c r="AX10" s="643"/>
      <c r="AY10" s="643"/>
      <c r="AZ10" s="643"/>
      <c r="BA10" s="643"/>
      <c r="BB10" s="643"/>
      <c r="BC10" s="643"/>
      <c r="BD10" s="643"/>
      <c r="BE10" s="643"/>
      <c r="BF10" s="643"/>
      <c r="BG10" s="643"/>
      <c r="BH10" s="643"/>
      <c r="BI10" s="643"/>
      <c r="BJ10" s="643"/>
      <c r="BK10" s="643"/>
      <c r="BL10" s="643"/>
      <c r="BM10" s="643"/>
      <c r="BN10" s="643"/>
      <c r="BO10" s="643"/>
    </row>
    <row r="11" s="644" customFormat="true" ht="14.25" hidden="false" customHeight="false" outlineLevel="0" collapsed="false">
      <c r="A11" s="684" t="n">
        <f aca="false">'数据-汇总表'!C24</f>
        <v>0</v>
      </c>
      <c r="B11" s="685" t="str">
        <f aca="false">IF(A11=0,"","经营性")</f>
        <v/>
      </c>
      <c r="C11" s="686"/>
      <c r="D11" s="687" t="n">
        <f aca="false">SUMIF(项目基本情况!C$12:I$12,C11,项目基本情况!C$14:I$14)</f>
        <v>0</v>
      </c>
      <c r="E11" s="688" t="str">
        <f aca="false">IF(B11="","",SUMIF(项目基本情况!C$12:I$12,C11,项目基本情况!C$13:I$13))</f>
        <v/>
      </c>
      <c r="F11" s="689" t="n">
        <f aca="false">SUMIF(项目基本情况!C$12:I$12,C11,项目基本情况!C$15:I$15)</f>
        <v>0</v>
      </c>
      <c r="G11" s="690" t="n">
        <f aca="false">IF(ISERROR(ROUND(POWER(1+H11,D11-F11)*(POWER(1+H11,F11)-1)/(POWER(1+H11,D11)-1),3)),0,ROUND(POWER(1+H11,D11-F11)*(POWER(1+H11,F11)-1)/(POWER(1+H11,D11)-1),3))</f>
        <v>0</v>
      </c>
      <c r="H11" s="692"/>
      <c r="I11" s="692"/>
      <c r="J11" s="692"/>
      <c r="K11" s="693" t="n">
        <f aca="false">SUMIF('数据-汇总表'!C$19:C$33,A11,'数据-汇总表'!E$19:E$33)</f>
        <v>0</v>
      </c>
      <c r="L11" s="724"/>
      <c r="M11" s="695" t="n">
        <f aca="false">ROUND(K11*L11/10000,0)</f>
        <v>0</v>
      </c>
      <c r="N11" s="696"/>
      <c r="O11" s="695" t="str">
        <f aca="false">IF($N$5="成新度","——",ROUND(M11*N11,0))</f>
        <v>——</v>
      </c>
      <c r="P11" s="697" t="str">
        <f aca="false">IF($N$5="成新度","——",M11-O11)</f>
        <v>——</v>
      </c>
      <c r="Q11" s="723"/>
      <c r="R11" s="699" t="n">
        <f aca="false">SUMIF('数据-汇总表'!C$19:C$33,A11,'数据-汇总表'!R$19:R$27)</f>
        <v>0</v>
      </c>
      <c r="S11" s="700" t="n">
        <f aca="false">IF('数据-汇总表'!$I$17="按面积比例",SUMIF('数据-汇总表'!C$19:C$33,A11,'数据-汇总表'!K$19:K$33),SUMIF('数据-汇总表'!C$19:C$33,A11,'数据-汇总表'!N$19:N$33))</f>
        <v>0</v>
      </c>
      <c r="T11" s="701" t="n">
        <f aca="false">ROUND($L$14*S11/10000,0)</f>
        <v>0</v>
      </c>
      <c r="U11" s="702"/>
      <c r="V11" s="692"/>
      <c r="W11" s="692"/>
      <c r="X11" s="704"/>
      <c r="Y11" s="705"/>
      <c r="Z11" s="725"/>
      <c r="AA11" s="692"/>
      <c r="AB11" s="692"/>
      <c r="AC11" s="704"/>
      <c r="AD11" s="707"/>
      <c r="AE11" s="581" t="n">
        <f aca="true">IF(AN11="",0,SUMIF(INDIRECT("'"&amp;AN11&amp;"'"&amp;"!E:E"),$AE$5,INDIRECT("'"&amp;AN11&amp;"'"&amp;"!F:F")))</f>
        <v>0</v>
      </c>
      <c r="AF11" s="708"/>
      <c r="AG11" s="584" t="n">
        <f aca="false">IF(AF11="",0,AE11-AF11)</f>
        <v>0</v>
      </c>
      <c r="AH11" s="709"/>
      <c r="AI11" s="710"/>
      <c r="AJ11" s="711"/>
      <c r="AK11" s="726"/>
      <c r="AL11" s="727"/>
      <c r="AM11" s="728"/>
      <c r="AN11" s="710"/>
      <c r="AO11" s="715" t="e">
        <f aca="true">SUMIF(INDIRECT("'"&amp;AN11&amp;"'"&amp;"!A:A"),"总价",INDIRECT("'"&amp;AN11&amp;"'"&amp;"!B:B"))</f>
        <v>#REF!</v>
      </c>
      <c r="AP11" s="716" t="n">
        <f aca="false">IF(C11="住宅",K11*L11,0)</f>
        <v>0</v>
      </c>
      <c r="AQ11" s="715" t="n">
        <f aca="false">ROUND($L$14*$N$14*S11/10000,0)</f>
        <v>0</v>
      </c>
      <c r="AR11" s="715" t="n">
        <f aca="false">ROUND($L$14*(1-$N$14)*S11/10000,0)</f>
        <v>0</v>
      </c>
      <c r="AS11" s="643"/>
      <c r="AT11" s="643"/>
      <c r="AU11" s="643"/>
      <c r="AV11" s="643"/>
      <c r="AW11" s="643"/>
      <c r="AX11" s="643"/>
      <c r="AY11" s="643"/>
      <c r="AZ11" s="643"/>
      <c r="BA11" s="643"/>
      <c r="BB11" s="643"/>
      <c r="BC11" s="643"/>
      <c r="BD11" s="643"/>
      <c r="BE11" s="643"/>
      <c r="BF11" s="643"/>
      <c r="BG11" s="643"/>
      <c r="BH11" s="643"/>
      <c r="BI11" s="643"/>
      <c r="BJ11" s="643"/>
      <c r="BK11" s="643"/>
      <c r="BL11" s="643"/>
      <c r="BM11" s="643"/>
      <c r="BN11" s="643"/>
      <c r="BO11" s="643"/>
    </row>
    <row r="12" s="644" customFormat="true" ht="14.25" hidden="false" customHeight="false" outlineLevel="0" collapsed="false">
      <c r="A12" s="684" t="n">
        <f aca="false">'数据-汇总表'!C25</f>
        <v>0</v>
      </c>
      <c r="B12" s="685" t="str">
        <f aca="false">IF(A12=0,"","经营性")</f>
        <v/>
      </c>
      <c r="C12" s="686"/>
      <c r="D12" s="687" t="n">
        <f aca="false">SUMIF(项目基本情况!C$12:I$12,C12,项目基本情况!C$14:I$14)</f>
        <v>0</v>
      </c>
      <c r="E12" s="688" t="str">
        <f aca="false">IF(B12="","",SUMIF(项目基本情况!C$12:I$12,C12,项目基本情况!C$13:I$13))</f>
        <v/>
      </c>
      <c r="F12" s="689" t="n">
        <f aca="false">SUMIF(项目基本情况!C$12:I$12,C12,项目基本情况!C$15:I$15)</f>
        <v>0</v>
      </c>
      <c r="G12" s="690" t="n">
        <f aca="false">IF(ISERROR(ROUND(POWER(1+H12,D12-F12)*(POWER(1+H12,F12)-1)/(POWER(1+H12,D12)-1),3)),0,ROUND(POWER(1+H12,D12-F12)*(POWER(1+H12,F12)-1)/(POWER(1+H12,D12)-1),3))</f>
        <v>0</v>
      </c>
      <c r="H12" s="692"/>
      <c r="I12" s="692"/>
      <c r="J12" s="692"/>
      <c r="K12" s="693" t="n">
        <f aca="false">SUMIF('数据-汇总表'!C$19:C$33,A12,'数据-汇总表'!E$19:E$33)</f>
        <v>0</v>
      </c>
      <c r="L12" s="724"/>
      <c r="M12" s="695" t="n">
        <f aca="false">ROUND(K12*L12/10000,0)</f>
        <v>0</v>
      </c>
      <c r="N12" s="696"/>
      <c r="O12" s="695" t="str">
        <f aca="false">IF($N$5="成新度","——",ROUND(M12*N12,0))</f>
        <v>——</v>
      </c>
      <c r="P12" s="697" t="str">
        <f aca="false">IF($N$5="成新度","——",M12-O12)</f>
        <v>——</v>
      </c>
      <c r="Q12" s="723"/>
      <c r="R12" s="699" t="n">
        <f aca="false">SUMIF('数据-汇总表'!C$19:C$33,A12,'数据-汇总表'!R$19:R$27)</f>
        <v>0</v>
      </c>
      <c r="S12" s="700" t="n">
        <f aca="false">IF('数据-汇总表'!$I$17="按面积比例",SUMIF('数据-汇总表'!C$19:C$33,A12,'数据-汇总表'!K$19:K$33),SUMIF('数据-汇总表'!C$19:C$33,A12,'数据-汇总表'!N$19:N$33))</f>
        <v>0</v>
      </c>
      <c r="T12" s="701" t="n">
        <f aca="false">ROUND($L$14*S12/10000,0)</f>
        <v>0</v>
      </c>
      <c r="U12" s="702"/>
      <c r="V12" s="692"/>
      <c r="W12" s="692"/>
      <c r="X12" s="704"/>
      <c r="Y12" s="705"/>
      <c r="Z12" s="725"/>
      <c r="AA12" s="692"/>
      <c r="AB12" s="692"/>
      <c r="AC12" s="704"/>
      <c r="AD12" s="707"/>
      <c r="AE12" s="581" t="n">
        <f aca="true">IF(AN12="",0,SUMIF(INDIRECT("'"&amp;AN12&amp;"'"&amp;"!E:E"),$AE$5,INDIRECT("'"&amp;AN12&amp;"'"&amp;"!F:F")))</f>
        <v>0</v>
      </c>
      <c r="AF12" s="708"/>
      <c r="AG12" s="584" t="n">
        <f aca="false">IF(AF12="",0,AE12-AF12)</f>
        <v>0</v>
      </c>
      <c r="AH12" s="709"/>
      <c r="AI12" s="710"/>
      <c r="AJ12" s="711"/>
      <c r="AK12" s="726"/>
      <c r="AL12" s="727"/>
      <c r="AM12" s="728"/>
      <c r="AN12" s="710"/>
      <c r="AO12" s="715" t="e">
        <f aca="true">SUMIF(INDIRECT("'"&amp;AN12&amp;"'"&amp;"!A:A"),"总价",INDIRECT("'"&amp;AN12&amp;"'"&amp;"!B:B"))</f>
        <v>#REF!</v>
      </c>
      <c r="AP12" s="716" t="n">
        <f aca="false">IF(C12="住宅",K12*L12,0)</f>
        <v>0</v>
      </c>
      <c r="AQ12" s="715" t="n">
        <f aca="false">ROUND($L$14*$N$14*S12/10000,0)</f>
        <v>0</v>
      </c>
      <c r="AR12" s="715" t="n">
        <f aca="false">ROUND($L$14*(1-$N$14)*S12/10000,0)</f>
        <v>0</v>
      </c>
      <c r="AS12" s="643"/>
      <c r="AT12" s="643"/>
      <c r="AU12" s="643"/>
      <c r="AV12" s="643"/>
      <c r="AW12" s="643"/>
      <c r="AX12" s="643"/>
      <c r="AY12" s="643"/>
      <c r="AZ12" s="643"/>
      <c r="BA12" s="643"/>
      <c r="BB12" s="643"/>
      <c r="BC12" s="643"/>
      <c r="BD12" s="643"/>
      <c r="BE12" s="643"/>
      <c r="BF12" s="643"/>
      <c r="BG12" s="643"/>
      <c r="BH12" s="643"/>
      <c r="BI12" s="643"/>
      <c r="BJ12" s="643"/>
      <c r="BK12" s="643"/>
      <c r="BL12" s="643"/>
      <c r="BM12" s="643"/>
      <c r="BN12" s="643"/>
      <c r="BO12" s="643"/>
    </row>
    <row r="13" s="644" customFormat="true" ht="14.25" hidden="false" customHeight="false" outlineLevel="0" collapsed="false">
      <c r="A13" s="684" t="n">
        <f aca="false">'数据-汇总表'!C26</f>
        <v>0</v>
      </c>
      <c r="B13" s="685" t="str">
        <f aca="false">IF(A13=0,"","经营性")</f>
        <v/>
      </c>
      <c r="C13" s="686"/>
      <c r="D13" s="687" t="n">
        <f aca="false">SUMIF(项目基本情况!C$12:I$12,C13,项目基本情况!C$14:I$14)</f>
        <v>0</v>
      </c>
      <c r="E13" s="688" t="str">
        <f aca="false">IF(B13="","",SUMIF(项目基本情况!C$12:I$12,C13,项目基本情况!C$13:I$13))</f>
        <v/>
      </c>
      <c r="F13" s="689" t="n">
        <f aca="false">SUMIF(项目基本情况!C$12:I$12,C13,项目基本情况!C$15:I$15)</f>
        <v>0</v>
      </c>
      <c r="G13" s="690" t="n">
        <f aca="false">IF(ISERROR(ROUND(POWER(1+H13,D13-F13)*(POWER(1+H13,F13)-1)/(POWER(1+H13,D13)-1),3)),0,ROUND(POWER(1+H13,D13-F13)*(POWER(1+H13,F13)-1)/(POWER(1+H13,D13)-1),3))</f>
        <v>0</v>
      </c>
      <c r="H13" s="692"/>
      <c r="I13" s="692"/>
      <c r="J13" s="692"/>
      <c r="K13" s="693" t="n">
        <f aca="false">SUMIF('数据-汇总表'!C$19:C$33,A13,'数据-汇总表'!E$19:E$33)</f>
        <v>0</v>
      </c>
      <c r="L13" s="724"/>
      <c r="M13" s="695" t="n">
        <f aca="false">ROUND(K13*L13/10000,0)</f>
        <v>0</v>
      </c>
      <c r="N13" s="729"/>
      <c r="O13" s="695" t="str">
        <f aca="false">IF($N$5="成新度","——",ROUND(M13*N13,0))</f>
        <v>——</v>
      </c>
      <c r="P13" s="697" t="str">
        <f aca="false">IF($N$5="成新度","——",M13-O13)</f>
        <v>——</v>
      </c>
      <c r="Q13" s="723"/>
      <c r="R13" s="699" t="n">
        <f aca="false">SUMIF('数据-汇总表'!C$19:C$33,A13,'数据-汇总表'!R$19:R$27)</f>
        <v>0</v>
      </c>
      <c r="S13" s="700" t="n">
        <f aca="false">IF('数据-汇总表'!$I$17="按面积比例",SUMIF('数据-汇总表'!C$19:C$33,A13,'数据-汇总表'!K$19:K$33),SUMIF('数据-汇总表'!C$19:C$33,A13,'数据-汇总表'!N$19:N$33))</f>
        <v>0</v>
      </c>
      <c r="T13" s="701" t="n">
        <f aca="false">ROUND($L$14*S13/10000,0)</f>
        <v>0</v>
      </c>
      <c r="U13" s="730"/>
      <c r="V13" s="703"/>
      <c r="W13" s="703"/>
      <c r="X13" s="704"/>
      <c r="Y13" s="705"/>
      <c r="Z13" s="706"/>
      <c r="AA13" s="692"/>
      <c r="AB13" s="692"/>
      <c r="AC13" s="704"/>
      <c r="AD13" s="707"/>
      <c r="AE13" s="581" t="n">
        <f aca="true">IF(AN13="",0,SUMIF(INDIRECT("'"&amp;AN13&amp;"'"&amp;"!E:E"),$AE$5,INDIRECT("'"&amp;AN13&amp;"'"&amp;"!F:F")))</f>
        <v>0</v>
      </c>
      <c r="AF13" s="708"/>
      <c r="AG13" s="584" t="n">
        <f aca="false">IF(AF13="",0,AE13-AF13)</f>
        <v>0</v>
      </c>
      <c r="AH13" s="709"/>
      <c r="AI13" s="710"/>
      <c r="AJ13" s="711"/>
      <c r="AK13" s="712"/>
      <c r="AL13" s="713"/>
      <c r="AM13" s="714"/>
      <c r="AN13" s="710"/>
      <c r="AO13" s="715" t="e">
        <f aca="true">SUMIF(INDIRECT("'"&amp;AN13&amp;"'"&amp;"!A:A"),"总价",INDIRECT("'"&amp;AN13&amp;"'"&amp;"!B:B"))</f>
        <v>#REF!</v>
      </c>
      <c r="AP13" s="716" t="n">
        <f aca="false">IF(C13="住宅",K13*L13,0)</f>
        <v>0</v>
      </c>
      <c r="AQ13" s="715" t="n">
        <f aca="false">ROUND($L$14*$N$14*S13/10000,0)</f>
        <v>0</v>
      </c>
      <c r="AR13" s="715" t="n">
        <f aca="false">ROUND($L$14*(1-$N$14)*S13/10000,0)</f>
        <v>0</v>
      </c>
      <c r="AS13" s="643"/>
      <c r="AT13" s="643"/>
      <c r="AU13" s="643"/>
      <c r="AV13" s="643"/>
      <c r="AW13" s="643"/>
      <c r="AX13" s="643"/>
      <c r="AY13" s="643"/>
      <c r="AZ13" s="643"/>
      <c r="BA13" s="643"/>
      <c r="BB13" s="643"/>
      <c r="BC13" s="643"/>
      <c r="BD13" s="643"/>
      <c r="BE13" s="643"/>
      <c r="BF13" s="643"/>
      <c r="BG13" s="643"/>
      <c r="BH13" s="643"/>
      <c r="BI13" s="643"/>
      <c r="BJ13" s="643"/>
      <c r="BK13" s="643"/>
      <c r="BL13" s="643"/>
      <c r="BM13" s="643"/>
      <c r="BN13" s="643"/>
      <c r="BO13" s="643"/>
    </row>
    <row r="14" s="644" customFormat="true" ht="14.25" hidden="false" customHeight="false" outlineLevel="0" collapsed="false">
      <c r="A14" s="731" t="s">
        <v>517</v>
      </c>
      <c r="B14" s="732" t="s">
        <v>240</v>
      </c>
      <c r="C14" s="733" t="s">
        <v>517</v>
      </c>
      <c r="D14" s="687"/>
      <c r="E14" s="688"/>
      <c r="F14" s="689"/>
      <c r="G14" s="690"/>
      <c r="H14" s="734"/>
      <c r="I14" s="734"/>
      <c r="J14" s="734"/>
      <c r="K14" s="693" t="n">
        <f aca="false">SUMIF('数据-汇总表'!C$19:C$33,A14,'数据-汇总表'!E$19:E$33)</f>
        <v>0</v>
      </c>
      <c r="L14" s="724"/>
      <c r="M14" s="695" t="n">
        <f aca="false">ROUND(K14*L14/10000,0)</f>
        <v>0</v>
      </c>
      <c r="N14" s="729"/>
      <c r="O14" s="695" t="str">
        <f aca="false">IF($N$5="成新度","——",ROUND(M14*N14,0))</f>
        <v>——</v>
      </c>
      <c r="P14" s="697" t="str">
        <f aca="false">IF($N$5="成新度","——",M14-O14)</f>
        <v>——</v>
      </c>
      <c r="Q14" s="735"/>
      <c r="R14" s="699"/>
      <c r="S14" s="700"/>
      <c r="T14" s="701"/>
      <c r="U14" s="590"/>
      <c r="V14" s="736"/>
      <c r="W14" s="736"/>
      <c r="X14" s="737"/>
      <c r="Y14" s="738"/>
      <c r="Z14" s="615"/>
      <c r="AA14" s="739"/>
      <c r="AB14" s="739"/>
      <c r="AC14" s="704"/>
      <c r="AD14" s="737"/>
      <c r="AE14" s="581"/>
      <c r="AF14" s="715"/>
      <c r="AG14" s="534"/>
      <c r="AH14" s="581"/>
      <c r="AI14" s="740"/>
      <c r="AJ14" s="741"/>
      <c r="AK14" s="742"/>
      <c r="AL14" s="743"/>
      <c r="AM14" s="744"/>
      <c r="AN14" s="637"/>
      <c r="AO14" s="642"/>
      <c r="AP14" s="642"/>
      <c r="AQ14" s="642"/>
      <c r="AR14" s="642"/>
      <c r="AS14" s="643"/>
      <c r="AT14" s="643"/>
      <c r="AU14" s="643"/>
      <c r="AV14" s="643"/>
      <c r="AW14" s="643"/>
      <c r="AX14" s="643"/>
      <c r="AY14" s="643"/>
      <c r="AZ14" s="643"/>
      <c r="BA14" s="643"/>
      <c r="BB14" s="643"/>
      <c r="BC14" s="643"/>
      <c r="BD14" s="643"/>
      <c r="BE14" s="643"/>
      <c r="BF14" s="643"/>
      <c r="BG14" s="643"/>
      <c r="BH14" s="643"/>
      <c r="BI14" s="643"/>
      <c r="BJ14" s="643"/>
      <c r="BK14" s="643"/>
      <c r="BL14" s="643"/>
      <c r="BM14" s="643"/>
      <c r="BN14" s="643"/>
      <c r="BO14" s="643"/>
    </row>
    <row r="15" s="644" customFormat="true" ht="27" hidden="false" customHeight="false" outlineLevel="0" collapsed="false">
      <c r="A15" s="731" t="s">
        <v>551</v>
      </c>
      <c r="B15" s="732" t="s">
        <v>240</v>
      </c>
      <c r="C15" s="733" t="s">
        <v>591</v>
      </c>
      <c r="D15" s="687"/>
      <c r="E15" s="688"/>
      <c r="F15" s="689"/>
      <c r="G15" s="690"/>
      <c r="H15" s="734"/>
      <c r="I15" s="734"/>
      <c r="J15" s="734"/>
      <c r="K15" s="693" t="n">
        <f aca="false">SUMIF('数据-汇总表'!C$19:C$33,A15,'数据-汇总表'!E$19:E$33)</f>
        <v>0</v>
      </c>
      <c r="L15" s="745"/>
      <c r="M15" s="695"/>
      <c r="N15" s="746"/>
      <c r="O15" s="695"/>
      <c r="P15" s="697"/>
      <c r="Q15" s="735"/>
      <c r="R15" s="699"/>
      <c r="S15" s="700"/>
      <c r="T15" s="701"/>
      <c r="U15" s="590"/>
      <c r="V15" s="736"/>
      <c r="W15" s="736"/>
      <c r="X15" s="737"/>
      <c r="Y15" s="738"/>
      <c r="Z15" s="615"/>
      <c r="AA15" s="739"/>
      <c r="AB15" s="739"/>
      <c r="AC15" s="704"/>
      <c r="AD15" s="737"/>
      <c r="AE15" s="581"/>
      <c r="AF15" s="715"/>
      <c r="AG15" s="534"/>
      <c r="AH15" s="581"/>
      <c r="AI15" s="740"/>
      <c r="AJ15" s="741"/>
      <c r="AK15" s="742"/>
      <c r="AL15" s="743"/>
      <c r="AM15" s="744"/>
      <c r="AN15" s="637"/>
      <c r="AO15" s="642"/>
      <c r="AP15" s="642"/>
      <c r="AQ15" s="642"/>
      <c r="AR15" s="642"/>
      <c r="AS15" s="643"/>
      <c r="AT15" s="643"/>
      <c r="AU15" s="643"/>
      <c r="AV15" s="643"/>
      <c r="AW15" s="643"/>
      <c r="AX15" s="643"/>
      <c r="AY15" s="643"/>
      <c r="AZ15" s="643"/>
      <c r="BA15" s="643"/>
      <c r="BB15" s="643"/>
      <c r="BC15" s="643"/>
      <c r="BD15" s="643"/>
      <c r="BE15" s="643"/>
      <c r="BF15" s="643"/>
      <c r="BG15" s="643"/>
      <c r="BH15" s="643"/>
      <c r="BI15" s="643"/>
      <c r="BJ15" s="643"/>
      <c r="BK15" s="643"/>
      <c r="BL15" s="643"/>
      <c r="BM15" s="643"/>
      <c r="BN15" s="643"/>
      <c r="BO15" s="643"/>
    </row>
    <row r="16" s="644" customFormat="true" ht="15" hidden="false" customHeight="false" outlineLevel="0" collapsed="false">
      <c r="A16" s="747" t="s">
        <v>345</v>
      </c>
      <c r="B16" s="748"/>
      <c r="C16" s="749"/>
      <c r="D16" s="750"/>
      <c r="E16" s="748"/>
      <c r="F16" s="748"/>
      <c r="G16" s="751" t="n">
        <f aca="false">ROUND(SUMPRODUCT(G6:G13,K6:K13)/SUMPRODUCT((G6:G13&gt;0)*(K6:K13)),3)</f>
        <v>1</v>
      </c>
      <c r="H16" s="752" t="n">
        <f aca="false">ROUND(SUMPRODUCT(H6:H13,K6:K13)/SUMPRODUCT((H6:H13&gt;0)*(K6:K13)),3)</f>
        <v>0.04</v>
      </c>
      <c r="I16" s="753"/>
      <c r="J16" s="753"/>
      <c r="K16" s="754" t="n">
        <f aca="false">SUM(K6:K15)</f>
        <v>58.3</v>
      </c>
      <c r="L16" s="755" t="n">
        <f aca="false">ROUND(M16*10000/SUM(K6:K14),0)</f>
        <v>1372</v>
      </c>
      <c r="M16" s="755" t="n">
        <f aca="false">SUM(M6:M14)</f>
        <v>8</v>
      </c>
      <c r="N16" s="756" t="n">
        <f aca="false">ROUND(SUMPRODUCT(M6:M14,N6:N14)/M16,3)</f>
        <v>0.6</v>
      </c>
      <c r="O16" s="755" t="n">
        <f aca="false">SUM(O6:O14)</f>
        <v>0</v>
      </c>
      <c r="P16" s="755" t="n">
        <f aca="false">SUM(P6:P14)</f>
        <v>0</v>
      </c>
      <c r="Q16" s="757" t="n">
        <f aca="false">ROUND(SUMPRODUCT(Q6:Q13,K6:K13)/SUMPRODUCT((Q6:Q13&gt;0)*(K6:K13)),2)</f>
        <v>0.15</v>
      </c>
      <c r="R16" s="758" t="n">
        <f aca="false">SUM(R6:R13)</f>
        <v>0</v>
      </c>
      <c r="S16" s="759" t="n">
        <f aca="false">SUM(S6:S13)</f>
        <v>0</v>
      </c>
      <c r="T16" s="760" t="n">
        <f aca="false">IF(SUMIF(T6:T13,"&lt;9E307")=M14,SUMIF(T6:T13,"&lt;9E307"),"有误，请检查")</f>
        <v>0</v>
      </c>
      <c r="U16" s="761"/>
      <c r="V16" s="762"/>
      <c r="W16" s="762"/>
      <c r="X16" s="763"/>
      <c r="Y16" s="764"/>
      <c r="Z16" s="765"/>
      <c r="AA16" s="762"/>
      <c r="AB16" s="762"/>
      <c r="AC16" s="763"/>
      <c r="AD16" s="763"/>
      <c r="AE16" s="761"/>
      <c r="AF16" s="762"/>
      <c r="AG16" s="764"/>
      <c r="AH16" s="761"/>
      <c r="AI16" s="765"/>
      <c r="AJ16" s="765"/>
      <c r="AK16" s="762"/>
      <c r="AL16" s="762"/>
      <c r="AM16" s="764"/>
      <c r="AN16" s="637"/>
      <c r="AO16" s="642"/>
      <c r="AP16" s="642"/>
      <c r="AQ16" s="642"/>
      <c r="AR16" s="642"/>
      <c r="AS16" s="643"/>
      <c r="AT16" s="643"/>
      <c r="AU16" s="643"/>
      <c r="AV16" s="643"/>
      <c r="AW16" s="643"/>
      <c r="AX16" s="643"/>
      <c r="AY16" s="643"/>
      <c r="AZ16" s="643"/>
      <c r="BA16" s="643"/>
      <c r="BB16" s="643"/>
      <c r="BC16" s="643"/>
      <c r="BD16" s="643"/>
      <c r="BE16" s="643"/>
      <c r="BF16" s="643"/>
      <c r="BG16" s="643"/>
      <c r="BH16" s="643"/>
      <c r="BI16" s="643"/>
      <c r="BJ16" s="643"/>
      <c r="BK16" s="643"/>
      <c r="BL16" s="643"/>
      <c r="BM16" s="643"/>
      <c r="BN16" s="643"/>
      <c r="BO16" s="643"/>
    </row>
    <row r="17" customFormat="false" ht="12.75" hidden="false" customHeight="false" outlineLevel="0" collapsed="false">
      <c r="A17" s="766"/>
      <c r="B17" s="767"/>
      <c r="C17" s="637"/>
      <c r="D17" s="768"/>
      <c r="E17" s="768"/>
      <c r="F17" s="637"/>
      <c r="G17" s="637"/>
      <c r="H17" s="637"/>
      <c r="I17" s="637"/>
      <c r="J17" s="637"/>
      <c r="K17" s="769"/>
      <c r="L17" s="769"/>
      <c r="M17" s="637"/>
      <c r="N17" s="637"/>
      <c r="O17" s="637"/>
      <c r="P17" s="637"/>
      <c r="Q17" s="637"/>
      <c r="R17" s="637"/>
      <c r="S17" s="637"/>
      <c r="T17" s="637"/>
      <c r="U17" s="637"/>
      <c r="V17" s="637"/>
      <c r="W17" s="637"/>
      <c r="X17" s="637"/>
      <c r="Y17" s="637"/>
      <c r="Z17" s="637"/>
      <c r="AA17" s="637"/>
      <c r="AB17" s="637"/>
      <c r="AC17" s="637"/>
      <c r="AD17" s="637"/>
      <c r="AE17" s="637"/>
      <c r="AF17" s="637"/>
      <c r="AG17" s="637"/>
      <c r="AH17" s="637"/>
      <c r="AI17" s="637"/>
      <c r="AJ17" s="637"/>
      <c r="AK17" s="637"/>
      <c r="AL17" s="637"/>
      <c r="AM17" s="637"/>
      <c r="AN17" s="637"/>
      <c r="AO17" s="637"/>
      <c r="AP17" s="637"/>
      <c r="AQ17" s="637"/>
      <c r="AR17" s="637"/>
    </row>
    <row r="18" customFormat="false" ht="14.25" hidden="false" customHeight="false" outlineLevel="0" collapsed="false">
      <c r="A18" s="647" t="s">
        <v>592</v>
      </c>
      <c r="B18" s="770"/>
      <c r="C18" s="642"/>
      <c r="D18" s="771"/>
      <c r="E18" s="642"/>
      <c r="F18" s="642"/>
      <c r="G18" s="642"/>
      <c r="H18" s="642"/>
      <c r="I18" s="642"/>
      <c r="J18" s="642"/>
      <c r="K18" s="769"/>
      <c r="L18" s="769"/>
      <c r="M18" s="637"/>
      <c r="N18" s="637"/>
      <c r="O18" s="637"/>
      <c r="P18" s="637"/>
      <c r="Q18" s="637"/>
      <c r="R18" s="637"/>
      <c r="S18" s="637"/>
      <c r="T18" s="637"/>
      <c r="U18" s="637"/>
      <c r="V18" s="637"/>
      <c r="W18" s="637"/>
      <c r="X18" s="637"/>
      <c r="Y18" s="637"/>
      <c r="Z18" s="637"/>
      <c r="AA18" s="637"/>
      <c r="AB18" s="637"/>
      <c r="AC18" s="637"/>
      <c r="AD18" s="637"/>
      <c r="AE18" s="637"/>
      <c r="AF18" s="637"/>
      <c r="AG18" s="637"/>
      <c r="AH18" s="637"/>
      <c r="AI18" s="637"/>
      <c r="AJ18" s="637"/>
      <c r="AK18" s="637"/>
      <c r="AL18" s="637"/>
      <c r="AM18" s="637"/>
      <c r="AN18" s="637"/>
      <c r="AO18" s="637"/>
      <c r="AP18" s="637"/>
      <c r="AQ18" s="637"/>
      <c r="AR18" s="637"/>
    </row>
    <row r="19" customFormat="false" ht="14.25" hidden="false" customHeight="false" outlineLevel="0" collapsed="false">
      <c r="A19" s="772" t="s">
        <v>593</v>
      </c>
      <c r="B19" s="773" t="n">
        <v>0</v>
      </c>
      <c r="C19" s="774" t="s">
        <v>594</v>
      </c>
      <c r="D19" s="771"/>
      <c r="E19" s="642"/>
      <c r="F19" s="642"/>
      <c r="G19" s="642"/>
      <c r="H19" s="642"/>
      <c r="I19" s="642"/>
      <c r="J19" s="642"/>
      <c r="K19" s="769"/>
      <c r="L19" s="769"/>
      <c r="M19" s="637"/>
      <c r="N19" s="637"/>
      <c r="O19" s="637"/>
      <c r="P19" s="637"/>
      <c r="Q19" s="637"/>
      <c r="R19" s="637"/>
      <c r="S19" s="637"/>
      <c r="T19" s="637"/>
      <c r="U19" s="637"/>
      <c r="V19" s="637"/>
      <c r="W19" s="637"/>
      <c r="X19" s="637"/>
      <c r="Y19" s="637"/>
      <c r="Z19" s="637"/>
      <c r="AA19" s="637"/>
      <c r="AB19" s="637"/>
      <c r="AC19" s="637"/>
      <c r="AD19" s="637"/>
      <c r="AE19" s="637"/>
      <c r="AF19" s="637"/>
      <c r="AG19" s="637"/>
      <c r="AH19" s="637"/>
      <c r="AI19" s="637"/>
      <c r="AJ19" s="637"/>
      <c r="AK19" s="637"/>
      <c r="AL19" s="637"/>
      <c r="AM19" s="637"/>
      <c r="AN19" s="637"/>
      <c r="AO19" s="637"/>
      <c r="AP19" s="637"/>
      <c r="AQ19" s="637"/>
      <c r="AR19" s="637"/>
    </row>
    <row r="20" customFormat="false" ht="14.25" hidden="false" customHeight="false" outlineLevel="0" collapsed="false">
      <c r="A20" s="775" t="s">
        <v>595</v>
      </c>
      <c r="B20" s="776" t="n">
        <v>2</v>
      </c>
      <c r="C20" s="774" t="s">
        <v>596</v>
      </c>
      <c r="D20" s="771"/>
      <c r="E20" s="642"/>
      <c r="F20" s="642"/>
      <c r="G20" s="642"/>
      <c r="H20" s="642"/>
      <c r="I20" s="642"/>
      <c r="J20" s="642"/>
      <c r="K20" s="769"/>
      <c r="L20" s="769"/>
      <c r="M20" s="637"/>
      <c r="N20" s="637"/>
      <c r="O20" s="637"/>
      <c r="P20" s="637"/>
      <c r="Q20" s="637"/>
      <c r="R20" s="637"/>
      <c r="S20" s="637"/>
      <c r="T20" s="637"/>
      <c r="U20" s="637"/>
      <c r="V20" s="637"/>
      <c r="W20" s="637"/>
      <c r="X20" s="637"/>
      <c r="Y20" s="637"/>
      <c r="Z20" s="637"/>
      <c r="AA20" s="637"/>
      <c r="AB20" s="637"/>
      <c r="AC20" s="637"/>
      <c r="AD20" s="637"/>
      <c r="AE20" s="637"/>
      <c r="AF20" s="637"/>
      <c r="AG20" s="637"/>
      <c r="AH20" s="637"/>
      <c r="AI20" s="637"/>
      <c r="AJ20" s="637"/>
      <c r="AK20" s="637"/>
      <c r="AL20" s="637"/>
      <c r="AM20" s="637"/>
      <c r="AN20" s="637"/>
      <c r="AO20" s="637"/>
      <c r="AP20" s="637"/>
      <c r="AQ20" s="637"/>
      <c r="AR20" s="637"/>
    </row>
    <row r="21" customFormat="false" ht="14.25" hidden="false" customHeight="false" outlineLevel="0" collapsed="false">
      <c r="A21" s="777" t="s">
        <v>597</v>
      </c>
      <c r="B21" s="776" t="n">
        <v>2</v>
      </c>
      <c r="C21" s="642"/>
      <c r="D21" s="771"/>
      <c r="E21" s="642"/>
      <c r="F21" s="642"/>
      <c r="G21" s="642"/>
      <c r="H21" s="642"/>
      <c r="I21" s="642"/>
      <c r="J21" s="642"/>
      <c r="K21" s="769"/>
      <c r="L21" s="769"/>
      <c r="M21" s="637"/>
      <c r="N21" s="637"/>
      <c r="O21" s="637"/>
      <c r="P21" s="637"/>
      <c r="Q21" s="637"/>
      <c r="R21" s="637"/>
      <c r="S21" s="637"/>
      <c r="T21" s="637"/>
      <c r="U21" s="637"/>
      <c r="V21" s="637"/>
      <c r="W21" s="637"/>
      <c r="X21" s="637"/>
      <c r="Y21" s="637"/>
      <c r="Z21" s="637"/>
      <c r="AA21" s="637"/>
      <c r="AB21" s="637"/>
      <c r="AC21" s="637"/>
      <c r="AD21" s="637"/>
      <c r="AE21" s="637"/>
      <c r="AF21" s="637"/>
      <c r="AG21" s="637"/>
      <c r="AH21" s="637"/>
      <c r="AI21" s="637"/>
      <c r="AJ21" s="637"/>
      <c r="AK21" s="637"/>
      <c r="AL21" s="637"/>
      <c r="AM21" s="637"/>
      <c r="AN21" s="637"/>
      <c r="AO21" s="637"/>
      <c r="AP21" s="637"/>
      <c r="AQ21" s="637"/>
      <c r="AR21" s="637"/>
    </row>
    <row r="22" customFormat="false" ht="14.25" hidden="false" customHeight="false" outlineLevel="0" collapsed="false">
      <c r="A22" s="775" t="s">
        <v>598</v>
      </c>
      <c r="B22" s="778" t="n">
        <f aca="false">B19+B20</f>
        <v>2</v>
      </c>
      <c r="C22" s="642"/>
      <c r="D22" s="771"/>
      <c r="E22" s="642"/>
      <c r="F22" s="642"/>
      <c r="G22" s="642"/>
      <c r="H22" s="642"/>
      <c r="I22" s="642"/>
      <c r="J22" s="642"/>
      <c r="K22" s="769"/>
      <c r="L22" s="769"/>
      <c r="M22" s="637"/>
      <c r="N22" s="637"/>
      <c r="O22" s="637"/>
      <c r="P22" s="637"/>
      <c r="Q22" s="637"/>
      <c r="R22" s="637"/>
      <c r="S22" s="637"/>
      <c r="T22" s="637"/>
      <c r="U22" s="637"/>
      <c r="V22" s="637"/>
      <c r="W22" s="637"/>
      <c r="X22" s="637"/>
      <c r="Y22" s="637"/>
      <c r="Z22" s="637"/>
      <c r="AA22" s="637"/>
      <c r="AB22" s="637"/>
      <c r="AC22" s="637"/>
      <c r="AD22" s="637"/>
      <c r="AE22" s="637"/>
      <c r="AF22" s="637"/>
      <c r="AG22" s="637"/>
      <c r="AH22" s="637"/>
      <c r="AI22" s="637"/>
      <c r="AJ22" s="637"/>
      <c r="AK22" s="637"/>
      <c r="AL22" s="637"/>
      <c r="AM22" s="637"/>
      <c r="AN22" s="637"/>
      <c r="AO22" s="637"/>
      <c r="AP22" s="637"/>
      <c r="AQ22" s="637"/>
      <c r="AR22" s="637"/>
    </row>
    <row r="23" customFormat="false" ht="14.25" hidden="false" customHeight="false" outlineLevel="0" collapsed="false">
      <c r="A23" s="777" t="s">
        <v>599</v>
      </c>
      <c r="B23" s="778" t="n">
        <f aca="false">B19+B21</f>
        <v>2</v>
      </c>
      <c r="C23" s="642"/>
      <c r="D23" s="771"/>
      <c r="E23" s="642"/>
      <c r="F23" s="642"/>
      <c r="G23" s="642"/>
      <c r="H23" s="642"/>
      <c r="I23" s="642"/>
      <c r="J23" s="642"/>
      <c r="K23" s="769"/>
      <c r="L23" s="769"/>
      <c r="M23" s="637"/>
      <c r="N23" s="637"/>
      <c r="O23" s="637"/>
      <c r="P23" s="637"/>
      <c r="Q23" s="637"/>
      <c r="R23" s="637"/>
      <c r="S23" s="637"/>
      <c r="T23" s="637"/>
      <c r="U23" s="637"/>
      <c r="V23" s="637"/>
      <c r="W23" s="637"/>
      <c r="X23" s="637"/>
      <c r="Y23" s="637"/>
      <c r="Z23" s="637"/>
      <c r="AA23" s="637"/>
      <c r="AB23" s="637"/>
      <c r="AC23" s="637"/>
      <c r="AD23" s="637"/>
      <c r="AE23" s="637"/>
      <c r="AF23" s="637"/>
      <c r="AG23" s="637"/>
      <c r="AH23" s="637"/>
      <c r="AI23" s="637"/>
      <c r="AJ23" s="637"/>
      <c r="AK23" s="637"/>
      <c r="AL23" s="637"/>
      <c r="AM23" s="637"/>
      <c r="AN23" s="637"/>
      <c r="AO23" s="637"/>
      <c r="AP23" s="637"/>
      <c r="AQ23" s="637"/>
      <c r="AR23" s="637"/>
    </row>
    <row r="24" customFormat="false" ht="14.25" hidden="false" customHeight="false" outlineLevel="0" collapsed="false">
      <c r="A24" s="779" t="s">
        <v>600</v>
      </c>
      <c r="B24" s="780" t="n">
        <f aca="false">B20-B21</f>
        <v>0</v>
      </c>
      <c r="C24" s="642"/>
      <c r="D24" s="771"/>
      <c r="E24" s="642"/>
      <c r="F24" s="642"/>
      <c r="G24" s="642"/>
      <c r="H24" s="642"/>
      <c r="I24" s="642"/>
      <c r="J24" s="642"/>
      <c r="K24" s="769"/>
      <c r="L24" s="769"/>
      <c r="M24" s="637"/>
      <c r="N24" s="637"/>
      <c r="O24" s="637"/>
      <c r="P24" s="637"/>
      <c r="Q24" s="637"/>
      <c r="R24" s="637"/>
      <c r="S24" s="637"/>
      <c r="T24" s="637"/>
      <c r="U24" s="637"/>
      <c r="V24" s="637"/>
      <c r="W24" s="637"/>
      <c r="X24" s="637"/>
      <c r="Y24" s="637"/>
      <c r="Z24" s="637"/>
      <c r="AA24" s="637"/>
      <c r="AB24" s="637"/>
      <c r="AC24" s="637"/>
      <c r="AD24" s="637"/>
      <c r="AE24" s="637"/>
      <c r="AF24" s="637"/>
      <c r="AG24" s="637"/>
      <c r="AH24" s="637"/>
      <c r="AI24" s="637"/>
      <c r="AJ24" s="637"/>
      <c r="AK24" s="637"/>
      <c r="AL24" s="637"/>
      <c r="AM24" s="637"/>
      <c r="AN24" s="637"/>
      <c r="AO24" s="637"/>
      <c r="AP24" s="637"/>
      <c r="AQ24" s="637"/>
      <c r="AR24" s="637"/>
    </row>
    <row r="25" customFormat="false" ht="14.25" hidden="false" customHeight="false" outlineLevel="0" collapsed="false">
      <c r="A25" s="645"/>
      <c r="B25" s="646"/>
      <c r="C25" s="642"/>
      <c r="D25" s="771"/>
      <c r="E25" s="642"/>
      <c r="F25" s="642"/>
      <c r="G25" s="642"/>
      <c r="H25" s="642"/>
      <c r="I25" s="642"/>
      <c r="J25" s="642"/>
      <c r="K25" s="769"/>
      <c r="L25" s="769"/>
      <c r="M25" s="637"/>
      <c r="N25" s="637" t="n">
        <v>2006</v>
      </c>
      <c r="O25" s="637" t="n">
        <f aca="false">N25</f>
        <v>2006</v>
      </c>
      <c r="P25" s="637" t="n">
        <v>2006</v>
      </c>
      <c r="Q25" s="637"/>
      <c r="R25" s="637"/>
      <c r="S25" s="637"/>
      <c r="T25" s="637"/>
      <c r="U25" s="637"/>
      <c r="V25" s="637"/>
      <c r="W25" s="637"/>
      <c r="X25" s="637"/>
      <c r="Y25" s="637"/>
      <c r="Z25" s="637"/>
      <c r="AA25" s="637"/>
      <c r="AB25" s="637"/>
      <c r="AC25" s="637"/>
      <c r="AD25" s="637"/>
      <c r="AE25" s="637"/>
      <c r="AF25" s="637"/>
      <c r="AG25" s="637"/>
      <c r="AH25" s="637"/>
      <c r="AI25" s="637"/>
      <c r="AJ25" s="637"/>
      <c r="AK25" s="637"/>
      <c r="AL25" s="637"/>
      <c r="AM25" s="637"/>
      <c r="AN25" s="637"/>
      <c r="AO25" s="637"/>
      <c r="AP25" s="637"/>
      <c r="AQ25" s="637"/>
      <c r="AR25" s="637"/>
    </row>
    <row r="26" customFormat="false" ht="14.25" hidden="false" customHeight="false" outlineLevel="0" collapsed="false">
      <c r="A26" s="638" t="s">
        <v>601</v>
      </c>
      <c r="B26" s="781" t="s">
        <v>602</v>
      </c>
      <c r="C26" s="782" t="s">
        <v>603</v>
      </c>
      <c r="D26" s="771"/>
      <c r="E26" s="642"/>
      <c r="F26" s="642"/>
      <c r="G26" s="642"/>
      <c r="H26" s="642"/>
      <c r="I26" s="642"/>
      <c r="J26" s="642"/>
      <c r="K26" s="769"/>
      <c r="L26" s="769"/>
      <c r="M26" s="637"/>
      <c r="N26" s="637" t="n">
        <v>1982</v>
      </c>
      <c r="O26" s="637" t="n">
        <v>1980</v>
      </c>
      <c r="P26" s="637" t="n">
        <v>1987</v>
      </c>
      <c r="Q26" s="637"/>
      <c r="R26" s="637"/>
      <c r="S26" s="637"/>
      <c r="T26" s="637"/>
      <c r="U26" s="637"/>
      <c r="V26" s="637"/>
      <c r="W26" s="637"/>
      <c r="X26" s="637"/>
      <c r="Y26" s="637"/>
      <c r="Z26" s="637"/>
      <c r="AA26" s="637"/>
      <c r="AB26" s="637"/>
      <c r="AC26" s="637"/>
      <c r="AD26" s="637"/>
      <c r="AE26" s="637"/>
      <c r="AF26" s="637"/>
      <c r="AG26" s="637"/>
      <c r="AH26" s="637"/>
      <c r="AI26" s="637"/>
      <c r="AJ26" s="637"/>
      <c r="AK26" s="637"/>
      <c r="AL26" s="637"/>
      <c r="AM26" s="637"/>
      <c r="AN26" s="637"/>
      <c r="AO26" s="637"/>
      <c r="AP26" s="637"/>
      <c r="AQ26" s="637"/>
      <c r="AR26" s="637"/>
    </row>
    <row r="27" s="788" customFormat="true" ht="27.75" hidden="false" customHeight="false" outlineLevel="0" collapsed="false">
      <c r="A27" s="783" t="s">
        <v>604</v>
      </c>
      <c r="B27" s="784" t="n">
        <v>160</v>
      </c>
      <c r="C27" s="785" t="s">
        <v>605</v>
      </c>
      <c r="D27" s="786"/>
      <c r="E27" s="529"/>
      <c r="F27" s="529"/>
      <c r="G27" s="642"/>
      <c r="H27" s="642"/>
      <c r="I27" s="642"/>
      <c r="J27" s="642"/>
      <c r="K27" s="769"/>
      <c r="L27" s="769"/>
      <c r="M27" s="637"/>
      <c r="N27" s="637" t="n">
        <f aca="false">N25-N26</f>
        <v>24</v>
      </c>
      <c r="O27" s="637" t="n">
        <f aca="false">O25-O26</f>
        <v>26</v>
      </c>
      <c r="P27" s="637" t="n">
        <f aca="false">P25-P26</f>
        <v>19</v>
      </c>
      <c r="Q27" s="637"/>
      <c r="R27" s="637"/>
      <c r="S27" s="637"/>
      <c r="T27" s="637"/>
      <c r="U27" s="637"/>
      <c r="V27" s="637"/>
      <c r="W27" s="637"/>
      <c r="X27" s="637"/>
      <c r="Y27" s="637"/>
      <c r="Z27" s="637"/>
      <c r="AA27" s="637"/>
      <c r="AB27" s="637"/>
      <c r="AC27" s="637"/>
      <c r="AD27" s="637"/>
      <c r="AE27" s="637"/>
      <c r="AF27" s="637"/>
      <c r="AG27" s="637"/>
      <c r="AH27" s="637"/>
      <c r="AI27" s="637"/>
      <c r="AJ27" s="637"/>
      <c r="AK27" s="637"/>
      <c r="AL27" s="637"/>
      <c r="AM27" s="637"/>
      <c r="AN27" s="637"/>
      <c r="AO27" s="637"/>
      <c r="AP27" s="637"/>
      <c r="AQ27" s="637"/>
      <c r="AR27" s="637"/>
      <c r="AS27" s="787"/>
      <c r="AT27" s="787"/>
      <c r="AU27" s="787"/>
      <c r="AV27" s="787"/>
      <c r="AW27" s="787"/>
      <c r="AX27" s="787"/>
      <c r="AY27" s="787"/>
      <c r="AZ27" s="787"/>
      <c r="BA27" s="787"/>
      <c r="BB27" s="787"/>
      <c r="BC27" s="787"/>
      <c r="BD27" s="787"/>
      <c r="BE27" s="787"/>
      <c r="BF27" s="787"/>
      <c r="BG27" s="787"/>
      <c r="BH27" s="787"/>
      <c r="BI27" s="787"/>
      <c r="BJ27" s="787"/>
      <c r="BK27" s="787"/>
      <c r="BL27" s="787"/>
      <c r="BM27" s="787"/>
      <c r="BN27" s="787"/>
      <c r="BO27" s="787"/>
    </row>
    <row r="28" s="788" customFormat="true" ht="27.75" hidden="false" customHeight="false" outlineLevel="0" collapsed="false">
      <c r="A28" s="789" t="s">
        <v>606</v>
      </c>
      <c r="B28" s="790" t="n">
        <v>200</v>
      </c>
      <c r="C28" s="791"/>
      <c r="D28" s="786"/>
      <c r="E28" s="529"/>
      <c r="F28" s="529"/>
      <c r="G28" s="642"/>
      <c r="H28" s="642"/>
      <c r="I28" s="642"/>
      <c r="J28" s="642"/>
      <c r="K28" s="769"/>
      <c r="L28" s="769"/>
      <c r="M28" s="637"/>
      <c r="N28" s="637" t="n">
        <v>60</v>
      </c>
      <c r="O28" s="637" t="n">
        <v>60</v>
      </c>
      <c r="P28" s="637" t="n">
        <v>60</v>
      </c>
      <c r="Q28" s="637"/>
      <c r="R28" s="637"/>
      <c r="S28" s="637"/>
      <c r="T28" s="637"/>
      <c r="U28" s="637"/>
      <c r="V28" s="637"/>
      <c r="W28" s="637"/>
      <c r="X28" s="637"/>
      <c r="Y28" s="637"/>
      <c r="Z28" s="637"/>
      <c r="AA28" s="637"/>
      <c r="AB28" s="637"/>
      <c r="AC28" s="637"/>
      <c r="AD28" s="637"/>
      <c r="AE28" s="637"/>
      <c r="AF28" s="637"/>
      <c r="AG28" s="637"/>
      <c r="AH28" s="637"/>
      <c r="AI28" s="637"/>
      <c r="AJ28" s="637"/>
      <c r="AK28" s="637"/>
      <c r="AL28" s="637"/>
      <c r="AM28" s="637"/>
      <c r="AN28" s="637"/>
      <c r="AO28" s="637"/>
      <c r="AP28" s="637"/>
      <c r="AQ28" s="637"/>
      <c r="AR28" s="637"/>
      <c r="AS28" s="787"/>
      <c r="AT28" s="787"/>
      <c r="AU28" s="787"/>
      <c r="AV28" s="787"/>
      <c r="AW28" s="787"/>
      <c r="AX28" s="787"/>
      <c r="AY28" s="787"/>
      <c r="AZ28" s="787"/>
      <c r="BA28" s="787"/>
      <c r="BB28" s="787"/>
      <c r="BC28" s="787"/>
      <c r="BD28" s="787"/>
      <c r="BE28" s="787"/>
      <c r="BF28" s="787"/>
      <c r="BG28" s="787"/>
      <c r="BH28" s="787"/>
      <c r="BI28" s="787"/>
      <c r="BJ28" s="787"/>
      <c r="BK28" s="787"/>
      <c r="BL28" s="787"/>
      <c r="BM28" s="787"/>
      <c r="BN28" s="787"/>
      <c r="BO28" s="787"/>
    </row>
    <row r="29" s="788" customFormat="true" ht="27.75" hidden="false" customHeight="false" outlineLevel="0" collapsed="false">
      <c r="A29" s="792" t="s">
        <v>607</v>
      </c>
      <c r="B29" s="793" t="n">
        <v>0</v>
      </c>
      <c r="C29" s="794" t="s">
        <v>608</v>
      </c>
      <c r="D29" s="786"/>
      <c r="E29" s="529"/>
      <c r="F29" s="529"/>
      <c r="G29" s="642"/>
      <c r="H29" s="642"/>
      <c r="I29" s="642"/>
      <c r="J29" s="642"/>
      <c r="K29" s="769"/>
      <c r="L29" s="769"/>
      <c r="M29" s="637"/>
      <c r="N29" s="637" t="n">
        <f aca="false">N28-N27</f>
        <v>36</v>
      </c>
      <c r="O29" s="637" t="n">
        <f aca="false">O28-O27</f>
        <v>34</v>
      </c>
      <c r="P29" s="637" t="n">
        <f aca="false">P28-P27</f>
        <v>41</v>
      </c>
      <c r="Q29" s="637"/>
      <c r="R29" s="637"/>
      <c r="S29" s="637"/>
      <c r="T29" s="637"/>
      <c r="U29" s="637"/>
      <c r="V29" s="637"/>
      <c r="W29" s="637"/>
      <c r="X29" s="637"/>
      <c r="Y29" s="637"/>
      <c r="Z29" s="637"/>
      <c r="AA29" s="637"/>
      <c r="AB29" s="637"/>
      <c r="AC29" s="637"/>
      <c r="AD29" s="637"/>
      <c r="AE29" s="637"/>
      <c r="AF29" s="637"/>
      <c r="AG29" s="637"/>
      <c r="AH29" s="637"/>
      <c r="AI29" s="637"/>
      <c r="AJ29" s="637"/>
      <c r="AK29" s="637"/>
      <c r="AL29" s="637"/>
      <c r="AM29" s="637"/>
      <c r="AN29" s="637"/>
      <c r="AO29" s="637"/>
      <c r="AP29" s="637"/>
      <c r="AQ29" s="637"/>
      <c r="AR29" s="637"/>
      <c r="AS29" s="787"/>
      <c r="AT29" s="787"/>
      <c r="AU29" s="787"/>
      <c r="AV29" s="787"/>
      <c r="AW29" s="787"/>
      <c r="AX29" s="787"/>
      <c r="AY29" s="787"/>
      <c r="AZ29" s="787"/>
      <c r="BA29" s="787"/>
      <c r="BB29" s="787"/>
      <c r="BC29" s="787"/>
      <c r="BD29" s="787"/>
      <c r="BE29" s="787"/>
      <c r="BF29" s="787"/>
      <c r="BG29" s="787"/>
      <c r="BH29" s="787"/>
      <c r="BI29" s="787"/>
      <c r="BJ29" s="787"/>
      <c r="BK29" s="787"/>
      <c r="BL29" s="787"/>
      <c r="BM29" s="787"/>
      <c r="BN29" s="787"/>
      <c r="BO29" s="787"/>
    </row>
    <row r="30" s="788" customFormat="true" ht="27" hidden="false" customHeight="false" outlineLevel="0" collapsed="false">
      <c r="A30" s="795" t="s">
        <v>609</v>
      </c>
      <c r="B30" s="796" t="n">
        <v>120</v>
      </c>
      <c r="C30" s="791"/>
      <c r="D30" s="786"/>
      <c r="E30" s="529"/>
      <c r="F30" s="529"/>
      <c r="G30" s="642"/>
      <c r="H30" s="642"/>
      <c r="I30" s="642"/>
      <c r="J30" s="642"/>
      <c r="K30" s="769"/>
      <c r="L30" s="769"/>
      <c r="M30" s="637"/>
      <c r="N30" s="637" t="n">
        <f aca="false">N29/N28</f>
        <v>0.6</v>
      </c>
      <c r="O30" s="637" t="n">
        <f aca="false">O29/O28</f>
        <v>0.566666666666667</v>
      </c>
      <c r="P30" s="637" t="n">
        <f aca="false">P29/P28</f>
        <v>0.683333333333333</v>
      </c>
      <c r="Q30" s="637"/>
      <c r="R30" s="637"/>
      <c r="S30" s="637"/>
      <c r="T30" s="637"/>
      <c r="U30" s="637"/>
      <c r="V30" s="637"/>
      <c r="W30" s="637"/>
      <c r="X30" s="637"/>
      <c r="Y30" s="637"/>
      <c r="Z30" s="637"/>
      <c r="AA30" s="637"/>
      <c r="AB30" s="637"/>
      <c r="AC30" s="637"/>
      <c r="AD30" s="637"/>
      <c r="AE30" s="637"/>
      <c r="AF30" s="637"/>
      <c r="AG30" s="637"/>
      <c r="AH30" s="637"/>
      <c r="AI30" s="637"/>
      <c r="AJ30" s="637"/>
      <c r="AK30" s="637"/>
      <c r="AL30" s="637"/>
      <c r="AM30" s="637"/>
      <c r="AN30" s="637"/>
      <c r="AO30" s="637"/>
      <c r="AP30" s="637"/>
      <c r="AQ30" s="637"/>
      <c r="AR30" s="637"/>
      <c r="AS30" s="787"/>
      <c r="AT30" s="787"/>
      <c r="AU30" s="787"/>
      <c r="AV30" s="787"/>
      <c r="AW30" s="787"/>
      <c r="AX30" s="787"/>
      <c r="AY30" s="787"/>
      <c r="AZ30" s="787"/>
      <c r="BA30" s="787"/>
      <c r="BB30" s="787"/>
      <c r="BC30" s="787"/>
      <c r="BD30" s="787"/>
      <c r="BE30" s="787"/>
      <c r="BF30" s="787"/>
      <c r="BG30" s="787"/>
      <c r="BH30" s="787"/>
      <c r="BI30" s="787"/>
      <c r="BJ30" s="787"/>
      <c r="BK30" s="787"/>
      <c r="BL30" s="787"/>
      <c r="BM30" s="787"/>
      <c r="BN30" s="787"/>
      <c r="BO30" s="787"/>
    </row>
    <row r="31" s="788" customFormat="true" ht="27" hidden="false" customHeight="false" outlineLevel="0" collapsed="false">
      <c r="A31" s="789" t="s">
        <v>610</v>
      </c>
      <c r="B31" s="797" t="n">
        <f aca="false">B30-B32</f>
        <v>120</v>
      </c>
      <c r="C31" s="798"/>
      <c r="D31" s="786"/>
      <c r="E31" s="529"/>
      <c r="F31" s="529"/>
      <c r="G31" s="642"/>
      <c r="H31" s="642"/>
      <c r="I31" s="642"/>
      <c r="J31" s="642"/>
      <c r="K31" s="769"/>
      <c r="L31" s="769"/>
      <c r="M31" s="637"/>
      <c r="N31" s="637"/>
      <c r="O31" s="637"/>
      <c r="P31" s="637"/>
      <c r="Q31" s="637"/>
      <c r="R31" s="637"/>
      <c r="S31" s="637"/>
      <c r="T31" s="637"/>
      <c r="U31" s="637"/>
      <c r="V31" s="637"/>
      <c r="W31" s="637"/>
      <c r="X31" s="637"/>
      <c r="Y31" s="637"/>
      <c r="Z31" s="637"/>
      <c r="AA31" s="637"/>
      <c r="AB31" s="637"/>
      <c r="AC31" s="637"/>
      <c r="AD31" s="637"/>
      <c r="AE31" s="637"/>
      <c r="AF31" s="637"/>
      <c r="AG31" s="637"/>
      <c r="AH31" s="637"/>
      <c r="AI31" s="637"/>
      <c r="AJ31" s="637"/>
      <c r="AK31" s="637"/>
      <c r="AL31" s="637"/>
      <c r="AM31" s="637"/>
      <c r="AN31" s="637"/>
      <c r="AO31" s="637"/>
      <c r="AP31" s="637"/>
      <c r="AQ31" s="637"/>
      <c r="AR31" s="637"/>
      <c r="AS31" s="787"/>
      <c r="AT31" s="787"/>
      <c r="AU31" s="787"/>
      <c r="AV31" s="787"/>
      <c r="AW31" s="787"/>
      <c r="AX31" s="787"/>
      <c r="AY31" s="787"/>
      <c r="AZ31" s="787"/>
      <c r="BA31" s="787"/>
      <c r="BB31" s="787"/>
      <c r="BC31" s="787"/>
      <c r="BD31" s="787"/>
      <c r="BE31" s="787"/>
      <c r="BF31" s="787"/>
      <c r="BG31" s="787"/>
      <c r="BH31" s="787"/>
      <c r="BI31" s="787"/>
      <c r="BJ31" s="787"/>
      <c r="BK31" s="787"/>
      <c r="BL31" s="787"/>
      <c r="BM31" s="787"/>
      <c r="BN31" s="787"/>
      <c r="BO31" s="787"/>
    </row>
    <row r="32" s="788" customFormat="true" ht="27" hidden="false" customHeight="false" outlineLevel="0" collapsed="false">
      <c r="A32" s="799" t="s">
        <v>611</v>
      </c>
      <c r="B32" s="800" t="n">
        <v>0</v>
      </c>
      <c r="C32" s="791"/>
      <c r="D32" s="771"/>
      <c r="E32" s="642"/>
      <c r="F32" s="642"/>
      <c r="G32" s="642"/>
      <c r="H32" s="642"/>
      <c r="I32" s="642"/>
      <c r="J32" s="642"/>
      <c r="K32" s="769"/>
      <c r="L32" s="769"/>
      <c r="M32" s="637"/>
      <c r="N32" s="637"/>
      <c r="O32" s="637"/>
      <c r="P32" s="637"/>
      <c r="Q32" s="637"/>
      <c r="R32" s="637"/>
      <c r="S32" s="637"/>
      <c r="T32" s="637"/>
      <c r="U32" s="637"/>
      <c r="V32" s="637"/>
      <c r="W32" s="637"/>
      <c r="X32" s="637"/>
      <c r="Y32" s="637"/>
      <c r="Z32" s="637"/>
      <c r="AA32" s="637"/>
      <c r="AB32" s="637"/>
      <c r="AC32" s="637"/>
      <c r="AD32" s="637"/>
      <c r="AE32" s="637"/>
      <c r="AF32" s="637"/>
      <c r="AG32" s="637"/>
      <c r="AH32" s="637"/>
      <c r="AI32" s="637"/>
      <c r="AJ32" s="637"/>
      <c r="AK32" s="637"/>
      <c r="AL32" s="637"/>
      <c r="AM32" s="637"/>
      <c r="AN32" s="637"/>
      <c r="AO32" s="637"/>
      <c r="AP32" s="637"/>
      <c r="AQ32" s="637"/>
      <c r="AR32" s="637"/>
      <c r="AS32" s="787"/>
      <c r="AT32" s="787"/>
      <c r="AU32" s="787"/>
      <c r="AV32" s="787"/>
      <c r="AW32" s="787"/>
      <c r="AX32" s="787"/>
      <c r="AY32" s="787"/>
      <c r="AZ32" s="787"/>
      <c r="BA32" s="787"/>
      <c r="BB32" s="787"/>
      <c r="BC32" s="787"/>
      <c r="BD32" s="787"/>
      <c r="BE32" s="787"/>
      <c r="BF32" s="787"/>
      <c r="BG32" s="787"/>
      <c r="BH32" s="787"/>
      <c r="BI32" s="787"/>
      <c r="BJ32" s="787"/>
      <c r="BK32" s="787"/>
      <c r="BL32" s="787"/>
      <c r="BM32" s="787"/>
      <c r="BN32" s="787"/>
      <c r="BO32" s="787"/>
    </row>
    <row r="33" s="788" customFormat="true" ht="14.25" hidden="false" customHeight="false" outlineLevel="0" collapsed="false">
      <c r="A33" s="783" t="s">
        <v>612</v>
      </c>
      <c r="B33" s="801" t="n">
        <v>0.03</v>
      </c>
      <c r="C33" s="802" t="s">
        <v>613</v>
      </c>
      <c r="D33" s="771"/>
      <c r="E33" s="642"/>
      <c r="F33" s="642"/>
      <c r="G33" s="642"/>
      <c r="H33" s="642"/>
      <c r="I33" s="642"/>
      <c r="J33" s="642"/>
      <c r="K33" s="769"/>
      <c r="L33" s="769"/>
      <c r="M33" s="637"/>
      <c r="N33" s="637"/>
      <c r="O33" s="637"/>
      <c r="P33" s="637"/>
      <c r="Q33" s="637"/>
      <c r="R33" s="637"/>
      <c r="S33" s="637"/>
      <c r="T33" s="637"/>
      <c r="U33" s="637"/>
      <c r="V33" s="637"/>
      <c r="W33" s="637"/>
      <c r="X33" s="637"/>
      <c r="Y33" s="637"/>
      <c r="Z33" s="637"/>
      <c r="AA33" s="637"/>
      <c r="AB33" s="637"/>
      <c r="AC33" s="637"/>
      <c r="AD33" s="637"/>
      <c r="AE33" s="637"/>
      <c r="AF33" s="637"/>
      <c r="AG33" s="637"/>
      <c r="AH33" s="637"/>
      <c r="AI33" s="637"/>
      <c r="AJ33" s="637"/>
      <c r="AK33" s="637"/>
      <c r="AL33" s="637"/>
      <c r="AM33" s="637"/>
      <c r="AN33" s="637"/>
      <c r="AO33" s="637"/>
      <c r="AP33" s="637"/>
      <c r="AQ33" s="637"/>
      <c r="AR33" s="637"/>
      <c r="AS33" s="787"/>
      <c r="AT33" s="787"/>
      <c r="AU33" s="787"/>
      <c r="AV33" s="787"/>
      <c r="AW33" s="787"/>
      <c r="AX33" s="787"/>
      <c r="AY33" s="787"/>
      <c r="AZ33" s="787"/>
      <c r="BA33" s="787"/>
      <c r="BB33" s="787"/>
      <c r="BC33" s="787"/>
      <c r="BD33" s="787"/>
      <c r="BE33" s="787"/>
      <c r="BF33" s="787"/>
      <c r="BG33" s="787"/>
      <c r="BH33" s="787"/>
      <c r="BI33" s="787"/>
      <c r="BJ33" s="787"/>
      <c r="BK33" s="787"/>
      <c r="BL33" s="787"/>
      <c r="BM33" s="787"/>
      <c r="BN33" s="787"/>
      <c r="BO33" s="787"/>
    </row>
    <row r="34" s="788" customFormat="true" ht="14.25" hidden="false" customHeight="false" outlineLevel="0" collapsed="false">
      <c r="A34" s="789" t="s">
        <v>614</v>
      </c>
      <c r="B34" s="803" t="n">
        <v>0.05</v>
      </c>
      <c r="C34" s="802" t="s">
        <v>615</v>
      </c>
      <c r="D34" s="804" t="s">
        <v>616</v>
      </c>
      <c r="E34" s="767"/>
      <c r="F34" s="642"/>
      <c r="G34" s="642"/>
      <c r="H34" s="642"/>
      <c r="I34" s="642"/>
      <c r="J34" s="642"/>
      <c r="K34" s="769"/>
      <c r="L34" s="769"/>
      <c r="M34" s="637"/>
      <c r="N34" s="637"/>
      <c r="O34" s="637"/>
      <c r="P34" s="637"/>
      <c r="Q34" s="637"/>
      <c r="R34" s="637"/>
      <c r="S34" s="637"/>
      <c r="T34" s="637"/>
      <c r="U34" s="637"/>
      <c r="V34" s="637"/>
      <c r="W34" s="637"/>
      <c r="X34" s="637"/>
      <c r="Y34" s="637"/>
      <c r="Z34" s="637"/>
      <c r="AA34" s="637"/>
      <c r="AB34" s="637"/>
      <c r="AC34" s="637"/>
      <c r="AD34" s="637"/>
      <c r="AE34" s="637"/>
      <c r="AF34" s="637"/>
      <c r="AG34" s="637"/>
      <c r="AH34" s="637"/>
      <c r="AI34" s="637"/>
      <c r="AJ34" s="637"/>
      <c r="AK34" s="637"/>
      <c r="AL34" s="637"/>
      <c r="AM34" s="637"/>
      <c r="AN34" s="637"/>
      <c r="AO34" s="637"/>
      <c r="AP34" s="637"/>
      <c r="AQ34" s="637"/>
      <c r="AR34" s="637"/>
      <c r="AS34" s="787"/>
      <c r="AT34" s="787"/>
      <c r="AU34" s="787"/>
      <c r="AV34" s="787"/>
      <c r="AW34" s="787"/>
      <c r="AX34" s="787"/>
      <c r="AY34" s="787"/>
      <c r="AZ34" s="787"/>
      <c r="BA34" s="787"/>
      <c r="BB34" s="787"/>
      <c r="BC34" s="787"/>
      <c r="BD34" s="787"/>
      <c r="BE34" s="787"/>
      <c r="BF34" s="787"/>
      <c r="BG34" s="787"/>
      <c r="BH34" s="787"/>
      <c r="BI34" s="787"/>
      <c r="BJ34" s="787"/>
      <c r="BK34" s="787"/>
      <c r="BL34" s="787"/>
      <c r="BM34" s="787"/>
      <c r="BN34" s="787"/>
      <c r="BO34" s="787"/>
    </row>
    <row r="35" s="788" customFormat="true" ht="14.25" hidden="false" customHeight="false" outlineLevel="0" collapsed="false">
      <c r="A35" s="789" t="s">
        <v>617</v>
      </c>
      <c r="B35" s="790" t="n">
        <v>120</v>
      </c>
      <c r="C35" s="802" t="s">
        <v>618</v>
      </c>
      <c r="D35" s="786"/>
      <c r="E35" s="529"/>
      <c r="F35" s="529"/>
      <c r="G35" s="642"/>
      <c r="H35" s="642"/>
      <c r="I35" s="642"/>
      <c r="J35" s="642"/>
      <c r="K35" s="769"/>
      <c r="L35" s="769"/>
      <c r="M35" s="637"/>
      <c r="N35" s="637"/>
      <c r="O35" s="637"/>
      <c r="P35" s="637"/>
      <c r="Q35" s="637"/>
      <c r="R35" s="637"/>
      <c r="S35" s="637"/>
      <c r="T35" s="637"/>
      <c r="U35" s="637"/>
      <c r="V35" s="637"/>
      <c r="W35" s="637"/>
      <c r="X35" s="637"/>
      <c r="Y35" s="637"/>
      <c r="Z35" s="637"/>
      <c r="AA35" s="637"/>
      <c r="AB35" s="637"/>
      <c r="AC35" s="637"/>
      <c r="AD35" s="637"/>
      <c r="AE35" s="637"/>
      <c r="AF35" s="637"/>
      <c r="AG35" s="637"/>
      <c r="AH35" s="637"/>
      <c r="AI35" s="637"/>
      <c r="AJ35" s="637"/>
      <c r="AK35" s="637"/>
      <c r="AL35" s="637"/>
      <c r="AM35" s="637"/>
      <c r="AN35" s="637"/>
      <c r="AO35" s="637"/>
      <c r="AP35" s="637"/>
      <c r="AQ35" s="637"/>
      <c r="AR35" s="637"/>
      <c r="AS35" s="787"/>
      <c r="AT35" s="787"/>
      <c r="AU35" s="787"/>
      <c r="AV35" s="787"/>
      <c r="AW35" s="787"/>
      <c r="AX35" s="787"/>
      <c r="AY35" s="787"/>
      <c r="AZ35" s="787"/>
      <c r="BA35" s="787"/>
      <c r="BB35" s="787"/>
      <c r="BC35" s="787"/>
      <c r="BD35" s="787"/>
      <c r="BE35" s="787"/>
      <c r="BF35" s="787"/>
      <c r="BG35" s="787"/>
      <c r="BH35" s="787"/>
      <c r="BI35" s="787"/>
      <c r="BJ35" s="787"/>
      <c r="BK35" s="787"/>
      <c r="BL35" s="787"/>
      <c r="BM35" s="787"/>
      <c r="BN35" s="787"/>
      <c r="BO35" s="787"/>
    </row>
    <row r="36" customFormat="false" ht="14.25" hidden="false" customHeight="false" outlineLevel="0" collapsed="false">
      <c r="A36" s="792" t="s">
        <v>619</v>
      </c>
      <c r="B36" s="805" t="n">
        <v>0.015</v>
      </c>
      <c r="C36" s="802" t="s">
        <v>620</v>
      </c>
      <c r="D36" s="771"/>
      <c r="E36" s="642"/>
      <c r="F36" s="642"/>
      <c r="G36" s="642"/>
      <c r="H36" s="642"/>
      <c r="I36" s="642"/>
      <c r="J36" s="642"/>
      <c r="K36" s="769"/>
      <c r="L36" s="769"/>
      <c r="M36" s="637"/>
      <c r="N36" s="637"/>
      <c r="O36" s="637"/>
      <c r="P36" s="637"/>
      <c r="Q36" s="637"/>
      <c r="R36" s="637"/>
      <c r="S36" s="637"/>
      <c r="T36" s="637"/>
      <c r="U36" s="637"/>
      <c r="V36" s="637"/>
      <c r="W36" s="637"/>
      <c r="X36" s="637"/>
      <c r="Y36" s="637"/>
      <c r="Z36" s="637"/>
      <c r="AA36" s="637"/>
      <c r="AB36" s="637"/>
      <c r="AC36" s="637"/>
      <c r="AD36" s="637"/>
      <c r="AE36" s="637"/>
      <c r="AF36" s="637"/>
      <c r="AG36" s="637"/>
      <c r="AH36" s="637"/>
      <c r="AI36" s="637"/>
      <c r="AJ36" s="637"/>
      <c r="AK36" s="637"/>
      <c r="AL36" s="637"/>
      <c r="AM36" s="637"/>
      <c r="AN36" s="637"/>
      <c r="AO36" s="637"/>
      <c r="AP36" s="637"/>
      <c r="AQ36" s="637"/>
      <c r="AR36" s="637"/>
    </row>
    <row r="37" customFormat="false" ht="14.25" hidden="false" customHeight="false" outlineLevel="0" collapsed="false">
      <c r="A37" s="795" t="s">
        <v>621</v>
      </c>
      <c r="B37" s="806" t="n">
        <v>0.01</v>
      </c>
      <c r="C37" s="802" t="s">
        <v>622</v>
      </c>
      <c r="D37" s="771"/>
      <c r="E37" s="642"/>
      <c r="F37" s="642"/>
      <c r="G37" s="642"/>
      <c r="H37" s="642"/>
      <c r="I37" s="642"/>
      <c r="J37" s="642"/>
      <c r="K37" s="769"/>
      <c r="L37" s="769"/>
      <c r="M37" s="637"/>
      <c r="N37" s="637"/>
      <c r="O37" s="637"/>
      <c r="P37" s="637"/>
      <c r="Q37" s="637"/>
      <c r="R37" s="637"/>
      <c r="S37" s="637"/>
      <c r="T37" s="637"/>
      <c r="U37" s="637"/>
      <c r="V37" s="637"/>
      <c r="W37" s="637"/>
      <c r="X37" s="637"/>
      <c r="Y37" s="637"/>
      <c r="Z37" s="637"/>
      <c r="AA37" s="637"/>
      <c r="AB37" s="637"/>
      <c r="AC37" s="637"/>
      <c r="AD37" s="637"/>
      <c r="AE37" s="637"/>
      <c r="AF37" s="637"/>
      <c r="AG37" s="637"/>
      <c r="AH37" s="637"/>
      <c r="AI37" s="637"/>
      <c r="AJ37" s="637"/>
      <c r="AK37" s="637"/>
      <c r="AL37" s="637"/>
      <c r="AM37" s="637"/>
      <c r="AN37" s="637"/>
      <c r="AO37" s="637"/>
      <c r="AP37" s="637"/>
      <c r="AQ37" s="637"/>
      <c r="AR37" s="637"/>
    </row>
    <row r="38" customFormat="false" ht="14.25" hidden="false" customHeight="false" outlineLevel="0" collapsed="false">
      <c r="A38" s="789" t="s">
        <v>623</v>
      </c>
      <c r="B38" s="803" t="n">
        <v>0.01</v>
      </c>
      <c r="C38" s="802" t="s">
        <v>622</v>
      </c>
      <c r="D38" s="771"/>
      <c r="E38" s="642"/>
      <c r="F38" s="642"/>
      <c r="G38" s="642"/>
      <c r="H38" s="642"/>
      <c r="I38" s="642"/>
      <c r="J38" s="642"/>
      <c r="K38" s="769"/>
      <c r="L38" s="769"/>
      <c r="M38" s="637"/>
      <c r="N38" s="637"/>
      <c r="O38" s="637"/>
      <c r="P38" s="637"/>
      <c r="Q38" s="637"/>
      <c r="R38" s="637"/>
      <c r="S38" s="637"/>
      <c r="T38" s="637"/>
      <c r="U38" s="637"/>
      <c r="V38" s="637"/>
      <c r="W38" s="637"/>
      <c r="X38" s="637"/>
      <c r="Y38" s="637"/>
      <c r="Z38" s="637"/>
      <c r="AA38" s="637"/>
      <c r="AB38" s="637"/>
      <c r="AC38" s="637"/>
      <c r="AD38" s="637"/>
      <c r="AE38" s="637"/>
      <c r="AF38" s="637"/>
      <c r="AG38" s="637"/>
      <c r="AH38" s="637"/>
      <c r="AI38" s="637"/>
      <c r="AJ38" s="637"/>
      <c r="AK38" s="637"/>
      <c r="AL38" s="637"/>
      <c r="AM38" s="637"/>
      <c r="AN38" s="637"/>
      <c r="AO38" s="637"/>
      <c r="AP38" s="637"/>
      <c r="AQ38" s="637"/>
      <c r="AR38" s="637"/>
    </row>
    <row r="39" customFormat="false" ht="14.25" hidden="false" customHeight="false" outlineLevel="0" collapsed="false">
      <c r="A39" s="799" t="s">
        <v>624</v>
      </c>
      <c r="B39" s="807" t="n">
        <f aca="false">存贷款利率!I1</f>
        <v>0.0252</v>
      </c>
      <c r="C39" s="808"/>
      <c r="D39" s="771"/>
      <c r="E39" s="642"/>
      <c r="F39" s="642"/>
      <c r="G39" s="642"/>
      <c r="H39" s="642"/>
      <c r="I39" s="642"/>
      <c r="J39" s="642"/>
      <c r="K39" s="769"/>
      <c r="L39" s="769"/>
      <c r="M39" s="637"/>
      <c r="N39" s="637"/>
      <c r="O39" s="637"/>
      <c r="P39" s="637"/>
      <c r="Q39" s="637"/>
      <c r="R39" s="637"/>
      <c r="S39" s="637"/>
      <c r="T39" s="637"/>
      <c r="U39" s="637"/>
      <c r="V39" s="637"/>
      <c r="W39" s="637"/>
      <c r="X39" s="637"/>
      <c r="Y39" s="637"/>
      <c r="Z39" s="637"/>
      <c r="AA39" s="637"/>
      <c r="AB39" s="637"/>
      <c r="AC39" s="637"/>
      <c r="AD39" s="637"/>
      <c r="AE39" s="637"/>
      <c r="AF39" s="637"/>
      <c r="AG39" s="637"/>
      <c r="AH39" s="637"/>
      <c r="AI39" s="637"/>
      <c r="AJ39" s="637"/>
      <c r="AK39" s="637"/>
      <c r="AL39" s="637"/>
      <c r="AM39" s="637"/>
      <c r="AN39" s="637"/>
      <c r="AO39" s="637"/>
      <c r="AP39" s="637"/>
      <c r="AQ39" s="637"/>
      <c r="AR39" s="637"/>
    </row>
    <row r="40" customFormat="false" ht="14.25" hidden="false" customHeight="false" outlineLevel="0" collapsed="false">
      <c r="A40" s="809" t="s">
        <v>625</v>
      </c>
      <c r="B40" s="810" t="n">
        <v>0.063</v>
      </c>
      <c r="C40" s="811" t="n">
        <v>0.005</v>
      </c>
      <c r="D40" s="637"/>
      <c r="E40" s="771"/>
      <c r="F40" s="642"/>
      <c r="G40" s="642"/>
      <c r="H40" s="642"/>
      <c r="I40" s="642"/>
      <c r="J40" s="642"/>
      <c r="K40" s="769"/>
      <c r="L40" s="769"/>
      <c r="M40" s="637"/>
      <c r="N40" s="637"/>
      <c r="O40" s="637"/>
      <c r="P40" s="637"/>
      <c r="Q40" s="637"/>
      <c r="R40" s="637"/>
      <c r="S40" s="637"/>
      <c r="T40" s="637"/>
      <c r="U40" s="637"/>
      <c r="V40" s="637"/>
      <c r="W40" s="637"/>
      <c r="X40" s="637"/>
      <c r="Y40" s="637"/>
      <c r="Z40" s="637"/>
      <c r="AA40" s="637"/>
      <c r="AB40" s="637"/>
      <c r="AC40" s="637"/>
      <c r="AD40" s="637"/>
      <c r="AE40" s="637"/>
      <c r="AF40" s="637"/>
      <c r="AG40" s="637"/>
      <c r="AH40" s="637"/>
      <c r="AI40" s="637"/>
      <c r="AJ40" s="637"/>
      <c r="AK40" s="637"/>
      <c r="AL40" s="637"/>
      <c r="AM40" s="637"/>
      <c r="AN40" s="637"/>
      <c r="AO40" s="637"/>
      <c r="AP40" s="637"/>
      <c r="AQ40" s="637"/>
      <c r="AR40" s="637"/>
    </row>
    <row r="41" customFormat="false" ht="14.25" hidden="false" customHeight="false" outlineLevel="0" collapsed="false">
      <c r="A41" s="783" t="s">
        <v>626</v>
      </c>
      <c r="B41" s="812" t="n">
        <f aca="false">B42+B43</f>
        <v>0.055</v>
      </c>
      <c r="C41" s="798"/>
      <c r="D41" s="637"/>
      <c r="E41" s="771"/>
      <c r="F41" s="642"/>
      <c r="G41" s="642"/>
      <c r="H41" s="642"/>
      <c r="I41" s="642"/>
      <c r="J41" s="642"/>
      <c r="K41" s="769"/>
      <c r="L41" s="769"/>
      <c r="M41" s="637"/>
      <c r="N41" s="637"/>
      <c r="O41" s="637"/>
      <c r="P41" s="637"/>
      <c r="Q41" s="637"/>
      <c r="R41" s="637"/>
      <c r="S41" s="637"/>
      <c r="T41" s="637"/>
      <c r="U41" s="637"/>
      <c r="V41" s="637"/>
      <c r="W41" s="637"/>
      <c r="X41" s="637"/>
      <c r="Y41" s="637"/>
      <c r="Z41" s="637"/>
      <c r="AA41" s="637"/>
      <c r="AB41" s="637"/>
      <c r="AC41" s="637"/>
      <c r="AD41" s="637"/>
      <c r="AE41" s="637"/>
      <c r="AF41" s="637"/>
      <c r="AG41" s="637"/>
      <c r="AH41" s="637"/>
      <c r="AI41" s="637"/>
      <c r="AJ41" s="637"/>
      <c r="AK41" s="637"/>
      <c r="AL41" s="637"/>
      <c r="AM41" s="637"/>
      <c r="AN41" s="637"/>
      <c r="AO41" s="637"/>
      <c r="AP41" s="637"/>
      <c r="AQ41" s="637"/>
      <c r="AR41" s="637"/>
    </row>
    <row r="42" customFormat="false" ht="14.25" hidden="false" customHeight="false" outlineLevel="0" collapsed="false">
      <c r="A42" s="813" t="s">
        <v>627</v>
      </c>
      <c r="B42" s="814" t="n">
        <v>0.05</v>
      </c>
      <c r="C42" s="815" t="n">
        <f aca="false">IF(B2&lt;DATE(2016,5,1),0,B42)</f>
        <v>0</v>
      </c>
      <c r="D42" s="771"/>
      <c r="E42" s="642"/>
      <c r="F42" s="642"/>
      <c r="G42" s="642"/>
      <c r="H42" s="642"/>
      <c r="I42" s="642"/>
      <c r="J42" s="642"/>
      <c r="K42" s="769"/>
      <c r="L42" s="769"/>
      <c r="M42" s="637"/>
      <c r="N42" s="637"/>
      <c r="O42" s="637"/>
      <c r="P42" s="637"/>
      <c r="Q42" s="637"/>
      <c r="R42" s="637"/>
      <c r="S42" s="637"/>
      <c r="T42" s="637"/>
      <c r="U42" s="637"/>
      <c r="V42" s="637"/>
      <c r="W42" s="637"/>
      <c r="X42" s="637"/>
      <c r="Y42" s="637"/>
      <c r="Z42" s="637"/>
      <c r="AA42" s="637"/>
      <c r="AB42" s="637"/>
      <c r="AC42" s="637"/>
      <c r="AD42" s="637"/>
      <c r="AE42" s="637"/>
      <c r="AF42" s="637"/>
      <c r="AG42" s="637"/>
      <c r="AH42" s="637"/>
      <c r="AI42" s="637"/>
      <c r="AJ42" s="637"/>
      <c r="AK42" s="637"/>
      <c r="AL42" s="637"/>
      <c r="AM42" s="637"/>
      <c r="AN42" s="637"/>
      <c r="AO42" s="637"/>
      <c r="AP42" s="637"/>
      <c r="AQ42" s="637"/>
      <c r="AR42" s="637"/>
    </row>
    <row r="43" customFormat="false" ht="14.25" hidden="false" customHeight="false" outlineLevel="0" collapsed="false">
      <c r="A43" s="813" t="s">
        <v>628</v>
      </c>
      <c r="B43" s="816" t="n">
        <f aca="false">B42*(B44+B45+B46)+B47</f>
        <v>0.005</v>
      </c>
      <c r="C43" s="798"/>
      <c r="D43" s="771"/>
      <c r="E43" s="642"/>
      <c r="F43" s="642"/>
      <c r="G43" s="642"/>
      <c r="H43" s="642"/>
      <c r="I43" s="642"/>
      <c r="J43" s="642"/>
      <c r="K43" s="769"/>
      <c r="L43" s="769"/>
      <c r="M43" s="637"/>
      <c r="N43" s="637"/>
      <c r="O43" s="637"/>
      <c r="P43" s="637"/>
      <c r="Q43" s="637"/>
      <c r="R43" s="637"/>
      <c r="S43" s="637"/>
      <c r="T43" s="637"/>
      <c r="U43" s="637"/>
      <c r="V43" s="637"/>
      <c r="W43" s="637"/>
      <c r="X43" s="637"/>
      <c r="Y43" s="637"/>
      <c r="Z43" s="637"/>
      <c r="AA43" s="637"/>
      <c r="AB43" s="637"/>
      <c r="AC43" s="637"/>
      <c r="AD43" s="637"/>
      <c r="AE43" s="637"/>
      <c r="AF43" s="637"/>
      <c r="AG43" s="637"/>
      <c r="AH43" s="637"/>
      <c r="AI43" s="637"/>
      <c r="AJ43" s="637"/>
      <c r="AK43" s="637"/>
      <c r="AL43" s="637"/>
      <c r="AM43" s="637"/>
      <c r="AN43" s="637"/>
      <c r="AO43" s="637"/>
      <c r="AP43" s="637"/>
      <c r="AQ43" s="637"/>
      <c r="AR43" s="637"/>
    </row>
    <row r="44" customFormat="false" ht="14.25" hidden="false" customHeight="false" outlineLevel="0" collapsed="false">
      <c r="A44" s="817" t="s">
        <v>629</v>
      </c>
      <c r="B44" s="818" t="n">
        <v>0.05</v>
      </c>
      <c r="C44" s="802" t="s">
        <v>630</v>
      </c>
      <c r="D44" s="771"/>
      <c r="E44" s="642"/>
      <c r="F44" s="642"/>
      <c r="G44" s="642"/>
      <c r="H44" s="642"/>
      <c r="I44" s="642"/>
      <c r="J44" s="642"/>
      <c r="K44" s="769"/>
      <c r="L44" s="769"/>
      <c r="M44" s="637"/>
      <c r="N44" s="637"/>
      <c r="O44" s="637"/>
      <c r="P44" s="637"/>
      <c r="Q44" s="637"/>
      <c r="R44" s="637"/>
      <c r="S44" s="637"/>
      <c r="T44" s="637"/>
      <c r="U44" s="637"/>
      <c r="V44" s="637"/>
      <c r="W44" s="637"/>
      <c r="X44" s="637"/>
      <c r="Y44" s="637"/>
      <c r="Z44" s="637"/>
      <c r="AA44" s="637"/>
      <c r="AB44" s="637"/>
      <c r="AC44" s="637"/>
      <c r="AD44" s="637"/>
      <c r="AE44" s="637"/>
      <c r="AF44" s="637"/>
      <c r="AG44" s="637"/>
      <c r="AH44" s="637"/>
      <c r="AI44" s="637"/>
      <c r="AJ44" s="637"/>
      <c r="AK44" s="637"/>
      <c r="AL44" s="637"/>
      <c r="AM44" s="637"/>
      <c r="AN44" s="637"/>
      <c r="AO44" s="637"/>
      <c r="AP44" s="637"/>
      <c r="AQ44" s="637"/>
      <c r="AR44" s="637"/>
    </row>
    <row r="45" customFormat="false" ht="14.25" hidden="false" customHeight="false" outlineLevel="0" collapsed="false">
      <c r="A45" s="817" t="s">
        <v>631</v>
      </c>
      <c r="B45" s="814" t="n">
        <v>0.03</v>
      </c>
      <c r="C45" s="794" t="s">
        <v>632</v>
      </c>
      <c r="D45" s="771"/>
      <c r="E45" s="642"/>
      <c r="F45" s="642"/>
      <c r="G45" s="642"/>
      <c r="H45" s="642"/>
      <c r="I45" s="642"/>
      <c r="J45" s="642"/>
      <c r="K45" s="769"/>
      <c r="L45" s="769"/>
      <c r="M45" s="637"/>
      <c r="N45" s="637"/>
      <c r="O45" s="637"/>
      <c r="P45" s="637"/>
      <c r="Q45" s="637"/>
      <c r="R45" s="637"/>
      <c r="S45" s="637"/>
      <c r="T45" s="637"/>
      <c r="U45" s="637"/>
      <c r="V45" s="637"/>
      <c r="W45" s="637"/>
      <c r="X45" s="637"/>
      <c r="Y45" s="637"/>
      <c r="Z45" s="637"/>
      <c r="AA45" s="637"/>
      <c r="AB45" s="637"/>
      <c r="AC45" s="637"/>
      <c r="AD45" s="637"/>
      <c r="AE45" s="637"/>
      <c r="AF45" s="637"/>
      <c r="AG45" s="637"/>
      <c r="AH45" s="637"/>
      <c r="AI45" s="637"/>
      <c r="AJ45" s="637"/>
      <c r="AK45" s="637"/>
      <c r="AL45" s="637"/>
      <c r="AM45" s="637"/>
      <c r="AN45" s="637"/>
      <c r="AO45" s="637"/>
      <c r="AP45" s="637"/>
      <c r="AQ45" s="637"/>
      <c r="AR45" s="637"/>
    </row>
    <row r="46" customFormat="false" ht="14.25" hidden="false" customHeight="false" outlineLevel="0" collapsed="false">
      <c r="A46" s="817" t="s">
        <v>633</v>
      </c>
      <c r="B46" s="814" t="n">
        <v>0.02</v>
      </c>
      <c r="C46" s="794" t="s">
        <v>634</v>
      </c>
      <c r="D46" s="771"/>
      <c r="E46" s="642"/>
      <c r="F46" s="642"/>
      <c r="G46" s="642"/>
      <c r="H46" s="642"/>
      <c r="I46" s="642"/>
      <c r="J46" s="642"/>
      <c r="K46" s="769"/>
      <c r="L46" s="769"/>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row>
    <row r="47" customFormat="false" ht="14.25" hidden="false" customHeight="false" outlineLevel="0" collapsed="false">
      <c r="A47" s="819" t="s">
        <v>635</v>
      </c>
      <c r="B47" s="820"/>
      <c r="C47" s="794" t="s">
        <v>636</v>
      </c>
      <c r="D47" s="771"/>
      <c r="E47" s="642"/>
      <c r="F47" s="642"/>
      <c r="G47" s="642"/>
      <c r="H47" s="642"/>
      <c r="I47" s="642"/>
      <c r="J47" s="642"/>
      <c r="K47" s="769"/>
      <c r="L47" s="769"/>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row>
    <row r="48" customFormat="false" ht="14.25" hidden="false" customHeight="false" outlineLevel="0" collapsed="false">
      <c r="A48" s="821" t="s">
        <v>637</v>
      </c>
      <c r="B48" s="822" t="n">
        <v>0.03</v>
      </c>
      <c r="C48" s="794" t="s">
        <v>632</v>
      </c>
      <c r="D48" s="771"/>
      <c r="E48" s="642"/>
      <c r="F48" s="642"/>
      <c r="G48" s="642"/>
      <c r="H48" s="642"/>
      <c r="I48" s="642"/>
      <c r="J48" s="642"/>
      <c r="K48" s="769"/>
      <c r="L48" s="769"/>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row>
    <row r="49" customFormat="false" ht="14.25" hidden="false" customHeight="false" outlineLevel="0" collapsed="false">
      <c r="A49" s="799" t="s">
        <v>638</v>
      </c>
      <c r="B49" s="814" t="n">
        <v>0.0005</v>
      </c>
      <c r="C49" s="794" t="s">
        <v>639</v>
      </c>
      <c r="D49" s="771"/>
      <c r="E49" s="642"/>
      <c r="F49" s="642"/>
      <c r="G49" s="642"/>
      <c r="H49" s="642"/>
      <c r="I49" s="642"/>
      <c r="J49" s="642"/>
      <c r="K49" s="769"/>
      <c r="L49" s="769"/>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row>
    <row r="50" customFormat="false" ht="14.25" hidden="false" customHeight="false" outlineLevel="0" collapsed="false">
      <c r="A50" s="823" t="s">
        <v>640</v>
      </c>
      <c r="B50" s="824" t="n">
        <v>0.012</v>
      </c>
      <c r="C50" s="529"/>
      <c r="D50" s="771"/>
      <c r="E50" s="642"/>
      <c r="F50" s="642"/>
      <c r="G50" s="642"/>
      <c r="H50" s="642"/>
      <c r="I50" s="642"/>
      <c r="J50" s="642"/>
      <c r="K50" s="769"/>
      <c r="L50" s="769"/>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row>
    <row r="51" customFormat="false" ht="14.25" hidden="false" customHeight="false" outlineLevel="0" collapsed="false">
      <c r="A51" s="792" t="s">
        <v>641</v>
      </c>
      <c r="B51" s="825" t="n">
        <v>0.12</v>
      </c>
      <c r="C51" s="529"/>
      <c r="D51" s="771"/>
      <c r="E51" s="642"/>
      <c r="F51" s="642"/>
      <c r="G51" s="642"/>
      <c r="H51" s="642"/>
      <c r="I51" s="642"/>
      <c r="J51" s="642"/>
      <c r="K51" s="769"/>
      <c r="L51" s="769"/>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row>
    <row r="52" customFormat="false" ht="14.25" hidden="false" customHeight="false" outlineLevel="0" collapsed="false">
      <c r="A52" s="823" t="s">
        <v>642</v>
      </c>
      <c r="B52" s="826" t="n">
        <f aca="false">SUMIF(A54:A63,B53,B54:B63)</f>
        <v>0</v>
      </c>
      <c r="C52" s="529"/>
      <c r="D52" s="771"/>
      <c r="E52" s="642"/>
      <c r="F52" s="642"/>
      <c r="G52" s="642"/>
      <c r="H52" s="642"/>
      <c r="I52" s="642"/>
      <c r="J52" s="642"/>
      <c r="K52" s="769"/>
      <c r="L52" s="769"/>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row>
    <row r="53" customFormat="false" ht="27" hidden="false" customHeight="false" outlineLevel="0" collapsed="false">
      <c r="A53" s="789" t="s">
        <v>643</v>
      </c>
      <c r="B53" s="827"/>
      <c r="C53" s="828" t="s">
        <v>644</v>
      </c>
      <c r="D53" s="774" t="s">
        <v>645</v>
      </c>
      <c r="E53" s="642"/>
      <c r="F53" s="642"/>
      <c r="G53" s="642"/>
      <c r="H53" s="642"/>
      <c r="I53" s="642"/>
      <c r="J53" s="642"/>
      <c r="K53" s="769"/>
      <c r="L53" s="769"/>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row>
    <row r="54" customFormat="false" ht="14.25" hidden="false" customHeight="false" outlineLevel="0" collapsed="false">
      <c r="A54" s="829" t="s">
        <v>226</v>
      </c>
      <c r="B54" s="830"/>
      <c r="C54" s="529" t="n">
        <v>30</v>
      </c>
      <c r="D54" s="771"/>
      <c r="E54" s="642"/>
      <c r="F54" s="642"/>
      <c r="G54" s="642"/>
      <c r="H54" s="642"/>
      <c r="I54" s="642"/>
      <c r="J54" s="642"/>
      <c r="K54" s="769"/>
      <c r="L54" s="769"/>
      <c r="M54" s="637"/>
      <c r="N54" s="637"/>
      <c r="O54" s="637"/>
      <c r="P54" s="637"/>
      <c r="Q54" s="637"/>
      <c r="R54" s="637"/>
      <c r="S54" s="637"/>
      <c r="T54" s="637"/>
      <c r="U54" s="637"/>
      <c r="V54" s="637"/>
      <c r="W54" s="637"/>
      <c r="X54" s="637"/>
      <c r="Y54" s="637"/>
      <c r="Z54" s="637"/>
      <c r="AA54" s="637"/>
      <c r="AB54" s="637"/>
      <c r="AC54" s="637"/>
      <c r="AD54" s="637"/>
      <c r="AE54" s="637"/>
      <c r="AF54" s="637"/>
      <c r="AG54" s="637"/>
      <c r="AH54" s="637"/>
      <c r="AI54" s="637"/>
      <c r="AJ54" s="637"/>
      <c r="AK54" s="637"/>
      <c r="AL54" s="637"/>
      <c r="AM54" s="637"/>
      <c r="AN54" s="637"/>
      <c r="AO54" s="637"/>
      <c r="AP54" s="637"/>
      <c r="AQ54" s="637"/>
      <c r="AR54" s="637"/>
    </row>
    <row r="55" customFormat="false" ht="14.25" hidden="false" customHeight="false" outlineLevel="0" collapsed="false">
      <c r="A55" s="829" t="s">
        <v>237</v>
      </c>
      <c r="B55" s="830"/>
      <c r="C55" s="529" t="n">
        <v>24</v>
      </c>
      <c r="D55" s="771"/>
      <c r="E55" s="642"/>
      <c r="F55" s="642"/>
      <c r="G55" s="642"/>
      <c r="H55" s="642"/>
      <c r="I55" s="831"/>
      <c r="J55" s="642"/>
      <c r="K55" s="769"/>
      <c r="L55" s="769"/>
      <c r="M55" s="637"/>
      <c r="N55" s="637"/>
      <c r="O55" s="637"/>
      <c r="P55" s="637"/>
      <c r="Q55" s="637"/>
      <c r="R55" s="637"/>
      <c r="S55" s="637"/>
      <c r="T55" s="637"/>
      <c r="U55" s="637"/>
      <c r="V55" s="637"/>
      <c r="W55" s="637"/>
      <c r="X55" s="637"/>
      <c r="Y55" s="637"/>
      <c r="Z55" s="637"/>
      <c r="AA55" s="637"/>
      <c r="AB55" s="637"/>
      <c r="AC55" s="637"/>
      <c r="AD55" s="637"/>
      <c r="AE55" s="637"/>
      <c r="AF55" s="637"/>
      <c r="AG55" s="637"/>
      <c r="AH55" s="637"/>
      <c r="AI55" s="637"/>
      <c r="AJ55" s="637"/>
      <c r="AK55" s="637"/>
      <c r="AL55" s="637"/>
      <c r="AM55" s="637"/>
      <c r="AN55" s="637"/>
      <c r="AO55" s="637"/>
      <c r="AP55" s="637"/>
      <c r="AQ55" s="637"/>
      <c r="AR55" s="637"/>
    </row>
    <row r="56" customFormat="false" ht="14.25" hidden="false" customHeight="false" outlineLevel="0" collapsed="false">
      <c r="A56" s="829" t="s">
        <v>247</v>
      </c>
      <c r="B56" s="830"/>
      <c r="C56" s="529" t="n">
        <v>18</v>
      </c>
      <c r="D56" s="771"/>
      <c r="E56" s="642"/>
      <c r="F56" s="642"/>
      <c r="G56" s="642"/>
      <c r="H56" s="642"/>
      <c r="I56" s="642"/>
      <c r="J56" s="642"/>
      <c r="K56" s="769"/>
      <c r="L56" s="769"/>
      <c r="M56" s="637"/>
      <c r="N56" s="637"/>
      <c r="O56" s="637"/>
      <c r="P56" s="637"/>
      <c r="Q56" s="637"/>
      <c r="R56" s="637"/>
      <c r="S56" s="637"/>
      <c r="T56" s="637"/>
      <c r="U56" s="637"/>
      <c r="V56" s="637"/>
      <c r="W56" s="637"/>
      <c r="X56" s="637"/>
      <c r="Y56" s="637"/>
      <c r="Z56" s="637"/>
      <c r="AA56" s="637"/>
      <c r="AB56" s="637"/>
      <c r="AC56" s="637"/>
      <c r="AD56" s="637"/>
      <c r="AE56" s="637"/>
      <c r="AF56" s="637"/>
      <c r="AG56" s="637"/>
      <c r="AH56" s="637"/>
      <c r="AI56" s="637"/>
      <c r="AJ56" s="637"/>
      <c r="AK56" s="637"/>
      <c r="AL56" s="637"/>
      <c r="AM56" s="637"/>
      <c r="AN56" s="637"/>
      <c r="AO56" s="637"/>
      <c r="AP56" s="637"/>
      <c r="AQ56" s="637"/>
      <c r="AR56" s="637"/>
    </row>
    <row r="57" customFormat="false" ht="14.25" hidden="false" customHeight="false" outlineLevel="0" collapsed="false">
      <c r="A57" s="829" t="s">
        <v>255</v>
      </c>
      <c r="B57" s="830"/>
      <c r="C57" s="529" t="n">
        <v>12</v>
      </c>
      <c r="D57" s="771"/>
      <c r="E57" s="642"/>
      <c r="F57" s="642"/>
      <c r="G57" s="642"/>
      <c r="H57" s="642"/>
      <c r="I57" s="642"/>
      <c r="J57" s="642"/>
      <c r="K57" s="769"/>
      <c r="L57" s="769"/>
      <c r="M57" s="637"/>
      <c r="N57" s="637"/>
      <c r="O57" s="637"/>
      <c r="P57" s="637"/>
      <c r="Q57" s="637"/>
      <c r="R57" s="637"/>
      <c r="S57" s="637"/>
      <c r="T57" s="637"/>
      <c r="U57" s="637"/>
      <c r="V57" s="637"/>
      <c r="W57" s="637"/>
      <c r="X57" s="637"/>
      <c r="Y57" s="637"/>
      <c r="Z57" s="637"/>
      <c r="AA57" s="637"/>
      <c r="AB57" s="637"/>
      <c r="AC57" s="637"/>
      <c r="AD57" s="637"/>
      <c r="AE57" s="637"/>
      <c r="AF57" s="637"/>
      <c r="AG57" s="637"/>
      <c r="AH57" s="637"/>
      <c r="AI57" s="637"/>
      <c r="AJ57" s="637"/>
      <c r="AK57" s="637"/>
      <c r="AL57" s="637"/>
      <c r="AM57" s="637"/>
      <c r="AN57" s="637"/>
      <c r="AO57" s="637"/>
      <c r="AP57" s="637"/>
      <c r="AQ57" s="637"/>
      <c r="AR57" s="637"/>
    </row>
    <row r="58" customFormat="false" ht="14.25" hidden="false" customHeight="false" outlineLevel="0" collapsed="false">
      <c r="A58" s="829" t="s">
        <v>263</v>
      </c>
      <c r="B58" s="830"/>
      <c r="C58" s="529" t="n">
        <v>3</v>
      </c>
      <c r="D58" s="771"/>
      <c r="E58" s="642"/>
      <c r="F58" s="642"/>
      <c r="G58" s="642"/>
      <c r="H58" s="642"/>
      <c r="I58" s="642"/>
      <c r="J58" s="642"/>
      <c r="K58" s="769"/>
      <c r="L58" s="769"/>
      <c r="M58" s="637"/>
      <c r="N58" s="637"/>
      <c r="O58" s="637"/>
      <c r="P58" s="637"/>
      <c r="Q58" s="637"/>
      <c r="R58" s="637"/>
      <c r="S58" s="637"/>
      <c r="T58" s="637"/>
      <c r="U58" s="637"/>
      <c r="V58" s="637"/>
      <c r="W58" s="637"/>
      <c r="X58" s="637"/>
      <c r="Y58" s="637"/>
      <c r="Z58" s="637"/>
      <c r="AA58" s="637"/>
      <c r="AB58" s="637"/>
      <c r="AC58" s="637"/>
      <c r="AD58" s="637"/>
      <c r="AE58" s="637"/>
      <c r="AF58" s="637"/>
      <c r="AG58" s="637"/>
      <c r="AH58" s="637"/>
      <c r="AI58" s="637"/>
      <c r="AJ58" s="637"/>
      <c r="AK58" s="637"/>
      <c r="AL58" s="637"/>
      <c r="AM58" s="637"/>
      <c r="AN58" s="637"/>
      <c r="AO58" s="637"/>
      <c r="AP58" s="637"/>
      <c r="AQ58" s="637"/>
      <c r="AR58" s="637"/>
    </row>
    <row r="59" customFormat="false" ht="14.25" hidden="false" customHeight="false" outlineLevel="0" collapsed="false">
      <c r="A59" s="829" t="s">
        <v>269</v>
      </c>
      <c r="B59" s="830"/>
      <c r="C59" s="529" t="n">
        <v>1.5</v>
      </c>
      <c r="D59" s="771"/>
      <c r="E59" s="642"/>
      <c r="F59" s="642"/>
      <c r="G59" s="642"/>
      <c r="H59" s="642"/>
      <c r="I59" s="642"/>
      <c r="J59" s="642"/>
      <c r="K59" s="769"/>
      <c r="L59" s="769"/>
      <c r="M59" s="637"/>
      <c r="N59" s="637"/>
      <c r="O59" s="637"/>
      <c r="P59" s="637"/>
      <c r="Q59" s="637"/>
      <c r="R59" s="637"/>
      <c r="S59" s="637"/>
      <c r="T59" s="637"/>
      <c r="U59" s="637"/>
      <c r="V59" s="637"/>
      <c r="W59" s="637"/>
      <c r="X59" s="637"/>
      <c r="Y59" s="637"/>
      <c r="Z59" s="637"/>
      <c r="AA59" s="637"/>
      <c r="AB59" s="637"/>
      <c r="AC59" s="637"/>
      <c r="AD59" s="637"/>
      <c r="AE59" s="637"/>
      <c r="AF59" s="637"/>
      <c r="AG59" s="637"/>
      <c r="AH59" s="637"/>
      <c r="AI59" s="637"/>
      <c r="AJ59" s="637"/>
      <c r="AK59" s="637"/>
      <c r="AL59" s="637"/>
      <c r="AM59" s="637"/>
      <c r="AN59" s="637"/>
      <c r="AO59" s="637"/>
      <c r="AP59" s="637"/>
      <c r="AQ59" s="637"/>
      <c r="AR59" s="637"/>
    </row>
    <row r="60" customFormat="false" ht="14.25" hidden="false" customHeight="false" outlineLevel="0" collapsed="false">
      <c r="A60" s="829" t="s">
        <v>274</v>
      </c>
      <c r="B60" s="830"/>
      <c r="C60" s="642"/>
      <c r="D60" s="771"/>
      <c r="E60" s="642"/>
      <c r="F60" s="642"/>
      <c r="G60" s="642"/>
      <c r="H60" s="642"/>
      <c r="I60" s="642"/>
      <c r="J60" s="642"/>
      <c r="K60" s="769"/>
      <c r="L60" s="769"/>
      <c r="M60" s="637"/>
      <c r="N60" s="637"/>
      <c r="O60" s="637"/>
      <c r="P60" s="637"/>
      <c r="Q60" s="637"/>
      <c r="R60" s="637"/>
      <c r="S60" s="637"/>
      <c r="T60" s="637"/>
      <c r="U60" s="637"/>
      <c r="V60" s="637"/>
      <c r="W60" s="637"/>
      <c r="X60" s="637"/>
      <c r="Y60" s="637"/>
      <c r="Z60" s="637"/>
      <c r="AA60" s="637"/>
      <c r="AB60" s="637"/>
      <c r="AC60" s="637"/>
      <c r="AD60" s="637"/>
      <c r="AE60" s="637"/>
      <c r="AF60" s="637"/>
      <c r="AG60" s="637"/>
      <c r="AH60" s="637"/>
      <c r="AI60" s="637"/>
      <c r="AJ60" s="637"/>
      <c r="AK60" s="637"/>
      <c r="AL60" s="637"/>
      <c r="AM60" s="637"/>
      <c r="AN60" s="637"/>
      <c r="AO60" s="637"/>
      <c r="AP60" s="637"/>
      <c r="AQ60" s="637"/>
      <c r="AR60" s="637"/>
    </row>
    <row r="61" customFormat="false" ht="14.25" hidden="false" customHeight="false" outlineLevel="0" collapsed="false">
      <c r="A61" s="829" t="s">
        <v>280</v>
      </c>
      <c r="B61" s="830"/>
      <c r="C61" s="642"/>
      <c r="D61" s="771"/>
      <c r="E61" s="642"/>
      <c r="F61" s="642"/>
      <c r="G61" s="642"/>
      <c r="H61" s="642"/>
      <c r="I61" s="642"/>
      <c r="J61" s="642"/>
      <c r="K61" s="769"/>
      <c r="L61" s="769"/>
      <c r="M61" s="637"/>
      <c r="N61" s="637"/>
      <c r="O61" s="637"/>
      <c r="P61" s="637"/>
      <c r="Q61" s="637"/>
      <c r="R61" s="637"/>
      <c r="S61" s="637"/>
      <c r="T61" s="637"/>
      <c r="U61" s="637"/>
      <c r="V61" s="637"/>
      <c r="W61" s="637"/>
      <c r="X61" s="637"/>
      <c r="Y61" s="637"/>
      <c r="Z61" s="637"/>
      <c r="AA61" s="637"/>
      <c r="AB61" s="637"/>
      <c r="AC61" s="637"/>
      <c r="AD61" s="637"/>
      <c r="AE61" s="637"/>
      <c r="AF61" s="637"/>
      <c r="AG61" s="637"/>
      <c r="AH61" s="637"/>
      <c r="AI61" s="637"/>
      <c r="AJ61" s="637"/>
      <c r="AK61" s="637"/>
      <c r="AL61" s="637"/>
      <c r="AM61" s="637"/>
      <c r="AN61" s="637"/>
      <c r="AO61" s="637"/>
      <c r="AP61" s="637"/>
      <c r="AQ61" s="637"/>
      <c r="AR61" s="637"/>
    </row>
    <row r="62" customFormat="false" ht="14.25" hidden="false" customHeight="false" outlineLevel="0" collapsed="false">
      <c r="A62" s="829" t="s">
        <v>284</v>
      </c>
      <c r="B62" s="830"/>
      <c r="C62" s="642"/>
      <c r="D62" s="771"/>
      <c r="E62" s="642"/>
      <c r="F62" s="642"/>
      <c r="G62" s="642"/>
      <c r="H62" s="642"/>
      <c r="I62" s="642"/>
      <c r="J62" s="642"/>
      <c r="K62" s="769"/>
      <c r="L62" s="769"/>
      <c r="M62" s="637"/>
      <c r="N62" s="637"/>
      <c r="O62" s="637"/>
      <c r="P62" s="637"/>
      <c r="Q62" s="637"/>
      <c r="R62" s="637"/>
      <c r="S62" s="637"/>
      <c r="T62" s="637"/>
      <c r="U62" s="637"/>
      <c r="V62" s="637"/>
      <c r="W62" s="637"/>
      <c r="X62" s="637"/>
      <c r="Y62" s="637"/>
      <c r="Z62" s="637"/>
      <c r="AA62" s="637"/>
      <c r="AB62" s="637"/>
      <c r="AC62" s="637"/>
      <c r="AD62" s="637"/>
      <c r="AE62" s="637"/>
      <c r="AF62" s="637"/>
      <c r="AG62" s="637"/>
      <c r="AH62" s="637"/>
      <c r="AI62" s="637"/>
      <c r="AJ62" s="637"/>
      <c r="AK62" s="637"/>
      <c r="AL62" s="637"/>
      <c r="AM62" s="637"/>
      <c r="AN62" s="637"/>
      <c r="AO62" s="637"/>
      <c r="AP62" s="637"/>
      <c r="AQ62" s="637"/>
      <c r="AR62" s="637"/>
    </row>
    <row r="63" customFormat="false" ht="14.25" hidden="false" customHeight="false" outlineLevel="0" collapsed="false">
      <c r="A63" s="832" t="s">
        <v>288</v>
      </c>
      <c r="B63" s="833"/>
      <c r="C63" s="642"/>
      <c r="D63" s="771"/>
      <c r="E63" s="642"/>
      <c r="F63" s="642"/>
      <c r="G63" s="642"/>
      <c r="H63" s="642"/>
      <c r="I63" s="642"/>
      <c r="J63" s="642"/>
      <c r="K63" s="769"/>
      <c r="L63" s="769"/>
      <c r="M63" s="637"/>
      <c r="N63" s="637"/>
      <c r="O63" s="637"/>
      <c r="P63" s="637"/>
      <c r="Q63" s="637"/>
      <c r="R63" s="637"/>
      <c r="S63" s="637"/>
      <c r="T63" s="637"/>
      <c r="U63" s="637"/>
      <c r="V63" s="637"/>
      <c r="W63" s="637"/>
      <c r="X63" s="637"/>
      <c r="Y63" s="637"/>
      <c r="Z63" s="637"/>
      <c r="AA63" s="637"/>
      <c r="AB63" s="637"/>
      <c r="AC63" s="637"/>
      <c r="AD63" s="637"/>
      <c r="AE63" s="637"/>
      <c r="AF63" s="637"/>
      <c r="AG63" s="637"/>
      <c r="AH63" s="637"/>
      <c r="AI63" s="637"/>
      <c r="AJ63" s="637"/>
      <c r="AK63" s="637"/>
      <c r="AL63" s="637"/>
      <c r="AM63" s="637"/>
      <c r="AN63" s="637"/>
      <c r="AO63" s="637"/>
      <c r="AP63" s="637"/>
      <c r="AQ63" s="637"/>
      <c r="AR63" s="637"/>
    </row>
    <row r="64" s="637" customFormat="true" ht="12.75" hidden="false" customHeight="false" outlineLevel="0" collapsed="false">
      <c r="A64" s="257"/>
      <c r="D64" s="768"/>
      <c r="K64" s="769"/>
      <c r="L64" s="769"/>
    </row>
    <row r="65" s="637" customFormat="true" ht="12.75" hidden="false" customHeight="false" outlineLevel="0" collapsed="false">
      <c r="A65" s="257"/>
      <c r="D65" s="768"/>
      <c r="K65" s="769"/>
      <c r="L65" s="769"/>
    </row>
    <row r="66" s="637" customFormat="true" ht="12.75" hidden="false" customHeight="false" outlineLevel="0" collapsed="false">
      <c r="A66" s="257"/>
      <c r="D66" s="768"/>
      <c r="K66" s="769"/>
      <c r="L66" s="769"/>
    </row>
    <row r="67" s="637" customFormat="true" ht="12.75" hidden="false" customHeight="false" outlineLevel="0" collapsed="false">
      <c r="A67" s="257"/>
      <c r="D67" s="768"/>
      <c r="K67" s="769"/>
      <c r="L67" s="769"/>
    </row>
    <row r="68" s="637" customFormat="true" ht="12.75" hidden="false" customHeight="false" outlineLevel="0" collapsed="false">
      <c r="A68" s="257"/>
      <c r="D68" s="768"/>
      <c r="K68" s="769"/>
      <c r="L68" s="769"/>
    </row>
    <row r="69" s="637" customFormat="true" ht="12.75" hidden="false" customHeight="false" outlineLevel="0" collapsed="false">
      <c r="A69" s="257"/>
      <c r="D69" s="768"/>
      <c r="K69" s="769"/>
      <c r="L69" s="769"/>
    </row>
    <row r="70" s="637" customFormat="true" ht="12.75" hidden="false" customHeight="false" outlineLevel="0" collapsed="false">
      <c r="A70" s="257"/>
      <c r="D70" s="768"/>
      <c r="K70" s="769"/>
      <c r="L70" s="769"/>
    </row>
    <row r="71" s="637" customFormat="true" ht="12.75" hidden="false" customHeight="false" outlineLevel="0" collapsed="false">
      <c r="A71" s="257"/>
      <c r="D71" s="768"/>
      <c r="K71" s="769"/>
      <c r="L71" s="769"/>
    </row>
    <row r="72" s="637" customFormat="true" ht="12.75" hidden="false" customHeight="false" outlineLevel="0" collapsed="false">
      <c r="A72" s="257"/>
      <c r="D72" s="768"/>
      <c r="K72" s="769"/>
      <c r="L72" s="769"/>
    </row>
    <row r="73" s="637" customFormat="true" ht="12.75" hidden="false" customHeight="false" outlineLevel="0" collapsed="false">
      <c r="A73" s="257"/>
      <c r="D73" s="768"/>
      <c r="K73" s="769"/>
      <c r="L73" s="769"/>
    </row>
    <row r="74" s="637" customFormat="true" ht="12.75" hidden="false" customHeight="false" outlineLevel="0" collapsed="false">
      <c r="A74" s="257"/>
      <c r="D74" s="768"/>
      <c r="K74" s="769"/>
      <c r="L74" s="769"/>
    </row>
    <row r="75" s="637" customFormat="true" ht="12.75" hidden="false" customHeight="false" outlineLevel="0" collapsed="false">
      <c r="A75" s="257"/>
      <c r="D75" s="768"/>
      <c r="K75" s="769"/>
      <c r="L75" s="769"/>
    </row>
    <row r="76" s="637" customFormat="true" ht="12.75" hidden="false" customHeight="false" outlineLevel="0" collapsed="false">
      <c r="A76" s="257"/>
      <c r="D76" s="768"/>
      <c r="K76" s="769"/>
      <c r="L76" s="769"/>
    </row>
    <row r="77" s="637" customFormat="true" ht="12.75" hidden="false" customHeight="false" outlineLevel="0" collapsed="false">
      <c r="A77" s="257"/>
      <c r="D77" s="768"/>
      <c r="K77" s="769"/>
      <c r="L77" s="769"/>
    </row>
    <row r="78" s="637" customFormat="true" ht="12.75" hidden="false" customHeight="false" outlineLevel="0" collapsed="false">
      <c r="A78" s="257"/>
      <c r="D78" s="768"/>
      <c r="K78" s="769"/>
      <c r="L78" s="769"/>
    </row>
    <row r="79" s="637" customFormat="true" ht="12.75" hidden="false" customHeight="false" outlineLevel="0" collapsed="false">
      <c r="A79" s="257"/>
      <c r="D79" s="768"/>
      <c r="K79" s="769"/>
      <c r="L79" s="769"/>
    </row>
    <row r="80" s="637" customFormat="true" ht="12.75" hidden="false" customHeight="false" outlineLevel="0" collapsed="false">
      <c r="A80" s="257"/>
      <c r="D80" s="768"/>
      <c r="K80" s="769"/>
      <c r="L80" s="769"/>
    </row>
    <row r="81" s="637" customFormat="true" ht="12.75" hidden="false" customHeight="false" outlineLevel="0" collapsed="false">
      <c r="A81" s="257"/>
      <c r="D81" s="768"/>
      <c r="K81" s="769"/>
      <c r="L81" s="769"/>
    </row>
    <row r="82" s="637" customFormat="true" ht="12.75" hidden="false" customHeight="false" outlineLevel="0" collapsed="false">
      <c r="A82" s="257"/>
      <c r="D82" s="768"/>
      <c r="K82" s="769"/>
      <c r="L82" s="769"/>
    </row>
    <row r="83" s="637" customFormat="true" ht="12.75" hidden="false" customHeight="false" outlineLevel="0" collapsed="false">
      <c r="A83" s="257"/>
      <c r="D83" s="768"/>
      <c r="K83" s="769"/>
      <c r="L83" s="769"/>
    </row>
    <row r="84" s="637" customFormat="true" ht="12.75" hidden="false" customHeight="false" outlineLevel="0" collapsed="false">
      <c r="A84" s="257"/>
      <c r="D84" s="768"/>
      <c r="K84" s="769"/>
      <c r="L84" s="769"/>
    </row>
    <row r="85" s="637" customFormat="true" ht="12.75" hidden="false" customHeight="false" outlineLevel="0" collapsed="false">
      <c r="A85" s="257"/>
      <c r="D85" s="768"/>
      <c r="K85" s="769"/>
      <c r="L85" s="769"/>
    </row>
    <row r="86" s="637" customFormat="true" ht="12.75" hidden="false" customHeight="false" outlineLevel="0" collapsed="false">
      <c r="A86" s="257"/>
      <c r="D86" s="768"/>
      <c r="K86" s="769"/>
      <c r="L86" s="769"/>
    </row>
    <row r="87" s="637" customFormat="true" ht="12.75" hidden="false" customHeight="false" outlineLevel="0" collapsed="false">
      <c r="A87" s="257"/>
      <c r="D87" s="768"/>
      <c r="K87" s="769"/>
      <c r="L87" s="769"/>
    </row>
    <row r="88" s="637" customFormat="true" ht="12.75" hidden="false" customHeight="false" outlineLevel="0" collapsed="false">
      <c r="A88" s="257"/>
      <c r="D88" s="768"/>
      <c r="K88" s="769"/>
      <c r="L88" s="769"/>
    </row>
    <row r="89" s="637" customFormat="true" ht="12.75" hidden="false" customHeight="false" outlineLevel="0" collapsed="false">
      <c r="A89" s="257"/>
      <c r="D89" s="768"/>
      <c r="K89" s="769"/>
      <c r="L89" s="769"/>
    </row>
    <row r="90" s="637" customFormat="true" ht="12.75" hidden="false" customHeight="false" outlineLevel="0" collapsed="false">
      <c r="A90" s="257"/>
      <c r="D90" s="768"/>
      <c r="K90" s="769"/>
      <c r="L90" s="769"/>
    </row>
    <row r="91" s="637" customFormat="true" ht="12.75" hidden="false" customHeight="false" outlineLevel="0" collapsed="false">
      <c r="A91" s="257"/>
      <c r="D91" s="768"/>
      <c r="K91" s="769"/>
      <c r="L91" s="769"/>
    </row>
    <row r="92" s="637" customFormat="true" ht="12.75" hidden="false" customHeight="false" outlineLevel="0" collapsed="false">
      <c r="A92" s="257"/>
      <c r="D92" s="768"/>
      <c r="K92" s="769"/>
      <c r="L92" s="769"/>
    </row>
    <row r="93" s="637" customFormat="true" ht="12.75" hidden="false" customHeight="false" outlineLevel="0" collapsed="false">
      <c r="A93" s="257"/>
      <c r="D93" s="768"/>
      <c r="K93" s="769"/>
      <c r="L93" s="769"/>
    </row>
    <row r="94" s="637" customFormat="true" ht="12.75" hidden="false" customHeight="false" outlineLevel="0" collapsed="false">
      <c r="A94" s="257"/>
      <c r="D94" s="768"/>
      <c r="K94" s="769"/>
      <c r="L94" s="769"/>
    </row>
    <row r="95" s="637" customFormat="true" ht="12.75" hidden="false" customHeight="false" outlineLevel="0" collapsed="false">
      <c r="A95" s="257"/>
      <c r="D95" s="768"/>
      <c r="K95" s="769"/>
      <c r="L95" s="769"/>
    </row>
    <row r="96" s="637" customFormat="true" ht="12.75" hidden="false" customHeight="false" outlineLevel="0" collapsed="false">
      <c r="A96" s="257"/>
      <c r="D96" s="768"/>
      <c r="K96" s="769"/>
      <c r="L96" s="769"/>
    </row>
    <row r="97" s="637" customFormat="true" ht="12.75" hidden="false" customHeight="false" outlineLevel="0" collapsed="false">
      <c r="A97" s="257"/>
      <c r="D97" s="768"/>
      <c r="K97" s="769"/>
      <c r="L97" s="769"/>
    </row>
    <row r="98" s="637" customFormat="true" ht="12.75" hidden="false" customHeight="false" outlineLevel="0" collapsed="false">
      <c r="A98" s="257"/>
      <c r="D98" s="768"/>
      <c r="K98" s="769"/>
      <c r="L98" s="769"/>
    </row>
    <row r="99" s="637" customFormat="true" ht="12.75" hidden="false" customHeight="false" outlineLevel="0" collapsed="false">
      <c r="A99" s="257"/>
      <c r="D99" s="768"/>
      <c r="K99" s="769"/>
      <c r="L99" s="769"/>
    </row>
    <row r="100" s="637" customFormat="true" ht="12.75" hidden="false" customHeight="false" outlineLevel="0" collapsed="false">
      <c r="A100" s="257"/>
      <c r="D100" s="768"/>
      <c r="K100" s="769"/>
      <c r="L100" s="769"/>
    </row>
    <row r="101" s="637" customFormat="true" ht="12.75" hidden="false" customHeight="false" outlineLevel="0" collapsed="false">
      <c r="A101" s="257"/>
      <c r="D101" s="768"/>
      <c r="K101" s="769"/>
      <c r="L101" s="769"/>
    </row>
    <row r="102" s="637" customFormat="true" ht="12.75" hidden="false" customHeight="false" outlineLevel="0" collapsed="false">
      <c r="A102" s="257"/>
      <c r="D102" s="768"/>
      <c r="K102" s="769"/>
      <c r="L102" s="769"/>
    </row>
    <row r="103" s="637" customFormat="true" ht="12.75" hidden="false" customHeight="false" outlineLevel="0" collapsed="false">
      <c r="A103" s="257"/>
      <c r="D103" s="768"/>
      <c r="K103" s="769"/>
      <c r="L103" s="769"/>
    </row>
    <row r="104" s="637" customFormat="true" ht="12.75" hidden="false" customHeight="false" outlineLevel="0" collapsed="false">
      <c r="A104" s="257"/>
      <c r="D104" s="768"/>
      <c r="K104" s="769"/>
      <c r="L104" s="769"/>
    </row>
    <row r="105" s="637" customFormat="true" ht="12.75" hidden="false" customHeight="false" outlineLevel="0" collapsed="false">
      <c r="A105" s="257"/>
      <c r="D105" s="768"/>
      <c r="K105" s="769"/>
      <c r="L105" s="769"/>
    </row>
    <row r="106" s="637" customFormat="true" ht="12.75" hidden="false" customHeight="false" outlineLevel="0" collapsed="false">
      <c r="A106" s="257"/>
      <c r="D106" s="768"/>
      <c r="K106" s="769"/>
      <c r="L106" s="769"/>
    </row>
    <row r="107" s="637" customFormat="true" ht="12.75" hidden="false" customHeight="false" outlineLevel="0" collapsed="false">
      <c r="A107" s="257"/>
      <c r="D107" s="768"/>
      <c r="K107" s="769"/>
      <c r="L107" s="769"/>
    </row>
    <row r="108" s="637" customFormat="true" ht="12.75" hidden="false" customHeight="false" outlineLevel="0" collapsed="false">
      <c r="A108" s="257"/>
      <c r="D108" s="768"/>
      <c r="K108" s="769"/>
      <c r="L108" s="769"/>
    </row>
    <row r="109" s="637" customFormat="true" ht="12.75" hidden="false" customHeight="false" outlineLevel="0" collapsed="false">
      <c r="A109" s="257"/>
      <c r="D109" s="768"/>
      <c r="K109" s="769"/>
      <c r="L109" s="769"/>
    </row>
    <row r="110" s="637" customFormat="true" ht="12.75" hidden="false" customHeight="false" outlineLevel="0" collapsed="false">
      <c r="A110" s="257"/>
      <c r="D110" s="768"/>
      <c r="K110" s="769"/>
      <c r="L110" s="769"/>
    </row>
    <row r="111" s="637" customFormat="true" ht="12.75" hidden="false" customHeight="false" outlineLevel="0" collapsed="false">
      <c r="A111" s="257"/>
      <c r="D111" s="768"/>
      <c r="K111" s="769"/>
      <c r="L111" s="769"/>
    </row>
    <row r="112" s="637" customFormat="true" ht="12.75" hidden="false" customHeight="false" outlineLevel="0" collapsed="false">
      <c r="A112" s="257"/>
      <c r="D112" s="768"/>
      <c r="K112" s="769"/>
      <c r="L112" s="769"/>
    </row>
    <row r="113" s="637" customFormat="true" ht="12.75" hidden="false" customHeight="false" outlineLevel="0" collapsed="false">
      <c r="A113" s="257"/>
      <c r="D113" s="768"/>
      <c r="K113" s="769"/>
      <c r="L113" s="769"/>
    </row>
    <row r="114" s="637" customFormat="true" ht="12.75" hidden="false" customHeight="false" outlineLevel="0" collapsed="false">
      <c r="A114" s="257"/>
      <c r="D114" s="768"/>
      <c r="K114" s="769"/>
      <c r="L114" s="769"/>
    </row>
    <row r="115" s="637" customFormat="true" ht="12.75" hidden="false" customHeight="false" outlineLevel="0" collapsed="false">
      <c r="A115" s="257"/>
      <c r="D115" s="768"/>
      <c r="K115" s="769"/>
      <c r="L115" s="769"/>
    </row>
    <row r="116" s="637" customFormat="true" ht="12.75" hidden="false" customHeight="false" outlineLevel="0" collapsed="false">
      <c r="A116" s="257"/>
      <c r="D116" s="768"/>
      <c r="K116" s="769"/>
      <c r="L116" s="769"/>
    </row>
    <row r="117" s="637" customFormat="true" ht="12.75" hidden="false" customHeight="false" outlineLevel="0" collapsed="false">
      <c r="A117" s="257"/>
      <c r="D117" s="768"/>
      <c r="K117" s="769"/>
      <c r="L117" s="769"/>
    </row>
    <row r="118" s="637" customFormat="true" ht="12.75" hidden="false" customHeight="false" outlineLevel="0" collapsed="false">
      <c r="A118" s="257"/>
      <c r="D118" s="768"/>
      <c r="K118" s="769"/>
      <c r="L118" s="769"/>
    </row>
    <row r="119" s="637" customFormat="true" ht="12.75" hidden="false" customHeight="false" outlineLevel="0" collapsed="false">
      <c r="A119" s="257"/>
      <c r="D119" s="768"/>
      <c r="K119" s="769"/>
      <c r="L119" s="769"/>
    </row>
    <row r="120" s="637" customFormat="true" ht="12.75" hidden="false" customHeight="false" outlineLevel="0" collapsed="false">
      <c r="A120" s="257"/>
      <c r="D120" s="768"/>
      <c r="K120" s="769"/>
      <c r="L120" s="769"/>
    </row>
    <row r="121" s="637" customFormat="true" ht="12.75" hidden="false" customHeight="false" outlineLevel="0" collapsed="false">
      <c r="A121" s="257"/>
      <c r="D121" s="768"/>
      <c r="K121" s="769"/>
      <c r="L121" s="769"/>
    </row>
    <row r="122" s="637" customFormat="true" ht="12.75" hidden="false" customHeight="false" outlineLevel="0" collapsed="false">
      <c r="A122" s="257"/>
      <c r="D122" s="768"/>
      <c r="K122" s="769"/>
      <c r="L122" s="769"/>
    </row>
    <row r="123" s="637" customFormat="true" ht="12.75" hidden="false" customHeight="false" outlineLevel="0" collapsed="false">
      <c r="A123" s="257"/>
      <c r="D123" s="768"/>
      <c r="K123" s="769"/>
      <c r="L123" s="769"/>
    </row>
    <row r="124" s="637" customFormat="true" ht="12.75" hidden="false" customHeight="false" outlineLevel="0" collapsed="false">
      <c r="A124" s="257"/>
      <c r="D124" s="768"/>
      <c r="K124" s="769"/>
      <c r="L124" s="769"/>
    </row>
    <row r="125" s="637" customFormat="true" ht="12.75" hidden="false" customHeight="false" outlineLevel="0" collapsed="false">
      <c r="A125" s="257"/>
      <c r="D125" s="768"/>
      <c r="K125" s="769"/>
      <c r="L125" s="769"/>
    </row>
    <row r="126" s="637" customFormat="true" ht="12.75" hidden="false" customHeight="false" outlineLevel="0" collapsed="false">
      <c r="A126" s="257"/>
      <c r="D126" s="768"/>
      <c r="K126" s="769"/>
      <c r="L126" s="769"/>
    </row>
    <row r="127" s="637" customFormat="true" ht="12.75" hidden="false" customHeight="false" outlineLevel="0" collapsed="false">
      <c r="A127" s="257"/>
      <c r="D127" s="768"/>
      <c r="K127" s="769"/>
      <c r="L127" s="769"/>
    </row>
    <row r="128" s="637" customFormat="true" ht="12.75" hidden="false" customHeight="false" outlineLevel="0" collapsed="false">
      <c r="A128" s="257"/>
      <c r="D128" s="768"/>
      <c r="K128" s="769"/>
      <c r="L128" s="769"/>
    </row>
    <row r="129" s="637" customFormat="true" ht="12.75" hidden="false" customHeight="false" outlineLevel="0" collapsed="false">
      <c r="A129" s="257"/>
      <c r="D129" s="768"/>
      <c r="K129" s="769"/>
      <c r="L129" s="769"/>
    </row>
    <row r="130" s="637" customFormat="true" ht="12.75" hidden="false" customHeight="false" outlineLevel="0" collapsed="false">
      <c r="A130" s="257"/>
      <c r="D130" s="768"/>
      <c r="K130" s="769"/>
      <c r="L130" s="769"/>
    </row>
    <row r="131" s="637" customFormat="true" ht="12.75" hidden="false" customHeight="false" outlineLevel="0" collapsed="false">
      <c r="A131" s="257"/>
      <c r="D131" s="768"/>
      <c r="K131" s="769"/>
      <c r="L131" s="769"/>
    </row>
    <row r="132" s="637" customFormat="true" ht="12.75" hidden="false" customHeight="false" outlineLevel="0" collapsed="false">
      <c r="A132" s="257"/>
      <c r="D132" s="768"/>
      <c r="K132" s="769"/>
      <c r="L132" s="769"/>
    </row>
    <row r="133" s="637" customFormat="true" ht="12.75" hidden="false" customHeight="false" outlineLevel="0" collapsed="false">
      <c r="A133" s="257"/>
      <c r="D133" s="768"/>
      <c r="K133" s="769"/>
      <c r="L133" s="769"/>
    </row>
    <row r="134" s="631" customFormat="true" ht="12.75" hidden="false" customHeight="false" outlineLevel="0" collapsed="false">
      <c r="A134" s="226"/>
      <c r="D134" s="834"/>
      <c r="K134" s="835"/>
      <c r="L134" s="835"/>
    </row>
    <row r="135" s="631" customFormat="true" ht="12.75" hidden="false" customHeight="false" outlineLevel="0" collapsed="false">
      <c r="A135" s="226"/>
      <c r="D135" s="834"/>
      <c r="K135" s="835"/>
      <c r="L135" s="835"/>
    </row>
    <row r="136" s="631" customFormat="true" ht="12.75" hidden="false" customHeight="false" outlineLevel="0" collapsed="false">
      <c r="A136" s="226"/>
      <c r="D136" s="834"/>
      <c r="K136" s="835"/>
      <c r="L136" s="835"/>
    </row>
    <row r="137" s="631" customFormat="true" ht="12.75" hidden="false" customHeight="false" outlineLevel="0" collapsed="false">
      <c r="A137" s="226"/>
      <c r="D137" s="834"/>
      <c r="K137" s="835"/>
      <c r="L137" s="835"/>
    </row>
    <row r="138" s="631" customFormat="true" ht="12.75" hidden="false" customHeight="false" outlineLevel="0" collapsed="false">
      <c r="A138" s="226"/>
      <c r="D138" s="834"/>
      <c r="K138" s="835"/>
      <c r="L138" s="835"/>
    </row>
    <row r="139" s="631" customFormat="true" ht="12.75" hidden="false" customHeight="false" outlineLevel="0" collapsed="false">
      <c r="A139" s="226"/>
      <c r="D139" s="834"/>
      <c r="K139" s="835"/>
      <c r="L139" s="835"/>
    </row>
    <row r="140" s="631" customFormat="true" ht="12.75" hidden="false" customHeight="false" outlineLevel="0" collapsed="false">
      <c r="A140" s="226"/>
      <c r="D140" s="834"/>
      <c r="K140" s="835"/>
      <c r="L140" s="835"/>
    </row>
    <row r="141" s="631" customFormat="true" ht="12.75" hidden="false" customHeight="false" outlineLevel="0" collapsed="false">
      <c r="A141" s="226"/>
      <c r="D141" s="834"/>
      <c r="K141" s="835"/>
      <c r="L141" s="835"/>
    </row>
    <row r="142" s="631" customFormat="true" ht="12.75" hidden="false" customHeight="false" outlineLevel="0" collapsed="false">
      <c r="A142" s="226"/>
      <c r="D142" s="834"/>
      <c r="K142" s="835"/>
      <c r="L142" s="835"/>
    </row>
    <row r="143" s="631" customFormat="true" ht="12.75" hidden="false" customHeight="false" outlineLevel="0" collapsed="false">
      <c r="A143" s="226"/>
      <c r="D143" s="834"/>
      <c r="K143" s="835"/>
      <c r="L143" s="835"/>
    </row>
    <row r="144" s="631" customFormat="true" ht="12.75" hidden="false" customHeight="false" outlineLevel="0" collapsed="false">
      <c r="A144" s="226"/>
      <c r="D144" s="834"/>
      <c r="K144" s="835"/>
      <c r="L144" s="835"/>
    </row>
    <row r="145" s="631" customFormat="true" ht="12.75" hidden="false" customHeight="false" outlineLevel="0" collapsed="false">
      <c r="A145" s="226"/>
      <c r="D145" s="834"/>
      <c r="K145" s="835"/>
      <c r="L145" s="835"/>
    </row>
    <row r="146" s="631" customFormat="true" ht="12.75" hidden="false" customHeight="false" outlineLevel="0" collapsed="false">
      <c r="A146" s="226"/>
      <c r="D146" s="834"/>
      <c r="K146" s="835"/>
      <c r="L146" s="835"/>
    </row>
    <row r="147" s="631" customFormat="true" ht="12.75" hidden="false" customHeight="false" outlineLevel="0" collapsed="false">
      <c r="A147" s="226"/>
      <c r="D147" s="834"/>
      <c r="K147" s="835"/>
      <c r="L147" s="835"/>
    </row>
    <row r="148" s="631" customFormat="true" ht="12.75" hidden="false" customHeight="false" outlineLevel="0" collapsed="false">
      <c r="A148" s="226"/>
      <c r="D148" s="834"/>
      <c r="K148" s="835"/>
      <c r="L148" s="835"/>
    </row>
    <row r="149" s="631" customFormat="true" ht="12.75" hidden="false" customHeight="false" outlineLevel="0" collapsed="false">
      <c r="A149" s="226"/>
      <c r="D149" s="834"/>
      <c r="K149" s="835"/>
      <c r="L149" s="835"/>
    </row>
    <row r="150" s="631" customFormat="true" ht="12.75" hidden="false" customHeight="false" outlineLevel="0" collapsed="false">
      <c r="A150" s="226"/>
      <c r="D150" s="834"/>
      <c r="K150" s="835"/>
      <c r="L150" s="835"/>
    </row>
    <row r="151" s="631" customFormat="true" ht="12.75" hidden="false" customHeight="false" outlineLevel="0" collapsed="false">
      <c r="A151" s="226"/>
      <c r="D151" s="834"/>
      <c r="K151" s="835"/>
      <c r="L151" s="835"/>
    </row>
    <row r="152" s="631" customFormat="true" ht="12.75" hidden="false" customHeight="false" outlineLevel="0" collapsed="false">
      <c r="A152" s="226"/>
      <c r="D152" s="834"/>
      <c r="K152" s="835"/>
      <c r="L152" s="835"/>
    </row>
    <row r="153" s="631" customFormat="true" ht="12.75" hidden="false" customHeight="false" outlineLevel="0" collapsed="false">
      <c r="A153" s="226"/>
      <c r="D153" s="834"/>
      <c r="K153" s="835"/>
      <c r="L153" s="835"/>
    </row>
    <row r="154" s="631" customFormat="true" ht="12.75" hidden="false" customHeight="false" outlineLevel="0" collapsed="false">
      <c r="A154" s="226"/>
      <c r="D154" s="834"/>
      <c r="K154" s="835"/>
      <c r="L154" s="835"/>
    </row>
    <row r="155" s="631" customFormat="true" ht="12.75" hidden="false" customHeight="false" outlineLevel="0" collapsed="false">
      <c r="A155" s="226"/>
      <c r="D155" s="834"/>
      <c r="K155" s="835"/>
      <c r="L155" s="835"/>
    </row>
    <row r="156" s="631" customFormat="true" ht="12.75" hidden="false" customHeight="false" outlineLevel="0" collapsed="false">
      <c r="A156" s="226"/>
      <c r="D156" s="834"/>
      <c r="K156" s="835"/>
      <c r="L156" s="835"/>
    </row>
    <row r="157" s="631" customFormat="true" ht="12.75" hidden="false" customHeight="false" outlineLevel="0" collapsed="false">
      <c r="A157" s="226"/>
      <c r="D157" s="834"/>
      <c r="K157" s="835"/>
      <c r="L157" s="835"/>
    </row>
    <row r="158" s="631" customFormat="true" ht="12.75" hidden="false" customHeight="false" outlineLevel="0" collapsed="false">
      <c r="A158" s="226"/>
      <c r="D158" s="834"/>
      <c r="K158" s="835"/>
      <c r="L158" s="835"/>
    </row>
    <row r="159" s="631" customFormat="true" ht="12.75" hidden="false" customHeight="false" outlineLevel="0" collapsed="false">
      <c r="A159" s="226"/>
      <c r="D159" s="834"/>
      <c r="K159" s="835"/>
      <c r="L159" s="835"/>
    </row>
    <row r="160" s="631" customFormat="true" ht="12.75" hidden="false" customHeight="false" outlineLevel="0" collapsed="false">
      <c r="A160" s="226"/>
      <c r="D160" s="834"/>
      <c r="K160" s="835"/>
      <c r="L160" s="835"/>
    </row>
    <row r="161" s="631" customFormat="true" ht="12.75" hidden="false" customHeight="false" outlineLevel="0" collapsed="false">
      <c r="A161" s="226"/>
      <c r="D161" s="834"/>
      <c r="K161" s="835"/>
      <c r="L161" s="835"/>
    </row>
    <row r="162" s="631" customFormat="true" ht="12.75" hidden="false" customHeight="false" outlineLevel="0" collapsed="false">
      <c r="A162" s="226"/>
      <c r="D162" s="834"/>
      <c r="K162" s="835"/>
      <c r="L162" s="835"/>
    </row>
    <row r="163" s="631" customFormat="true" ht="12.75" hidden="false" customHeight="false" outlineLevel="0" collapsed="false">
      <c r="A163" s="226"/>
      <c r="D163" s="834"/>
      <c r="K163" s="835"/>
      <c r="L163" s="835"/>
    </row>
    <row r="164" s="631" customFormat="true" ht="12.75" hidden="false" customHeight="false" outlineLevel="0" collapsed="false">
      <c r="A164" s="226"/>
      <c r="D164" s="834"/>
      <c r="K164" s="835"/>
      <c r="L164" s="835"/>
    </row>
    <row r="165" s="631" customFormat="true" ht="12.75" hidden="false" customHeight="false" outlineLevel="0" collapsed="false">
      <c r="A165" s="226"/>
      <c r="D165" s="834"/>
      <c r="K165" s="835"/>
      <c r="L165" s="835"/>
    </row>
    <row r="166" s="631" customFormat="true" ht="12.75" hidden="false" customHeight="false" outlineLevel="0" collapsed="false">
      <c r="A166" s="226"/>
      <c r="D166" s="834"/>
      <c r="K166" s="835"/>
      <c r="L166" s="835"/>
    </row>
    <row r="167" s="631" customFormat="true" ht="12.75" hidden="false" customHeight="false" outlineLevel="0" collapsed="false">
      <c r="A167" s="226"/>
      <c r="D167" s="834"/>
      <c r="K167" s="835"/>
      <c r="L167" s="835"/>
    </row>
    <row r="168" s="631" customFormat="true" ht="12.75" hidden="false" customHeight="false" outlineLevel="0" collapsed="false">
      <c r="A168" s="226"/>
      <c r="D168" s="834"/>
      <c r="K168" s="835"/>
      <c r="L168" s="835"/>
    </row>
    <row r="169" s="631" customFormat="true" ht="12.75" hidden="false" customHeight="false" outlineLevel="0" collapsed="false">
      <c r="A169" s="226"/>
      <c r="D169" s="834"/>
      <c r="K169" s="835"/>
      <c r="L169" s="835"/>
    </row>
    <row r="170" s="631" customFormat="true" ht="12.75" hidden="false" customHeight="false" outlineLevel="0" collapsed="false">
      <c r="A170" s="226"/>
      <c r="D170" s="834"/>
      <c r="K170" s="835"/>
      <c r="L170" s="835"/>
    </row>
    <row r="171" s="631" customFormat="true" ht="12.75" hidden="false" customHeight="false" outlineLevel="0" collapsed="false">
      <c r="A171" s="226"/>
      <c r="D171" s="834"/>
      <c r="K171" s="835"/>
      <c r="L171" s="835"/>
    </row>
    <row r="172" s="631" customFormat="true" ht="12.75" hidden="false" customHeight="false" outlineLevel="0" collapsed="false">
      <c r="A172" s="226"/>
      <c r="D172" s="834"/>
      <c r="K172" s="835"/>
      <c r="L172" s="835"/>
    </row>
    <row r="173" s="631" customFormat="true" ht="12.75" hidden="false" customHeight="false" outlineLevel="0" collapsed="false">
      <c r="A173" s="226"/>
      <c r="D173" s="834"/>
      <c r="K173" s="835"/>
      <c r="L173" s="835"/>
    </row>
    <row r="174" s="631" customFormat="true" ht="12.75" hidden="false" customHeight="false" outlineLevel="0" collapsed="false">
      <c r="A174" s="226"/>
      <c r="D174" s="834"/>
      <c r="K174" s="835"/>
      <c r="L174" s="835"/>
    </row>
  </sheetData>
  <dataValidations count="8">
    <dataValidation allowBlank="true" operator="between" showDropDown="false" showErrorMessage="true" showInputMessage="true" sqref="C6:C15" type="list">
      <formula1>地类判定</formula1>
      <formula2>0</formula2>
    </dataValidation>
    <dataValidation allowBlank="true" operator="between" showDropDown="false" showErrorMessage="true" showInputMessage="true" sqref="N5" type="list">
      <formula1>"工程进度,成新度,工程进度/成新度"</formula1>
      <formula2>0</formula2>
    </dataValidation>
    <dataValidation allowBlank="true" operator="between" showDropDown="false" showErrorMessage="true" showInputMessage="true" sqref="A40" type="list">
      <formula1>"利息：取LPR,利息：取LPR加浮动点数"</formula1>
      <formula2>0</formula2>
    </dataValidation>
    <dataValidation allowBlank="true" operator="between" showDropDown="false" showErrorMessage="true" showInputMessage="true" sqref="B44" type="list">
      <formula1>"7%,5%,1%"</formula1>
      <formula2>0</formula2>
    </dataValidation>
    <dataValidation allowBlank="true" operator="between" showDropDown="false" showErrorMessage="true" showInputMessage="true" sqref="B53" type="list">
      <formula1>城镇土地纳税等级分级范围</formula1>
      <formula2>0</formula2>
    </dataValidation>
    <dataValidation allowBlank="true" operator="between" showDropDown="false" showErrorMessage="true" showInputMessage="true" sqref="AN6:AN13" type="list">
      <formula1>估价方法</formula1>
      <formula2>0</formula2>
    </dataValidation>
    <dataValidation allowBlank="true" operator="between" showDropDown="false" showErrorMessage="true" showInputMessage="true" sqref="B14:B15" type="list">
      <formula1>类别</formula1>
      <formula2>0</formula2>
    </dataValidation>
    <dataValidation allowBlank="false" operator="between" showDropDown="false" showErrorMessage="true" showInputMessage="true" sqref="AI6:AI13" type="list">
      <formula1>"365,12,1"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16.xml><?xml version="1.0" encoding="utf-8"?>
<worksheet xmlns="http://schemas.openxmlformats.org/spreadsheetml/2006/main" xmlns:r="http://schemas.openxmlformats.org/officeDocument/2006/relationships">
  <sheetPr filterMode="false">
    <pageSetUpPr fitToPage="true"/>
  </sheetPr>
  <dimension ref="A1:AC187"/>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pane xSplit="1" ySplit="2" topLeftCell="B3" activePane="bottomRight" state="frozen"/>
      <selection pane="topLeft" activeCell="A1" activeCellId="0" sqref="A1"/>
      <selection pane="topRight" activeCell="B1" activeCellId="0" sqref="B1"/>
      <selection pane="bottomLeft" activeCell="A3" activeCellId="0" sqref="A3"/>
      <selection pane="bottomRight" activeCell="I13" activeCellId="0" sqref="I13"/>
    </sheetView>
  </sheetViews>
  <sheetFormatPr defaultRowHeight="14.25" zeroHeight="false" outlineLevelRow="0" outlineLevelCol="0"/>
  <cols>
    <col collapsed="false" customWidth="true" hidden="false" outlineLevel="0" max="1" min="1" style="643" width="9.5"/>
    <col collapsed="false" customWidth="true" hidden="false" outlineLevel="0" max="2" min="2" style="90" width="24.51"/>
    <col collapsed="false" customWidth="true" hidden="false" outlineLevel="0" max="3" min="3" style="836" width="24.51"/>
    <col collapsed="false" customWidth="true" hidden="false" outlineLevel="0" max="4" min="4" style="836" width="2.63"/>
    <col collapsed="false" customWidth="true" hidden="false" outlineLevel="0" max="5" min="5" style="836" width="5.87"/>
    <col collapsed="false" customWidth="true" hidden="false" outlineLevel="0" max="6" min="6" style="90" width="27.01"/>
    <col collapsed="false" customWidth="true" hidden="false" outlineLevel="0" max="7" min="7" style="837" width="27.01"/>
    <col collapsed="false" customWidth="true" hidden="false" outlineLevel="0" max="8" min="8" style="838" width="11.88"/>
    <col collapsed="false" customWidth="true" hidden="false" outlineLevel="0" max="9" min="9" style="839" width="16.76"/>
    <col collapsed="false" customWidth="true" hidden="false" outlineLevel="0" max="10" min="10" style="838" width="2.63"/>
    <col collapsed="false" customWidth="true" hidden="false" outlineLevel="0" max="11" min="11" style="838" width="11.88"/>
    <col collapsed="false" customWidth="true" hidden="false" outlineLevel="0" max="12" min="12" style="839" width="16.76"/>
    <col collapsed="false" customWidth="true" hidden="false" outlineLevel="0" max="13" min="13" style="838" width="2.63"/>
    <col collapsed="false" customWidth="true" hidden="false" outlineLevel="0" max="14" min="14" style="838" width="11.88"/>
    <col collapsed="false" customWidth="true" hidden="false" outlineLevel="0" max="15" min="15" style="839" width="16.76"/>
    <col collapsed="false" customWidth="true" hidden="false" outlineLevel="0" max="16" min="16" style="838" width="2.63"/>
    <col collapsed="false" customWidth="true" hidden="false" outlineLevel="0" max="17" min="17" style="838" width="11.88"/>
    <col collapsed="false" customWidth="true" hidden="false" outlineLevel="0" max="18" min="18" style="840" width="16.76"/>
    <col collapsed="false" customWidth="true" hidden="false" outlineLevel="0" max="29" min="19" style="642" width="9"/>
    <col collapsed="false" customWidth="true" hidden="false" outlineLevel="0" max="1025" min="30" style="643" width="9"/>
  </cols>
  <sheetData>
    <row r="1" s="847" customFormat="true" ht="18" hidden="false" customHeight="false" outlineLevel="0" collapsed="false">
      <c r="A1" s="841" t="s">
        <v>646</v>
      </c>
      <c r="B1" s="841"/>
      <c r="C1" s="841"/>
      <c r="D1" s="841"/>
      <c r="E1" s="841"/>
      <c r="F1" s="841"/>
      <c r="G1" s="841"/>
      <c r="H1" s="842"/>
      <c r="I1" s="843"/>
      <c r="J1" s="842"/>
      <c r="K1" s="842"/>
      <c r="L1" s="843"/>
      <c r="M1" s="842"/>
      <c r="N1" s="842"/>
      <c r="O1" s="843"/>
      <c r="P1" s="842"/>
      <c r="Q1" s="844"/>
      <c r="R1" s="845"/>
      <c r="S1" s="846"/>
      <c r="T1" s="846"/>
      <c r="U1" s="846"/>
      <c r="V1" s="846"/>
      <c r="W1" s="846"/>
      <c r="X1" s="846"/>
      <c r="Y1" s="846"/>
      <c r="Z1" s="846"/>
      <c r="AA1" s="846"/>
      <c r="AB1" s="846"/>
      <c r="AC1" s="846"/>
    </row>
    <row r="2" customFormat="false" ht="14.25" hidden="false" customHeight="false" outlineLevel="0" collapsed="false">
      <c r="A2" s="848"/>
      <c r="B2" s="849"/>
      <c r="C2" s="850" t="s">
        <v>647</v>
      </c>
      <c r="D2" s="851"/>
      <c r="E2" s="848"/>
      <c r="F2" s="852"/>
      <c r="G2" s="850" t="s">
        <v>159</v>
      </c>
      <c r="H2" s="642"/>
      <c r="I2" s="642"/>
      <c r="J2" s="642"/>
      <c r="K2" s="642"/>
      <c r="L2" s="642"/>
      <c r="M2" s="642"/>
      <c r="N2" s="642"/>
      <c r="O2" s="642"/>
      <c r="P2" s="642"/>
      <c r="Q2" s="642"/>
      <c r="R2" s="642"/>
    </row>
    <row r="3" customFormat="false" ht="48" hidden="false" customHeight="false" outlineLevel="0" collapsed="false">
      <c r="A3" s="853" t="s">
        <v>648</v>
      </c>
      <c r="B3" s="854" t="s">
        <v>212</v>
      </c>
      <c r="C3" s="855" t="s">
        <v>649</v>
      </c>
      <c r="D3" s="856"/>
      <c r="E3" s="857" t="s">
        <v>648</v>
      </c>
      <c r="F3" s="858" t="s">
        <v>215</v>
      </c>
      <c r="G3" s="859" t="s">
        <v>650</v>
      </c>
      <c r="H3" s="642"/>
      <c r="I3" s="642"/>
      <c r="J3" s="642"/>
      <c r="K3" s="642"/>
      <c r="L3" s="642"/>
      <c r="M3" s="642"/>
      <c r="N3" s="642"/>
      <c r="O3" s="642"/>
      <c r="P3" s="642"/>
      <c r="Q3" s="642"/>
      <c r="R3" s="642"/>
    </row>
    <row r="4" customFormat="false" ht="36.75" hidden="false" customHeight="false" outlineLevel="0" collapsed="false">
      <c r="A4" s="857"/>
      <c r="B4" s="292" t="s">
        <v>213</v>
      </c>
      <c r="C4" s="860" t="s">
        <v>651</v>
      </c>
      <c r="D4" s="856"/>
      <c r="E4" s="861"/>
      <c r="F4" s="862" t="s">
        <v>216</v>
      </c>
      <c r="G4" s="863" t="s">
        <v>652</v>
      </c>
      <c r="H4" s="642"/>
      <c r="I4" s="642"/>
      <c r="J4" s="642"/>
      <c r="K4" s="642"/>
      <c r="L4" s="642"/>
      <c r="M4" s="642"/>
      <c r="N4" s="642"/>
      <c r="O4" s="642"/>
      <c r="P4" s="642"/>
      <c r="Q4" s="642"/>
      <c r="R4" s="642"/>
    </row>
    <row r="5" customFormat="false" ht="36.75" hidden="false" customHeight="false" outlineLevel="0" collapsed="false">
      <c r="A5" s="857"/>
      <c r="B5" s="292" t="s">
        <v>214</v>
      </c>
      <c r="C5" s="860" t="s">
        <v>653</v>
      </c>
      <c r="D5" s="856"/>
      <c r="E5" s="861"/>
      <c r="F5" s="292" t="s">
        <v>218</v>
      </c>
      <c r="G5" s="863" t="s">
        <v>654</v>
      </c>
      <c r="H5" s="642"/>
      <c r="I5" s="642"/>
      <c r="J5" s="642"/>
      <c r="K5" s="642"/>
      <c r="L5" s="642"/>
      <c r="M5" s="642"/>
      <c r="N5" s="642"/>
      <c r="O5" s="642"/>
      <c r="P5" s="642"/>
      <c r="Q5" s="642"/>
      <c r="R5" s="642"/>
    </row>
    <row r="6" customFormat="false" ht="36" hidden="false" customHeight="false" outlineLevel="0" collapsed="false">
      <c r="A6" s="857"/>
      <c r="B6" s="292" t="s">
        <v>216</v>
      </c>
      <c r="C6" s="863" t="s">
        <v>652</v>
      </c>
      <c r="D6" s="856"/>
      <c r="E6" s="861"/>
      <c r="F6" s="292" t="s">
        <v>219</v>
      </c>
      <c r="G6" s="863" t="s">
        <v>655</v>
      </c>
      <c r="H6" s="642"/>
      <c r="I6" s="642"/>
      <c r="J6" s="642"/>
      <c r="K6" s="642"/>
      <c r="L6" s="642"/>
      <c r="M6" s="642"/>
      <c r="N6" s="642"/>
      <c r="O6" s="642"/>
      <c r="P6" s="642"/>
      <c r="Q6" s="642"/>
      <c r="R6" s="642"/>
    </row>
    <row r="7" customFormat="false" ht="24" hidden="false" customHeight="false" outlineLevel="0" collapsed="false">
      <c r="A7" s="857"/>
      <c r="B7" s="292" t="s">
        <v>218</v>
      </c>
      <c r="C7" s="863" t="s">
        <v>654</v>
      </c>
      <c r="D7" s="232"/>
      <c r="E7" s="864"/>
      <c r="F7" s="865" t="s">
        <v>656</v>
      </c>
      <c r="G7" s="866" t="s">
        <v>657</v>
      </c>
      <c r="H7" s="642"/>
      <c r="I7" s="642"/>
      <c r="J7" s="642"/>
      <c r="K7" s="642"/>
      <c r="L7" s="642"/>
      <c r="M7" s="642"/>
      <c r="N7" s="642"/>
      <c r="O7" s="642"/>
      <c r="P7" s="642"/>
      <c r="Q7" s="642"/>
      <c r="R7" s="642"/>
    </row>
    <row r="8" customFormat="false" ht="14.25" hidden="false" customHeight="false" outlineLevel="0" collapsed="false">
      <c r="A8" s="857"/>
      <c r="B8" s="292" t="s">
        <v>219</v>
      </c>
      <c r="C8" s="863" t="s">
        <v>655</v>
      </c>
      <c r="D8" s="232"/>
      <c r="E8" s="232"/>
      <c r="F8" s="348"/>
      <c r="G8" s="348"/>
      <c r="H8" s="642"/>
      <c r="I8" s="642"/>
      <c r="J8" s="642"/>
      <c r="K8" s="642"/>
      <c r="L8" s="642"/>
      <c r="M8" s="642"/>
      <c r="N8" s="642"/>
      <c r="O8" s="642"/>
      <c r="P8" s="642"/>
      <c r="Q8" s="642"/>
      <c r="R8" s="642"/>
    </row>
    <row r="9" customFormat="false" ht="24" hidden="false" customHeight="false" outlineLevel="0" collapsed="false">
      <c r="A9" s="857"/>
      <c r="B9" s="292" t="s">
        <v>658</v>
      </c>
      <c r="C9" s="860" t="s">
        <v>659</v>
      </c>
      <c r="D9" s="856"/>
      <c r="E9" s="232"/>
      <c r="F9" s="348"/>
      <c r="G9" s="348"/>
      <c r="H9" s="642"/>
      <c r="I9" s="642"/>
      <c r="J9" s="642"/>
      <c r="K9" s="642"/>
      <c r="L9" s="642"/>
      <c r="M9" s="642"/>
      <c r="N9" s="642"/>
      <c r="O9" s="642"/>
      <c r="P9" s="642"/>
      <c r="Q9" s="642"/>
      <c r="R9" s="642"/>
    </row>
    <row r="10" s="873" customFormat="true" ht="14.25" hidden="false" customHeight="false" outlineLevel="0" collapsed="false">
      <c r="A10" s="867"/>
      <c r="B10" s="868" t="s">
        <v>660</v>
      </c>
      <c r="C10" s="869"/>
      <c r="D10" s="856"/>
      <c r="E10" s="856"/>
      <c r="F10" s="348"/>
      <c r="G10" s="348"/>
      <c r="H10" s="870"/>
      <c r="I10" s="871"/>
      <c r="J10" s="872"/>
      <c r="K10" s="870"/>
      <c r="L10" s="871"/>
      <c r="M10" s="872"/>
      <c r="N10" s="870"/>
      <c r="O10" s="871"/>
      <c r="P10" s="872"/>
      <c r="Q10" s="870"/>
      <c r="R10" s="871"/>
      <c r="S10" s="642"/>
      <c r="T10" s="642"/>
      <c r="U10" s="642"/>
      <c r="V10" s="642"/>
      <c r="W10" s="642"/>
      <c r="X10" s="642"/>
      <c r="Y10" s="642"/>
      <c r="Z10" s="642"/>
      <c r="AA10" s="642"/>
      <c r="AB10" s="642"/>
      <c r="AC10" s="642"/>
    </row>
    <row r="11" s="873" customFormat="true" ht="14.25" hidden="false" customHeight="false" outlineLevel="0" collapsed="false">
      <c r="A11" s="874"/>
      <c r="B11" s="232"/>
      <c r="C11" s="856"/>
      <c r="D11" s="856"/>
      <c r="E11" s="856"/>
      <c r="F11" s="232"/>
      <c r="G11" s="875"/>
      <c r="H11" s="870"/>
      <c r="I11" s="871"/>
      <c r="J11" s="872"/>
      <c r="K11" s="870"/>
      <c r="L11" s="871"/>
      <c r="M11" s="872"/>
      <c r="N11" s="870"/>
      <c r="O11" s="871"/>
      <c r="P11" s="872"/>
      <c r="Q11" s="870"/>
      <c r="R11" s="871"/>
      <c r="S11" s="642"/>
      <c r="T11" s="642"/>
      <c r="U11" s="642"/>
      <c r="V11" s="642"/>
      <c r="W11" s="642"/>
      <c r="X11" s="642"/>
      <c r="Y11" s="642"/>
      <c r="Z11" s="642"/>
      <c r="AA11" s="642"/>
      <c r="AB11" s="642"/>
      <c r="AC11" s="642"/>
    </row>
    <row r="12" s="847" customFormat="true" ht="18" hidden="false" customHeight="false" outlineLevel="0" collapsed="false">
      <c r="A12" s="874"/>
      <c r="B12" s="232"/>
      <c r="C12" s="856"/>
      <c r="D12" s="876"/>
      <c r="E12" s="856"/>
      <c r="F12" s="232"/>
      <c r="G12" s="875"/>
      <c r="H12" s="877"/>
      <c r="I12" s="878"/>
      <c r="J12" s="877"/>
      <c r="K12" s="877"/>
      <c r="L12" s="879"/>
      <c r="M12" s="877"/>
      <c r="N12" s="880"/>
      <c r="O12" s="881"/>
      <c r="P12" s="880"/>
      <c r="Q12" s="880"/>
      <c r="R12" s="845"/>
      <c r="S12" s="846"/>
      <c r="T12" s="846"/>
      <c r="U12" s="846"/>
      <c r="V12" s="846"/>
      <c r="W12" s="846"/>
      <c r="X12" s="846"/>
      <c r="Y12" s="846"/>
      <c r="Z12" s="846"/>
      <c r="AA12" s="846"/>
      <c r="AB12" s="846"/>
      <c r="AC12" s="846"/>
    </row>
    <row r="13" customFormat="false" ht="15" hidden="false" customHeight="false" outlineLevel="0" collapsed="false">
      <c r="A13" s="882" t="s">
        <v>661</v>
      </c>
      <c r="B13" s="876"/>
      <c r="C13" s="876"/>
      <c r="D13" s="874"/>
      <c r="E13" s="876"/>
      <c r="F13" s="876"/>
      <c r="G13" s="876"/>
    </row>
    <row r="14" customFormat="false" ht="14.25" hidden="false" customHeight="false" outlineLevel="0" collapsed="false">
      <c r="A14" s="883"/>
      <c r="B14" s="883"/>
      <c r="C14" s="884" t="s">
        <v>647</v>
      </c>
      <c r="D14" s="856"/>
      <c r="E14" s="885"/>
      <c r="F14" s="885"/>
      <c r="G14" s="850" t="s">
        <v>159</v>
      </c>
    </row>
    <row r="15" customFormat="false" ht="51" hidden="false" customHeight="false" outlineLevel="0" collapsed="false">
      <c r="A15" s="886" t="s">
        <v>648</v>
      </c>
      <c r="B15" s="887" t="s">
        <v>212</v>
      </c>
      <c r="C15" s="888" t="str">
        <f aca="false">C3</f>
        <v>估价对象周边居住用地比例、居住小区规模和社区发展完善程度，综合评价居住社区成熟度一般</v>
      </c>
      <c r="D15" s="856"/>
      <c r="E15" s="889" t="s">
        <v>648</v>
      </c>
      <c r="F15" s="887" t="s">
        <v>215</v>
      </c>
      <c r="G15" s="890" t="str">
        <f aca="false">G3</f>
        <v>估价对象位于XX开发区，园区建设成熟度XX，产业集聚程度XX</v>
      </c>
    </row>
    <row r="16" customFormat="false" ht="38.25" hidden="false" customHeight="false" outlineLevel="0" collapsed="false">
      <c r="A16" s="891"/>
      <c r="B16" s="892" t="s">
        <v>213</v>
      </c>
      <c r="C16" s="893" t="str">
        <f aca="false">C4</f>
        <v>估价对象位于XX商圈，周边商业氛围成熟，人流量大，商业繁华度好</v>
      </c>
      <c r="D16" s="856"/>
      <c r="E16" s="894"/>
      <c r="F16" s="343" t="s">
        <v>216</v>
      </c>
      <c r="G16" s="895" t="str">
        <f aca="false">G4</f>
        <v>估价对象周边道路状况、公共交通通达情况、停车便捷程度，综合评价交通便捷度较好</v>
      </c>
    </row>
    <row r="17" customFormat="false" ht="38.25" hidden="false" customHeight="false" outlineLevel="0" collapsed="false">
      <c r="A17" s="891"/>
      <c r="B17" s="892" t="s">
        <v>214</v>
      </c>
      <c r="C17" s="893" t="str">
        <f aca="false">C5</f>
        <v>估价对象位于XX商圈，周边办公楼项目较多，入驻率高，办公集聚程度较好</v>
      </c>
      <c r="D17" s="232"/>
      <c r="E17" s="894"/>
      <c r="F17" s="343" t="s">
        <v>217</v>
      </c>
      <c r="G17" s="896"/>
    </row>
    <row r="18" customFormat="false" ht="38.25" hidden="false" customHeight="false" outlineLevel="0" collapsed="false">
      <c r="A18" s="891"/>
      <c r="B18" s="343" t="s">
        <v>216</v>
      </c>
      <c r="C18" s="895" t="str">
        <f aca="false">C6</f>
        <v>估价对象周边道路状况、公共交通通达情况、停车便捷程度，综合评价交通便捷度较好</v>
      </c>
      <c r="D18" s="232"/>
      <c r="E18" s="894"/>
      <c r="F18" s="343" t="s">
        <v>656</v>
      </c>
      <c r="G18" s="895" t="str">
        <f aca="false">G7</f>
        <v>该园区内是否有污染型企业，绿化情况，卫生条件，整体环境状况判断</v>
      </c>
    </row>
    <row r="19" customFormat="false" ht="25.5" hidden="false" customHeight="false" outlineLevel="0" collapsed="false">
      <c r="A19" s="891"/>
      <c r="B19" s="343" t="s">
        <v>217</v>
      </c>
      <c r="C19" s="896"/>
      <c r="D19" s="856"/>
      <c r="E19" s="894"/>
      <c r="F19" s="292" t="s">
        <v>218</v>
      </c>
      <c r="G19" s="895" t="str">
        <f aca="false">G5</f>
        <v>估价对象所在区域公共配套设施齐备情况</v>
      </c>
    </row>
    <row r="20" customFormat="false" ht="25.5" hidden="false" customHeight="false" outlineLevel="0" collapsed="false">
      <c r="A20" s="891"/>
      <c r="B20" s="343" t="s">
        <v>662</v>
      </c>
      <c r="C20" s="893" t="str">
        <f aca="false">C9</f>
        <v>区域自然环境：；人文环境；综合评价环境状况一般</v>
      </c>
      <c r="D20" s="232"/>
      <c r="E20" s="894"/>
      <c r="F20" s="292" t="s">
        <v>219</v>
      </c>
      <c r="G20" s="895" t="str">
        <f aca="false">G6</f>
        <v>估价对象所在区域基础设施水平</v>
      </c>
    </row>
    <row r="21" customFormat="false" ht="25.5" hidden="false" customHeight="false" outlineLevel="0" collapsed="false">
      <c r="A21" s="891"/>
      <c r="B21" s="292" t="s">
        <v>218</v>
      </c>
      <c r="C21" s="895" t="str">
        <f aca="false">C7</f>
        <v>估价对象所在区域公共配套设施齐备情况</v>
      </c>
      <c r="D21" s="856"/>
      <c r="E21" s="894"/>
      <c r="F21" s="343" t="s">
        <v>221</v>
      </c>
      <c r="G21" s="897"/>
    </row>
    <row r="22" customFormat="false" ht="13.5" hidden="false" customHeight="true" outlineLevel="0" collapsed="false">
      <c r="A22" s="891"/>
      <c r="B22" s="292" t="s">
        <v>219</v>
      </c>
      <c r="C22" s="895" t="str">
        <f aca="false">C8</f>
        <v>估价对象所在区域基础设施水平</v>
      </c>
      <c r="D22" s="856"/>
      <c r="E22" s="894"/>
      <c r="F22" s="343" t="s">
        <v>660</v>
      </c>
      <c r="G22" s="896"/>
    </row>
    <row r="23" s="642" customFormat="true" ht="14.25" hidden="false" customHeight="false" outlineLevel="0" collapsed="false">
      <c r="A23" s="891"/>
      <c r="B23" s="343" t="s">
        <v>221</v>
      </c>
      <c r="C23" s="897"/>
      <c r="D23" s="257"/>
      <c r="E23" s="898"/>
      <c r="F23" s="899" t="s">
        <v>204</v>
      </c>
      <c r="G23" s="900"/>
      <c r="H23" s="838"/>
      <c r="I23" s="839"/>
      <c r="J23" s="838"/>
      <c r="K23" s="838"/>
      <c r="L23" s="839"/>
      <c r="M23" s="838"/>
      <c r="N23" s="838"/>
      <c r="O23" s="839"/>
      <c r="P23" s="838"/>
      <c r="Q23" s="838"/>
      <c r="R23" s="840"/>
    </row>
    <row r="24" s="642" customFormat="true" ht="14.25" hidden="false" customHeight="false" outlineLevel="0" collapsed="false">
      <c r="A24" s="901"/>
      <c r="B24" s="899" t="s">
        <v>660</v>
      </c>
      <c r="C24" s="902" t="n">
        <f aca="false">C10</f>
        <v>0</v>
      </c>
      <c r="D24" s="257"/>
      <c r="E24" s="251"/>
      <c r="F24" s="251"/>
      <c r="G24" s="307"/>
      <c r="H24" s="838"/>
      <c r="I24" s="839"/>
      <c r="J24" s="838"/>
      <c r="K24" s="838"/>
      <c r="L24" s="839"/>
      <c r="M24" s="838"/>
      <c r="N24" s="838"/>
      <c r="O24" s="839"/>
      <c r="P24" s="838"/>
      <c r="Q24" s="838"/>
      <c r="R24" s="840"/>
    </row>
    <row r="25" s="642" customFormat="true" ht="14.25" hidden="false" customHeight="false" outlineLevel="0" collapsed="false">
      <c r="B25" s="838"/>
      <c r="C25" s="838"/>
      <c r="D25" s="838"/>
      <c r="H25" s="838"/>
      <c r="I25" s="839"/>
      <c r="J25" s="838"/>
      <c r="K25" s="838"/>
      <c r="L25" s="839"/>
      <c r="M25" s="838"/>
      <c r="N25" s="838"/>
      <c r="O25" s="839"/>
      <c r="P25" s="838"/>
      <c r="Q25" s="838"/>
      <c r="R25" s="840"/>
    </row>
    <row r="26" s="642" customFormat="true" ht="14.25" hidden="false" customHeight="false" outlineLevel="0" collapsed="false">
      <c r="B26" s="838"/>
      <c r="C26" s="838"/>
      <c r="D26" s="838"/>
      <c r="H26" s="838"/>
      <c r="I26" s="839"/>
      <c r="J26" s="838"/>
      <c r="K26" s="838"/>
      <c r="L26" s="839"/>
      <c r="M26" s="838"/>
      <c r="N26" s="838"/>
      <c r="O26" s="839"/>
      <c r="P26" s="838"/>
      <c r="Q26" s="838"/>
      <c r="R26" s="840"/>
    </row>
    <row r="27" s="642" customFormat="true" ht="14.25" hidden="false" customHeight="false" outlineLevel="0" collapsed="false">
      <c r="B27" s="838"/>
      <c r="C27" s="838"/>
      <c r="D27" s="838"/>
      <c r="H27" s="838"/>
      <c r="I27" s="839"/>
      <c r="J27" s="838"/>
      <c r="K27" s="838"/>
      <c r="L27" s="839"/>
      <c r="M27" s="838"/>
      <c r="N27" s="838"/>
      <c r="O27" s="839"/>
      <c r="P27" s="838"/>
      <c r="Q27" s="838"/>
      <c r="R27" s="840"/>
    </row>
    <row r="28" s="642" customFormat="true" ht="14.25" hidden="false" customHeight="false" outlineLevel="0" collapsed="false">
      <c r="B28" s="838"/>
      <c r="C28" s="838"/>
      <c r="D28" s="838"/>
      <c r="H28" s="838"/>
      <c r="I28" s="839"/>
      <c r="J28" s="838"/>
      <c r="K28" s="838"/>
      <c r="L28" s="839"/>
      <c r="M28" s="838"/>
      <c r="N28" s="838"/>
      <c r="O28" s="839"/>
      <c r="P28" s="838"/>
      <c r="Q28" s="838"/>
      <c r="R28" s="840"/>
    </row>
    <row r="29" s="642" customFormat="true" ht="14.25" hidden="false" customHeight="false" outlineLevel="0" collapsed="false">
      <c r="B29" s="838"/>
      <c r="C29" s="838"/>
      <c r="D29" s="838"/>
      <c r="H29" s="838"/>
      <c r="I29" s="839"/>
      <c r="J29" s="838"/>
      <c r="K29" s="838"/>
      <c r="L29" s="839"/>
      <c r="M29" s="838"/>
      <c r="N29" s="838"/>
      <c r="O29" s="839"/>
      <c r="P29" s="838"/>
      <c r="Q29" s="838"/>
      <c r="R29" s="840"/>
    </row>
    <row r="30" s="642" customFormat="true" ht="14.25" hidden="false" customHeight="false" outlineLevel="0" collapsed="false">
      <c r="B30" s="838"/>
      <c r="C30" s="838"/>
      <c r="D30" s="838"/>
      <c r="H30" s="838"/>
      <c r="I30" s="839"/>
      <c r="J30" s="838"/>
      <c r="K30" s="838"/>
      <c r="L30" s="839"/>
      <c r="M30" s="838"/>
      <c r="N30" s="838"/>
      <c r="O30" s="839"/>
      <c r="P30" s="838"/>
      <c r="Q30" s="838"/>
      <c r="R30" s="840"/>
    </row>
    <row r="31" s="642" customFormat="true" ht="14.25" hidden="false" customHeight="false" outlineLevel="0" collapsed="false">
      <c r="B31" s="838"/>
      <c r="C31" s="838"/>
      <c r="D31" s="838"/>
      <c r="H31" s="838"/>
      <c r="I31" s="839"/>
      <c r="J31" s="838"/>
      <c r="K31" s="838"/>
      <c r="L31" s="839"/>
      <c r="M31" s="838"/>
      <c r="N31" s="838"/>
      <c r="O31" s="839"/>
      <c r="P31" s="838"/>
      <c r="Q31" s="838"/>
      <c r="R31" s="840"/>
    </row>
    <row r="32" s="642" customFormat="true" ht="14.25" hidden="false" customHeight="false" outlineLevel="0" collapsed="false">
      <c r="B32" s="838"/>
      <c r="C32" s="838"/>
      <c r="D32" s="838"/>
      <c r="H32" s="838"/>
      <c r="I32" s="839"/>
      <c r="J32" s="838"/>
      <c r="K32" s="838"/>
      <c r="L32" s="839"/>
      <c r="M32" s="838"/>
      <c r="N32" s="838"/>
      <c r="O32" s="839"/>
      <c r="P32" s="838"/>
      <c r="Q32" s="838"/>
      <c r="R32" s="840"/>
    </row>
    <row r="33" s="642" customFormat="true" ht="14.25" hidden="false" customHeight="false" outlineLevel="0" collapsed="false">
      <c r="B33" s="838"/>
      <c r="C33" s="838"/>
      <c r="D33" s="838"/>
      <c r="H33" s="838"/>
      <c r="I33" s="839"/>
      <c r="J33" s="838"/>
      <c r="K33" s="838"/>
      <c r="L33" s="839"/>
      <c r="M33" s="838"/>
      <c r="N33" s="838"/>
      <c r="O33" s="839"/>
      <c r="P33" s="838"/>
      <c r="Q33" s="838"/>
      <c r="R33" s="840"/>
    </row>
    <row r="34" s="642" customFormat="true" ht="14.25" hidden="false" customHeight="false" outlineLevel="0" collapsed="false">
      <c r="B34" s="838"/>
      <c r="C34" s="838"/>
      <c r="D34" s="838"/>
      <c r="H34" s="838"/>
      <c r="I34" s="839"/>
      <c r="J34" s="838"/>
      <c r="K34" s="838"/>
      <c r="L34" s="839"/>
      <c r="M34" s="838"/>
      <c r="N34" s="838"/>
      <c r="O34" s="839"/>
      <c r="P34" s="838"/>
      <c r="Q34" s="838"/>
      <c r="R34" s="840"/>
    </row>
    <row r="35" s="642" customFormat="true" ht="14.25" hidden="false" customHeight="false" outlineLevel="0" collapsed="false">
      <c r="B35" s="838"/>
      <c r="C35" s="838"/>
      <c r="D35" s="838"/>
      <c r="H35" s="838"/>
      <c r="I35" s="839"/>
      <c r="J35" s="838"/>
      <c r="K35" s="838"/>
      <c r="L35" s="839"/>
      <c r="M35" s="838"/>
      <c r="N35" s="838"/>
      <c r="O35" s="839"/>
      <c r="P35" s="838"/>
      <c r="Q35" s="838"/>
      <c r="R35" s="840"/>
    </row>
    <row r="36" s="642" customFormat="true" ht="14.25" hidden="false" customHeight="false" outlineLevel="0" collapsed="false">
      <c r="B36" s="838"/>
      <c r="C36" s="838"/>
      <c r="D36" s="838"/>
      <c r="H36" s="838"/>
      <c r="I36" s="839"/>
      <c r="J36" s="838"/>
      <c r="K36" s="838"/>
      <c r="L36" s="839"/>
      <c r="M36" s="838"/>
      <c r="N36" s="838"/>
      <c r="O36" s="839"/>
      <c r="P36" s="838"/>
      <c r="Q36" s="838"/>
      <c r="R36" s="840"/>
    </row>
    <row r="37" s="642" customFormat="true" ht="14.25" hidden="false" customHeight="false" outlineLevel="0" collapsed="false">
      <c r="B37" s="838"/>
      <c r="C37" s="838"/>
      <c r="D37" s="838"/>
      <c r="H37" s="838"/>
      <c r="I37" s="839"/>
      <c r="J37" s="838"/>
      <c r="K37" s="838"/>
      <c r="L37" s="839"/>
      <c r="M37" s="838"/>
      <c r="N37" s="838"/>
      <c r="O37" s="839"/>
      <c r="P37" s="838"/>
      <c r="Q37" s="838"/>
      <c r="R37" s="840"/>
    </row>
    <row r="38" s="642" customFormat="true" ht="14.25" hidden="false" customHeight="false" outlineLevel="0" collapsed="false">
      <c r="B38" s="838"/>
      <c r="C38" s="838"/>
      <c r="D38" s="838"/>
      <c r="E38" s="838"/>
      <c r="F38" s="838"/>
      <c r="G38" s="839"/>
      <c r="H38" s="838"/>
      <c r="I38" s="839"/>
      <c r="J38" s="838"/>
      <c r="K38" s="838"/>
      <c r="L38" s="839"/>
      <c r="M38" s="838"/>
      <c r="N38" s="838"/>
      <c r="O38" s="839"/>
      <c r="P38" s="838"/>
      <c r="Q38" s="838"/>
      <c r="R38" s="840"/>
    </row>
    <row r="39" s="642" customFormat="true" ht="14.25" hidden="false" customHeight="false" outlineLevel="0" collapsed="false">
      <c r="B39" s="838"/>
      <c r="C39" s="838"/>
      <c r="D39" s="838"/>
      <c r="E39" s="838"/>
      <c r="F39" s="838"/>
      <c r="G39" s="839"/>
      <c r="H39" s="838"/>
      <c r="I39" s="839"/>
      <c r="J39" s="838"/>
      <c r="K39" s="838"/>
      <c r="L39" s="839"/>
      <c r="M39" s="838"/>
      <c r="N39" s="838"/>
      <c r="O39" s="839"/>
      <c r="P39" s="838"/>
      <c r="Q39" s="838"/>
      <c r="R39" s="840"/>
    </row>
    <row r="40" s="642" customFormat="true" ht="14.25" hidden="false" customHeight="false" outlineLevel="0" collapsed="false">
      <c r="B40" s="838"/>
      <c r="C40" s="838"/>
      <c r="D40" s="838"/>
      <c r="E40" s="838"/>
      <c r="F40" s="838"/>
      <c r="G40" s="839"/>
      <c r="H40" s="838"/>
      <c r="I40" s="839"/>
      <c r="J40" s="838"/>
      <c r="K40" s="838"/>
      <c r="L40" s="839"/>
      <c r="M40" s="838"/>
      <c r="N40" s="838"/>
      <c r="O40" s="839"/>
      <c r="P40" s="838"/>
      <c r="Q40" s="838"/>
      <c r="R40" s="840"/>
    </row>
    <row r="41" s="642" customFormat="true" ht="14.25" hidden="false" customHeight="false" outlineLevel="0" collapsed="false">
      <c r="B41" s="838"/>
      <c r="C41" s="838"/>
      <c r="D41" s="838"/>
      <c r="E41" s="838"/>
      <c r="F41" s="838"/>
      <c r="G41" s="839"/>
      <c r="H41" s="838"/>
      <c r="I41" s="839"/>
      <c r="J41" s="838"/>
      <c r="K41" s="838"/>
      <c r="L41" s="839"/>
      <c r="M41" s="838"/>
      <c r="N41" s="838"/>
      <c r="O41" s="839"/>
      <c r="P41" s="838"/>
      <c r="Q41" s="838"/>
      <c r="R41" s="840"/>
    </row>
    <row r="42" s="642" customFormat="true" ht="14.25" hidden="false" customHeight="false" outlineLevel="0" collapsed="false">
      <c r="B42" s="838"/>
      <c r="C42" s="838"/>
      <c r="D42" s="838"/>
      <c r="E42" s="838"/>
      <c r="F42" s="838"/>
      <c r="G42" s="839"/>
      <c r="H42" s="838"/>
      <c r="I42" s="839"/>
      <c r="J42" s="838"/>
      <c r="K42" s="838"/>
      <c r="L42" s="839"/>
      <c r="M42" s="838"/>
      <c r="N42" s="838"/>
      <c r="O42" s="839"/>
      <c r="P42" s="838"/>
      <c r="Q42" s="838"/>
      <c r="R42" s="840"/>
    </row>
    <row r="43" s="642" customFormat="true" ht="14.25" hidden="false" customHeight="false" outlineLevel="0" collapsed="false">
      <c r="B43" s="838"/>
      <c r="C43" s="838"/>
      <c r="D43" s="838"/>
      <c r="E43" s="838"/>
      <c r="F43" s="838"/>
      <c r="G43" s="839"/>
      <c r="H43" s="838"/>
      <c r="I43" s="839"/>
      <c r="J43" s="838"/>
      <c r="K43" s="838"/>
      <c r="L43" s="839"/>
      <c r="M43" s="838"/>
      <c r="N43" s="838"/>
      <c r="O43" s="839"/>
      <c r="P43" s="838"/>
      <c r="Q43" s="838"/>
      <c r="R43" s="840"/>
    </row>
    <row r="44" s="642" customFormat="true" ht="14.25" hidden="false" customHeight="false" outlineLevel="0" collapsed="false">
      <c r="B44" s="838"/>
      <c r="C44" s="838"/>
      <c r="D44" s="838"/>
      <c r="E44" s="838"/>
      <c r="F44" s="838"/>
      <c r="G44" s="839"/>
      <c r="H44" s="838"/>
      <c r="I44" s="839"/>
      <c r="J44" s="838"/>
      <c r="K44" s="838"/>
      <c r="L44" s="839"/>
      <c r="M44" s="838"/>
      <c r="N44" s="838"/>
      <c r="O44" s="839"/>
      <c r="P44" s="838"/>
      <c r="Q44" s="838"/>
      <c r="R44" s="840"/>
    </row>
    <row r="45" s="642" customFormat="true" ht="14.25" hidden="false" customHeight="false" outlineLevel="0" collapsed="false">
      <c r="B45" s="838"/>
      <c r="C45" s="838"/>
      <c r="D45" s="838"/>
      <c r="E45" s="838"/>
      <c r="F45" s="838"/>
      <c r="G45" s="839"/>
      <c r="H45" s="838"/>
      <c r="I45" s="839"/>
      <c r="J45" s="838"/>
      <c r="K45" s="838"/>
      <c r="L45" s="839"/>
      <c r="M45" s="838"/>
      <c r="N45" s="838"/>
      <c r="O45" s="839"/>
      <c r="P45" s="838"/>
      <c r="Q45" s="838"/>
      <c r="R45" s="840"/>
    </row>
    <row r="46" s="642" customFormat="true" ht="14.25" hidden="false" customHeight="false" outlineLevel="0" collapsed="false">
      <c r="B46" s="838"/>
      <c r="C46" s="838"/>
      <c r="D46" s="838"/>
      <c r="E46" s="838"/>
      <c r="F46" s="838"/>
      <c r="G46" s="839"/>
      <c r="H46" s="838"/>
      <c r="I46" s="839"/>
      <c r="J46" s="838"/>
      <c r="K46" s="838"/>
      <c r="L46" s="839"/>
      <c r="M46" s="838"/>
      <c r="N46" s="838"/>
      <c r="O46" s="839"/>
      <c r="P46" s="838"/>
      <c r="Q46" s="838"/>
      <c r="R46" s="840"/>
    </row>
    <row r="47" s="642" customFormat="true" ht="14.25" hidden="false" customHeight="false" outlineLevel="0" collapsed="false">
      <c r="B47" s="838"/>
      <c r="C47" s="838"/>
      <c r="D47" s="838"/>
      <c r="E47" s="838"/>
      <c r="F47" s="838"/>
      <c r="G47" s="839"/>
      <c r="H47" s="838"/>
      <c r="I47" s="839"/>
      <c r="J47" s="838"/>
      <c r="K47" s="838"/>
      <c r="L47" s="839"/>
      <c r="M47" s="838"/>
      <c r="N47" s="838"/>
      <c r="O47" s="839"/>
      <c r="P47" s="838"/>
      <c r="Q47" s="838"/>
      <c r="R47" s="840"/>
    </row>
    <row r="48" s="642" customFormat="true" ht="14.25" hidden="false" customHeight="false" outlineLevel="0" collapsed="false">
      <c r="B48" s="838"/>
      <c r="C48" s="838"/>
      <c r="D48" s="838"/>
      <c r="E48" s="838"/>
      <c r="F48" s="838"/>
      <c r="G48" s="839"/>
      <c r="H48" s="838"/>
      <c r="I48" s="839"/>
      <c r="J48" s="838"/>
      <c r="K48" s="838"/>
      <c r="L48" s="839"/>
      <c r="M48" s="838"/>
      <c r="N48" s="838"/>
      <c r="O48" s="839"/>
      <c r="P48" s="838"/>
      <c r="Q48" s="838"/>
      <c r="R48" s="840"/>
    </row>
    <row r="49" s="642" customFormat="true" ht="14.25" hidden="false" customHeight="false" outlineLevel="0" collapsed="false">
      <c r="B49" s="838"/>
      <c r="C49" s="838"/>
      <c r="D49" s="838"/>
      <c r="E49" s="838"/>
      <c r="F49" s="838"/>
      <c r="G49" s="839"/>
      <c r="H49" s="838"/>
      <c r="I49" s="839"/>
      <c r="J49" s="838"/>
      <c r="K49" s="838"/>
      <c r="L49" s="839"/>
      <c r="M49" s="838"/>
      <c r="N49" s="838"/>
      <c r="O49" s="839"/>
      <c r="P49" s="838"/>
      <c r="Q49" s="838"/>
      <c r="R49" s="840"/>
    </row>
    <row r="50" s="642" customFormat="true" ht="14.25" hidden="false" customHeight="false" outlineLevel="0" collapsed="false">
      <c r="B50" s="838"/>
      <c r="C50" s="838"/>
      <c r="D50" s="838"/>
      <c r="E50" s="838"/>
      <c r="F50" s="838"/>
      <c r="G50" s="839"/>
      <c r="H50" s="838"/>
      <c r="I50" s="839"/>
      <c r="J50" s="838"/>
      <c r="K50" s="838"/>
      <c r="L50" s="839"/>
      <c r="M50" s="838"/>
      <c r="N50" s="838"/>
      <c r="O50" s="839"/>
      <c r="P50" s="838"/>
      <c r="Q50" s="838"/>
      <c r="R50" s="840"/>
    </row>
    <row r="51" s="642" customFormat="true" ht="14.25" hidden="false" customHeight="false" outlineLevel="0" collapsed="false">
      <c r="B51" s="838"/>
      <c r="C51" s="838"/>
      <c r="D51" s="838"/>
      <c r="E51" s="838"/>
      <c r="F51" s="838"/>
      <c r="G51" s="839"/>
      <c r="H51" s="838"/>
      <c r="I51" s="839"/>
      <c r="J51" s="838"/>
      <c r="K51" s="838"/>
      <c r="L51" s="839"/>
      <c r="M51" s="838"/>
      <c r="N51" s="838"/>
      <c r="O51" s="839"/>
      <c r="P51" s="838"/>
      <c r="Q51" s="838"/>
      <c r="R51" s="840"/>
    </row>
    <row r="52" s="642" customFormat="true" ht="14.25" hidden="false" customHeight="false" outlineLevel="0" collapsed="false">
      <c r="B52" s="838"/>
      <c r="C52" s="838"/>
      <c r="D52" s="838"/>
      <c r="E52" s="838"/>
      <c r="F52" s="838"/>
      <c r="G52" s="839"/>
      <c r="H52" s="838"/>
      <c r="I52" s="839"/>
      <c r="J52" s="838"/>
      <c r="K52" s="838"/>
      <c r="L52" s="839"/>
      <c r="M52" s="838"/>
      <c r="N52" s="838"/>
      <c r="O52" s="839"/>
      <c r="P52" s="838"/>
      <c r="Q52" s="838"/>
      <c r="R52" s="840"/>
    </row>
    <row r="53" s="642" customFormat="true" ht="14.25" hidden="false" customHeight="false" outlineLevel="0" collapsed="false">
      <c r="B53" s="838"/>
      <c r="C53" s="838"/>
      <c r="D53" s="838"/>
      <c r="E53" s="838"/>
      <c r="F53" s="838"/>
      <c r="G53" s="839"/>
      <c r="H53" s="838"/>
      <c r="I53" s="839"/>
      <c r="J53" s="838"/>
      <c r="K53" s="838"/>
      <c r="L53" s="839"/>
      <c r="M53" s="838"/>
      <c r="N53" s="838"/>
      <c r="O53" s="839"/>
      <c r="P53" s="838"/>
      <c r="Q53" s="838"/>
      <c r="R53" s="840"/>
    </row>
    <row r="54" s="642" customFormat="true" ht="14.25" hidden="false" customHeight="false" outlineLevel="0" collapsed="false">
      <c r="B54" s="838"/>
      <c r="C54" s="838"/>
      <c r="D54" s="838"/>
      <c r="E54" s="838"/>
      <c r="F54" s="838"/>
      <c r="G54" s="839"/>
      <c r="H54" s="838"/>
      <c r="I54" s="839"/>
      <c r="J54" s="838"/>
      <c r="K54" s="838"/>
      <c r="L54" s="839"/>
      <c r="M54" s="838"/>
      <c r="N54" s="838"/>
      <c r="O54" s="839"/>
      <c r="P54" s="838"/>
      <c r="Q54" s="838"/>
      <c r="R54" s="840"/>
    </row>
    <row r="55" s="642" customFormat="true" ht="14.25" hidden="false" customHeight="false" outlineLevel="0" collapsed="false">
      <c r="B55" s="838"/>
      <c r="C55" s="838"/>
      <c r="D55" s="838"/>
      <c r="E55" s="838"/>
      <c r="F55" s="838"/>
      <c r="G55" s="839"/>
      <c r="H55" s="838"/>
      <c r="I55" s="839"/>
      <c r="J55" s="838"/>
      <c r="K55" s="838"/>
      <c r="L55" s="839"/>
      <c r="M55" s="838"/>
      <c r="N55" s="838"/>
      <c r="O55" s="839"/>
      <c r="P55" s="838"/>
      <c r="Q55" s="838"/>
      <c r="R55" s="840"/>
    </row>
    <row r="56" s="642" customFormat="true" ht="14.25" hidden="false" customHeight="false" outlineLevel="0" collapsed="false">
      <c r="B56" s="838"/>
      <c r="C56" s="838"/>
      <c r="D56" s="838"/>
      <c r="E56" s="838"/>
      <c r="F56" s="838"/>
      <c r="G56" s="839"/>
      <c r="H56" s="838"/>
      <c r="I56" s="839"/>
      <c r="J56" s="838"/>
      <c r="K56" s="838"/>
      <c r="L56" s="839"/>
      <c r="M56" s="838"/>
      <c r="N56" s="838"/>
      <c r="O56" s="839"/>
      <c r="P56" s="838"/>
      <c r="Q56" s="838"/>
      <c r="R56" s="840"/>
    </row>
    <row r="57" s="642" customFormat="true" ht="14.25" hidden="false" customHeight="false" outlineLevel="0" collapsed="false">
      <c r="B57" s="838"/>
      <c r="C57" s="838"/>
      <c r="D57" s="838"/>
      <c r="E57" s="838"/>
      <c r="F57" s="838"/>
      <c r="G57" s="839"/>
      <c r="H57" s="838"/>
      <c r="I57" s="839"/>
      <c r="J57" s="838"/>
      <c r="K57" s="838"/>
      <c r="L57" s="839"/>
      <c r="M57" s="838"/>
      <c r="N57" s="838"/>
      <c r="O57" s="839"/>
      <c r="P57" s="838"/>
      <c r="Q57" s="838"/>
      <c r="R57" s="840"/>
    </row>
    <row r="58" s="642" customFormat="true" ht="14.25" hidden="false" customHeight="false" outlineLevel="0" collapsed="false">
      <c r="B58" s="838"/>
      <c r="C58" s="838"/>
      <c r="D58" s="838"/>
      <c r="E58" s="838"/>
      <c r="F58" s="838"/>
      <c r="G58" s="839"/>
      <c r="H58" s="838"/>
      <c r="I58" s="839"/>
      <c r="J58" s="838"/>
      <c r="K58" s="838"/>
      <c r="L58" s="839"/>
      <c r="M58" s="838"/>
      <c r="N58" s="838"/>
      <c r="O58" s="839"/>
      <c r="P58" s="838"/>
      <c r="Q58" s="838"/>
      <c r="R58" s="840"/>
    </row>
    <row r="59" s="642" customFormat="true" ht="14.25" hidden="false" customHeight="false" outlineLevel="0" collapsed="false">
      <c r="B59" s="838"/>
      <c r="C59" s="838"/>
      <c r="D59" s="838"/>
      <c r="E59" s="838"/>
      <c r="F59" s="838"/>
      <c r="G59" s="839"/>
      <c r="H59" s="838"/>
      <c r="I59" s="839"/>
      <c r="J59" s="838"/>
      <c r="K59" s="838"/>
      <c r="L59" s="839"/>
      <c r="M59" s="838"/>
      <c r="N59" s="838"/>
      <c r="O59" s="839"/>
      <c r="P59" s="838"/>
      <c r="Q59" s="838"/>
      <c r="R59" s="840"/>
    </row>
    <row r="60" s="642" customFormat="true" ht="14.25" hidden="false" customHeight="false" outlineLevel="0" collapsed="false">
      <c r="B60" s="838"/>
      <c r="C60" s="838"/>
      <c r="D60" s="838"/>
      <c r="E60" s="838"/>
      <c r="F60" s="838"/>
      <c r="G60" s="839"/>
      <c r="H60" s="838"/>
      <c r="I60" s="839"/>
      <c r="J60" s="838"/>
      <c r="K60" s="838"/>
      <c r="L60" s="839"/>
      <c r="M60" s="838"/>
      <c r="N60" s="838"/>
      <c r="O60" s="839"/>
      <c r="P60" s="838"/>
      <c r="Q60" s="838"/>
      <c r="R60" s="840"/>
    </row>
    <row r="61" s="642" customFormat="true" ht="14.25" hidden="false" customHeight="false" outlineLevel="0" collapsed="false">
      <c r="B61" s="838"/>
      <c r="C61" s="838"/>
      <c r="D61" s="838"/>
      <c r="E61" s="838"/>
      <c r="F61" s="838"/>
      <c r="G61" s="839"/>
      <c r="H61" s="838"/>
      <c r="I61" s="839"/>
      <c r="J61" s="838"/>
      <c r="K61" s="838"/>
      <c r="L61" s="839"/>
      <c r="M61" s="838"/>
      <c r="N61" s="838"/>
      <c r="O61" s="839"/>
      <c r="P61" s="838"/>
      <c r="Q61" s="838"/>
      <c r="R61" s="840"/>
    </row>
    <row r="62" s="642" customFormat="true" ht="14.25" hidden="false" customHeight="false" outlineLevel="0" collapsed="false">
      <c r="B62" s="838"/>
      <c r="C62" s="838"/>
      <c r="D62" s="838"/>
      <c r="E62" s="838"/>
      <c r="F62" s="838"/>
      <c r="G62" s="839"/>
      <c r="H62" s="838"/>
      <c r="I62" s="839"/>
      <c r="J62" s="838"/>
      <c r="K62" s="838"/>
      <c r="L62" s="839"/>
      <c r="M62" s="838"/>
      <c r="N62" s="838"/>
      <c r="O62" s="839"/>
      <c r="P62" s="838"/>
      <c r="Q62" s="838"/>
      <c r="R62" s="840"/>
    </row>
    <row r="63" s="642" customFormat="true" ht="14.25" hidden="false" customHeight="false" outlineLevel="0" collapsed="false">
      <c r="B63" s="838"/>
      <c r="C63" s="838"/>
      <c r="D63" s="838"/>
      <c r="E63" s="838"/>
      <c r="F63" s="838"/>
      <c r="G63" s="839"/>
      <c r="H63" s="838"/>
      <c r="I63" s="839"/>
      <c r="J63" s="838"/>
      <c r="K63" s="838"/>
      <c r="L63" s="839"/>
      <c r="M63" s="838"/>
      <c r="N63" s="838"/>
      <c r="O63" s="839"/>
      <c r="P63" s="838"/>
      <c r="Q63" s="838"/>
      <c r="R63" s="840"/>
    </row>
    <row r="64" s="642" customFormat="true" ht="14.25" hidden="false" customHeight="false" outlineLevel="0" collapsed="false">
      <c r="B64" s="838"/>
      <c r="C64" s="838"/>
      <c r="D64" s="838"/>
      <c r="E64" s="838"/>
      <c r="F64" s="838"/>
      <c r="G64" s="839"/>
      <c r="H64" s="838"/>
      <c r="I64" s="839"/>
      <c r="J64" s="838"/>
      <c r="K64" s="838"/>
      <c r="L64" s="839"/>
      <c r="M64" s="838"/>
      <c r="N64" s="838"/>
      <c r="O64" s="839"/>
      <c r="P64" s="838"/>
      <c r="Q64" s="838"/>
      <c r="R64" s="840"/>
    </row>
    <row r="65" s="642" customFormat="true" ht="14.25" hidden="false" customHeight="false" outlineLevel="0" collapsed="false">
      <c r="B65" s="838"/>
      <c r="C65" s="838"/>
      <c r="D65" s="838"/>
      <c r="E65" s="838"/>
      <c r="F65" s="838"/>
      <c r="G65" s="839"/>
      <c r="H65" s="838"/>
      <c r="I65" s="839"/>
      <c r="J65" s="838"/>
      <c r="K65" s="838"/>
      <c r="L65" s="839"/>
      <c r="M65" s="838"/>
      <c r="N65" s="838"/>
      <c r="O65" s="839"/>
      <c r="P65" s="838"/>
      <c r="Q65" s="838"/>
      <c r="R65" s="840"/>
    </row>
    <row r="66" s="642" customFormat="true" ht="14.25" hidden="false" customHeight="false" outlineLevel="0" collapsed="false">
      <c r="B66" s="838"/>
      <c r="C66" s="838"/>
      <c r="D66" s="838"/>
      <c r="E66" s="838"/>
      <c r="F66" s="838"/>
      <c r="G66" s="839"/>
      <c r="H66" s="838"/>
      <c r="I66" s="839"/>
      <c r="J66" s="838"/>
      <c r="K66" s="838"/>
      <c r="L66" s="839"/>
      <c r="M66" s="838"/>
      <c r="N66" s="838"/>
      <c r="O66" s="839"/>
      <c r="P66" s="838"/>
      <c r="Q66" s="838"/>
      <c r="R66" s="840"/>
    </row>
    <row r="67" s="642" customFormat="true" ht="14.25" hidden="false" customHeight="false" outlineLevel="0" collapsed="false">
      <c r="B67" s="838"/>
      <c r="C67" s="838"/>
      <c r="D67" s="838"/>
      <c r="E67" s="838"/>
      <c r="F67" s="838"/>
      <c r="G67" s="839"/>
      <c r="H67" s="838"/>
      <c r="I67" s="839"/>
      <c r="J67" s="838"/>
      <c r="K67" s="838"/>
      <c r="L67" s="839"/>
      <c r="M67" s="838"/>
      <c r="N67" s="838"/>
      <c r="O67" s="839"/>
      <c r="P67" s="838"/>
      <c r="Q67" s="838"/>
      <c r="R67" s="840"/>
    </row>
    <row r="68" s="642" customFormat="true" ht="14.25" hidden="false" customHeight="false" outlineLevel="0" collapsed="false">
      <c r="B68" s="838"/>
      <c r="C68" s="838"/>
      <c r="D68" s="838"/>
      <c r="E68" s="838"/>
      <c r="F68" s="838"/>
      <c r="G68" s="839"/>
      <c r="H68" s="838"/>
      <c r="I68" s="839"/>
      <c r="J68" s="838"/>
      <c r="K68" s="838"/>
      <c r="L68" s="839"/>
      <c r="M68" s="838"/>
      <c r="N68" s="838"/>
      <c r="O68" s="839"/>
      <c r="P68" s="838"/>
      <c r="Q68" s="838"/>
      <c r="R68" s="840"/>
    </row>
    <row r="69" s="642" customFormat="true" ht="14.25" hidden="false" customHeight="false" outlineLevel="0" collapsed="false">
      <c r="B69" s="838"/>
      <c r="C69" s="838"/>
      <c r="D69" s="838"/>
      <c r="E69" s="838"/>
      <c r="F69" s="838"/>
      <c r="G69" s="839"/>
      <c r="H69" s="838"/>
      <c r="I69" s="839"/>
      <c r="J69" s="838"/>
      <c r="K69" s="838"/>
      <c r="L69" s="839"/>
      <c r="M69" s="838"/>
      <c r="N69" s="838"/>
      <c r="O69" s="839"/>
      <c r="P69" s="838"/>
      <c r="Q69" s="838"/>
      <c r="R69" s="840"/>
    </row>
    <row r="70" s="642" customFormat="true" ht="14.25" hidden="false" customHeight="false" outlineLevel="0" collapsed="false">
      <c r="B70" s="838"/>
      <c r="C70" s="838"/>
      <c r="D70" s="838"/>
      <c r="E70" s="838"/>
      <c r="F70" s="838"/>
      <c r="G70" s="839"/>
      <c r="H70" s="838"/>
      <c r="I70" s="839"/>
      <c r="J70" s="838"/>
      <c r="K70" s="838"/>
      <c r="L70" s="839"/>
      <c r="M70" s="838"/>
      <c r="N70" s="838"/>
      <c r="O70" s="839"/>
      <c r="P70" s="838"/>
      <c r="Q70" s="838"/>
      <c r="R70" s="840"/>
    </row>
    <row r="71" s="642" customFormat="true" ht="14.25" hidden="false" customHeight="false" outlineLevel="0" collapsed="false">
      <c r="B71" s="838"/>
      <c r="C71" s="838"/>
      <c r="D71" s="838"/>
      <c r="E71" s="838"/>
      <c r="F71" s="838"/>
      <c r="G71" s="839"/>
      <c r="H71" s="838"/>
      <c r="I71" s="839"/>
      <c r="J71" s="838"/>
      <c r="K71" s="838"/>
      <c r="L71" s="839"/>
      <c r="M71" s="838"/>
      <c r="N71" s="838"/>
      <c r="O71" s="839"/>
      <c r="P71" s="838"/>
      <c r="Q71" s="838"/>
      <c r="R71" s="840"/>
    </row>
    <row r="72" s="642" customFormat="true" ht="14.25" hidden="false" customHeight="false" outlineLevel="0" collapsed="false">
      <c r="B72" s="838"/>
      <c r="C72" s="838"/>
      <c r="D72" s="838"/>
      <c r="E72" s="838"/>
      <c r="F72" s="838"/>
      <c r="G72" s="839"/>
      <c r="H72" s="838"/>
      <c r="I72" s="839"/>
      <c r="J72" s="838"/>
      <c r="K72" s="838"/>
      <c r="L72" s="839"/>
      <c r="M72" s="838"/>
      <c r="N72" s="838"/>
      <c r="O72" s="839"/>
      <c r="P72" s="838"/>
      <c r="Q72" s="838"/>
      <c r="R72" s="840"/>
    </row>
    <row r="73" s="642" customFormat="true" ht="14.25" hidden="false" customHeight="false" outlineLevel="0" collapsed="false">
      <c r="B73" s="838"/>
      <c r="C73" s="838"/>
      <c r="D73" s="838"/>
      <c r="E73" s="838"/>
      <c r="F73" s="838"/>
      <c r="G73" s="839"/>
      <c r="H73" s="838"/>
      <c r="I73" s="839"/>
      <c r="J73" s="838"/>
      <c r="K73" s="838"/>
      <c r="L73" s="839"/>
      <c r="M73" s="838"/>
      <c r="N73" s="838"/>
      <c r="O73" s="839"/>
      <c r="P73" s="838"/>
      <c r="Q73" s="838"/>
      <c r="R73" s="840"/>
    </row>
    <row r="74" s="642" customFormat="true" ht="14.25" hidden="false" customHeight="false" outlineLevel="0" collapsed="false">
      <c r="B74" s="838"/>
      <c r="C74" s="838"/>
      <c r="D74" s="838"/>
      <c r="E74" s="838"/>
      <c r="F74" s="838"/>
      <c r="G74" s="839"/>
      <c r="H74" s="838"/>
      <c r="I74" s="839"/>
      <c r="J74" s="838"/>
      <c r="K74" s="838"/>
      <c r="L74" s="839"/>
      <c r="M74" s="838"/>
      <c r="N74" s="838"/>
      <c r="O74" s="839"/>
      <c r="P74" s="838"/>
      <c r="Q74" s="838"/>
      <c r="R74" s="840"/>
    </row>
    <row r="75" s="642" customFormat="true" ht="14.25" hidden="false" customHeight="false" outlineLevel="0" collapsed="false">
      <c r="B75" s="838"/>
      <c r="C75" s="838"/>
      <c r="D75" s="838"/>
      <c r="E75" s="838"/>
      <c r="F75" s="838"/>
      <c r="G75" s="839"/>
      <c r="H75" s="838"/>
      <c r="I75" s="839"/>
      <c r="J75" s="838"/>
      <c r="K75" s="838"/>
      <c r="L75" s="839"/>
      <c r="M75" s="838"/>
      <c r="N75" s="838"/>
      <c r="O75" s="839"/>
      <c r="P75" s="838"/>
      <c r="Q75" s="838"/>
      <c r="R75" s="840"/>
    </row>
    <row r="76" s="642" customFormat="true" ht="14.25" hidden="false" customHeight="false" outlineLevel="0" collapsed="false">
      <c r="B76" s="838"/>
      <c r="C76" s="838"/>
      <c r="D76" s="838"/>
      <c r="E76" s="838"/>
      <c r="F76" s="838"/>
      <c r="G76" s="839"/>
      <c r="H76" s="838"/>
      <c r="I76" s="839"/>
      <c r="J76" s="838"/>
      <c r="K76" s="838"/>
      <c r="L76" s="839"/>
      <c r="M76" s="838"/>
      <c r="N76" s="838"/>
      <c r="O76" s="839"/>
      <c r="P76" s="838"/>
      <c r="Q76" s="838"/>
      <c r="R76" s="840"/>
    </row>
    <row r="77" s="642" customFormat="true" ht="14.25" hidden="false" customHeight="false" outlineLevel="0" collapsed="false">
      <c r="B77" s="838"/>
      <c r="C77" s="838"/>
      <c r="D77" s="838"/>
      <c r="E77" s="838"/>
      <c r="F77" s="838"/>
      <c r="G77" s="839"/>
      <c r="H77" s="838"/>
      <c r="I77" s="839"/>
      <c r="J77" s="838"/>
      <c r="K77" s="838"/>
      <c r="L77" s="839"/>
      <c r="M77" s="838"/>
      <c r="N77" s="838"/>
      <c r="O77" s="839"/>
      <c r="P77" s="838"/>
      <c r="Q77" s="838"/>
      <c r="R77" s="840"/>
    </row>
    <row r="78" s="642" customFormat="true" ht="14.25" hidden="false" customHeight="false" outlineLevel="0" collapsed="false">
      <c r="B78" s="838"/>
      <c r="C78" s="838"/>
      <c r="D78" s="838"/>
      <c r="E78" s="838"/>
      <c r="F78" s="838"/>
      <c r="G78" s="839"/>
      <c r="H78" s="838"/>
      <c r="I78" s="839"/>
      <c r="J78" s="838"/>
      <c r="K78" s="838"/>
      <c r="L78" s="839"/>
      <c r="M78" s="838"/>
      <c r="N78" s="838"/>
      <c r="O78" s="839"/>
      <c r="P78" s="838"/>
      <c r="Q78" s="838"/>
      <c r="R78" s="840"/>
    </row>
    <row r="79" s="642" customFormat="true" ht="14.25" hidden="false" customHeight="false" outlineLevel="0" collapsed="false">
      <c r="B79" s="838"/>
      <c r="C79" s="838"/>
      <c r="D79" s="838"/>
      <c r="E79" s="838"/>
      <c r="F79" s="838"/>
      <c r="G79" s="839"/>
      <c r="H79" s="838"/>
      <c r="I79" s="839"/>
      <c r="J79" s="838"/>
      <c r="K79" s="838"/>
      <c r="L79" s="839"/>
      <c r="M79" s="838"/>
      <c r="N79" s="838"/>
      <c r="O79" s="839"/>
      <c r="P79" s="838"/>
      <c r="Q79" s="838"/>
      <c r="R79" s="840"/>
    </row>
    <row r="80" s="642" customFormat="true" ht="14.25" hidden="false" customHeight="false" outlineLevel="0" collapsed="false">
      <c r="B80" s="838"/>
      <c r="C80" s="838"/>
      <c r="D80" s="838"/>
      <c r="E80" s="838"/>
      <c r="F80" s="838"/>
      <c r="G80" s="839"/>
      <c r="H80" s="838"/>
      <c r="I80" s="839"/>
      <c r="J80" s="838"/>
      <c r="K80" s="838"/>
      <c r="L80" s="839"/>
      <c r="M80" s="838"/>
      <c r="N80" s="838"/>
      <c r="O80" s="839"/>
      <c r="P80" s="838"/>
      <c r="Q80" s="838"/>
      <c r="R80" s="840"/>
    </row>
    <row r="81" s="642" customFormat="true" ht="14.25" hidden="false" customHeight="false" outlineLevel="0" collapsed="false">
      <c r="B81" s="838"/>
      <c r="C81" s="838"/>
      <c r="D81" s="838"/>
      <c r="E81" s="838"/>
      <c r="F81" s="838"/>
      <c r="G81" s="839"/>
      <c r="H81" s="838"/>
      <c r="I81" s="839"/>
      <c r="J81" s="838"/>
      <c r="K81" s="838"/>
      <c r="L81" s="839"/>
      <c r="M81" s="838"/>
      <c r="N81" s="838"/>
      <c r="O81" s="839"/>
      <c r="P81" s="838"/>
      <c r="Q81" s="838"/>
      <c r="R81" s="840"/>
    </row>
    <row r="82" s="642" customFormat="true" ht="14.25" hidden="false" customHeight="false" outlineLevel="0" collapsed="false">
      <c r="B82" s="838"/>
      <c r="C82" s="838"/>
      <c r="D82" s="838"/>
      <c r="E82" s="838"/>
      <c r="F82" s="838"/>
      <c r="G82" s="839"/>
      <c r="H82" s="838"/>
      <c r="I82" s="839"/>
      <c r="J82" s="838"/>
      <c r="K82" s="838"/>
      <c r="L82" s="839"/>
      <c r="M82" s="838"/>
      <c r="N82" s="838"/>
      <c r="O82" s="839"/>
      <c r="P82" s="838"/>
      <c r="Q82" s="838"/>
      <c r="R82" s="840"/>
    </row>
    <row r="83" s="642" customFormat="true" ht="14.25" hidden="false" customHeight="false" outlineLevel="0" collapsed="false">
      <c r="B83" s="838"/>
      <c r="C83" s="838"/>
      <c r="D83" s="838"/>
      <c r="E83" s="838"/>
      <c r="F83" s="838"/>
      <c r="G83" s="839"/>
      <c r="H83" s="838"/>
      <c r="I83" s="839"/>
      <c r="J83" s="838"/>
      <c r="K83" s="838"/>
      <c r="L83" s="839"/>
      <c r="M83" s="838"/>
      <c r="N83" s="838"/>
      <c r="O83" s="839"/>
      <c r="P83" s="838"/>
      <c r="Q83" s="838"/>
      <c r="R83" s="840"/>
    </row>
    <row r="84" s="642" customFormat="true" ht="14.25" hidden="false" customHeight="false" outlineLevel="0" collapsed="false">
      <c r="B84" s="838"/>
      <c r="C84" s="838"/>
      <c r="D84" s="838"/>
      <c r="E84" s="838"/>
      <c r="F84" s="838"/>
      <c r="G84" s="839"/>
      <c r="H84" s="838"/>
      <c r="I84" s="839"/>
      <c r="J84" s="838"/>
      <c r="K84" s="838"/>
      <c r="L84" s="839"/>
      <c r="M84" s="838"/>
      <c r="N84" s="838"/>
      <c r="O84" s="839"/>
      <c r="P84" s="838"/>
      <c r="Q84" s="838"/>
      <c r="R84" s="840"/>
    </row>
    <row r="85" s="642" customFormat="true" ht="14.25" hidden="false" customHeight="false" outlineLevel="0" collapsed="false">
      <c r="B85" s="838"/>
      <c r="C85" s="838"/>
      <c r="D85" s="838"/>
      <c r="E85" s="838"/>
      <c r="F85" s="838"/>
      <c r="G85" s="839"/>
      <c r="H85" s="838"/>
      <c r="I85" s="839"/>
      <c r="J85" s="838"/>
      <c r="K85" s="838"/>
      <c r="L85" s="839"/>
      <c r="M85" s="838"/>
      <c r="N85" s="838"/>
      <c r="O85" s="839"/>
      <c r="P85" s="838"/>
      <c r="Q85" s="838"/>
      <c r="R85" s="840"/>
    </row>
    <row r="86" s="642" customFormat="true" ht="14.25" hidden="false" customHeight="false" outlineLevel="0" collapsed="false">
      <c r="B86" s="838"/>
      <c r="C86" s="838"/>
      <c r="D86" s="838"/>
      <c r="E86" s="838"/>
      <c r="F86" s="838"/>
      <c r="G86" s="839"/>
      <c r="H86" s="838"/>
      <c r="I86" s="839"/>
      <c r="J86" s="838"/>
      <c r="K86" s="838"/>
      <c r="L86" s="839"/>
      <c r="M86" s="838"/>
      <c r="N86" s="838"/>
      <c r="O86" s="839"/>
      <c r="P86" s="838"/>
      <c r="Q86" s="838"/>
      <c r="R86" s="840"/>
    </row>
    <row r="87" s="642" customFormat="true" ht="14.25" hidden="false" customHeight="false" outlineLevel="0" collapsed="false">
      <c r="B87" s="838"/>
      <c r="C87" s="838"/>
      <c r="D87" s="838"/>
      <c r="E87" s="838"/>
      <c r="F87" s="838"/>
      <c r="G87" s="839"/>
      <c r="H87" s="838"/>
      <c r="I87" s="839"/>
      <c r="J87" s="838"/>
      <c r="K87" s="838"/>
      <c r="L87" s="839"/>
      <c r="M87" s="838"/>
      <c r="N87" s="838"/>
      <c r="O87" s="839"/>
      <c r="P87" s="838"/>
      <c r="Q87" s="838"/>
      <c r="R87" s="840"/>
    </row>
    <row r="88" s="642" customFormat="true" ht="14.25" hidden="false" customHeight="false" outlineLevel="0" collapsed="false">
      <c r="B88" s="838"/>
      <c r="C88" s="838"/>
      <c r="D88" s="838"/>
      <c r="E88" s="838"/>
      <c r="F88" s="838"/>
      <c r="G88" s="839"/>
      <c r="H88" s="838"/>
      <c r="I88" s="839"/>
      <c r="J88" s="838"/>
      <c r="K88" s="838"/>
      <c r="L88" s="839"/>
      <c r="M88" s="838"/>
      <c r="N88" s="838"/>
      <c r="O88" s="839"/>
      <c r="P88" s="838"/>
      <c r="Q88" s="838"/>
      <c r="R88" s="840"/>
    </row>
    <row r="89" s="642" customFormat="true" ht="14.25" hidden="false" customHeight="false" outlineLevel="0" collapsed="false">
      <c r="B89" s="838"/>
      <c r="C89" s="838"/>
      <c r="D89" s="838"/>
      <c r="E89" s="838"/>
      <c r="F89" s="838"/>
      <c r="G89" s="839"/>
      <c r="H89" s="838"/>
      <c r="I89" s="839"/>
      <c r="J89" s="838"/>
      <c r="K89" s="838"/>
      <c r="L89" s="839"/>
      <c r="M89" s="838"/>
      <c r="N89" s="838"/>
      <c r="O89" s="839"/>
      <c r="P89" s="838"/>
      <c r="Q89" s="838"/>
      <c r="R89" s="840"/>
    </row>
    <row r="90" s="642" customFormat="true" ht="14.25" hidden="false" customHeight="false" outlineLevel="0" collapsed="false">
      <c r="B90" s="838"/>
      <c r="C90" s="838"/>
      <c r="D90" s="838"/>
      <c r="E90" s="838"/>
      <c r="F90" s="838"/>
      <c r="G90" s="839"/>
      <c r="H90" s="838"/>
      <c r="I90" s="839"/>
      <c r="J90" s="838"/>
      <c r="K90" s="838"/>
      <c r="L90" s="839"/>
      <c r="M90" s="838"/>
      <c r="N90" s="838"/>
      <c r="O90" s="839"/>
      <c r="P90" s="838"/>
      <c r="Q90" s="838"/>
      <c r="R90" s="840"/>
    </row>
    <row r="91" s="642" customFormat="true" ht="14.25" hidden="false" customHeight="false" outlineLevel="0" collapsed="false">
      <c r="B91" s="838"/>
      <c r="C91" s="838"/>
      <c r="D91" s="838"/>
      <c r="E91" s="838"/>
      <c r="F91" s="838"/>
      <c r="G91" s="839"/>
      <c r="H91" s="838"/>
      <c r="I91" s="839"/>
      <c r="J91" s="838"/>
      <c r="K91" s="838"/>
      <c r="L91" s="839"/>
      <c r="M91" s="838"/>
      <c r="N91" s="838"/>
      <c r="O91" s="839"/>
      <c r="P91" s="838"/>
      <c r="Q91" s="838"/>
      <c r="R91" s="840"/>
    </row>
    <row r="92" s="642" customFormat="true" ht="14.25" hidden="false" customHeight="false" outlineLevel="0" collapsed="false">
      <c r="B92" s="838"/>
      <c r="C92" s="838"/>
      <c r="D92" s="838"/>
      <c r="E92" s="838"/>
      <c r="F92" s="838"/>
      <c r="G92" s="839"/>
      <c r="H92" s="838"/>
      <c r="I92" s="839"/>
      <c r="J92" s="838"/>
      <c r="K92" s="838"/>
      <c r="L92" s="839"/>
      <c r="M92" s="838"/>
      <c r="N92" s="838"/>
      <c r="O92" s="839"/>
      <c r="P92" s="838"/>
      <c r="Q92" s="838"/>
      <c r="R92" s="840"/>
    </row>
    <row r="93" s="642" customFormat="true" ht="14.25" hidden="false" customHeight="false" outlineLevel="0" collapsed="false">
      <c r="B93" s="838"/>
      <c r="C93" s="838"/>
      <c r="D93" s="838"/>
      <c r="E93" s="838"/>
      <c r="F93" s="838"/>
      <c r="G93" s="839"/>
      <c r="H93" s="838"/>
      <c r="I93" s="839"/>
      <c r="J93" s="838"/>
      <c r="K93" s="838"/>
      <c r="L93" s="839"/>
      <c r="M93" s="838"/>
      <c r="N93" s="838"/>
      <c r="O93" s="839"/>
      <c r="P93" s="838"/>
      <c r="Q93" s="838"/>
      <c r="R93" s="840"/>
    </row>
    <row r="94" s="642" customFormat="true" ht="14.25" hidden="false" customHeight="false" outlineLevel="0" collapsed="false">
      <c r="B94" s="838"/>
      <c r="C94" s="838"/>
      <c r="D94" s="838"/>
      <c r="E94" s="838"/>
      <c r="F94" s="838"/>
      <c r="G94" s="839"/>
      <c r="H94" s="838"/>
      <c r="I94" s="839"/>
      <c r="J94" s="838"/>
      <c r="K94" s="838"/>
      <c r="L94" s="839"/>
      <c r="M94" s="838"/>
      <c r="N94" s="838"/>
      <c r="O94" s="839"/>
      <c r="P94" s="838"/>
      <c r="Q94" s="838"/>
      <c r="R94" s="840"/>
    </row>
    <row r="95" s="642" customFormat="true" ht="14.25" hidden="false" customHeight="false" outlineLevel="0" collapsed="false">
      <c r="B95" s="838"/>
      <c r="C95" s="838"/>
      <c r="D95" s="838"/>
      <c r="E95" s="838"/>
      <c r="F95" s="838"/>
      <c r="G95" s="839"/>
      <c r="H95" s="838"/>
      <c r="I95" s="839"/>
      <c r="J95" s="838"/>
      <c r="K95" s="838"/>
      <c r="L95" s="839"/>
      <c r="M95" s="838"/>
      <c r="N95" s="838"/>
      <c r="O95" s="839"/>
      <c r="P95" s="838"/>
      <c r="Q95" s="838"/>
      <c r="R95" s="840"/>
    </row>
    <row r="96" s="642" customFormat="true" ht="14.25" hidden="false" customHeight="false" outlineLevel="0" collapsed="false">
      <c r="B96" s="838"/>
      <c r="C96" s="838"/>
      <c r="D96" s="838"/>
      <c r="E96" s="838"/>
      <c r="F96" s="838"/>
      <c r="G96" s="839"/>
      <c r="H96" s="838"/>
      <c r="I96" s="839"/>
      <c r="J96" s="838"/>
      <c r="K96" s="838"/>
      <c r="L96" s="839"/>
      <c r="M96" s="838"/>
      <c r="N96" s="838"/>
      <c r="O96" s="839"/>
      <c r="P96" s="838"/>
      <c r="Q96" s="838"/>
      <c r="R96" s="840"/>
    </row>
    <row r="97" s="642" customFormat="true" ht="14.25" hidden="false" customHeight="false" outlineLevel="0" collapsed="false">
      <c r="B97" s="838"/>
      <c r="C97" s="838"/>
      <c r="D97" s="838"/>
      <c r="E97" s="838"/>
      <c r="F97" s="838"/>
      <c r="G97" s="839"/>
      <c r="H97" s="838"/>
      <c r="I97" s="839"/>
      <c r="J97" s="838"/>
      <c r="K97" s="838"/>
      <c r="L97" s="839"/>
      <c r="M97" s="838"/>
      <c r="N97" s="838"/>
      <c r="O97" s="839"/>
      <c r="P97" s="838"/>
      <c r="Q97" s="838"/>
      <c r="R97" s="840"/>
    </row>
    <row r="98" s="642" customFormat="true" ht="14.25" hidden="false" customHeight="false" outlineLevel="0" collapsed="false">
      <c r="B98" s="838"/>
      <c r="C98" s="838"/>
      <c r="D98" s="838"/>
      <c r="E98" s="838"/>
      <c r="F98" s="838"/>
      <c r="G98" s="839"/>
      <c r="H98" s="838"/>
      <c r="I98" s="839"/>
      <c r="J98" s="838"/>
      <c r="K98" s="838"/>
      <c r="L98" s="839"/>
      <c r="M98" s="838"/>
      <c r="N98" s="838"/>
      <c r="O98" s="839"/>
      <c r="P98" s="838"/>
      <c r="Q98" s="838"/>
      <c r="R98" s="840"/>
    </row>
    <row r="99" s="642" customFormat="true" ht="14.25" hidden="false" customHeight="false" outlineLevel="0" collapsed="false">
      <c r="B99" s="838"/>
      <c r="C99" s="838"/>
      <c r="D99" s="838"/>
      <c r="E99" s="838"/>
      <c r="F99" s="838"/>
      <c r="G99" s="839"/>
      <c r="H99" s="838"/>
      <c r="I99" s="839"/>
      <c r="J99" s="838"/>
      <c r="K99" s="838"/>
      <c r="L99" s="839"/>
      <c r="M99" s="838"/>
      <c r="N99" s="838"/>
      <c r="O99" s="839"/>
      <c r="P99" s="838"/>
      <c r="Q99" s="838"/>
      <c r="R99" s="840"/>
    </row>
    <row r="100" s="642" customFormat="true" ht="14.25" hidden="false" customHeight="false" outlineLevel="0" collapsed="false">
      <c r="B100" s="838"/>
      <c r="C100" s="838"/>
      <c r="D100" s="838"/>
      <c r="E100" s="838"/>
      <c r="F100" s="838"/>
      <c r="G100" s="839"/>
      <c r="H100" s="838"/>
      <c r="I100" s="839"/>
      <c r="J100" s="838"/>
      <c r="K100" s="838"/>
      <c r="L100" s="839"/>
      <c r="M100" s="838"/>
      <c r="N100" s="838"/>
      <c r="O100" s="839"/>
      <c r="P100" s="838"/>
      <c r="Q100" s="838"/>
      <c r="R100" s="840"/>
    </row>
    <row r="101" s="642" customFormat="true" ht="14.25" hidden="false" customHeight="false" outlineLevel="0" collapsed="false">
      <c r="B101" s="838"/>
      <c r="C101" s="838"/>
      <c r="D101" s="838"/>
      <c r="E101" s="838"/>
      <c r="F101" s="838"/>
      <c r="G101" s="839"/>
      <c r="H101" s="838"/>
      <c r="I101" s="839"/>
      <c r="J101" s="838"/>
      <c r="K101" s="838"/>
      <c r="L101" s="839"/>
      <c r="M101" s="838"/>
      <c r="N101" s="838"/>
      <c r="O101" s="839"/>
      <c r="P101" s="838"/>
      <c r="Q101" s="838"/>
      <c r="R101" s="840"/>
    </row>
    <row r="102" s="642" customFormat="true" ht="14.25" hidden="false" customHeight="false" outlineLevel="0" collapsed="false">
      <c r="B102" s="838"/>
      <c r="C102" s="838"/>
      <c r="D102" s="838"/>
      <c r="E102" s="838"/>
      <c r="F102" s="838"/>
      <c r="G102" s="839"/>
      <c r="H102" s="838"/>
      <c r="I102" s="839"/>
      <c r="J102" s="838"/>
      <c r="K102" s="838"/>
      <c r="L102" s="839"/>
      <c r="M102" s="838"/>
      <c r="N102" s="838"/>
      <c r="O102" s="839"/>
      <c r="P102" s="838"/>
      <c r="Q102" s="838"/>
      <c r="R102" s="840"/>
    </row>
    <row r="103" s="642" customFormat="true" ht="14.25" hidden="false" customHeight="false" outlineLevel="0" collapsed="false">
      <c r="B103" s="838"/>
      <c r="C103" s="838"/>
      <c r="D103" s="838"/>
      <c r="E103" s="838"/>
      <c r="F103" s="838"/>
      <c r="G103" s="839"/>
      <c r="H103" s="838"/>
      <c r="I103" s="839"/>
      <c r="J103" s="838"/>
      <c r="K103" s="838"/>
      <c r="L103" s="839"/>
      <c r="M103" s="838"/>
      <c r="N103" s="838"/>
      <c r="O103" s="839"/>
      <c r="P103" s="838"/>
      <c r="Q103" s="838"/>
      <c r="R103" s="840"/>
    </row>
    <row r="104" s="642" customFormat="true" ht="14.25" hidden="false" customHeight="false" outlineLevel="0" collapsed="false">
      <c r="B104" s="838"/>
      <c r="C104" s="838"/>
      <c r="D104" s="838"/>
      <c r="E104" s="838"/>
      <c r="F104" s="838"/>
      <c r="G104" s="839"/>
      <c r="H104" s="838"/>
      <c r="I104" s="839"/>
      <c r="J104" s="838"/>
      <c r="K104" s="838"/>
      <c r="L104" s="839"/>
      <c r="M104" s="838"/>
      <c r="N104" s="838"/>
      <c r="O104" s="839"/>
      <c r="P104" s="838"/>
      <c r="Q104" s="838"/>
      <c r="R104" s="840"/>
    </row>
    <row r="105" s="642" customFormat="true" ht="14.25" hidden="false" customHeight="false" outlineLevel="0" collapsed="false">
      <c r="B105" s="838"/>
      <c r="C105" s="838"/>
      <c r="D105" s="838"/>
      <c r="E105" s="838"/>
      <c r="F105" s="838"/>
      <c r="G105" s="839"/>
      <c r="H105" s="838"/>
      <c r="I105" s="839"/>
      <c r="J105" s="838"/>
      <c r="K105" s="838"/>
      <c r="L105" s="839"/>
      <c r="M105" s="838"/>
      <c r="N105" s="838"/>
      <c r="O105" s="839"/>
      <c r="P105" s="838"/>
      <c r="Q105" s="838"/>
      <c r="R105" s="840"/>
    </row>
    <row r="106" s="642" customFormat="true" ht="14.25" hidden="false" customHeight="false" outlineLevel="0" collapsed="false">
      <c r="B106" s="838"/>
      <c r="C106" s="838"/>
      <c r="D106" s="838"/>
      <c r="E106" s="838"/>
      <c r="F106" s="838"/>
      <c r="G106" s="839"/>
      <c r="H106" s="838"/>
      <c r="I106" s="839"/>
      <c r="J106" s="838"/>
      <c r="K106" s="838"/>
      <c r="L106" s="839"/>
      <c r="M106" s="838"/>
      <c r="N106" s="838"/>
      <c r="O106" s="839"/>
      <c r="P106" s="838"/>
      <c r="Q106" s="838"/>
      <c r="R106" s="840"/>
    </row>
    <row r="107" s="642" customFormat="true" ht="14.25" hidden="false" customHeight="false" outlineLevel="0" collapsed="false">
      <c r="B107" s="838"/>
      <c r="C107" s="838"/>
      <c r="D107" s="838"/>
      <c r="E107" s="838"/>
      <c r="F107" s="838"/>
      <c r="G107" s="839"/>
      <c r="H107" s="838"/>
      <c r="I107" s="839"/>
      <c r="J107" s="838"/>
      <c r="K107" s="838"/>
      <c r="L107" s="839"/>
      <c r="M107" s="838"/>
      <c r="N107" s="838"/>
      <c r="O107" s="839"/>
      <c r="P107" s="838"/>
      <c r="Q107" s="838"/>
      <c r="R107" s="840"/>
    </row>
    <row r="108" s="642" customFormat="true" ht="14.25" hidden="false" customHeight="false" outlineLevel="0" collapsed="false">
      <c r="B108" s="838"/>
      <c r="C108" s="838"/>
      <c r="D108" s="838"/>
      <c r="E108" s="838"/>
      <c r="F108" s="838"/>
      <c r="G108" s="839"/>
      <c r="H108" s="838"/>
      <c r="I108" s="839"/>
      <c r="J108" s="838"/>
      <c r="K108" s="838"/>
      <c r="L108" s="839"/>
      <c r="M108" s="838"/>
      <c r="N108" s="838"/>
      <c r="O108" s="839"/>
      <c r="P108" s="838"/>
      <c r="Q108" s="838"/>
      <c r="R108" s="840"/>
    </row>
    <row r="109" s="642" customFormat="true" ht="14.25" hidden="false" customHeight="false" outlineLevel="0" collapsed="false">
      <c r="B109" s="838"/>
      <c r="C109" s="838"/>
      <c r="D109" s="838"/>
      <c r="E109" s="838"/>
      <c r="F109" s="838"/>
      <c r="G109" s="839"/>
      <c r="H109" s="838"/>
      <c r="I109" s="839"/>
      <c r="J109" s="838"/>
      <c r="K109" s="838"/>
      <c r="L109" s="839"/>
      <c r="M109" s="838"/>
      <c r="N109" s="838"/>
      <c r="O109" s="839"/>
      <c r="P109" s="838"/>
      <c r="Q109" s="838"/>
      <c r="R109" s="840"/>
    </row>
    <row r="110" s="642" customFormat="true" ht="14.25" hidden="false" customHeight="false" outlineLevel="0" collapsed="false">
      <c r="B110" s="838"/>
      <c r="C110" s="838"/>
      <c r="D110" s="838"/>
      <c r="E110" s="838"/>
      <c r="F110" s="838"/>
      <c r="G110" s="839"/>
      <c r="H110" s="838"/>
      <c r="I110" s="839"/>
      <c r="J110" s="838"/>
      <c r="K110" s="838"/>
      <c r="L110" s="839"/>
      <c r="M110" s="838"/>
      <c r="N110" s="838"/>
      <c r="O110" s="839"/>
      <c r="P110" s="838"/>
      <c r="Q110" s="838"/>
      <c r="R110" s="840"/>
    </row>
    <row r="111" s="642" customFormat="true" ht="14.25" hidden="false" customHeight="false" outlineLevel="0" collapsed="false">
      <c r="B111" s="838"/>
      <c r="C111" s="838"/>
      <c r="D111" s="838"/>
      <c r="E111" s="838"/>
      <c r="F111" s="838"/>
      <c r="G111" s="839"/>
      <c r="H111" s="838"/>
      <c r="I111" s="839"/>
      <c r="J111" s="838"/>
      <c r="K111" s="838"/>
      <c r="L111" s="839"/>
      <c r="M111" s="838"/>
      <c r="N111" s="838"/>
      <c r="O111" s="839"/>
      <c r="P111" s="838"/>
      <c r="Q111" s="838"/>
      <c r="R111" s="840"/>
    </row>
    <row r="112" s="642" customFormat="true" ht="14.25" hidden="false" customHeight="false" outlineLevel="0" collapsed="false">
      <c r="B112" s="838"/>
      <c r="C112" s="838"/>
      <c r="D112" s="838"/>
      <c r="E112" s="838"/>
      <c r="F112" s="838"/>
      <c r="G112" s="839"/>
      <c r="H112" s="838"/>
      <c r="I112" s="839"/>
      <c r="J112" s="838"/>
      <c r="K112" s="838"/>
      <c r="L112" s="839"/>
      <c r="M112" s="838"/>
      <c r="N112" s="838"/>
      <c r="O112" s="839"/>
      <c r="P112" s="838"/>
      <c r="Q112" s="838"/>
      <c r="R112" s="840"/>
    </row>
    <row r="113" s="642" customFormat="true" ht="14.25" hidden="false" customHeight="false" outlineLevel="0" collapsed="false">
      <c r="B113" s="838"/>
      <c r="C113" s="838"/>
      <c r="D113" s="838"/>
      <c r="E113" s="838"/>
      <c r="F113" s="838"/>
      <c r="G113" s="839"/>
      <c r="H113" s="838"/>
      <c r="I113" s="839"/>
      <c r="J113" s="838"/>
      <c r="K113" s="838"/>
      <c r="L113" s="839"/>
      <c r="M113" s="838"/>
      <c r="N113" s="838"/>
      <c r="O113" s="839"/>
      <c r="P113" s="838"/>
      <c r="Q113" s="838"/>
      <c r="R113" s="840"/>
    </row>
    <row r="114" s="642" customFormat="true" ht="14.25" hidden="false" customHeight="false" outlineLevel="0" collapsed="false">
      <c r="B114" s="838"/>
      <c r="C114" s="838"/>
      <c r="D114" s="838"/>
      <c r="E114" s="838"/>
      <c r="F114" s="838"/>
      <c r="G114" s="839"/>
      <c r="H114" s="838"/>
      <c r="I114" s="839"/>
      <c r="J114" s="838"/>
      <c r="K114" s="838"/>
      <c r="L114" s="839"/>
      <c r="M114" s="838"/>
      <c r="N114" s="838"/>
      <c r="O114" s="839"/>
      <c r="P114" s="838"/>
      <c r="Q114" s="838"/>
      <c r="R114" s="840"/>
    </row>
    <row r="115" s="642" customFormat="true" ht="14.25" hidden="false" customHeight="false" outlineLevel="0" collapsed="false">
      <c r="B115" s="838"/>
      <c r="C115" s="838"/>
      <c r="D115" s="838"/>
      <c r="E115" s="838"/>
      <c r="F115" s="838"/>
      <c r="G115" s="839"/>
      <c r="H115" s="838"/>
      <c r="I115" s="839"/>
      <c r="J115" s="838"/>
      <c r="K115" s="838"/>
      <c r="L115" s="839"/>
      <c r="M115" s="838"/>
      <c r="N115" s="838"/>
      <c r="O115" s="839"/>
      <c r="P115" s="838"/>
      <c r="Q115" s="838"/>
      <c r="R115" s="840"/>
    </row>
    <row r="116" s="642" customFormat="true" ht="14.25" hidden="false" customHeight="false" outlineLevel="0" collapsed="false">
      <c r="B116" s="838"/>
      <c r="C116" s="838"/>
      <c r="D116" s="838"/>
      <c r="E116" s="838"/>
      <c r="F116" s="838"/>
      <c r="G116" s="839"/>
      <c r="H116" s="838"/>
      <c r="I116" s="839"/>
      <c r="J116" s="838"/>
      <c r="K116" s="838"/>
      <c r="L116" s="839"/>
      <c r="M116" s="838"/>
      <c r="N116" s="838"/>
      <c r="O116" s="839"/>
      <c r="P116" s="838"/>
      <c r="Q116" s="838"/>
      <c r="R116" s="840"/>
    </row>
    <row r="117" s="642" customFormat="true" ht="14.25" hidden="false" customHeight="false" outlineLevel="0" collapsed="false">
      <c r="B117" s="838"/>
      <c r="C117" s="838"/>
      <c r="D117" s="838"/>
      <c r="E117" s="838"/>
      <c r="F117" s="838"/>
      <c r="G117" s="839"/>
      <c r="H117" s="838"/>
      <c r="I117" s="839"/>
      <c r="J117" s="838"/>
      <c r="K117" s="838"/>
      <c r="L117" s="839"/>
      <c r="M117" s="838"/>
      <c r="N117" s="838"/>
      <c r="O117" s="839"/>
      <c r="P117" s="838"/>
      <c r="Q117" s="838"/>
      <c r="R117" s="840"/>
    </row>
    <row r="118" s="642" customFormat="true" ht="14.25" hidden="false" customHeight="false" outlineLevel="0" collapsed="false">
      <c r="B118" s="838"/>
      <c r="C118" s="838"/>
      <c r="D118" s="838"/>
      <c r="E118" s="838"/>
      <c r="F118" s="838"/>
      <c r="G118" s="839"/>
      <c r="H118" s="838"/>
      <c r="I118" s="839"/>
      <c r="J118" s="838"/>
      <c r="K118" s="838"/>
      <c r="L118" s="839"/>
      <c r="M118" s="838"/>
      <c r="N118" s="838"/>
      <c r="O118" s="839"/>
      <c r="P118" s="838"/>
      <c r="Q118" s="838"/>
      <c r="R118" s="840"/>
    </row>
    <row r="119" s="642" customFormat="true" ht="14.25" hidden="false" customHeight="false" outlineLevel="0" collapsed="false">
      <c r="B119" s="838"/>
      <c r="C119" s="838"/>
      <c r="D119" s="838"/>
      <c r="E119" s="838"/>
      <c r="F119" s="838"/>
      <c r="G119" s="839"/>
      <c r="H119" s="838"/>
      <c r="I119" s="839"/>
      <c r="J119" s="838"/>
      <c r="K119" s="838"/>
      <c r="L119" s="839"/>
      <c r="M119" s="838"/>
      <c r="N119" s="838"/>
      <c r="O119" s="839"/>
      <c r="P119" s="838"/>
      <c r="Q119" s="838"/>
      <c r="R119" s="840"/>
    </row>
    <row r="120" s="642" customFormat="true" ht="14.25" hidden="false" customHeight="false" outlineLevel="0" collapsed="false">
      <c r="B120" s="838"/>
      <c r="C120" s="838"/>
      <c r="D120" s="838"/>
      <c r="E120" s="838"/>
      <c r="F120" s="838"/>
      <c r="G120" s="839"/>
      <c r="H120" s="838"/>
      <c r="I120" s="839"/>
      <c r="J120" s="838"/>
      <c r="K120" s="838"/>
      <c r="L120" s="839"/>
      <c r="M120" s="838"/>
      <c r="N120" s="838"/>
      <c r="O120" s="839"/>
      <c r="P120" s="838"/>
      <c r="Q120" s="838"/>
      <c r="R120" s="840"/>
    </row>
    <row r="121" s="642" customFormat="true" ht="14.25" hidden="false" customHeight="false" outlineLevel="0" collapsed="false">
      <c r="B121" s="838"/>
      <c r="C121" s="838"/>
      <c r="D121" s="838"/>
      <c r="E121" s="838"/>
      <c r="F121" s="838"/>
      <c r="G121" s="839"/>
      <c r="H121" s="838"/>
      <c r="I121" s="839"/>
      <c r="J121" s="838"/>
      <c r="K121" s="838"/>
      <c r="L121" s="839"/>
      <c r="M121" s="838"/>
      <c r="N121" s="838"/>
      <c r="O121" s="839"/>
      <c r="P121" s="838"/>
      <c r="Q121" s="838"/>
      <c r="R121" s="840"/>
    </row>
    <row r="122" s="642" customFormat="true" ht="14.25" hidden="false" customHeight="false" outlineLevel="0" collapsed="false">
      <c r="B122" s="838"/>
      <c r="C122" s="838"/>
      <c r="D122" s="838"/>
      <c r="E122" s="838"/>
      <c r="F122" s="838"/>
      <c r="G122" s="839"/>
      <c r="H122" s="838"/>
      <c r="I122" s="839"/>
      <c r="J122" s="838"/>
      <c r="K122" s="838"/>
      <c r="L122" s="839"/>
      <c r="M122" s="838"/>
      <c r="N122" s="838"/>
      <c r="O122" s="839"/>
      <c r="P122" s="838"/>
      <c r="Q122" s="838"/>
      <c r="R122" s="840"/>
    </row>
    <row r="123" s="642" customFormat="true" ht="14.25" hidden="false" customHeight="false" outlineLevel="0" collapsed="false">
      <c r="B123" s="838"/>
      <c r="C123" s="838"/>
      <c r="D123" s="838"/>
      <c r="E123" s="838"/>
      <c r="F123" s="838"/>
      <c r="G123" s="839"/>
      <c r="H123" s="838"/>
      <c r="I123" s="839"/>
      <c r="J123" s="838"/>
      <c r="K123" s="838"/>
      <c r="L123" s="839"/>
      <c r="M123" s="838"/>
      <c r="N123" s="838"/>
      <c r="O123" s="839"/>
      <c r="P123" s="838"/>
      <c r="Q123" s="838"/>
      <c r="R123" s="840"/>
    </row>
    <row r="124" s="642" customFormat="true" ht="14.25" hidden="false" customHeight="false" outlineLevel="0" collapsed="false">
      <c r="B124" s="838"/>
      <c r="C124" s="838"/>
      <c r="D124" s="838"/>
      <c r="E124" s="838"/>
      <c r="F124" s="838"/>
      <c r="G124" s="839"/>
      <c r="H124" s="838"/>
      <c r="I124" s="839"/>
      <c r="J124" s="838"/>
      <c r="K124" s="838"/>
      <c r="L124" s="839"/>
      <c r="M124" s="838"/>
      <c r="N124" s="838"/>
      <c r="O124" s="839"/>
      <c r="P124" s="838"/>
      <c r="Q124" s="838"/>
      <c r="R124" s="840"/>
    </row>
    <row r="125" s="642" customFormat="true" ht="14.25" hidden="false" customHeight="false" outlineLevel="0" collapsed="false">
      <c r="B125" s="838"/>
      <c r="C125" s="838"/>
      <c r="D125" s="838"/>
      <c r="E125" s="838"/>
      <c r="F125" s="838"/>
      <c r="G125" s="839"/>
      <c r="H125" s="838"/>
      <c r="I125" s="839"/>
      <c r="J125" s="838"/>
      <c r="K125" s="838"/>
      <c r="L125" s="839"/>
      <c r="M125" s="838"/>
      <c r="N125" s="838"/>
      <c r="O125" s="839"/>
      <c r="P125" s="838"/>
      <c r="Q125" s="838"/>
      <c r="R125" s="840"/>
    </row>
    <row r="126" s="642" customFormat="true" ht="14.25" hidden="false" customHeight="false" outlineLevel="0" collapsed="false">
      <c r="B126" s="838"/>
      <c r="C126" s="838"/>
      <c r="D126" s="838"/>
      <c r="E126" s="838"/>
      <c r="F126" s="838"/>
      <c r="G126" s="839"/>
      <c r="H126" s="838"/>
      <c r="I126" s="839"/>
      <c r="J126" s="838"/>
      <c r="K126" s="838"/>
      <c r="L126" s="839"/>
      <c r="M126" s="838"/>
      <c r="N126" s="838"/>
      <c r="O126" s="839"/>
      <c r="P126" s="838"/>
      <c r="Q126" s="838"/>
      <c r="R126" s="840"/>
    </row>
    <row r="127" s="642" customFormat="true" ht="14.25" hidden="false" customHeight="false" outlineLevel="0" collapsed="false">
      <c r="B127" s="838"/>
      <c r="C127" s="838"/>
      <c r="D127" s="838"/>
      <c r="E127" s="838"/>
      <c r="F127" s="838"/>
      <c r="G127" s="839"/>
      <c r="H127" s="838"/>
      <c r="I127" s="839"/>
      <c r="J127" s="838"/>
      <c r="K127" s="838"/>
      <c r="L127" s="839"/>
      <c r="M127" s="838"/>
      <c r="N127" s="838"/>
      <c r="O127" s="839"/>
      <c r="P127" s="838"/>
      <c r="Q127" s="838"/>
      <c r="R127" s="840"/>
    </row>
    <row r="128" s="642" customFormat="true" ht="14.25" hidden="false" customHeight="false" outlineLevel="0" collapsed="false">
      <c r="B128" s="838"/>
      <c r="C128" s="838"/>
      <c r="D128" s="838"/>
      <c r="E128" s="838"/>
      <c r="F128" s="838"/>
      <c r="G128" s="839"/>
      <c r="H128" s="838"/>
      <c r="I128" s="839"/>
      <c r="J128" s="838"/>
      <c r="K128" s="838"/>
      <c r="L128" s="839"/>
      <c r="M128" s="838"/>
      <c r="N128" s="838"/>
      <c r="O128" s="839"/>
      <c r="P128" s="838"/>
      <c r="Q128" s="838"/>
      <c r="R128" s="840"/>
    </row>
    <row r="129" s="642" customFormat="true" ht="14.25" hidden="false" customHeight="false" outlineLevel="0" collapsed="false">
      <c r="B129" s="838"/>
      <c r="C129" s="838"/>
      <c r="D129" s="838"/>
      <c r="E129" s="838"/>
      <c r="F129" s="838"/>
      <c r="G129" s="839"/>
      <c r="H129" s="838"/>
      <c r="I129" s="839"/>
      <c r="J129" s="838"/>
      <c r="K129" s="838"/>
      <c r="L129" s="839"/>
      <c r="M129" s="838"/>
      <c r="N129" s="838"/>
      <c r="O129" s="839"/>
      <c r="P129" s="838"/>
      <c r="Q129" s="838"/>
      <c r="R129" s="840"/>
    </row>
    <row r="130" s="642" customFormat="true" ht="14.25" hidden="false" customHeight="false" outlineLevel="0" collapsed="false">
      <c r="B130" s="838"/>
      <c r="C130" s="838"/>
      <c r="D130" s="838"/>
      <c r="E130" s="838"/>
      <c r="F130" s="838"/>
      <c r="G130" s="839"/>
      <c r="H130" s="838"/>
      <c r="I130" s="839"/>
      <c r="J130" s="838"/>
      <c r="K130" s="838"/>
      <c r="L130" s="839"/>
      <c r="M130" s="838"/>
      <c r="N130" s="838"/>
      <c r="O130" s="839"/>
      <c r="P130" s="838"/>
      <c r="Q130" s="838"/>
      <c r="R130" s="840"/>
    </row>
    <row r="131" s="642" customFormat="true" ht="14.25" hidden="false" customHeight="false" outlineLevel="0" collapsed="false">
      <c r="B131" s="838"/>
      <c r="C131" s="838"/>
      <c r="D131" s="838"/>
      <c r="E131" s="838"/>
      <c r="F131" s="838"/>
      <c r="G131" s="839"/>
      <c r="H131" s="838"/>
      <c r="I131" s="839"/>
      <c r="J131" s="838"/>
      <c r="K131" s="838"/>
      <c r="L131" s="839"/>
      <c r="M131" s="838"/>
      <c r="N131" s="838"/>
      <c r="O131" s="839"/>
      <c r="P131" s="838"/>
      <c r="Q131" s="838"/>
      <c r="R131" s="840"/>
    </row>
    <row r="132" s="642" customFormat="true" ht="14.25" hidden="false" customHeight="false" outlineLevel="0" collapsed="false">
      <c r="B132" s="838"/>
      <c r="C132" s="838"/>
      <c r="D132" s="838"/>
      <c r="E132" s="838"/>
      <c r="F132" s="838"/>
      <c r="G132" s="839"/>
      <c r="H132" s="838"/>
      <c r="I132" s="839"/>
      <c r="J132" s="838"/>
      <c r="K132" s="838"/>
      <c r="L132" s="839"/>
      <c r="M132" s="838"/>
      <c r="N132" s="838"/>
      <c r="O132" s="839"/>
      <c r="P132" s="838"/>
      <c r="Q132" s="838"/>
      <c r="R132" s="840"/>
    </row>
    <row r="133" s="642" customFormat="true" ht="14.25" hidden="false" customHeight="false" outlineLevel="0" collapsed="false">
      <c r="B133" s="838"/>
      <c r="C133" s="838"/>
      <c r="D133" s="838"/>
      <c r="E133" s="838"/>
      <c r="F133" s="838"/>
      <c r="G133" s="839"/>
      <c r="H133" s="838"/>
      <c r="I133" s="839"/>
      <c r="J133" s="838"/>
      <c r="K133" s="838"/>
      <c r="L133" s="839"/>
      <c r="M133" s="838"/>
      <c r="N133" s="838"/>
      <c r="O133" s="839"/>
      <c r="P133" s="838"/>
      <c r="Q133" s="838"/>
      <c r="R133" s="840"/>
    </row>
    <row r="134" s="642" customFormat="true" ht="14.25" hidden="false" customHeight="false" outlineLevel="0" collapsed="false">
      <c r="B134" s="838"/>
      <c r="C134" s="838"/>
      <c r="D134" s="838"/>
      <c r="E134" s="838"/>
      <c r="F134" s="838"/>
      <c r="G134" s="839"/>
      <c r="H134" s="838"/>
      <c r="I134" s="839"/>
      <c r="J134" s="838"/>
      <c r="K134" s="838"/>
      <c r="L134" s="839"/>
      <c r="M134" s="838"/>
      <c r="N134" s="838"/>
      <c r="O134" s="839"/>
      <c r="P134" s="838"/>
      <c r="Q134" s="838"/>
      <c r="R134" s="840"/>
    </row>
    <row r="135" s="642" customFormat="true" ht="14.25" hidden="false" customHeight="false" outlineLevel="0" collapsed="false">
      <c r="B135" s="838"/>
      <c r="C135" s="838"/>
      <c r="D135" s="838"/>
      <c r="E135" s="838"/>
      <c r="F135" s="838"/>
      <c r="G135" s="839"/>
      <c r="H135" s="838"/>
      <c r="I135" s="839"/>
      <c r="J135" s="838"/>
      <c r="K135" s="838"/>
      <c r="L135" s="839"/>
      <c r="M135" s="838"/>
      <c r="N135" s="838"/>
      <c r="O135" s="839"/>
      <c r="P135" s="838"/>
      <c r="Q135" s="838"/>
      <c r="R135" s="840"/>
    </row>
    <row r="136" s="642" customFormat="true" ht="14.25" hidden="false" customHeight="false" outlineLevel="0" collapsed="false">
      <c r="B136" s="838"/>
      <c r="C136" s="838"/>
      <c r="D136" s="838"/>
      <c r="E136" s="838"/>
      <c r="F136" s="838"/>
      <c r="G136" s="839"/>
      <c r="H136" s="838"/>
      <c r="I136" s="839"/>
      <c r="J136" s="838"/>
      <c r="K136" s="838"/>
      <c r="L136" s="839"/>
      <c r="M136" s="838"/>
      <c r="N136" s="838"/>
      <c r="O136" s="839"/>
      <c r="P136" s="838"/>
      <c r="Q136" s="838"/>
      <c r="R136" s="840"/>
    </row>
    <row r="137" s="642" customFormat="true" ht="14.25" hidden="false" customHeight="false" outlineLevel="0" collapsed="false">
      <c r="B137" s="838"/>
      <c r="C137" s="838"/>
      <c r="D137" s="838"/>
      <c r="E137" s="838"/>
      <c r="F137" s="838"/>
      <c r="G137" s="839"/>
      <c r="H137" s="838"/>
      <c r="I137" s="839"/>
      <c r="J137" s="838"/>
      <c r="K137" s="838"/>
      <c r="L137" s="839"/>
      <c r="M137" s="838"/>
      <c r="N137" s="838"/>
      <c r="O137" s="839"/>
      <c r="P137" s="838"/>
      <c r="Q137" s="838"/>
      <c r="R137" s="840"/>
    </row>
    <row r="138" s="642" customFormat="true" ht="14.25" hidden="false" customHeight="false" outlineLevel="0" collapsed="false">
      <c r="B138" s="838"/>
      <c r="C138" s="838"/>
      <c r="D138" s="838"/>
      <c r="E138" s="838"/>
      <c r="F138" s="838"/>
      <c r="G138" s="839"/>
      <c r="H138" s="838"/>
      <c r="I138" s="839"/>
      <c r="J138" s="838"/>
      <c r="K138" s="838"/>
      <c r="L138" s="839"/>
      <c r="M138" s="838"/>
      <c r="N138" s="838"/>
      <c r="O138" s="839"/>
      <c r="P138" s="838"/>
      <c r="Q138" s="838"/>
      <c r="R138" s="840"/>
    </row>
    <row r="139" s="642" customFormat="true" ht="14.25" hidden="false" customHeight="false" outlineLevel="0" collapsed="false">
      <c r="B139" s="838"/>
      <c r="C139" s="838"/>
      <c r="D139" s="838"/>
      <c r="E139" s="838"/>
      <c r="F139" s="838"/>
      <c r="G139" s="839"/>
      <c r="H139" s="838"/>
      <c r="I139" s="839"/>
      <c r="J139" s="838"/>
      <c r="K139" s="838"/>
      <c r="L139" s="839"/>
      <c r="M139" s="838"/>
      <c r="N139" s="838"/>
      <c r="O139" s="839"/>
      <c r="P139" s="838"/>
      <c r="Q139" s="838"/>
      <c r="R139" s="840"/>
    </row>
    <row r="140" s="642" customFormat="true" ht="14.25" hidden="false" customHeight="false" outlineLevel="0" collapsed="false">
      <c r="B140" s="838"/>
      <c r="C140" s="838"/>
      <c r="D140" s="838"/>
      <c r="E140" s="838"/>
      <c r="F140" s="838"/>
      <c r="G140" s="839"/>
      <c r="H140" s="838"/>
      <c r="I140" s="839"/>
      <c r="J140" s="838"/>
      <c r="K140" s="838"/>
      <c r="L140" s="839"/>
      <c r="M140" s="838"/>
      <c r="N140" s="838"/>
      <c r="O140" s="839"/>
      <c r="P140" s="838"/>
      <c r="Q140" s="838"/>
      <c r="R140" s="840"/>
    </row>
    <row r="141" s="642" customFormat="true" ht="14.25" hidden="false" customHeight="false" outlineLevel="0" collapsed="false">
      <c r="B141" s="838"/>
      <c r="C141" s="838"/>
      <c r="D141" s="838"/>
      <c r="E141" s="838"/>
      <c r="F141" s="838"/>
      <c r="G141" s="839"/>
      <c r="H141" s="838"/>
      <c r="I141" s="839"/>
      <c r="J141" s="838"/>
      <c r="K141" s="838"/>
      <c r="L141" s="839"/>
      <c r="M141" s="838"/>
      <c r="N141" s="838"/>
      <c r="O141" s="839"/>
      <c r="P141" s="838"/>
      <c r="Q141" s="838"/>
      <c r="R141" s="840"/>
    </row>
    <row r="142" s="642" customFormat="true" ht="14.25" hidden="false" customHeight="false" outlineLevel="0" collapsed="false">
      <c r="B142" s="838"/>
      <c r="C142" s="838"/>
      <c r="D142" s="838"/>
      <c r="E142" s="838"/>
      <c r="F142" s="838"/>
      <c r="G142" s="839"/>
      <c r="H142" s="838"/>
      <c r="I142" s="839"/>
      <c r="J142" s="838"/>
      <c r="K142" s="838"/>
      <c r="L142" s="839"/>
      <c r="M142" s="838"/>
      <c r="N142" s="838"/>
      <c r="O142" s="839"/>
      <c r="P142" s="838"/>
      <c r="Q142" s="838"/>
      <c r="R142" s="840"/>
    </row>
    <row r="143" s="642" customFormat="true" ht="14.25" hidden="false" customHeight="false" outlineLevel="0" collapsed="false">
      <c r="B143" s="838"/>
      <c r="C143" s="838"/>
      <c r="D143" s="838"/>
      <c r="E143" s="838"/>
      <c r="F143" s="838"/>
      <c r="G143" s="839"/>
      <c r="H143" s="838"/>
      <c r="I143" s="839"/>
      <c r="J143" s="838"/>
      <c r="K143" s="838"/>
      <c r="L143" s="839"/>
      <c r="M143" s="838"/>
      <c r="N143" s="838"/>
      <c r="O143" s="839"/>
      <c r="P143" s="838"/>
      <c r="Q143" s="838"/>
      <c r="R143" s="840"/>
    </row>
    <row r="144" s="642" customFormat="true" ht="14.25" hidden="false" customHeight="false" outlineLevel="0" collapsed="false">
      <c r="B144" s="838"/>
      <c r="C144" s="838"/>
      <c r="D144" s="838"/>
      <c r="E144" s="838"/>
      <c r="F144" s="838"/>
      <c r="G144" s="839"/>
      <c r="H144" s="838"/>
      <c r="I144" s="839"/>
      <c r="J144" s="838"/>
      <c r="K144" s="838"/>
      <c r="L144" s="839"/>
      <c r="M144" s="838"/>
      <c r="N144" s="838"/>
      <c r="O144" s="839"/>
      <c r="P144" s="838"/>
      <c r="Q144" s="838"/>
      <c r="R144" s="840"/>
    </row>
    <row r="145" s="642" customFormat="true" ht="14.25" hidden="false" customHeight="false" outlineLevel="0" collapsed="false">
      <c r="B145" s="838"/>
      <c r="C145" s="838"/>
      <c r="D145" s="838"/>
      <c r="E145" s="838"/>
      <c r="F145" s="838"/>
      <c r="G145" s="839"/>
      <c r="H145" s="838"/>
      <c r="I145" s="839"/>
      <c r="J145" s="838"/>
      <c r="K145" s="838"/>
      <c r="L145" s="839"/>
      <c r="M145" s="838"/>
      <c r="N145" s="838"/>
      <c r="O145" s="839"/>
      <c r="P145" s="838"/>
      <c r="Q145" s="838"/>
      <c r="R145" s="840"/>
    </row>
    <row r="146" s="642" customFormat="true" ht="14.25" hidden="false" customHeight="false" outlineLevel="0" collapsed="false">
      <c r="B146" s="838"/>
      <c r="C146" s="838"/>
      <c r="D146" s="838"/>
      <c r="E146" s="838"/>
      <c r="F146" s="838"/>
      <c r="G146" s="839"/>
      <c r="H146" s="838"/>
      <c r="I146" s="839"/>
      <c r="J146" s="838"/>
      <c r="K146" s="838"/>
      <c r="L146" s="839"/>
      <c r="M146" s="838"/>
      <c r="N146" s="838"/>
      <c r="O146" s="839"/>
      <c r="P146" s="838"/>
      <c r="Q146" s="838"/>
      <c r="R146" s="840"/>
    </row>
    <row r="147" s="642" customFormat="true" ht="14.25" hidden="false" customHeight="false" outlineLevel="0" collapsed="false">
      <c r="B147" s="838"/>
      <c r="C147" s="838"/>
      <c r="D147" s="838"/>
      <c r="E147" s="838"/>
      <c r="F147" s="838"/>
      <c r="G147" s="839"/>
      <c r="H147" s="838"/>
      <c r="I147" s="839"/>
      <c r="J147" s="838"/>
      <c r="K147" s="838"/>
      <c r="L147" s="839"/>
      <c r="M147" s="838"/>
      <c r="N147" s="838"/>
      <c r="O147" s="839"/>
      <c r="P147" s="838"/>
      <c r="Q147" s="838"/>
      <c r="R147" s="840"/>
    </row>
    <row r="148" s="642" customFormat="true" ht="14.25" hidden="false" customHeight="false" outlineLevel="0" collapsed="false">
      <c r="B148" s="838"/>
      <c r="C148" s="838"/>
      <c r="D148" s="838"/>
      <c r="E148" s="838"/>
      <c r="F148" s="838"/>
      <c r="G148" s="839"/>
      <c r="H148" s="838"/>
      <c r="I148" s="839"/>
      <c r="J148" s="838"/>
      <c r="K148" s="838"/>
      <c r="L148" s="839"/>
      <c r="M148" s="838"/>
      <c r="N148" s="838"/>
      <c r="O148" s="839"/>
      <c r="P148" s="838"/>
      <c r="Q148" s="838"/>
      <c r="R148" s="840"/>
    </row>
    <row r="149" s="642" customFormat="true" ht="14.25" hidden="false" customHeight="false" outlineLevel="0" collapsed="false">
      <c r="B149" s="838"/>
      <c r="C149" s="838"/>
      <c r="D149" s="838"/>
      <c r="E149" s="838"/>
      <c r="F149" s="838"/>
      <c r="G149" s="839"/>
      <c r="H149" s="838"/>
      <c r="I149" s="839"/>
      <c r="J149" s="838"/>
      <c r="K149" s="838"/>
      <c r="L149" s="839"/>
      <c r="M149" s="838"/>
      <c r="N149" s="838"/>
      <c r="O149" s="839"/>
      <c r="P149" s="838"/>
      <c r="Q149" s="838"/>
      <c r="R149" s="840"/>
    </row>
    <row r="150" s="642" customFormat="true" ht="14.25" hidden="false" customHeight="false" outlineLevel="0" collapsed="false">
      <c r="B150" s="838"/>
      <c r="C150" s="838"/>
      <c r="D150" s="838"/>
      <c r="E150" s="838"/>
      <c r="F150" s="838"/>
      <c r="G150" s="839"/>
      <c r="H150" s="838"/>
      <c r="I150" s="839"/>
      <c r="J150" s="838"/>
      <c r="K150" s="838"/>
      <c r="L150" s="839"/>
      <c r="M150" s="838"/>
      <c r="N150" s="838"/>
      <c r="O150" s="839"/>
      <c r="P150" s="838"/>
      <c r="Q150" s="838"/>
      <c r="R150" s="840"/>
    </row>
    <row r="151" s="642" customFormat="true" ht="14.25" hidden="false" customHeight="false" outlineLevel="0" collapsed="false">
      <c r="B151" s="838"/>
      <c r="C151" s="838"/>
      <c r="D151" s="838"/>
      <c r="E151" s="838"/>
      <c r="F151" s="838"/>
      <c r="G151" s="839"/>
      <c r="H151" s="838"/>
      <c r="I151" s="839"/>
      <c r="J151" s="838"/>
      <c r="K151" s="838"/>
      <c r="L151" s="839"/>
      <c r="M151" s="838"/>
      <c r="N151" s="838"/>
      <c r="O151" s="839"/>
      <c r="P151" s="838"/>
      <c r="Q151" s="838"/>
      <c r="R151" s="840"/>
    </row>
    <row r="152" s="642" customFormat="true" ht="14.25" hidden="false" customHeight="false" outlineLevel="0" collapsed="false">
      <c r="B152" s="838"/>
      <c r="C152" s="838"/>
      <c r="D152" s="838"/>
      <c r="E152" s="838"/>
      <c r="F152" s="838"/>
      <c r="G152" s="839"/>
      <c r="H152" s="838"/>
      <c r="I152" s="839"/>
      <c r="J152" s="838"/>
      <c r="K152" s="838"/>
      <c r="L152" s="839"/>
      <c r="M152" s="838"/>
      <c r="N152" s="838"/>
      <c r="O152" s="839"/>
      <c r="P152" s="838"/>
      <c r="Q152" s="838"/>
      <c r="R152" s="840"/>
    </row>
    <row r="153" s="642" customFormat="true" ht="14.25" hidden="false" customHeight="false" outlineLevel="0" collapsed="false">
      <c r="B153" s="838"/>
      <c r="C153" s="838"/>
      <c r="D153" s="838"/>
      <c r="E153" s="838"/>
      <c r="F153" s="838"/>
      <c r="G153" s="839"/>
      <c r="H153" s="838"/>
      <c r="I153" s="839"/>
      <c r="J153" s="838"/>
      <c r="K153" s="838"/>
      <c r="L153" s="839"/>
      <c r="M153" s="838"/>
      <c r="N153" s="838"/>
      <c r="O153" s="839"/>
      <c r="P153" s="838"/>
      <c r="Q153" s="838"/>
      <c r="R153" s="840"/>
    </row>
    <row r="154" s="642" customFormat="true" ht="14.25" hidden="false" customHeight="false" outlineLevel="0" collapsed="false">
      <c r="B154" s="838"/>
      <c r="C154" s="838"/>
      <c r="D154" s="838"/>
      <c r="E154" s="838"/>
      <c r="F154" s="838"/>
      <c r="G154" s="839"/>
      <c r="H154" s="838"/>
      <c r="I154" s="839"/>
      <c r="J154" s="838"/>
      <c r="K154" s="838"/>
      <c r="L154" s="839"/>
      <c r="M154" s="838"/>
      <c r="N154" s="838"/>
      <c r="O154" s="839"/>
      <c r="P154" s="838"/>
      <c r="Q154" s="838"/>
      <c r="R154" s="840"/>
    </row>
    <row r="155" s="642" customFormat="true" ht="14.25" hidden="false" customHeight="false" outlineLevel="0" collapsed="false">
      <c r="B155" s="838"/>
      <c r="C155" s="838"/>
      <c r="D155" s="838"/>
      <c r="E155" s="838"/>
      <c r="F155" s="838"/>
      <c r="G155" s="839"/>
      <c r="H155" s="838"/>
      <c r="I155" s="839"/>
      <c r="J155" s="838"/>
      <c r="K155" s="838"/>
      <c r="L155" s="839"/>
      <c r="M155" s="838"/>
      <c r="N155" s="838"/>
      <c r="O155" s="839"/>
      <c r="P155" s="838"/>
      <c r="Q155" s="838"/>
      <c r="R155" s="840"/>
    </row>
    <row r="156" s="642" customFormat="true" ht="14.25" hidden="false" customHeight="false" outlineLevel="0" collapsed="false">
      <c r="B156" s="838"/>
      <c r="C156" s="838"/>
      <c r="D156" s="838"/>
      <c r="E156" s="838"/>
      <c r="F156" s="838"/>
      <c r="G156" s="839"/>
      <c r="H156" s="838"/>
      <c r="I156" s="839"/>
      <c r="J156" s="838"/>
      <c r="K156" s="838"/>
      <c r="L156" s="839"/>
      <c r="M156" s="838"/>
      <c r="N156" s="838"/>
      <c r="O156" s="839"/>
      <c r="P156" s="838"/>
      <c r="Q156" s="838"/>
      <c r="R156" s="840"/>
    </row>
    <row r="157" s="642" customFormat="true" ht="14.25" hidden="false" customHeight="false" outlineLevel="0" collapsed="false">
      <c r="B157" s="838"/>
      <c r="C157" s="838"/>
      <c r="D157" s="838"/>
      <c r="E157" s="838"/>
      <c r="F157" s="838"/>
      <c r="G157" s="839"/>
      <c r="H157" s="838"/>
      <c r="I157" s="839"/>
      <c r="J157" s="838"/>
      <c r="K157" s="838"/>
      <c r="L157" s="839"/>
      <c r="M157" s="838"/>
      <c r="N157" s="838"/>
      <c r="O157" s="839"/>
      <c r="P157" s="838"/>
      <c r="Q157" s="838"/>
      <c r="R157" s="840"/>
    </row>
    <row r="158" s="642" customFormat="true" ht="14.25" hidden="false" customHeight="false" outlineLevel="0" collapsed="false">
      <c r="B158" s="838"/>
      <c r="C158" s="838"/>
      <c r="D158" s="838"/>
      <c r="E158" s="838"/>
      <c r="F158" s="838"/>
      <c r="G158" s="839"/>
      <c r="H158" s="838"/>
      <c r="I158" s="839"/>
      <c r="J158" s="838"/>
      <c r="K158" s="838"/>
      <c r="L158" s="839"/>
      <c r="M158" s="838"/>
      <c r="N158" s="838"/>
      <c r="O158" s="839"/>
      <c r="P158" s="838"/>
      <c r="Q158" s="838"/>
      <c r="R158" s="840"/>
    </row>
    <row r="159" s="642" customFormat="true" ht="14.25" hidden="false" customHeight="false" outlineLevel="0" collapsed="false">
      <c r="B159" s="838"/>
      <c r="C159" s="838"/>
      <c r="D159" s="838"/>
      <c r="E159" s="838"/>
      <c r="F159" s="838"/>
      <c r="G159" s="839"/>
      <c r="H159" s="838"/>
      <c r="I159" s="839"/>
      <c r="J159" s="838"/>
      <c r="K159" s="838"/>
      <c r="L159" s="839"/>
      <c r="M159" s="838"/>
      <c r="N159" s="838"/>
      <c r="O159" s="839"/>
      <c r="P159" s="838"/>
      <c r="Q159" s="838"/>
      <c r="R159" s="840"/>
    </row>
    <row r="160" s="642" customFormat="true" ht="14.25" hidden="false" customHeight="false" outlineLevel="0" collapsed="false">
      <c r="B160" s="838"/>
      <c r="C160" s="838"/>
      <c r="D160" s="838"/>
      <c r="E160" s="838"/>
      <c r="F160" s="838"/>
      <c r="G160" s="839"/>
      <c r="H160" s="838"/>
      <c r="I160" s="839"/>
      <c r="J160" s="838"/>
      <c r="K160" s="838"/>
      <c r="L160" s="839"/>
      <c r="M160" s="838"/>
      <c r="N160" s="838"/>
      <c r="O160" s="839"/>
      <c r="P160" s="838"/>
      <c r="Q160" s="838"/>
      <c r="R160" s="840"/>
    </row>
    <row r="161" s="642" customFormat="true" ht="14.25" hidden="false" customHeight="false" outlineLevel="0" collapsed="false">
      <c r="B161" s="838"/>
      <c r="C161" s="838"/>
      <c r="D161" s="838"/>
      <c r="E161" s="838"/>
      <c r="F161" s="838"/>
      <c r="G161" s="839"/>
      <c r="H161" s="838"/>
      <c r="I161" s="839"/>
      <c r="J161" s="838"/>
      <c r="K161" s="838"/>
      <c r="L161" s="839"/>
      <c r="M161" s="838"/>
      <c r="N161" s="838"/>
      <c r="O161" s="839"/>
      <c r="P161" s="838"/>
      <c r="Q161" s="838"/>
      <c r="R161" s="840"/>
    </row>
    <row r="162" s="642" customFormat="true" ht="14.25" hidden="false" customHeight="false" outlineLevel="0" collapsed="false">
      <c r="B162" s="838"/>
      <c r="C162" s="838"/>
      <c r="D162" s="838"/>
      <c r="E162" s="838"/>
      <c r="F162" s="838"/>
      <c r="G162" s="839"/>
      <c r="H162" s="838"/>
      <c r="I162" s="839"/>
      <c r="J162" s="838"/>
      <c r="K162" s="838"/>
      <c r="L162" s="839"/>
      <c r="M162" s="838"/>
      <c r="N162" s="838"/>
      <c r="O162" s="839"/>
      <c r="P162" s="838"/>
      <c r="Q162" s="838"/>
      <c r="R162" s="840"/>
    </row>
    <row r="163" s="642" customFormat="true" ht="14.25" hidden="false" customHeight="false" outlineLevel="0" collapsed="false">
      <c r="B163" s="838"/>
      <c r="C163" s="838"/>
      <c r="D163" s="838"/>
      <c r="E163" s="838"/>
      <c r="F163" s="838"/>
      <c r="G163" s="839"/>
      <c r="H163" s="838"/>
      <c r="I163" s="839"/>
      <c r="J163" s="838"/>
      <c r="K163" s="838"/>
      <c r="L163" s="839"/>
      <c r="M163" s="838"/>
      <c r="N163" s="838"/>
      <c r="O163" s="839"/>
      <c r="P163" s="838"/>
      <c r="Q163" s="838"/>
      <c r="R163" s="840"/>
    </row>
    <row r="164" s="642" customFormat="true" ht="14.25" hidden="false" customHeight="false" outlineLevel="0" collapsed="false">
      <c r="B164" s="838"/>
      <c r="C164" s="838"/>
      <c r="D164" s="838"/>
      <c r="E164" s="838"/>
      <c r="F164" s="838"/>
      <c r="G164" s="839"/>
      <c r="H164" s="838"/>
      <c r="I164" s="839"/>
      <c r="J164" s="838"/>
      <c r="K164" s="838"/>
      <c r="L164" s="839"/>
      <c r="M164" s="838"/>
      <c r="N164" s="838"/>
      <c r="O164" s="839"/>
      <c r="P164" s="838"/>
      <c r="Q164" s="838"/>
      <c r="R164" s="840"/>
    </row>
    <row r="165" s="642" customFormat="true" ht="14.25" hidden="false" customHeight="false" outlineLevel="0" collapsed="false">
      <c r="B165" s="838"/>
      <c r="C165" s="838"/>
      <c r="D165" s="838"/>
      <c r="E165" s="838"/>
      <c r="F165" s="838"/>
      <c r="G165" s="839"/>
      <c r="H165" s="838"/>
      <c r="I165" s="839"/>
      <c r="J165" s="838"/>
      <c r="K165" s="838"/>
      <c r="L165" s="839"/>
      <c r="M165" s="838"/>
      <c r="N165" s="838"/>
      <c r="O165" s="839"/>
      <c r="P165" s="838"/>
      <c r="Q165" s="838"/>
      <c r="R165" s="840"/>
    </row>
    <row r="166" s="642" customFormat="true" ht="14.25" hidden="false" customHeight="false" outlineLevel="0" collapsed="false">
      <c r="B166" s="838"/>
      <c r="C166" s="838"/>
      <c r="D166" s="838"/>
      <c r="E166" s="838"/>
      <c r="F166" s="838"/>
      <c r="G166" s="839"/>
      <c r="H166" s="838"/>
      <c r="I166" s="839"/>
      <c r="J166" s="838"/>
      <c r="K166" s="838"/>
      <c r="L166" s="839"/>
      <c r="M166" s="838"/>
      <c r="N166" s="838"/>
      <c r="O166" s="839"/>
      <c r="P166" s="838"/>
      <c r="Q166" s="838"/>
      <c r="R166" s="840"/>
    </row>
    <row r="167" s="642" customFormat="true" ht="14.25" hidden="false" customHeight="false" outlineLevel="0" collapsed="false">
      <c r="B167" s="838"/>
      <c r="C167" s="838"/>
      <c r="D167" s="838"/>
      <c r="E167" s="838"/>
      <c r="F167" s="838"/>
      <c r="G167" s="839"/>
      <c r="H167" s="838"/>
      <c r="I167" s="839"/>
      <c r="J167" s="838"/>
      <c r="K167" s="838"/>
      <c r="L167" s="839"/>
      <c r="M167" s="838"/>
      <c r="N167" s="838"/>
      <c r="O167" s="839"/>
      <c r="P167" s="838"/>
      <c r="Q167" s="838"/>
      <c r="R167" s="840"/>
    </row>
    <row r="168" s="642" customFormat="true" ht="14.25" hidden="false" customHeight="false" outlineLevel="0" collapsed="false">
      <c r="B168" s="838"/>
      <c r="C168" s="838"/>
      <c r="D168" s="838"/>
      <c r="E168" s="838"/>
      <c r="F168" s="838"/>
      <c r="G168" s="839"/>
      <c r="H168" s="838"/>
      <c r="I168" s="839"/>
      <c r="J168" s="838"/>
      <c r="K168" s="838"/>
      <c r="L168" s="839"/>
      <c r="M168" s="838"/>
      <c r="N168" s="838"/>
      <c r="O168" s="839"/>
      <c r="P168" s="838"/>
      <c r="Q168" s="838"/>
      <c r="R168" s="840"/>
    </row>
    <row r="169" s="642" customFormat="true" ht="14.25" hidden="false" customHeight="false" outlineLevel="0" collapsed="false">
      <c r="B169" s="838"/>
      <c r="C169" s="838"/>
      <c r="D169" s="838"/>
      <c r="E169" s="838"/>
      <c r="F169" s="838"/>
      <c r="G169" s="839"/>
      <c r="H169" s="838"/>
      <c r="I169" s="839"/>
      <c r="J169" s="838"/>
      <c r="K169" s="838"/>
      <c r="L169" s="839"/>
      <c r="M169" s="838"/>
      <c r="N169" s="838"/>
      <c r="O169" s="839"/>
      <c r="P169" s="838"/>
      <c r="Q169" s="838"/>
      <c r="R169" s="840"/>
    </row>
    <row r="170" s="642" customFormat="true" ht="14.25" hidden="false" customHeight="false" outlineLevel="0" collapsed="false">
      <c r="B170" s="838"/>
      <c r="C170" s="838"/>
      <c r="D170" s="838"/>
      <c r="E170" s="838"/>
      <c r="F170" s="838"/>
      <c r="G170" s="839"/>
      <c r="H170" s="838"/>
      <c r="I170" s="839"/>
      <c r="J170" s="838"/>
      <c r="K170" s="838"/>
      <c r="L170" s="839"/>
      <c r="M170" s="838"/>
      <c r="N170" s="838"/>
      <c r="O170" s="839"/>
      <c r="P170" s="838"/>
      <c r="Q170" s="838"/>
      <c r="R170" s="840"/>
    </row>
    <row r="171" s="642" customFormat="true" ht="14.25" hidden="false" customHeight="false" outlineLevel="0" collapsed="false">
      <c r="B171" s="838"/>
      <c r="C171" s="838"/>
      <c r="D171" s="838"/>
      <c r="E171" s="838"/>
      <c r="F171" s="838"/>
      <c r="G171" s="839"/>
      <c r="H171" s="838"/>
      <c r="I171" s="839"/>
      <c r="J171" s="838"/>
      <c r="K171" s="838"/>
      <c r="L171" s="839"/>
      <c r="M171" s="838"/>
      <c r="N171" s="838"/>
      <c r="O171" s="839"/>
      <c r="P171" s="838"/>
      <c r="Q171" s="838"/>
      <c r="R171" s="840"/>
    </row>
    <row r="172" s="642" customFormat="true" ht="14.25" hidden="false" customHeight="false" outlineLevel="0" collapsed="false">
      <c r="B172" s="838"/>
      <c r="C172" s="838"/>
      <c r="D172" s="838"/>
      <c r="E172" s="838"/>
      <c r="F172" s="838"/>
      <c r="G172" s="839"/>
      <c r="H172" s="838"/>
      <c r="I172" s="839"/>
      <c r="J172" s="838"/>
      <c r="K172" s="838"/>
      <c r="L172" s="839"/>
      <c r="M172" s="838"/>
      <c r="N172" s="838"/>
      <c r="O172" s="839"/>
      <c r="P172" s="838"/>
      <c r="Q172" s="838"/>
      <c r="R172" s="840"/>
    </row>
    <row r="173" s="642" customFormat="true" ht="14.25" hidden="false" customHeight="false" outlineLevel="0" collapsed="false">
      <c r="B173" s="838"/>
      <c r="C173" s="838"/>
      <c r="D173" s="838"/>
      <c r="E173" s="838"/>
      <c r="F173" s="838"/>
      <c r="G173" s="839"/>
      <c r="H173" s="838"/>
      <c r="I173" s="839"/>
      <c r="J173" s="838"/>
      <c r="K173" s="838"/>
      <c r="L173" s="839"/>
      <c r="M173" s="838"/>
      <c r="N173" s="838"/>
      <c r="O173" s="839"/>
      <c r="P173" s="838"/>
      <c r="Q173" s="838"/>
      <c r="R173" s="840"/>
    </row>
    <row r="174" s="642" customFormat="true" ht="14.25" hidden="false" customHeight="false" outlineLevel="0" collapsed="false">
      <c r="B174" s="838"/>
      <c r="C174" s="838"/>
      <c r="D174" s="838"/>
      <c r="E174" s="838"/>
      <c r="F174" s="838"/>
      <c r="G174" s="839"/>
      <c r="H174" s="838"/>
      <c r="I174" s="839"/>
      <c r="J174" s="838"/>
      <c r="K174" s="838"/>
      <c r="L174" s="839"/>
      <c r="M174" s="838"/>
      <c r="N174" s="838"/>
      <c r="O174" s="839"/>
      <c r="P174" s="838"/>
      <c r="Q174" s="838"/>
      <c r="R174" s="840"/>
    </row>
    <row r="175" s="642" customFormat="true" ht="14.25" hidden="false" customHeight="false" outlineLevel="0" collapsed="false">
      <c r="B175" s="838"/>
      <c r="C175" s="838"/>
      <c r="D175" s="838"/>
      <c r="E175" s="838"/>
      <c r="F175" s="838"/>
      <c r="G175" s="839"/>
      <c r="H175" s="838"/>
      <c r="I175" s="839"/>
      <c r="J175" s="838"/>
      <c r="K175" s="838"/>
      <c r="L175" s="839"/>
      <c r="M175" s="838"/>
      <c r="N175" s="838"/>
      <c r="O175" s="839"/>
      <c r="P175" s="838"/>
      <c r="Q175" s="838"/>
      <c r="R175" s="840"/>
    </row>
    <row r="176" s="642" customFormat="true" ht="14.25" hidden="false" customHeight="false" outlineLevel="0" collapsed="false">
      <c r="B176" s="838"/>
      <c r="C176" s="838"/>
      <c r="D176" s="838"/>
      <c r="E176" s="838"/>
      <c r="F176" s="838"/>
      <c r="G176" s="839"/>
      <c r="H176" s="838"/>
      <c r="I176" s="839"/>
      <c r="J176" s="838"/>
      <c r="K176" s="838"/>
      <c r="L176" s="839"/>
      <c r="M176" s="838"/>
      <c r="N176" s="838"/>
      <c r="O176" s="839"/>
      <c r="P176" s="838"/>
      <c r="Q176" s="838"/>
      <c r="R176" s="840"/>
    </row>
    <row r="177" s="642" customFormat="true" ht="14.25" hidden="false" customHeight="false" outlineLevel="0" collapsed="false">
      <c r="B177" s="838"/>
      <c r="C177" s="838"/>
      <c r="D177" s="838"/>
      <c r="E177" s="838"/>
      <c r="F177" s="838"/>
      <c r="G177" s="839"/>
      <c r="H177" s="838"/>
      <c r="I177" s="839"/>
      <c r="J177" s="838"/>
      <c r="K177" s="838"/>
      <c r="L177" s="839"/>
      <c r="M177" s="838"/>
      <c r="N177" s="838"/>
      <c r="O177" s="839"/>
      <c r="P177" s="838"/>
      <c r="Q177" s="838"/>
      <c r="R177" s="840"/>
    </row>
    <row r="178" s="642" customFormat="true" ht="14.25" hidden="false" customHeight="false" outlineLevel="0" collapsed="false">
      <c r="B178" s="838"/>
      <c r="C178" s="838"/>
      <c r="D178" s="838"/>
      <c r="E178" s="838"/>
      <c r="F178" s="838"/>
      <c r="G178" s="839"/>
      <c r="H178" s="838"/>
      <c r="I178" s="839"/>
      <c r="J178" s="838"/>
      <c r="K178" s="838"/>
      <c r="L178" s="839"/>
      <c r="M178" s="838"/>
      <c r="N178" s="838"/>
      <c r="O178" s="839"/>
      <c r="P178" s="838"/>
      <c r="Q178" s="838"/>
      <c r="R178" s="840"/>
    </row>
    <row r="179" s="642" customFormat="true" ht="14.25" hidden="false" customHeight="false" outlineLevel="0" collapsed="false">
      <c r="B179" s="838"/>
      <c r="C179" s="838"/>
      <c r="D179" s="838"/>
      <c r="E179" s="838"/>
      <c r="F179" s="838"/>
      <c r="G179" s="839"/>
      <c r="H179" s="838"/>
      <c r="I179" s="839"/>
      <c r="J179" s="838"/>
      <c r="K179" s="838"/>
      <c r="L179" s="839"/>
      <c r="M179" s="838"/>
      <c r="N179" s="838"/>
      <c r="O179" s="839"/>
      <c r="P179" s="838"/>
      <c r="Q179" s="838"/>
      <c r="R179" s="840"/>
    </row>
    <row r="180" s="642" customFormat="true" ht="14.25" hidden="false" customHeight="false" outlineLevel="0" collapsed="false">
      <c r="B180" s="838"/>
      <c r="C180" s="838"/>
      <c r="D180" s="838"/>
      <c r="E180" s="838"/>
      <c r="F180" s="838"/>
      <c r="G180" s="839"/>
      <c r="H180" s="838"/>
      <c r="I180" s="839"/>
      <c r="J180" s="838"/>
      <c r="K180" s="838"/>
      <c r="L180" s="839"/>
      <c r="M180" s="838"/>
      <c r="N180" s="838"/>
      <c r="O180" s="839"/>
      <c r="P180" s="838"/>
      <c r="Q180" s="838"/>
      <c r="R180" s="840"/>
    </row>
    <row r="181" s="642" customFormat="true" ht="14.25" hidden="false" customHeight="false" outlineLevel="0" collapsed="false">
      <c r="B181" s="838"/>
      <c r="C181" s="838"/>
      <c r="D181" s="838"/>
      <c r="E181" s="838"/>
      <c r="F181" s="838"/>
      <c r="G181" s="839"/>
      <c r="H181" s="838"/>
      <c r="I181" s="839"/>
      <c r="J181" s="838"/>
      <c r="K181" s="838"/>
      <c r="L181" s="839"/>
      <c r="M181" s="838"/>
      <c r="N181" s="838"/>
      <c r="O181" s="839"/>
      <c r="P181" s="838"/>
      <c r="Q181" s="838"/>
      <c r="R181" s="840"/>
    </row>
    <row r="182" s="642" customFormat="true" ht="14.25" hidden="false" customHeight="false" outlineLevel="0" collapsed="false">
      <c r="B182" s="838"/>
      <c r="C182" s="838"/>
      <c r="D182" s="838"/>
      <c r="E182" s="838"/>
      <c r="F182" s="838"/>
      <c r="G182" s="839"/>
      <c r="H182" s="838"/>
      <c r="I182" s="839"/>
      <c r="J182" s="838"/>
      <c r="K182" s="838"/>
      <c r="L182" s="839"/>
      <c r="M182" s="838"/>
      <c r="N182" s="838"/>
      <c r="O182" s="839"/>
      <c r="P182" s="838"/>
      <c r="Q182" s="838"/>
      <c r="R182" s="840"/>
    </row>
    <row r="183" s="642" customFormat="true" ht="14.25" hidden="false" customHeight="false" outlineLevel="0" collapsed="false">
      <c r="B183" s="838"/>
      <c r="C183" s="838"/>
      <c r="D183" s="838"/>
      <c r="E183" s="838"/>
      <c r="F183" s="838"/>
      <c r="G183" s="839"/>
      <c r="H183" s="838"/>
      <c r="I183" s="839"/>
      <c r="J183" s="838"/>
      <c r="K183" s="838"/>
      <c r="L183" s="839"/>
      <c r="M183" s="838"/>
      <c r="N183" s="838"/>
      <c r="O183" s="839"/>
      <c r="P183" s="838"/>
      <c r="Q183" s="838"/>
      <c r="R183" s="840"/>
    </row>
    <row r="184" s="642" customFormat="true" ht="14.25" hidden="false" customHeight="false" outlineLevel="0" collapsed="false">
      <c r="B184" s="838"/>
      <c r="C184" s="838"/>
      <c r="D184" s="838"/>
      <c r="E184" s="838"/>
      <c r="F184" s="838"/>
      <c r="G184" s="839"/>
      <c r="H184" s="838"/>
      <c r="I184" s="839"/>
      <c r="J184" s="838"/>
      <c r="K184" s="838"/>
      <c r="L184" s="839"/>
      <c r="M184" s="838"/>
      <c r="N184" s="838"/>
      <c r="O184" s="839"/>
      <c r="P184" s="838"/>
      <c r="Q184" s="838"/>
      <c r="R184" s="840"/>
    </row>
    <row r="185" s="642" customFormat="true" ht="14.25" hidden="false" customHeight="false" outlineLevel="0" collapsed="false">
      <c r="B185" s="838"/>
      <c r="C185" s="838"/>
      <c r="D185" s="838"/>
      <c r="E185" s="838"/>
      <c r="F185" s="838"/>
      <c r="G185" s="839"/>
      <c r="H185" s="838"/>
      <c r="I185" s="839"/>
      <c r="J185" s="838"/>
      <c r="K185" s="838"/>
      <c r="L185" s="839"/>
      <c r="M185" s="838"/>
      <c r="N185" s="838"/>
      <c r="O185" s="839"/>
      <c r="P185" s="838"/>
      <c r="Q185" s="838"/>
      <c r="R185" s="840"/>
    </row>
    <row r="186" customFormat="false" ht="14.25" hidden="false" customHeight="false" outlineLevel="0" collapsed="false">
      <c r="A186" s="642"/>
      <c r="B186" s="838"/>
      <c r="C186" s="838"/>
      <c r="E186" s="838"/>
      <c r="F186" s="838"/>
      <c r="G186" s="839"/>
    </row>
    <row r="187" customFormat="false" ht="14.25" hidden="false" customHeight="false" outlineLevel="0" collapsed="false">
      <c r="A187" s="642"/>
      <c r="B187" s="838"/>
      <c r="C187" s="838"/>
      <c r="E187" s="838"/>
      <c r="F187" s="838"/>
      <c r="G187" s="839"/>
    </row>
  </sheetData>
  <sheetProtection sheet="true" password="cee9" objects="true" scenarios="true" formatCells="false" formatColumns="false" formatRows="false"/>
  <mergeCells count="1">
    <mergeCell ref="A1:G1"/>
  </mergeCells>
  <dataValidations count="1">
    <dataValidation allowBlank="true" operator="between" showDropDown="false" showErrorMessage="true" showInputMessage="true" sqref="G21 C23" type="list">
      <formula1>临街状况</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17.xml><?xml version="1.0" encoding="utf-8"?>
<worksheet xmlns="http://schemas.openxmlformats.org/spreadsheetml/2006/main" xmlns:r="http://schemas.openxmlformats.org/officeDocument/2006/relationships">
  <sheetPr filterMode="false">
    <pageSetUpPr fitToPage="false"/>
  </sheetPr>
  <dimension ref="A1:K26"/>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A38" activeCellId="0" sqref="A38"/>
    </sheetView>
  </sheetViews>
  <sheetFormatPr defaultRowHeight="13.5" zeroHeight="false" outlineLevelRow="0" outlineLevelCol="0"/>
  <cols>
    <col collapsed="false" customWidth="true" hidden="false" outlineLevel="0" max="1" min="1" style="903" width="25.01"/>
    <col collapsed="false" customWidth="true" hidden="false" outlineLevel="0" max="9" min="2" style="903" width="15.76"/>
    <col collapsed="false" customWidth="true" hidden="false" outlineLevel="0" max="1025" min="10" style="903" width="9"/>
  </cols>
  <sheetData>
    <row r="1" customFormat="false" ht="16.5" hidden="false" customHeight="false" outlineLevel="0" collapsed="false">
      <c r="A1" s="904" t="s">
        <v>663</v>
      </c>
      <c r="B1" s="904" t="n">
        <f aca="false">SUM(B14:B23)</f>
        <v>58.3</v>
      </c>
      <c r="C1" s="905"/>
      <c r="D1" s="905"/>
      <c r="E1" s="905"/>
      <c r="F1" s="905"/>
      <c r="G1" s="906"/>
      <c r="H1" s="907"/>
      <c r="I1" s="907"/>
      <c r="J1" s="907"/>
      <c r="K1" s="907"/>
    </row>
    <row r="2" customFormat="false" ht="16.5" hidden="false" customHeight="false" outlineLevel="0" collapsed="false">
      <c r="A2" s="904" t="s">
        <v>664</v>
      </c>
      <c r="B2" s="904" t="n">
        <f aca="false">SUM(C14:C23)</f>
        <v>0</v>
      </c>
      <c r="C2" s="905"/>
      <c r="D2" s="905"/>
      <c r="E2" s="905"/>
      <c r="F2" s="905"/>
      <c r="G2" s="906"/>
      <c r="H2" s="907"/>
      <c r="I2" s="907"/>
      <c r="J2" s="907"/>
      <c r="K2" s="907"/>
    </row>
    <row r="3" customFormat="false" ht="16.5" hidden="false" customHeight="false" outlineLevel="0" collapsed="false">
      <c r="A3" s="904" t="s">
        <v>665</v>
      </c>
      <c r="B3" s="908" t="n">
        <f aca="false">项目基本情况!D3</f>
        <v>39031</v>
      </c>
      <c r="C3" s="905"/>
      <c r="D3" s="905"/>
      <c r="E3" s="905"/>
      <c r="F3" s="905"/>
      <c r="G3" s="906"/>
      <c r="H3" s="907"/>
      <c r="I3" s="907"/>
      <c r="J3" s="907"/>
      <c r="K3" s="907"/>
    </row>
    <row r="4" customFormat="false" ht="33" hidden="false" customHeight="false" outlineLevel="0" collapsed="false">
      <c r="A4" s="904" t="s">
        <v>427</v>
      </c>
      <c r="B4" s="904" t="s">
        <v>666</v>
      </c>
      <c r="C4" s="904" t="s">
        <v>667</v>
      </c>
      <c r="D4" s="904" t="s">
        <v>668</v>
      </c>
      <c r="E4" s="905"/>
      <c r="F4" s="906"/>
      <c r="G4" s="906"/>
      <c r="H4" s="907"/>
      <c r="I4" s="907"/>
      <c r="J4" s="907"/>
      <c r="K4" s="907"/>
    </row>
    <row r="5" customFormat="false" ht="16.5" hidden="false" customHeight="false" outlineLevel="0" collapsed="false">
      <c r="A5" s="904" t="s">
        <v>669</v>
      </c>
      <c r="B5" s="904" t="n">
        <f aca="false">SUM(D14:D23)</f>
        <v>59.8683</v>
      </c>
      <c r="C5" s="904" t="e">
        <f aca="false">IF(B5=D14,结果表!H102,ROUND(B5*10000/$B$1,0))</f>
        <v>#VALUE!</v>
      </c>
      <c r="D5" s="904" t="e">
        <f aca="false">ROUND(B5*10000/$B$2,0)</f>
        <v>#DIV/0!</v>
      </c>
      <c r="E5" s="905"/>
      <c r="F5" s="906"/>
      <c r="G5" s="906"/>
      <c r="H5" s="907"/>
      <c r="I5" s="907"/>
      <c r="J5" s="907"/>
      <c r="K5" s="907"/>
    </row>
    <row r="6" customFormat="false" ht="16.5" hidden="false" customHeight="false" outlineLevel="0" collapsed="false">
      <c r="A6" s="904" t="s">
        <v>670</v>
      </c>
      <c r="B6" s="904" t="n">
        <f aca="false">SUM(G14:G23)</f>
        <v>0</v>
      </c>
      <c r="C6" s="904" t="e">
        <f aca="false">IF(B6=G14,结果表!H108,ROUND(B6*10000/$B$1,0))</f>
        <v>#VALUE!</v>
      </c>
      <c r="D6" s="904" t="e">
        <f aca="false">ROUND(B6*10000/$B$2,0)</f>
        <v>#DIV/0!</v>
      </c>
      <c r="E6" s="905"/>
      <c r="F6" s="906"/>
      <c r="G6" s="906"/>
      <c r="H6" s="907"/>
      <c r="I6" s="907"/>
      <c r="J6" s="907"/>
      <c r="K6" s="907"/>
    </row>
    <row r="7" customFormat="false" ht="16.5" hidden="false" customHeight="false" outlineLevel="0" collapsed="false">
      <c r="A7" s="904" t="s">
        <v>671</v>
      </c>
      <c r="B7" s="904" t="n">
        <f aca="false">SUM(H14:H23)</f>
        <v>0</v>
      </c>
      <c r="C7" s="904" t="e">
        <f aca="false">IF(B7=H14,结果表!H110,ROUND(B7*10000/$B$1,0))</f>
        <v>#VALUE!</v>
      </c>
      <c r="D7" s="904" t="e">
        <f aca="false">ROUND(B7*10000/$B$2,0)</f>
        <v>#DIV/0!</v>
      </c>
      <c r="E7" s="905"/>
      <c r="F7" s="906"/>
      <c r="G7" s="906"/>
      <c r="H7" s="907"/>
      <c r="I7" s="907"/>
      <c r="J7" s="907"/>
      <c r="K7" s="907"/>
    </row>
    <row r="8" customFormat="false" ht="16.5" hidden="false" customHeight="false" outlineLevel="0" collapsed="false">
      <c r="A8" s="904" t="s">
        <v>331</v>
      </c>
      <c r="B8" s="904" t="n">
        <f aca="false">SUM(I14:I23)</f>
        <v>0</v>
      </c>
      <c r="C8" s="904" t="str">
        <f aca="false">IF(B8=I14,结果表!H112,ROUND(B8*10000/$B$1,0))</f>
        <v>——</v>
      </c>
      <c r="D8" s="904" t="e">
        <f aca="false">ROUND(B8*10000/$B$2,0)</f>
        <v>#DIV/0!</v>
      </c>
      <c r="E8" s="905"/>
      <c r="F8" s="906"/>
      <c r="G8" s="906"/>
      <c r="H8" s="907"/>
      <c r="I8" s="907"/>
      <c r="J8" s="907"/>
      <c r="K8" s="907"/>
    </row>
    <row r="9" customFormat="false" ht="16.5" hidden="false" customHeight="false" outlineLevel="0" collapsed="false">
      <c r="A9" s="904" t="s">
        <v>672</v>
      </c>
      <c r="B9" s="909"/>
      <c r="C9" s="905"/>
      <c r="D9" s="905"/>
      <c r="E9" s="905"/>
      <c r="F9" s="906"/>
      <c r="G9" s="906"/>
      <c r="H9" s="907"/>
      <c r="I9" s="907"/>
      <c r="J9" s="907"/>
      <c r="K9" s="907"/>
    </row>
    <row r="10" customFormat="false" ht="16.5" hidden="false" customHeight="false" outlineLevel="0" collapsed="false">
      <c r="A10" s="904" t="s">
        <v>574</v>
      </c>
      <c r="B10" s="904" t="n">
        <f aca="false">IF(E10="",0,ROUND(B1*(E10*365/G10)/10000,0))</f>
        <v>0</v>
      </c>
      <c r="C10" s="904" t="s">
        <v>673</v>
      </c>
      <c r="D10" s="904" t="s">
        <v>574</v>
      </c>
      <c r="E10" s="910"/>
      <c r="F10" s="911" t="s">
        <v>674</v>
      </c>
      <c r="G10" s="912"/>
      <c r="H10" s="907"/>
      <c r="I10" s="907"/>
      <c r="J10" s="907"/>
      <c r="K10" s="907"/>
    </row>
    <row r="11" customFormat="false" ht="16.5" hidden="false" customHeight="false" outlineLevel="0" collapsed="false">
      <c r="A11" s="904" t="s">
        <v>675</v>
      </c>
      <c r="B11" s="909"/>
      <c r="C11" s="905"/>
      <c r="D11" s="905"/>
      <c r="E11" s="905"/>
      <c r="F11" s="906"/>
      <c r="G11" s="906"/>
      <c r="H11" s="907"/>
      <c r="I11" s="907"/>
      <c r="J11" s="907"/>
      <c r="K11" s="907"/>
    </row>
    <row r="12" customFormat="false" ht="16.5" hidden="false" customHeight="false" outlineLevel="0" collapsed="false">
      <c r="A12" s="905"/>
      <c r="B12" s="905"/>
      <c r="C12" s="905"/>
      <c r="D12" s="905"/>
      <c r="E12" s="905"/>
      <c r="F12" s="906"/>
      <c r="G12" s="906"/>
      <c r="H12" s="907"/>
      <c r="I12" s="907"/>
      <c r="J12" s="907"/>
      <c r="K12" s="907"/>
    </row>
    <row r="13" customFormat="false" ht="33" hidden="false" customHeight="false" outlineLevel="0" collapsed="false">
      <c r="A13" s="913" t="s">
        <v>106</v>
      </c>
      <c r="B13" s="914" t="s">
        <v>663</v>
      </c>
      <c r="C13" s="914" t="s">
        <v>664</v>
      </c>
      <c r="D13" s="914" t="s">
        <v>676</v>
      </c>
      <c r="E13" s="904" t="s">
        <v>667</v>
      </c>
      <c r="F13" s="904" t="s">
        <v>668</v>
      </c>
      <c r="G13" s="914" t="s">
        <v>677</v>
      </c>
      <c r="H13" s="914" t="s">
        <v>678</v>
      </c>
      <c r="I13" s="914" t="s">
        <v>679</v>
      </c>
      <c r="J13" s="906"/>
      <c r="K13" s="907"/>
    </row>
    <row r="14" customFormat="false" ht="16.5" hidden="false" customHeight="false" outlineLevel="0" collapsed="false">
      <c r="A14" s="915" t="s">
        <v>680</v>
      </c>
      <c r="B14" s="916" t="n">
        <f aca="false">'数据-汇总表'!E19</f>
        <v>58.3</v>
      </c>
      <c r="C14" s="916"/>
      <c r="D14" s="916" t="n">
        <f aca="false">ROUND(E14*B14/10000,4)</f>
        <v>59.8683</v>
      </c>
      <c r="E14" s="916" t="n">
        <f aca="false">结果表!G20</f>
        <v>10269</v>
      </c>
      <c r="F14" s="916" t="e">
        <f aca="false">ROUND(D14*10000/C14,0)</f>
        <v>#DIV/0!</v>
      </c>
      <c r="G14" s="916"/>
      <c r="H14" s="916"/>
      <c r="I14" s="916"/>
      <c r="J14" s="906"/>
      <c r="K14" s="907"/>
    </row>
    <row r="15" customFormat="false" ht="16.5" hidden="false" customHeight="false" outlineLevel="0" collapsed="false">
      <c r="A15" s="915" t="s">
        <v>681</v>
      </c>
      <c r="B15" s="917"/>
      <c r="C15" s="917"/>
      <c r="D15" s="917"/>
      <c r="E15" s="916" t="e">
        <f aca="false">ROUND(D15*10000/B15,0)</f>
        <v>#DIV/0!</v>
      </c>
      <c r="F15" s="916" t="e">
        <f aca="false">ROUND(D15*10000/C15,0)</f>
        <v>#DIV/0!</v>
      </c>
      <c r="G15" s="918"/>
      <c r="H15" s="918"/>
      <c r="I15" s="917"/>
      <c r="J15" s="906"/>
      <c r="K15" s="907"/>
    </row>
    <row r="16" customFormat="false" ht="16.5" hidden="false" customHeight="false" outlineLevel="0" collapsed="false">
      <c r="A16" s="915" t="s">
        <v>682</v>
      </c>
      <c r="B16" s="917"/>
      <c r="C16" s="917"/>
      <c r="D16" s="917"/>
      <c r="E16" s="916" t="e">
        <f aca="false">ROUND(D16*10000/B16,0)</f>
        <v>#DIV/0!</v>
      </c>
      <c r="F16" s="916" t="e">
        <f aca="false">ROUND(D16*10000/C16,0)</f>
        <v>#DIV/0!</v>
      </c>
      <c r="G16" s="918"/>
      <c r="H16" s="918"/>
      <c r="I16" s="917"/>
      <c r="J16" s="907"/>
      <c r="K16" s="907"/>
    </row>
    <row r="17" customFormat="false" ht="16.5" hidden="false" customHeight="false" outlineLevel="0" collapsed="false">
      <c r="A17" s="915" t="s">
        <v>683</v>
      </c>
      <c r="B17" s="917"/>
      <c r="C17" s="917"/>
      <c r="D17" s="917"/>
      <c r="E17" s="916" t="e">
        <f aca="false">ROUND(D17*10000/B17,0)</f>
        <v>#DIV/0!</v>
      </c>
      <c r="F17" s="916" t="e">
        <f aca="false">ROUND(D17*10000/C17,0)</f>
        <v>#DIV/0!</v>
      </c>
      <c r="G17" s="918"/>
      <c r="H17" s="918"/>
      <c r="I17" s="917"/>
      <c r="J17" s="907"/>
      <c r="K17" s="907"/>
    </row>
    <row r="18" customFormat="false" ht="16.5" hidden="false" customHeight="false" outlineLevel="0" collapsed="false">
      <c r="A18" s="915" t="s">
        <v>684</v>
      </c>
      <c r="B18" s="917"/>
      <c r="C18" s="917"/>
      <c r="D18" s="917"/>
      <c r="E18" s="916" t="e">
        <f aca="false">ROUND(D18*10000/B18,0)</f>
        <v>#DIV/0!</v>
      </c>
      <c r="F18" s="916" t="e">
        <f aca="false">ROUND(D18*10000/C18,0)</f>
        <v>#DIV/0!</v>
      </c>
      <c r="G18" s="917"/>
      <c r="H18" s="917"/>
      <c r="I18" s="917"/>
      <c r="J18" s="907"/>
      <c r="K18" s="907"/>
    </row>
    <row r="19" customFormat="false" ht="16.5" hidden="false" customHeight="false" outlineLevel="0" collapsed="false">
      <c r="A19" s="915" t="s">
        <v>685</v>
      </c>
      <c r="B19" s="917"/>
      <c r="C19" s="917"/>
      <c r="D19" s="917"/>
      <c r="E19" s="916" t="e">
        <f aca="false">ROUND(D19*10000/B19,0)</f>
        <v>#DIV/0!</v>
      </c>
      <c r="F19" s="916" t="e">
        <f aca="false">ROUND(D19*10000/C19,0)</f>
        <v>#DIV/0!</v>
      </c>
      <c r="G19" s="917"/>
      <c r="H19" s="917"/>
      <c r="I19" s="917"/>
      <c r="J19" s="907"/>
      <c r="K19" s="907"/>
    </row>
    <row r="20" customFormat="false" ht="16.5" hidden="false" customHeight="false" outlineLevel="0" collapsed="false">
      <c r="A20" s="915" t="s">
        <v>686</v>
      </c>
      <c r="B20" s="917"/>
      <c r="C20" s="917"/>
      <c r="D20" s="917"/>
      <c r="E20" s="916" t="e">
        <f aca="false">ROUND(D20*10000/B20,0)</f>
        <v>#DIV/0!</v>
      </c>
      <c r="F20" s="916" t="e">
        <f aca="false">ROUND(D20*10000/C20,0)</f>
        <v>#DIV/0!</v>
      </c>
      <c r="G20" s="917"/>
      <c r="H20" s="917"/>
      <c r="I20" s="917"/>
      <c r="J20" s="907"/>
      <c r="K20" s="907"/>
    </row>
    <row r="21" customFormat="false" ht="16.5" hidden="false" customHeight="false" outlineLevel="0" collapsed="false">
      <c r="A21" s="915" t="s">
        <v>687</v>
      </c>
      <c r="B21" s="917"/>
      <c r="C21" s="917"/>
      <c r="D21" s="917"/>
      <c r="E21" s="916" t="e">
        <f aca="false">ROUND(D21*10000/B21,0)</f>
        <v>#DIV/0!</v>
      </c>
      <c r="F21" s="916" t="e">
        <f aca="false">ROUND(D21*10000/C21,0)</f>
        <v>#DIV/0!</v>
      </c>
      <c r="G21" s="917"/>
      <c r="H21" s="917"/>
      <c r="I21" s="917"/>
      <c r="J21" s="907"/>
      <c r="K21" s="907"/>
    </row>
    <row r="22" customFormat="false" ht="16.5" hidden="false" customHeight="false" outlineLevel="0" collapsed="false">
      <c r="A22" s="915" t="s">
        <v>688</v>
      </c>
      <c r="B22" s="917"/>
      <c r="C22" s="917"/>
      <c r="D22" s="917"/>
      <c r="E22" s="916" t="e">
        <f aca="false">ROUND(D22*10000/B22,0)</f>
        <v>#DIV/0!</v>
      </c>
      <c r="F22" s="916" t="e">
        <f aca="false">ROUND(D22*10000/C22,0)</f>
        <v>#DIV/0!</v>
      </c>
      <c r="G22" s="917"/>
      <c r="H22" s="917"/>
      <c r="I22" s="917"/>
      <c r="J22" s="907"/>
      <c r="K22" s="907"/>
    </row>
    <row r="23" customFormat="false" ht="16.5" hidden="false" customHeight="false" outlineLevel="0" collapsed="false">
      <c r="A23" s="915" t="s">
        <v>689</v>
      </c>
      <c r="B23" s="917"/>
      <c r="C23" s="917"/>
      <c r="D23" s="917"/>
      <c r="E23" s="909" t="e">
        <f aca="false">ROUND(D23*10000/B23,0)</f>
        <v>#DIV/0!</v>
      </c>
      <c r="F23" s="909" t="e">
        <f aca="false">ROUND(D23*10000/C23,0)</f>
        <v>#DIV/0!</v>
      </c>
      <c r="G23" s="917"/>
      <c r="H23" s="917"/>
      <c r="I23" s="917"/>
      <c r="J23" s="907"/>
      <c r="K23" s="907"/>
    </row>
    <row r="24" customFormat="false" ht="13.5" hidden="false" customHeight="false" outlineLevel="0" collapsed="false">
      <c r="A24" s="907"/>
      <c r="B24" s="907"/>
      <c r="C24" s="907"/>
      <c r="D24" s="907"/>
      <c r="E24" s="907"/>
      <c r="F24" s="907"/>
      <c r="G24" s="907"/>
      <c r="H24" s="907"/>
      <c r="I24" s="907"/>
      <c r="J24" s="907"/>
      <c r="K24" s="907"/>
    </row>
    <row r="25" customFormat="false" ht="13.5" hidden="false" customHeight="false" outlineLevel="0" collapsed="false">
      <c r="A25" s="907"/>
      <c r="B25" s="907"/>
      <c r="C25" s="907"/>
      <c r="D25" s="907"/>
      <c r="E25" s="907"/>
      <c r="F25" s="907"/>
      <c r="G25" s="907"/>
      <c r="H25" s="907"/>
      <c r="I25" s="907"/>
      <c r="J25" s="907"/>
      <c r="K25" s="907"/>
    </row>
    <row r="26" customFormat="false" ht="13.5" hidden="false" customHeight="false" outlineLevel="0" collapsed="false">
      <c r="A26" s="907"/>
      <c r="B26" s="907"/>
      <c r="C26" s="907"/>
      <c r="D26" s="907"/>
      <c r="E26" s="907"/>
      <c r="F26" s="907"/>
      <c r="G26" s="907"/>
      <c r="H26" s="907"/>
      <c r="I26" s="907"/>
      <c r="J26" s="907"/>
      <c r="K26" s="907"/>
    </row>
  </sheetData>
  <sheetProtection sheet="true" password="cee9" objects="true" scenarios="true" formatCells="false" formatColumns="false" formatRows="false"/>
  <printOptions headings="false" gridLines="false" gridLinesSet="true" horizontalCentered="false" verticalCentered="false"/>
  <pageMargins left="0.7" right="0.7" top="0.75" bottom="0.75" header="0.511805555555555" footer="0.511805555555555"/>
  <pageSetup paperSize="9" scale="83"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18.xml><?xml version="1.0" encoding="utf-8"?>
<worksheet xmlns="http://schemas.openxmlformats.org/spreadsheetml/2006/main" xmlns:r="http://schemas.openxmlformats.org/officeDocument/2006/relationships">
  <sheetPr filterMode="false">
    <pageSetUpPr fitToPage="false"/>
  </sheetPr>
  <dimension ref="A1:AJ512"/>
  <sheetViews>
    <sheetView showFormulas="false" showGridLines="true" showRowColHeaders="true" showZeros="true" rightToLeft="false" tabSelected="true" showOutlineSymbols="true" defaultGridColor="true" view="pageBreakPreview" topLeftCell="A13" colorId="64" zoomScale="100" zoomScaleNormal="100" zoomScalePageLayoutView="100" workbookViewId="0">
      <selection pane="topLeft" activeCell="D29" activeCellId="0" sqref="D29"/>
    </sheetView>
  </sheetViews>
  <sheetFormatPr defaultRowHeight="21.75" zeroHeight="false" outlineLevelRow="0" outlineLevelCol="0"/>
  <cols>
    <col collapsed="false" customWidth="true" hidden="false" outlineLevel="0" max="9" min="1" style="919" width="12.62"/>
    <col collapsed="false" customWidth="true" hidden="false" outlineLevel="0" max="12" min="10" style="920" width="12.62"/>
    <col collapsed="false" customWidth="true" hidden="false" outlineLevel="0" max="13" min="13" style="920" width="14.12"/>
    <col collapsed="false" customWidth="true" hidden="false" outlineLevel="0" max="26" min="14" style="920" width="12.62"/>
    <col collapsed="false" customWidth="true" hidden="false" outlineLevel="0" max="35" min="27" style="921" width="12.62"/>
    <col collapsed="false" customWidth="true" hidden="false" outlineLevel="0" max="1025" min="36" style="919" width="12.62"/>
  </cols>
  <sheetData>
    <row r="1" customFormat="false" ht="21.75" hidden="false" customHeight="true" outlineLevel="0" collapsed="false">
      <c r="A1" s="521" t="s">
        <v>690</v>
      </c>
      <c r="B1" s="922"/>
      <c r="C1" s="923"/>
      <c r="D1" s="922"/>
      <c r="E1" s="922"/>
      <c r="F1" s="924" t="s">
        <v>691</v>
      </c>
      <c r="G1" s="925"/>
      <c r="H1" s="926" t="str">
        <f aca="false">IF(G1="现房","——","估价对象范围")</f>
        <v>估价对象范围</v>
      </c>
      <c r="I1" s="927"/>
    </row>
    <row r="2" customFormat="false" ht="21.75" hidden="false" customHeight="true" outlineLevel="0" collapsed="false">
      <c r="A2" s="928" t="str">
        <f aca="false">项目基本情况!S2</f>
        <v>北京市房地产</v>
      </c>
      <c r="B2" s="928"/>
      <c r="C2" s="928"/>
      <c r="D2" s="928"/>
      <c r="E2" s="928"/>
      <c r="F2" s="928"/>
      <c r="G2" s="928"/>
      <c r="H2" s="928"/>
      <c r="I2" s="928"/>
    </row>
    <row r="3" customFormat="false" ht="12.75" hidden="false" customHeight="false" outlineLevel="0" collapsed="false">
      <c r="A3" s="929" t="s">
        <v>692</v>
      </c>
      <c r="B3" s="929"/>
      <c r="C3" s="929"/>
      <c r="D3" s="929"/>
      <c r="E3" s="929"/>
      <c r="F3" s="929"/>
      <c r="G3" s="929"/>
      <c r="H3" s="929"/>
      <c r="I3" s="929"/>
    </row>
    <row r="4" customFormat="false" ht="14.25" hidden="false" customHeight="true" outlineLevel="0" collapsed="false">
      <c r="A4" s="930" t="s">
        <v>693</v>
      </c>
      <c r="B4" s="931" t="s">
        <v>694</v>
      </c>
      <c r="C4" s="932" t="s">
        <v>695</v>
      </c>
      <c r="D4" s="932" t="s">
        <v>696</v>
      </c>
      <c r="E4" s="374" t="s">
        <v>697</v>
      </c>
      <c r="F4" s="374"/>
      <c r="G4" s="374"/>
      <c r="H4" s="374"/>
      <c r="I4" s="374"/>
      <c r="K4" s="933" t="str">
        <f aca="false">IF(ISNUMBER(FIND("比较法",结果表!C4)),"比较法",IF(ISNUMBER(FIND("成本法",结果表!C4)),"成本法",IF(ISNUMBER(FIND("假设开发法",结果表!C4)),"假设开发法",IF(ISNUMBER(FIND("收益法",结果表!C4)),"收益法","基准地价系数修正法"))))</f>
        <v>比较法</v>
      </c>
      <c r="L4" s="933" t="str">
        <f aca="false">IF(ISNUMBER(FIND("比较法",结果表!D4)),"比较法",IF(ISNUMBER(FIND("成本法",结果表!D4)),"成本法",IF(ISNUMBER(FIND("假设开发法",结果表!D4)),"假设开发法",IF(ISNUMBER(FIND("收益法",结果表!D4)),"收益法","基准地价系数修正法"))))</f>
        <v>成本法</v>
      </c>
    </row>
    <row r="5" customFormat="false" ht="12.75" hidden="false" customHeight="true" outlineLevel="0" collapsed="false">
      <c r="A5" s="934" t="s">
        <v>698</v>
      </c>
      <c r="B5" s="935" t="n">
        <v>25</v>
      </c>
      <c r="C5" s="708"/>
      <c r="D5" s="708"/>
      <c r="E5" s="936" t="s">
        <v>699</v>
      </c>
      <c r="F5" s="394"/>
      <c r="G5" s="394"/>
      <c r="H5" s="394"/>
      <c r="I5" s="367"/>
    </row>
    <row r="6" customFormat="false" ht="12.75" hidden="false" customHeight="false" outlineLevel="0" collapsed="false">
      <c r="A6" s="934"/>
      <c r="B6" s="935"/>
      <c r="C6" s="708"/>
      <c r="D6" s="708"/>
      <c r="E6" s="936" t="s">
        <v>700</v>
      </c>
      <c r="F6" s="394"/>
      <c r="G6" s="394"/>
      <c r="H6" s="394"/>
      <c r="I6" s="367"/>
    </row>
    <row r="7" customFormat="false" ht="12.75" hidden="false" customHeight="false" outlineLevel="0" collapsed="false">
      <c r="A7" s="934"/>
      <c r="B7" s="935"/>
      <c r="C7" s="708"/>
      <c r="D7" s="708"/>
      <c r="E7" s="936" t="s">
        <v>701</v>
      </c>
      <c r="F7" s="394"/>
      <c r="G7" s="394"/>
      <c r="H7" s="394"/>
      <c r="I7" s="367"/>
    </row>
    <row r="8" customFormat="false" ht="12.75" hidden="false" customHeight="true" outlineLevel="0" collapsed="false">
      <c r="A8" s="934" t="s">
        <v>702</v>
      </c>
      <c r="B8" s="935" t="n">
        <v>15</v>
      </c>
      <c r="C8" s="708"/>
      <c r="D8" s="708"/>
      <c r="E8" s="936" t="s">
        <v>703</v>
      </c>
      <c r="F8" s="394"/>
      <c r="G8" s="394"/>
      <c r="H8" s="394"/>
      <c r="I8" s="367"/>
    </row>
    <row r="9" customFormat="false" ht="12.75" hidden="false" customHeight="false" outlineLevel="0" collapsed="false">
      <c r="A9" s="934"/>
      <c r="B9" s="935"/>
      <c r="C9" s="708"/>
      <c r="D9" s="708"/>
      <c r="E9" s="936" t="s">
        <v>704</v>
      </c>
      <c r="F9" s="394"/>
      <c r="G9" s="394"/>
      <c r="H9" s="394"/>
      <c r="I9" s="367"/>
    </row>
    <row r="10" customFormat="false" ht="12.75" hidden="false" customHeight="true" outlineLevel="0" collapsed="false">
      <c r="A10" s="934" t="s">
        <v>705</v>
      </c>
      <c r="B10" s="935" t="n">
        <v>15</v>
      </c>
      <c r="C10" s="708"/>
      <c r="D10" s="708"/>
      <c r="E10" s="936" t="s">
        <v>706</v>
      </c>
      <c r="F10" s="394"/>
      <c r="G10" s="394"/>
      <c r="H10" s="394"/>
      <c r="I10" s="367"/>
    </row>
    <row r="11" customFormat="false" ht="12.75" hidden="false" customHeight="false" outlineLevel="0" collapsed="false">
      <c r="A11" s="934"/>
      <c r="B11" s="935"/>
      <c r="C11" s="708"/>
      <c r="D11" s="708"/>
      <c r="E11" s="936" t="s">
        <v>707</v>
      </c>
      <c r="F11" s="394"/>
      <c r="G11" s="394"/>
      <c r="H11" s="394"/>
      <c r="I11" s="367"/>
    </row>
    <row r="12" customFormat="false" ht="12.75" hidden="false" customHeight="true" outlineLevel="0" collapsed="false">
      <c r="A12" s="934" t="s">
        <v>708</v>
      </c>
      <c r="B12" s="935" t="n">
        <v>15</v>
      </c>
      <c r="C12" s="708"/>
      <c r="D12" s="708"/>
      <c r="E12" s="936" t="s">
        <v>709</v>
      </c>
      <c r="F12" s="394"/>
      <c r="G12" s="394"/>
      <c r="H12" s="394"/>
      <c r="I12" s="367"/>
    </row>
    <row r="13" customFormat="false" ht="12.75" hidden="false" customHeight="false" outlineLevel="0" collapsed="false">
      <c r="A13" s="934"/>
      <c r="B13" s="935"/>
      <c r="C13" s="708"/>
      <c r="D13" s="708"/>
      <c r="E13" s="936" t="s">
        <v>710</v>
      </c>
      <c r="F13" s="394"/>
      <c r="G13" s="394"/>
      <c r="H13" s="394"/>
      <c r="I13" s="367"/>
    </row>
    <row r="14" customFormat="false" ht="12.8" hidden="false" customHeight="true" outlineLevel="0" collapsed="false">
      <c r="A14" s="934" t="s">
        <v>711</v>
      </c>
      <c r="B14" s="935" t="n">
        <v>30</v>
      </c>
      <c r="C14" s="937" t="n">
        <v>7</v>
      </c>
      <c r="D14" s="938" t="n">
        <f aca="false">10-C14</f>
        <v>3</v>
      </c>
      <c r="E14" s="936" t="s">
        <v>712</v>
      </c>
      <c r="F14" s="394"/>
      <c r="G14" s="394"/>
      <c r="H14" s="394"/>
      <c r="I14" s="367"/>
    </row>
    <row r="15" customFormat="false" ht="12.75" hidden="false" customHeight="false" outlineLevel="0" collapsed="false">
      <c r="A15" s="934"/>
      <c r="B15" s="935"/>
      <c r="C15" s="937"/>
      <c r="D15" s="938"/>
      <c r="E15" s="936" t="s">
        <v>713</v>
      </c>
      <c r="F15" s="394"/>
      <c r="G15" s="394"/>
      <c r="H15" s="394"/>
      <c r="I15" s="367"/>
    </row>
    <row r="16" customFormat="false" ht="12.75" hidden="false" customHeight="false" outlineLevel="0" collapsed="false">
      <c r="A16" s="934"/>
      <c r="B16" s="935"/>
      <c r="C16" s="937"/>
      <c r="D16" s="938"/>
      <c r="E16" s="936" t="s">
        <v>714</v>
      </c>
      <c r="F16" s="394"/>
      <c r="G16" s="394"/>
      <c r="H16" s="394"/>
      <c r="I16" s="367"/>
    </row>
    <row r="17" customFormat="false" ht="15" hidden="false" customHeight="false" outlineLevel="0" collapsed="false">
      <c r="A17" s="939" t="s">
        <v>715</v>
      </c>
      <c r="B17" s="574"/>
      <c r="C17" s="940" t="n">
        <f aca="false">SUM(C5:C16)</f>
        <v>7</v>
      </c>
      <c r="D17" s="940" t="n">
        <f aca="false">SUM(D5:D16)</f>
        <v>3</v>
      </c>
      <c r="E17" s="941"/>
      <c r="F17" s="941"/>
      <c r="G17" s="941"/>
      <c r="H17" s="941"/>
      <c r="I17" s="941"/>
      <c r="K17" s="244"/>
      <c r="L17" s="244" t="s">
        <v>716</v>
      </c>
      <c r="M17" s="244" t="s">
        <v>717</v>
      </c>
    </row>
    <row r="18" customFormat="false" ht="31.9" hidden="false" customHeight="true" outlineLevel="0" collapsed="false">
      <c r="A18" s="942" t="s">
        <v>718</v>
      </c>
      <c r="B18" s="149"/>
      <c r="C18" s="943" t="n">
        <f aca="false">ROUND(C17/SUM(C17:D17),2)</f>
        <v>0.7</v>
      </c>
      <c r="D18" s="943" t="n">
        <f aca="false">1-C18</f>
        <v>0.3</v>
      </c>
      <c r="E18" s="944" t="s">
        <v>719</v>
      </c>
      <c r="F18" s="944"/>
      <c r="G18" s="944"/>
      <c r="H18" s="944"/>
      <c r="I18" s="944"/>
      <c r="K18" s="244" t="s">
        <v>107</v>
      </c>
      <c r="L18" s="244" t="n">
        <f aca="false">IF(C1="",'数据-汇总表'!E3,SUMIF(项目类型,C1,'数据-汇总表'!E17:E26)+SUMIF(项目类型,C1,'数据-汇总表'!I17:I26))</f>
        <v>58.3</v>
      </c>
      <c r="M18" s="244" t="n">
        <f aca="false">IF(C1="",'数据-汇总表'!E3,SUMIF(项目类型,C1,'数据-汇总表'!E17:E26))</f>
        <v>58.3</v>
      </c>
    </row>
    <row r="19" customFormat="false" ht="15" hidden="false" customHeight="false" outlineLevel="0" collapsed="false">
      <c r="A19" s="945" t="s">
        <v>720</v>
      </c>
      <c r="B19" s="946" t="s">
        <v>97</v>
      </c>
      <c r="C19" s="947" t="n">
        <f aca="true">SUMIF(INDIRECT("'"&amp;C4&amp;"'"&amp;"!A:A"),结果表!B19,INDIRECT("'"&amp;C4&amp;"'"&amp;"!B:B"))</f>
        <v>56.038</v>
      </c>
      <c r="D19" s="948" t="n">
        <f aca="true">SUMIF(INDIRECT("'"&amp;D4&amp;"'"&amp;"!A:A"),结果表!B19,INDIRECT("'"&amp;D4&amp;"'"&amp;"!B:B"))</f>
        <v>68.8067</v>
      </c>
      <c r="E19" s="945" t="s">
        <v>721</v>
      </c>
      <c r="F19" s="946" t="s">
        <v>97</v>
      </c>
      <c r="G19" s="949" t="n">
        <f aca="false">ROUND(C19*$C$18+D19*$D$18,0)</f>
        <v>60</v>
      </c>
      <c r="H19" s="950" t="s">
        <v>722</v>
      </c>
      <c r="I19" s="941"/>
      <c r="K19" s="244" t="s">
        <v>443</v>
      </c>
      <c r="L19" s="244" t="n">
        <f aca="false">IF(C1="",'数据-汇总表'!D3,SUMIF(项目类型,C1,'数据-汇总表'!D17:D26)+SUMIF(项目类型,C1,'数据-汇总表'!H17:H27))</f>
        <v>0</v>
      </c>
      <c r="M19" s="244" t="n">
        <f aca="false">IF(C1="",'数据-汇总表'!D3,SUMIF(项目类型,C1,'数据-汇总表'!D17:D26))</f>
        <v>0</v>
      </c>
    </row>
    <row r="20" customFormat="false" ht="15" hidden="false" customHeight="false" outlineLevel="0" collapsed="false">
      <c r="A20" s="951"/>
      <c r="B20" s="533" t="s">
        <v>110</v>
      </c>
      <c r="C20" s="715" t="n">
        <f aca="true">SUMIF(INDIRECT("'"&amp;C4&amp;"'"&amp;"!A:A"),结果表!B20,INDIRECT("'"&amp;C4&amp;"'"&amp;"!B:B"))</f>
        <v>9612</v>
      </c>
      <c r="D20" s="584" t="n">
        <f aca="true">SUMIF(INDIRECT("'"&amp;D4&amp;"'"&amp;"!A:A"),结果表!B20,INDIRECT("'"&amp;D4&amp;"'"&amp;"!B:B"))</f>
        <v>11802</v>
      </c>
      <c r="E20" s="951"/>
      <c r="F20" s="533" t="s">
        <v>110</v>
      </c>
      <c r="G20" s="952" t="n">
        <f aca="false">ROUND(C20*$C$18+D20*$D$18,0)</f>
        <v>10269</v>
      </c>
      <c r="H20" s="953" t="s">
        <v>723</v>
      </c>
      <c r="I20" s="941"/>
    </row>
    <row r="21" customFormat="false" ht="15" hidden="false" customHeight="true" outlineLevel="0" collapsed="false">
      <c r="A21" s="954"/>
      <c r="B21" s="955" t="s">
        <v>724</v>
      </c>
      <c r="C21" s="956" t="e">
        <f aca="false">ROUND(C19*10000/L19,0)</f>
        <v>#DIV/0!</v>
      </c>
      <c r="D21" s="957" t="e">
        <f aca="false">ROUND(D19*10000/L19,0)</f>
        <v>#DIV/0!</v>
      </c>
      <c r="E21" s="954"/>
      <c r="F21" s="955" t="s">
        <v>724</v>
      </c>
      <c r="G21" s="958" t="e">
        <f aca="false">ROUND(G19*10000/L19,0)</f>
        <v>#DIV/0!</v>
      </c>
      <c r="H21" s="959" t="s">
        <v>723</v>
      </c>
      <c r="I21" s="941"/>
    </row>
    <row r="22" customFormat="false" ht="14.25" hidden="false" customHeight="false" outlineLevel="0" collapsed="false">
      <c r="A22" s="656" t="s">
        <v>725</v>
      </c>
      <c r="B22" s="960"/>
      <c r="C22" s="961"/>
      <c r="D22" s="962" t="n">
        <f aca="false">IF(C19&lt;D19,D19/C19-1,C19/D19-1)</f>
        <v>0.227857882151397</v>
      </c>
      <c r="E22" s="941"/>
      <c r="F22" s="941"/>
      <c r="G22" s="941"/>
      <c r="H22" s="941"/>
      <c r="I22" s="941"/>
    </row>
    <row r="23" customFormat="false" ht="12.75" hidden="false" customHeight="false" outlineLevel="0" collapsed="false">
      <c r="A23" s="922"/>
      <c r="B23" s="922"/>
      <c r="C23" s="922"/>
      <c r="D23" s="922"/>
      <c r="E23" s="941"/>
      <c r="F23" s="941"/>
      <c r="G23" s="941"/>
      <c r="H23" s="941"/>
      <c r="I23" s="941"/>
    </row>
    <row r="24" customFormat="false" ht="14.25" hidden="false" customHeight="true" outlineLevel="0" collapsed="false">
      <c r="A24" s="963" t="s">
        <v>726</v>
      </c>
      <c r="B24" s="946" t="s">
        <v>97</v>
      </c>
      <c r="C24" s="949" t="n">
        <f aca="false">IF(B30=0,0,D30)</f>
        <v>0</v>
      </c>
      <c r="D24" s="964"/>
      <c r="E24" s="941"/>
      <c r="F24" s="941"/>
      <c r="G24" s="941"/>
      <c r="H24" s="941"/>
      <c r="I24" s="941"/>
    </row>
    <row r="25" customFormat="false" ht="14.25" hidden="false" customHeight="false" outlineLevel="0" collapsed="false">
      <c r="A25" s="963"/>
      <c r="B25" s="533" t="s">
        <v>110</v>
      </c>
      <c r="C25" s="965" t="n">
        <f aca="false">IF(B30=0,0,C30)</f>
        <v>0</v>
      </c>
      <c r="D25" s="966"/>
      <c r="E25" s="941"/>
      <c r="F25" s="941"/>
      <c r="G25" s="941"/>
      <c r="H25" s="941"/>
      <c r="I25" s="941"/>
    </row>
    <row r="26" customFormat="false" ht="13.5" hidden="false" customHeight="true" outlineLevel="0" collapsed="false">
      <c r="A26" s="967" t="s">
        <v>727</v>
      </c>
      <c r="B26" s="968" t="s">
        <v>728</v>
      </c>
      <c r="C26" s="968" t="s">
        <v>99</v>
      </c>
      <c r="D26" s="969" t="s">
        <v>521</v>
      </c>
      <c r="E26" s="941"/>
      <c r="F26" s="941"/>
      <c r="G26" s="941"/>
      <c r="H26" s="941"/>
      <c r="I26" s="941"/>
    </row>
    <row r="27" customFormat="false" ht="14.25" hidden="false" customHeight="false" outlineLevel="0" collapsed="false">
      <c r="A27" s="967"/>
      <c r="B27" s="968" t="n">
        <v>0</v>
      </c>
      <c r="C27" s="968" t="n">
        <v>0</v>
      </c>
      <c r="D27" s="969" t="n">
        <f aca="false">ROUND(C27*B27/10000,0)</f>
        <v>0</v>
      </c>
      <c r="E27" s="941"/>
      <c r="F27" s="941"/>
      <c r="G27" s="941"/>
      <c r="H27" s="941"/>
      <c r="I27" s="941"/>
    </row>
    <row r="28" customFormat="false" ht="14.25" hidden="false" customHeight="false" outlineLevel="0" collapsed="false">
      <c r="A28" s="967"/>
      <c r="B28" s="968"/>
      <c r="C28" s="968"/>
      <c r="D28" s="969" t="n">
        <f aca="false">G20*L18</f>
        <v>598682.7</v>
      </c>
      <c r="E28" s="941"/>
      <c r="F28" s="941"/>
      <c r="G28" s="941"/>
      <c r="H28" s="941"/>
      <c r="I28" s="941"/>
    </row>
    <row r="29" customFormat="false" ht="14.25" hidden="false" customHeight="false" outlineLevel="0" collapsed="false">
      <c r="A29" s="967"/>
      <c r="B29" s="968"/>
      <c r="C29" s="968"/>
      <c r="D29" s="969"/>
      <c r="E29" s="941"/>
      <c r="F29" s="941"/>
      <c r="G29" s="941"/>
      <c r="H29" s="941"/>
      <c r="I29" s="941"/>
    </row>
    <row r="30" customFormat="false" ht="14.25" hidden="false" customHeight="false" outlineLevel="0" collapsed="false">
      <c r="A30" s="968" t="s">
        <v>345</v>
      </c>
      <c r="B30" s="968"/>
      <c r="C30" s="968"/>
      <c r="D30" s="968"/>
      <c r="E30" s="970" t="s">
        <v>729</v>
      </c>
      <c r="F30" s="941"/>
      <c r="G30" s="941"/>
      <c r="H30" s="941"/>
      <c r="I30" s="941"/>
    </row>
    <row r="31" s="977" customFormat="true" ht="26.45" hidden="false" customHeight="true" outlineLevel="0" collapsed="false">
      <c r="A31" s="971"/>
      <c r="B31" s="972"/>
      <c r="C31" s="972"/>
      <c r="D31" s="972"/>
      <c r="E31" s="972"/>
      <c r="F31" s="972"/>
      <c r="G31" s="972"/>
      <c r="H31" s="972"/>
      <c r="I31" s="973" t="s">
        <v>730</v>
      </c>
      <c r="J31" s="974"/>
      <c r="K31" s="975"/>
      <c r="L31" s="975"/>
      <c r="M31" s="975"/>
      <c r="N31" s="975"/>
      <c r="O31" s="975"/>
      <c r="P31" s="975"/>
      <c r="Q31" s="975"/>
      <c r="R31" s="975"/>
      <c r="S31" s="975"/>
      <c r="T31" s="975"/>
      <c r="U31" s="975"/>
      <c r="V31" s="975"/>
      <c r="W31" s="975"/>
      <c r="X31" s="975"/>
      <c r="Y31" s="975"/>
      <c r="Z31" s="975"/>
      <c r="AA31" s="975"/>
      <c r="AB31" s="976"/>
      <c r="AC31" s="976"/>
      <c r="AD31" s="976"/>
      <c r="AE31" s="976"/>
      <c r="AF31" s="976"/>
      <c r="AG31" s="976"/>
      <c r="AH31" s="976"/>
      <c r="AI31" s="976"/>
      <c r="AJ31" s="976"/>
    </row>
    <row r="32" customFormat="false" ht="15" hidden="false" customHeight="false" outlineLevel="0" collapsed="false">
      <c r="A32" s="978" t="s">
        <v>324</v>
      </c>
      <c r="B32" s="979"/>
      <c r="C32" s="980" t="n">
        <f aca="false">IF(D32="总价",G19-C24,G20-C25)</f>
        <v>10269</v>
      </c>
      <c r="D32" s="981"/>
      <c r="E32" s="941"/>
      <c r="F32" s="941"/>
      <c r="G32" s="941"/>
      <c r="H32" s="941"/>
      <c r="I32" s="941"/>
    </row>
    <row r="33" customFormat="false" ht="15" hidden="false" customHeight="false" outlineLevel="0" collapsed="false">
      <c r="A33" s="982" t="s">
        <v>731</v>
      </c>
      <c r="B33" s="983"/>
      <c r="C33" s="984"/>
      <c r="D33" s="985"/>
      <c r="E33" s="986" t="s">
        <v>732</v>
      </c>
      <c r="F33" s="987" t="str">
        <f aca="false">IF(D32="楼面单价","取值（单价）","取值（总价）")</f>
        <v>取值（总价）</v>
      </c>
      <c r="G33" s="941"/>
      <c r="H33" s="941"/>
      <c r="I33" s="941"/>
    </row>
    <row r="34" customFormat="false" ht="15" hidden="false" customHeight="false" outlineLevel="0" collapsed="false">
      <c r="A34" s="988"/>
      <c r="B34" s="989" t="s">
        <v>733</v>
      </c>
      <c r="C34" s="990" t="e">
        <f aca="false">IF(C33="自定义",F34,C32-C35)</f>
        <v>#REF!</v>
      </c>
      <c r="D34" s="991" t="e">
        <f aca="true">IF(C33="自定义",ROUND(C34/C32,3),IF(C33="收益比率",SUMIF(INDIRECT("'"&amp;D33&amp;"'"&amp;"!b:b"),"土地收益比率",INDIRECT("'"&amp;D33&amp;"'"&amp;"!c:c")),SUMIF(INDIRECT("'"&amp;D33&amp;"'"&amp;"!b:b"),"土地成本比率",INDIRECT("'"&amp;D33&amp;"'"&amp;"!c:c"))))</f>
        <v>#REF!</v>
      </c>
      <c r="E34" s="992" t="s">
        <v>733</v>
      </c>
      <c r="F34" s="993"/>
      <c r="G34" s="941"/>
      <c r="H34" s="941"/>
      <c r="I34" s="941"/>
    </row>
    <row r="35" customFormat="false" ht="15" hidden="false" customHeight="false" outlineLevel="0" collapsed="false">
      <c r="A35" s="994"/>
      <c r="B35" s="995" t="s">
        <v>734</v>
      </c>
      <c r="C35" s="996" t="e">
        <f aca="false">IF(C33="自定义",F35,ROUND(C32*D35,0))</f>
        <v>#REF!</v>
      </c>
      <c r="D35" s="997" t="e">
        <f aca="true">IF(C33="自定义",ROUND(C35/C32,3),IF(C33="收益比率",SUMIF(INDIRECT("'"&amp;D33&amp;"'"&amp;"!b:b"),"建筑物收益比率",INDIRECT("'"&amp;D33&amp;"'"&amp;"!c:c")),SUMIF(INDIRECT("'"&amp;D33&amp;"'"&amp;"!b:b"),"建筑物成本比率",INDIRECT("'"&amp;D33&amp;"'"&amp;"!c:c"))))</f>
        <v>#REF!</v>
      </c>
      <c r="E35" s="998" t="s">
        <v>734</v>
      </c>
      <c r="F35" s="999"/>
      <c r="G35" s="941"/>
      <c r="H35" s="941"/>
      <c r="I35" s="941"/>
    </row>
    <row r="36" customFormat="false" ht="15" hidden="false" customHeight="true" outlineLevel="0" collapsed="false">
      <c r="A36" s="1000" t="s">
        <v>735</v>
      </c>
      <c r="B36" s="1001" t="s">
        <v>736</v>
      </c>
      <c r="C36" s="1002"/>
      <c r="D36" s="1003"/>
      <c r="E36" s="1004"/>
      <c r="F36" s="1005"/>
      <c r="G36" s="941"/>
      <c r="H36" s="941"/>
      <c r="I36" s="941"/>
    </row>
    <row r="37" customFormat="false" ht="15" hidden="false" customHeight="false" outlineLevel="0" collapsed="false">
      <c r="A37" s="1000"/>
      <c r="B37" s="617" t="s">
        <v>737</v>
      </c>
      <c r="C37" s="1006"/>
      <c r="D37" s="522"/>
      <c r="E37" s="522"/>
      <c r="F37" s="1005"/>
      <c r="G37" s="941"/>
      <c r="H37" s="941"/>
      <c r="I37" s="941"/>
    </row>
    <row r="38" customFormat="false" ht="15" hidden="false" customHeight="false" outlineLevel="0" collapsed="false">
      <c r="A38" s="1000"/>
      <c r="B38" s="1007" t="s">
        <v>738</v>
      </c>
      <c r="C38" s="1008"/>
      <c r="D38" s="1009" t="s">
        <v>739</v>
      </c>
      <c r="E38" s="522"/>
      <c r="F38" s="1005"/>
      <c r="G38" s="941"/>
      <c r="H38" s="941"/>
      <c r="I38" s="941"/>
    </row>
    <row r="39" customFormat="false" ht="15" hidden="false" customHeight="false" outlineLevel="0" collapsed="false">
      <c r="A39" s="1010" t="s">
        <v>739</v>
      </c>
      <c r="B39" s="1011" t="s">
        <v>728</v>
      </c>
      <c r="C39" s="1012" t="s">
        <v>99</v>
      </c>
      <c r="D39" s="1012" t="s">
        <v>740</v>
      </c>
      <c r="E39" s="1013" t="s">
        <v>521</v>
      </c>
      <c r="F39" s="1005"/>
      <c r="G39" s="941"/>
      <c r="H39" s="941"/>
      <c r="I39" s="941"/>
    </row>
    <row r="40" customFormat="false" ht="14.25" hidden="false" customHeight="false" outlineLevel="0" collapsed="false">
      <c r="A40" s="1014" t="s">
        <v>741</v>
      </c>
      <c r="B40" s="1015"/>
      <c r="C40" s="1016"/>
      <c r="D40" s="1016"/>
      <c r="E40" s="1017"/>
      <c r="F40" s="1005"/>
      <c r="G40" s="941"/>
      <c r="H40" s="941"/>
      <c r="I40" s="941"/>
    </row>
    <row r="41" customFormat="false" ht="14.25" hidden="false" customHeight="false" outlineLevel="0" collapsed="false">
      <c r="A41" s="1018" t="s">
        <v>742</v>
      </c>
      <c r="B41" s="1015"/>
      <c r="C41" s="1016"/>
      <c r="D41" s="1016"/>
      <c r="E41" s="1017"/>
      <c r="F41" s="1005"/>
      <c r="G41" s="941"/>
      <c r="H41" s="941"/>
      <c r="I41" s="941"/>
    </row>
    <row r="42" customFormat="false" ht="14.25" hidden="false" customHeight="false" outlineLevel="0" collapsed="false">
      <c r="A42" s="1019"/>
      <c r="B42" s="1020"/>
      <c r="C42" s="1021"/>
      <c r="D42" s="1021"/>
      <c r="E42" s="999"/>
      <c r="F42" s="1005"/>
      <c r="G42" s="941"/>
      <c r="H42" s="941"/>
      <c r="I42" s="941"/>
    </row>
    <row r="43" customFormat="false" ht="12.75" hidden="false" customHeight="false" outlineLevel="0" collapsed="false">
      <c r="A43" s="406"/>
      <c r="B43" s="406"/>
      <c r="C43" s="406"/>
      <c r="D43" s="406"/>
      <c r="E43" s="406"/>
      <c r="F43" s="1022"/>
      <c r="G43" s="1022"/>
      <c r="H43" s="1022"/>
      <c r="I43" s="1023"/>
    </row>
    <row r="44" customFormat="false" ht="18.75" hidden="false" customHeight="false" outlineLevel="0" collapsed="false">
      <c r="A44" s="1024" t="s">
        <v>743</v>
      </c>
      <c r="B44" s="1025"/>
      <c r="C44" s="1025"/>
      <c r="D44" s="1026"/>
      <c r="E44" s="1026"/>
      <c r="F44" s="1027"/>
      <c r="G44" s="1027"/>
      <c r="H44" s="1027"/>
      <c r="I44" s="1027"/>
      <c r="J44" s="1028" t="s">
        <v>744</v>
      </c>
      <c r="K44" s="1029"/>
      <c r="L44" s="1029"/>
      <c r="M44" s="1029"/>
      <c r="N44" s="1029"/>
      <c r="O44" s="1029"/>
    </row>
    <row r="45" customFormat="false" ht="14.25" hidden="false" customHeight="true" outlineLevel="0" collapsed="false">
      <c r="A45" s="1030" t="s">
        <v>745</v>
      </c>
      <c r="B45" s="1030"/>
      <c r="C45" s="1030"/>
      <c r="D45" s="1031" t="e">
        <f aca="false">ROUND(H101*F45,0)</f>
        <v>#VALUE!</v>
      </c>
      <c r="E45" s="1032" t="s">
        <v>746</v>
      </c>
      <c r="F45" s="1033" t="n">
        <v>1</v>
      </c>
      <c r="G45" s="1034" t="s">
        <v>747</v>
      </c>
      <c r="H45" s="941"/>
      <c r="I45" s="941"/>
      <c r="J45" s="1035" t="s">
        <v>748</v>
      </c>
      <c r="K45" s="1035"/>
      <c r="L45" s="1035"/>
      <c r="M45" s="1035"/>
      <c r="N45" s="1035"/>
      <c r="O45" s="1035"/>
    </row>
    <row r="46" customFormat="false" ht="14.25" hidden="false" customHeight="true" outlineLevel="0" collapsed="false">
      <c r="A46" s="1036" t="s">
        <v>749</v>
      </c>
      <c r="B46" s="1036"/>
      <c r="C46" s="1036"/>
      <c r="D46" s="1036"/>
      <c r="E46" s="1036"/>
      <c r="F46" s="1036"/>
      <c r="G46" s="1036"/>
      <c r="H46" s="1037"/>
      <c r="I46" s="636"/>
      <c r="J46" s="314" t="n">
        <v>1</v>
      </c>
      <c r="K46" s="1038" t="s">
        <v>373</v>
      </c>
      <c r="L46" s="1038"/>
      <c r="M46" s="1039"/>
      <c r="N46" s="1039"/>
      <c r="O46" s="1039"/>
    </row>
    <row r="47" customFormat="false" ht="12" hidden="false" customHeight="true" outlineLevel="0" collapsed="false">
      <c r="A47" s="1040" t="s">
        <v>750</v>
      </c>
      <c r="B47" s="1041"/>
      <c r="C47" s="1042"/>
      <c r="D47" s="1043" t="s">
        <v>751</v>
      </c>
      <c r="E47" s="244" t="s">
        <v>752</v>
      </c>
      <c r="F47" s="1038" t="s">
        <v>753</v>
      </c>
      <c r="G47" s="1044" t="s">
        <v>603</v>
      </c>
      <c r="H47" s="1045"/>
      <c r="I47" s="636"/>
      <c r="J47" s="314" t="n">
        <v>2</v>
      </c>
      <c r="K47" s="1038" t="s">
        <v>336</v>
      </c>
      <c r="L47" s="1038"/>
      <c r="M47" s="1046" t="n">
        <f aca="false">'数据-取费表'!B2</f>
        <v>39031</v>
      </c>
      <c r="N47" s="1046"/>
      <c r="O47" s="1046"/>
    </row>
    <row r="48" customFormat="false" ht="25.5" hidden="false" customHeight="true" outlineLevel="0" collapsed="false">
      <c r="A48" s="1047" t="s">
        <v>754</v>
      </c>
      <c r="B48" s="1047"/>
      <c r="C48" s="1047"/>
      <c r="D48" s="418" t="n">
        <f aca="false">IF(H48="情况1",0,IF(H48="情况2",D52,IF(H48="情况3",D53,IF(H48="情况4",D54))))</f>
        <v>0</v>
      </c>
      <c r="E48" s="314" t="str">
        <f aca="false">IF(H48="情况4","(销售额-原购置价)×税（费）率","销售额×税（费）率")</f>
        <v>销售额×税（费）率</v>
      </c>
      <c r="F48" s="1048" t="n">
        <f aca="false">IF(H48="情况1","免征",'数据-取费表'!B41)</f>
        <v>0.055</v>
      </c>
      <c r="G48" s="1049" t="s">
        <v>755</v>
      </c>
      <c r="H48" s="1050"/>
      <c r="I48" s="1037"/>
      <c r="J48" s="314" t="n">
        <v>3</v>
      </c>
      <c r="K48" s="1038" t="s">
        <v>756</v>
      </c>
      <c r="L48" s="1038"/>
      <c r="M48" s="1051" t="e">
        <f aca="false">H101</f>
        <v>#VALUE!</v>
      </c>
      <c r="N48" s="1051"/>
      <c r="O48" s="1051"/>
    </row>
    <row r="49" customFormat="false" ht="25.5" hidden="false" customHeight="true" outlineLevel="0" collapsed="false">
      <c r="A49" s="1052" t="s">
        <v>757</v>
      </c>
      <c r="B49" s="1053" t="s">
        <v>758</v>
      </c>
      <c r="C49" s="1053"/>
      <c r="D49" s="370" t="n">
        <v>0</v>
      </c>
      <c r="E49" s="1054" t="s">
        <v>759</v>
      </c>
      <c r="F49" s="1055" t="s">
        <v>122</v>
      </c>
      <c r="G49" s="1056"/>
      <c r="H49" s="1057" t="s">
        <v>760</v>
      </c>
      <c r="I49" s="1058"/>
      <c r="J49" s="314" t="n">
        <v>4</v>
      </c>
      <c r="K49" s="1038" t="str">
        <f aca="false">IF(项目基本情况!E8="房地产抵押价值","房地产抵押价值","抵押担保权已注销时的房地产抵押价值")</f>
        <v>抵押担保权已注销时的房地产抵押价值</v>
      </c>
      <c r="L49" s="1038"/>
      <c r="M49" s="1051" t="e">
        <f aca="false">IF(项目基本情况!E8="房地产抵押价值",H107,H109)</f>
        <v>#VALUE!</v>
      </c>
      <c r="N49" s="1051"/>
      <c r="O49" s="1051"/>
    </row>
    <row r="50" customFormat="false" ht="25.5" hidden="false" customHeight="true" outlineLevel="0" collapsed="false">
      <c r="A50" s="1059"/>
      <c r="B50" s="1053" t="s">
        <v>761</v>
      </c>
      <c r="C50" s="1053"/>
      <c r="D50" s="1060"/>
      <c r="E50" s="1061"/>
      <c r="F50" s="1055"/>
      <c r="G50" s="1056"/>
      <c r="H50" s="1062" t="s">
        <v>762</v>
      </c>
      <c r="I50" s="1058"/>
      <c r="J50" s="1035" t="s">
        <v>749</v>
      </c>
      <c r="K50" s="1035"/>
      <c r="L50" s="1035"/>
      <c r="M50" s="1035"/>
      <c r="N50" s="1035"/>
      <c r="O50" s="1035"/>
    </row>
    <row r="51" customFormat="false" ht="20.45" hidden="false" customHeight="true" outlineLevel="0" collapsed="false">
      <c r="A51" s="1063"/>
      <c r="B51" s="1053" t="s">
        <v>763</v>
      </c>
      <c r="C51" s="1053"/>
      <c r="D51" s="1043"/>
      <c r="E51" s="321"/>
      <c r="F51" s="1055"/>
      <c r="G51" s="1056"/>
      <c r="H51" s="1062" t="s">
        <v>764</v>
      </c>
      <c r="I51" s="1058"/>
      <c r="J51" s="1038" t="s">
        <v>765</v>
      </c>
      <c r="K51" s="1038" t="s">
        <v>750</v>
      </c>
      <c r="L51" s="1038"/>
      <c r="M51" s="1038" t="s">
        <v>766</v>
      </c>
      <c r="N51" s="1038" t="s">
        <v>752</v>
      </c>
      <c r="O51" s="1038" t="s">
        <v>753</v>
      </c>
    </row>
    <row r="52" customFormat="false" ht="24" hidden="false" customHeight="true" outlineLevel="0" collapsed="false">
      <c r="A52" s="1064" t="s">
        <v>767</v>
      </c>
      <c r="B52" s="1053" t="s">
        <v>768</v>
      </c>
      <c r="C52" s="1053"/>
      <c r="D52" s="1043" t="e">
        <f aca="false">ROUND(D45*'数据-取费表'!B41/(1+'数据-取费表'!C42),0)</f>
        <v>#VALUE!</v>
      </c>
      <c r="E52" s="314" t="s">
        <v>769</v>
      </c>
      <c r="F52" s="1065" t="n">
        <f aca="false">'数据-取费表'!B41</f>
        <v>0.055</v>
      </c>
      <c r="G52" s="1056"/>
      <c r="H52" s="1066"/>
      <c r="I52" s="1067"/>
      <c r="J52" s="314" t="n">
        <v>1</v>
      </c>
      <c r="K52" s="314" t="s">
        <v>770</v>
      </c>
      <c r="L52" s="314"/>
      <c r="M52" s="1068" t="n">
        <f aca="false">D48</f>
        <v>0</v>
      </c>
      <c r="N52" s="314" t="str">
        <f aca="false">E48</f>
        <v>销售额×税（费）率</v>
      </c>
      <c r="O52" s="1069" t="n">
        <f aca="false">F48</f>
        <v>0.055</v>
      </c>
    </row>
    <row r="53" customFormat="false" ht="12" hidden="false" customHeight="true" outlineLevel="0" collapsed="false">
      <c r="A53" s="1064" t="s">
        <v>771</v>
      </c>
      <c r="B53" s="314" t="s">
        <v>772</v>
      </c>
      <c r="C53" s="314"/>
      <c r="D53" s="1043" t="e">
        <f aca="false">ROUND(D45*'数据-取费表'!B41/(1+'数据-取费表'!C42),0)</f>
        <v>#VALUE!</v>
      </c>
      <c r="E53" s="314" t="s">
        <v>769</v>
      </c>
      <c r="F53" s="1065" t="n">
        <f aca="false">'数据-取费表'!B41</f>
        <v>0.055</v>
      </c>
      <c r="G53" s="1056"/>
      <c r="H53" s="1066"/>
      <c r="I53" s="1067"/>
      <c r="J53" s="314" t="n">
        <v>2</v>
      </c>
      <c r="K53" s="314" t="s">
        <v>638</v>
      </c>
      <c r="L53" s="314"/>
      <c r="M53" s="1068" t="e">
        <f aca="false">D55</f>
        <v>#VALUE!</v>
      </c>
      <c r="N53" s="314" t="str">
        <f aca="false">E55</f>
        <v>销售额×税（费）率</v>
      </c>
      <c r="O53" s="1069" t="str">
        <f aca="false">F55</f>
        <v>免征</v>
      </c>
    </row>
    <row r="54" customFormat="false" ht="12" hidden="false" customHeight="true" outlineLevel="0" collapsed="false">
      <c r="A54" s="1064" t="s">
        <v>773</v>
      </c>
      <c r="B54" s="314" t="s">
        <v>774</v>
      </c>
      <c r="C54" s="314"/>
      <c r="D54" s="1043" t="e">
        <f aca="false">C68</f>
        <v>#VALUE!</v>
      </c>
      <c r="E54" s="321" t="s">
        <v>775</v>
      </c>
      <c r="F54" s="1065" t="n">
        <f aca="false">'数据-取费表'!B41</f>
        <v>0.055</v>
      </c>
      <c r="G54" s="1056"/>
      <c r="H54" s="1070"/>
      <c r="I54" s="1067"/>
      <c r="J54" s="314" t="n">
        <v>3</v>
      </c>
      <c r="K54" s="314" t="s">
        <v>776</v>
      </c>
      <c r="L54" s="314"/>
      <c r="M54" s="1068" t="e">
        <f aca="false">D56</f>
        <v>#VALUE!</v>
      </c>
      <c r="N54" s="314" t="str">
        <f aca="false">E56</f>
        <v>增值额×税（费）率</v>
      </c>
      <c r="O54" s="1071" t="str">
        <f aca="false">F56</f>
        <v>免征</v>
      </c>
    </row>
    <row r="55" customFormat="false" ht="24" hidden="false" customHeight="true" outlineLevel="0" collapsed="false">
      <c r="A55" s="1072" t="s">
        <v>777</v>
      </c>
      <c r="B55" s="1072"/>
      <c r="C55" s="1072"/>
      <c r="D55" s="418" t="e">
        <f aca="false">IF(H55="个人住宅",0,ROUND(D45*I55,0))</f>
        <v>#VALUE!</v>
      </c>
      <c r="E55" s="314" t="s">
        <v>778</v>
      </c>
      <c r="F55" s="1065" t="str">
        <f aca="false">IF(H55="正常",I55,"免征")</f>
        <v>免征</v>
      </c>
      <c r="G55" s="1056"/>
      <c r="H55" s="1050"/>
      <c r="I55" s="1073" t="n">
        <f aca="false">'数据-取费表'!B49</f>
        <v>0.0005</v>
      </c>
      <c r="J55" s="314" t="n">
        <f aca="false">IF(H59="非个人房产","",4)</f>
        <v>4</v>
      </c>
      <c r="K55" s="314" t="str">
        <f aca="false">IF(H59="非个人房产","——","个人所得税")</f>
        <v>个人所得税</v>
      </c>
      <c r="L55" s="314"/>
      <c r="M55" s="1074" t="e">
        <f aca="false">D59</f>
        <v>#VALUE!</v>
      </c>
      <c r="N55" s="1054" t="str">
        <f aca="false">E59</f>
        <v>差额计税</v>
      </c>
      <c r="O55" s="1075" t="n">
        <f aca="false">F59</f>
        <v>0.01</v>
      </c>
    </row>
    <row r="56" customFormat="false" ht="24.75" hidden="false" customHeight="true" outlineLevel="0" collapsed="false">
      <c r="A56" s="1072" t="s">
        <v>779</v>
      </c>
      <c r="B56" s="1072"/>
      <c r="C56" s="1072"/>
      <c r="D56" s="418" t="e">
        <f aca="false">IF(H56="个人住宅",D57,D58)</f>
        <v>#VALUE!</v>
      </c>
      <c r="E56" s="314" t="s">
        <v>780</v>
      </c>
      <c r="F56" s="1065" t="str">
        <f aca="false">IF(H56="正常",F58,"免征")</f>
        <v>免征</v>
      </c>
      <c r="G56" s="1049" t="s">
        <v>755</v>
      </c>
      <c r="H56" s="1076"/>
      <c r="I56" s="1077"/>
      <c r="J56" s="314" t="str">
        <f aca="false">IF(项目基本情况!K6="上海银行",IF(J55="",4,J55+1),"")</f>
        <v/>
      </c>
      <c r="K56" s="366" t="str">
        <f aca="false">IF(项目基本情况!K6="上海银行","其他处置费用","")</f>
        <v/>
      </c>
      <c r="L56" s="366"/>
      <c r="M56" s="1068" t="str">
        <f aca="false">IF(项目基本情况!K6="上海银行",M69,"")</f>
        <v/>
      </c>
      <c r="N56" s="1078" t="str">
        <f aca="false">IF(项目基本情况!K6="上海银行","包含处置中涉及的律师、诉讼、拍卖、评估等费用","")</f>
        <v/>
      </c>
      <c r="O56" s="1078"/>
    </row>
    <row r="57" customFormat="false" ht="12.75" hidden="false" customHeight="true" outlineLevel="0" collapsed="false">
      <c r="A57" s="1064" t="s">
        <v>757</v>
      </c>
      <c r="B57" s="314" t="s">
        <v>781</v>
      </c>
      <c r="C57" s="314"/>
      <c r="D57" s="370" t="n">
        <v>0</v>
      </c>
      <c r="E57" s="1054" t="s">
        <v>759</v>
      </c>
      <c r="F57" s="244"/>
      <c r="G57" s="1056"/>
      <c r="H57" s="1079"/>
      <c r="I57" s="1077"/>
      <c r="J57" s="1080" t="n">
        <f aca="false">IF(AND(J55="",J56=""),4,IF(项目基本情况!K6="上海银行",结果表!J56+1,结果表!J55+1))</f>
        <v>5</v>
      </c>
      <c r="K57" s="314" t="s">
        <v>345</v>
      </c>
      <c r="L57" s="1081" t="s">
        <v>782</v>
      </c>
      <c r="M57" s="1082"/>
      <c r="N57" s="1083" t="n">
        <f aca="false">SUMIF(M52:M56,"&lt;9e307")</f>
        <v>0</v>
      </c>
      <c r="O57" s="1084"/>
      <c r="P57" s="1085" t="e">
        <f aca="false">N57/M49</f>
        <v>#VALUE!</v>
      </c>
    </row>
    <row r="58" customFormat="false" ht="24.75" hidden="false" customHeight="true" outlineLevel="0" collapsed="false">
      <c r="A58" s="1064" t="s">
        <v>767</v>
      </c>
      <c r="B58" s="1081" t="s">
        <v>783</v>
      </c>
      <c r="C58" s="1081"/>
      <c r="D58" s="418" t="e">
        <f aca="false">IF(H58="转让取得",C81,C97)</f>
        <v>#VALUE!</v>
      </c>
      <c r="E58" s="314" t="s">
        <v>780</v>
      </c>
      <c r="F58" s="1086" t="s">
        <v>122</v>
      </c>
      <c r="G58" s="1056"/>
      <c r="H58" s="1076"/>
      <c r="I58" s="1077"/>
      <c r="J58" s="1080"/>
      <c r="K58" s="1080"/>
      <c r="L58" s="1081" t="s">
        <v>784</v>
      </c>
      <c r="M58" s="1087"/>
      <c r="N58" s="1088" t="e">
        <f aca="false">numberstring(INT(N57*10000),2)&amp;"元整"</f>
        <v>#NAME?</v>
      </c>
      <c r="O58" s="1089"/>
    </row>
    <row r="59" customFormat="false" ht="24" hidden="false" customHeight="true" outlineLevel="0" collapsed="false">
      <c r="A59" s="1090" t="s">
        <v>785</v>
      </c>
      <c r="B59" s="1090"/>
      <c r="C59" s="1090"/>
      <c r="D59" s="1091" t="e">
        <f aca="false">IF(H59="非个人房产","——",IF(H59="个人住宅（满五唯一有凭证）",0,IF(H59="个人其他（无凭证）",ROUND(D45*F59,0),ROUND(C67*F59,0))))</f>
        <v>#VALUE!</v>
      </c>
      <c r="E59" s="1092" t="str">
        <f aca="false">IF(H59="非个人房产","——",IF(H59="个人其他（无凭证）","销售额×税（费）率",IF(H59="个人住宅（满五唯一有凭证）","免征","差额计税")))</f>
        <v>差额计税</v>
      </c>
      <c r="F59" s="1093" t="n">
        <f aca="false">IF(OR(H59="非个人房产",H59="个人住宅（满五唯一有凭证）"),"——",IF(H59="个人其他（有凭证）",20%,1%))</f>
        <v>0.01</v>
      </c>
      <c r="G59" s="1094" t="s">
        <v>755</v>
      </c>
      <c r="H59" s="1095"/>
      <c r="I59" s="1096" t="s">
        <v>786</v>
      </c>
      <c r="J59" s="314" t="n">
        <f aca="false">J57+1</f>
        <v>6</v>
      </c>
      <c r="K59" s="314" t="s">
        <v>331</v>
      </c>
      <c r="L59" s="314" t="s">
        <v>782</v>
      </c>
      <c r="M59" s="1097"/>
      <c r="N59" s="1098" t="e">
        <f aca="false">M49-N57</f>
        <v>#VALUE!</v>
      </c>
      <c r="O59" s="1099"/>
    </row>
    <row r="60" customFormat="false" ht="12" hidden="false" customHeight="true" outlineLevel="0" collapsed="false">
      <c r="A60" s="1100"/>
      <c r="B60" s="922"/>
      <c r="C60" s="922"/>
      <c r="D60" s="922"/>
      <c r="E60" s="392"/>
      <c r="F60" s="1077"/>
      <c r="G60" s="1077"/>
      <c r="H60" s="1101"/>
      <c r="I60" s="941"/>
      <c r="J60" s="314"/>
      <c r="K60" s="314"/>
      <c r="L60" s="1081" t="s">
        <v>784</v>
      </c>
      <c r="M60" s="1087"/>
      <c r="N60" s="1088" t="e">
        <f aca="false">numberstring(INT(N59*10000),2)&amp;"元整"</f>
        <v>#VALUE!</v>
      </c>
      <c r="O60" s="1089"/>
    </row>
    <row r="61" customFormat="false" ht="12.75" hidden="false" customHeight="true" outlineLevel="0" collapsed="false">
      <c r="A61" s="1102" t="s">
        <v>787</v>
      </c>
      <c r="B61" s="1102"/>
      <c r="C61" s="1102"/>
      <c r="D61" s="1102"/>
      <c r="E61" s="1102"/>
      <c r="F61" s="1077"/>
      <c r="G61" s="1077"/>
      <c r="H61" s="1101"/>
      <c r="I61" s="941"/>
      <c r="J61" s="314" t="n">
        <f aca="false">J59+1</f>
        <v>7</v>
      </c>
      <c r="K61" s="314" t="s">
        <v>788</v>
      </c>
      <c r="L61" s="314"/>
      <c r="M61" s="1103"/>
      <c r="N61" s="1104" t="e">
        <f aca="false">ROUND(N59*10000/'数据-汇总表'!E3,0)</f>
        <v>#VALUE!</v>
      </c>
      <c r="O61" s="1105"/>
    </row>
    <row r="62" customFormat="false" ht="12.75" hidden="false" customHeight="true" outlineLevel="0" collapsed="false">
      <c r="A62" s="1106" t="s">
        <v>527</v>
      </c>
      <c r="B62" s="1106"/>
      <c r="C62" s="1107"/>
      <c r="D62" s="1108" t="s">
        <v>789</v>
      </c>
      <c r="E62" s="1109" t="s">
        <v>603</v>
      </c>
      <c r="F62" s="1077"/>
      <c r="G62" s="1077"/>
      <c r="H62" s="1101"/>
      <c r="I62" s="941"/>
    </row>
    <row r="63" customFormat="false" ht="12.75" hidden="false" customHeight="true" outlineLevel="0" collapsed="false">
      <c r="A63" s="1110" t="s">
        <v>790</v>
      </c>
      <c r="B63" s="1111" t="s">
        <v>791</v>
      </c>
      <c r="C63" s="1112" t="e">
        <f aca="false">ROUND((C64+C65)/(1+'数据-取费表'!C42),0)</f>
        <v>#VALUE!</v>
      </c>
      <c r="D63" s="1111"/>
      <c r="E63" s="1113"/>
      <c r="F63" s="1077"/>
      <c r="G63" s="1077"/>
      <c r="H63" s="1101"/>
      <c r="I63" s="941"/>
      <c r="J63" s="1114" t="s">
        <v>792</v>
      </c>
      <c r="K63" s="1114" t="s">
        <v>793</v>
      </c>
      <c r="L63" s="1114" t="e">
        <f aca="false">IF(M49&gt;10000,M49*0.5%,IF(AND(M49&gt;1000,M49&lt;=10000),M49*1%,IF(AND(M49&gt;100,M49&lt;=1000),M49*3%,IF(AND(M49&gt;10,M49&lt;=100),M49*5%,M49*8%))))</f>
        <v>#VALUE!</v>
      </c>
      <c r="M63" s="244" t="e">
        <f aca="false">ROUND(L63,1)</f>
        <v>#VALUE!</v>
      </c>
      <c r="N63" s="1115"/>
      <c r="Z63" s="921"/>
      <c r="AI63" s="919"/>
    </row>
    <row r="64" customFormat="false" ht="14.25" hidden="false" customHeight="true" outlineLevel="0" collapsed="false">
      <c r="A64" s="1116" t="s">
        <v>794</v>
      </c>
      <c r="B64" s="1117" t="s">
        <v>795</v>
      </c>
      <c r="C64" s="1118" t="e">
        <f aca="false">D45</f>
        <v>#VALUE!</v>
      </c>
      <c r="D64" s="1119" t="s">
        <v>122</v>
      </c>
      <c r="E64" s="1120"/>
      <c r="F64" s="1077"/>
      <c r="G64" s="1077"/>
      <c r="H64" s="1101"/>
      <c r="I64" s="941"/>
      <c r="J64" s="1114"/>
      <c r="K64" s="1114" t="s">
        <v>796</v>
      </c>
      <c r="L64" s="1114" t="e">
        <f aca="false">IF(M49&gt;2000,M49*0.5%,IF(AND(M49&gt;1000,M49&lt;=2000),M49*0.6%,IF(AND(M49&gt;500,M49&lt;=1000),M49*0.7%,IF(AND(M49&gt;200,M49&lt;=500),M49*0.8%,IF(AND(M49&gt;100,M49&lt;=200),M49*0.9%,IF(AND(M49&gt;50,M49&lt;=100),M49*1%,IF(AND(M49&gt;20,M49&lt;=50),M49*1.5%,IF(AND(M49&gt;10,M49&lt;=20),M49*2%,IF(AND(M49&gt;1,M49&lt;=10),M49*2.5%)))))))))</f>
        <v>#VALUE!</v>
      </c>
      <c r="M64" s="244" t="e">
        <f aca="false">ROUND(L64,1)</f>
        <v>#VALUE!</v>
      </c>
      <c r="N64" s="1121" t="s">
        <v>797</v>
      </c>
      <c r="Z64" s="921"/>
      <c r="AI64" s="919"/>
    </row>
    <row r="65" customFormat="false" ht="14.25" hidden="false" customHeight="true" outlineLevel="0" collapsed="false">
      <c r="A65" s="1116" t="s">
        <v>798</v>
      </c>
      <c r="B65" s="1117" t="s">
        <v>799</v>
      </c>
      <c r="C65" s="1122"/>
      <c r="D65" s="1117"/>
      <c r="E65" s="1120"/>
      <c r="F65" s="1077"/>
      <c r="G65" s="1077"/>
      <c r="H65" s="1101"/>
      <c r="I65" s="941"/>
      <c r="J65" s="1114"/>
      <c r="K65" s="1114" t="s">
        <v>800</v>
      </c>
      <c r="L65" s="1114" t="e">
        <f aca="false">IF(M49&gt;1000,M49*0.1%,IF(AND(M49&gt;500,M49&lt;=1000),M49*0.5%,IF(AND(M49&gt;50,M49&lt;=500),M49*1%,IF(AND(M49&gt;1,M49&lt;=50),M49*1.5%))))</f>
        <v>#VALUE!</v>
      </c>
      <c r="M65" s="244" t="e">
        <f aca="false">ROUND(L65,1)</f>
        <v>#VALUE!</v>
      </c>
      <c r="N65" s="1121" t="s">
        <v>797</v>
      </c>
      <c r="Z65" s="921"/>
      <c r="AI65" s="919"/>
    </row>
    <row r="66" customFormat="false" ht="14.25" hidden="false" customHeight="true" outlineLevel="0" collapsed="false">
      <c r="A66" s="1110" t="s">
        <v>801</v>
      </c>
      <c r="B66" s="1123" t="s">
        <v>802</v>
      </c>
      <c r="C66" s="1124"/>
      <c r="D66" s="1125" t="s">
        <v>122</v>
      </c>
      <c r="E66" s="1126" t="s">
        <v>803</v>
      </c>
      <c r="F66" s="1077"/>
      <c r="G66" s="1077"/>
      <c r="H66" s="1101"/>
      <c r="I66" s="941"/>
      <c r="J66" s="1114"/>
      <c r="K66" s="1114" t="s">
        <v>804</v>
      </c>
      <c r="L66" s="1114" t="e">
        <f aca="false">M49*0.5%</f>
        <v>#VALUE!</v>
      </c>
      <c r="M66" s="244" t="e">
        <f aca="false">IF(L66&gt;0.5,0.5,ROUND(L66,0))</f>
        <v>#VALUE!</v>
      </c>
      <c r="N66" s="1121" t="s">
        <v>805</v>
      </c>
      <c r="Z66" s="921"/>
      <c r="AI66" s="919"/>
    </row>
    <row r="67" customFormat="false" ht="14.25" hidden="false" customHeight="true" outlineLevel="0" collapsed="false">
      <c r="A67" s="1110" t="s">
        <v>806</v>
      </c>
      <c r="B67" s="1123" t="s">
        <v>807</v>
      </c>
      <c r="C67" s="1127" t="e">
        <f aca="false">C63-C66</f>
        <v>#VALUE!</v>
      </c>
      <c r="D67" s="1119" t="s">
        <v>122</v>
      </c>
      <c r="E67" s="1120"/>
      <c r="F67" s="1077"/>
      <c r="G67" s="1077"/>
      <c r="H67" s="1101"/>
      <c r="I67" s="941"/>
      <c r="J67" s="1114"/>
      <c r="K67" s="1114" t="s">
        <v>808</v>
      </c>
      <c r="L67" s="1114" t="e">
        <f aca="false">IF(M49&gt;=10000,(8.25+(M49-10000)*0.01%),IF(AND(M49&gt;=8000,M49&lt;10000),(7.85+(M49-8000)*0.02%),IF(AND(M49&gt;=5000,M49&lt;8000),(6.65+(M49-5000)*0.04%),IF(AND(M49&gt;=2000,M49&lt;5000),(4.25+(PM49-2000)*0.08%),IF(AND(M49&gt;=1000,M49&lt;2000),(2.75+(M49-1000)*0.15%),IF(AND(M49&gt;=100,M49&lt;1000),(0.5+(M49-100)*0.25%),IF(AND(M49&gt;0,M49&lt;100),M49*0.5%)))))))</f>
        <v>#VALUE!</v>
      </c>
      <c r="M67" s="244" t="e">
        <f aca="false">ROUND(L67*0.9,1)</f>
        <v>#VALUE!</v>
      </c>
      <c r="N67" s="1115"/>
      <c r="Z67" s="921"/>
      <c r="AI67" s="919"/>
    </row>
    <row r="68" customFormat="false" ht="14.25" hidden="false" customHeight="true" outlineLevel="0" collapsed="false">
      <c r="A68" s="1128" t="s">
        <v>809</v>
      </c>
      <c r="B68" s="1129" t="s">
        <v>810</v>
      </c>
      <c r="C68" s="1130" t="e">
        <f aca="false">IF(C67&lt;=0,0,ROUND(C67*D68,0))</f>
        <v>#VALUE!</v>
      </c>
      <c r="D68" s="1131" t="n">
        <f aca="false">'数据-取费表'!B41</f>
        <v>0.055</v>
      </c>
      <c r="E68" s="1132"/>
      <c r="F68" s="1077"/>
      <c r="G68" s="1077"/>
      <c r="H68" s="1101"/>
      <c r="I68" s="941"/>
      <c r="J68" s="1114"/>
      <c r="K68" s="1114" t="s">
        <v>811</v>
      </c>
      <c r="L68" s="1114" t="e">
        <f aca="false">IF(M49&gt;10000,M49*0.5%,IF(AND(M49&gt;5000,M49&lt;=10000),M49*1%,IF(AND(M49&gt;1000,M49&lt;=5000),M49*2%,IF(AND(M49&gt;200,M49&lt;=1000),M49*3%,M49*5%))))</f>
        <v>#VALUE!</v>
      </c>
      <c r="M68" s="244" t="e">
        <f aca="false">ROUND(L68,1)</f>
        <v>#VALUE!</v>
      </c>
      <c r="N68" s="1115"/>
      <c r="Z68" s="921"/>
      <c r="AI68" s="919"/>
    </row>
    <row r="69" s="1139" customFormat="true" ht="16.5" hidden="false" customHeight="true" outlineLevel="0" collapsed="false">
      <c r="A69" s="1133"/>
      <c r="B69" s="1134"/>
      <c r="C69" s="1135"/>
      <c r="D69" s="1136"/>
      <c r="E69" s="1137"/>
      <c r="F69" s="392"/>
      <c r="G69" s="392"/>
      <c r="H69" s="406"/>
      <c r="I69" s="922"/>
      <c r="J69" s="1114"/>
      <c r="K69" s="1114" t="s">
        <v>512</v>
      </c>
      <c r="L69" s="1114"/>
      <c r="M69" s="244" t="e">
        <f aca="false">ROUND(SUM(M63:M68),0)</f>
        <v>#VALUE!</v>
      </c>
      <c r="N69" s="1138" t="e">
        <f aca="false">M69/M49</f>
        <v>#VALUE!</v>
      </c>
      <c r="O69" s="920"/>
      <c r="P69" s="920"/>
      <c r="Q69" s="920"/>
      <c r="R69" s="920"/>
      <c r="S69" s="920"/>
      <c r="T69" s="920"/>
      <c r="U69" s="920"/>
      <c r="V69" s="920"/>
      <c r="W69" s="920"/>
      <c r="X69" s="920"/>
      <c r="Y69" s="920"/>
      <c r="Z69" s="921"/>
      <c r="AA69" s="921"/>
      <c r="AB69" s="921"/>
      <c r="AC69" s="921"/>
      <c r="AD69" s="921"/>
      <c r="AE69" s="921"/>
      <c r="AF69" s="921"/>
      <c r="AG69" s="921"/>
      <c r="AH69" s="921"/>
    </row>
    <row r="70" s="1143" customFormat="true" ht="14.25" hidden="false" customHeight="true" outlineLevel="0" collapsed="false">
      <c r="A70" s="1140" t="s">
        <v>812</v>
      </c>
      <c r="B70" s="1140"/>
      <c r="C70" s="1140"/>
      <c r="D70" s="1140"/>
      <c r="E70" s="1140"/>
      <c r="F70" s="1140"/>
      <c r="G70" s="1140"/>
      <c r="H70" s="1140"/>
      <c r="I70" s="1141"/>
      <c r="J70" s="520"/>
      <c r="K70" s="520"/>
      <c r="L70" s="520"/>
      <c r="M70" s="520"/>
      <c r="N70" s="525"/>
      <c r="O70" s="525"/>
      <c r="P70" s="525"/>
      <c r="Q70" s="525"/>
      <c r="R70" s="525"/>
      <c r="S70" s="525"/>
      <c r="T70" s="525"/>
      <c r="U70" s="525"/>
      <c r="V70" s="525"/>
      <c r="W70" s="525"/>
      <c r="X70" s="525"/>
      <c r="Y70" s="525"/>
      <c r="Z70" s="525"/>
      <c r="AA70" s="1142"/>
      <c r="AB70" s="1142"/>
      <c r="AC70" s="1142"/>
      <c r="AD70" s="1142"/>
      <c r="AE70" s="1142"/>
      <c r="AF70" s="1142"/>
      <c r="AG70" s="1142"/>
      <c r="AH70" s="1142"/>
      <c r="AI70" s="1142"/>
    </row>
    <row r="71" s="1143" customFormat="true" ht="14.25" hidden="false" customHeight="true" outlineLevel="0" collapsed="false">
      <c r="A71" s="1106" t="s">
        <v>527</v>
      </c>
      <c r="B71" s="1106"/>
      <c r="C71" s="1107"/>
      <c r="D71" s="1108" t="s">
        <v>789</v>
      </c>
      <c r="E71" s="1144" t="s">
        <v>603</v>
      </c>
      <c r="F71" s="1145"/>
      <c r="G71" s="1145"/>
      <c r="H71" s="1146"/>
      <c r="I71" s="1147"/>
      <c r="J71" s="520"/>
      <c r="K71" s="520"/>
      <c r="L71" s="520"/>
      <c r="M71" s="520"/>
      <c r="N71" s="525"/>
      <c r="O71" s="525"/>
      <c r="P71" s="525"/>
      <c r="Q71" s="525"/>
      <c r="R71" s="525"/>
      <c r="S71" s="525"/>
      <c r="T71" s="525"/>
      <c r="U71" s="525"/>
      <c r="V71" s="525"/>
      <c r="W71" s="525"/>
      <c r="X71" s="525"/>
      <c r="Y71" s="525"/>
      <c r="Z71" s="525"/>
      <c r="AA71" s="1142"/>
      <c r="AB71" s="1142"/>
      <c r="AC71" s="1142"/>
      <c r="AD71" s="1142"/>
      <c r="AE71" s="1142"/>
      <c r="AF71" s="1142"/>
      <c r="AG71" s="1142"/>
      <c r="AH71" s="1142"/>
      <c r="AI71" s="1142"/>
    </row>
    <row r="72" s="1143" customFormat="true" ht="14.25" hidden="false" customHeight="false" outlineLevel="0" collapsed="false">
      <c r="A72" s="1110" t="s">
        <v>790</v>
      </c>
      <c r="B72" s="1123" t="s">
        <v>813</v>
      </c>
      <c r="C72" s="1127" t="e">
        <f aca="false">ROUND(D45/(1+'数据-取费表'!C42),0)</f>
        <v>#VALUE!</v>
      </c>
      <c r="D72" s="1119" t="s">
        <v>122</v>
      </c>
      <c r="E72" s="1081"/>
      <c r="F72" s="1148"/>
      <c r="G72" s="1148"/>
      <c r="H72" s="1149"/>
      <c r="I72" s="1147"/>
      <c r="J72" s="520"/>
      <c r="K72" s="520"/>
      <c r="L72" s="520"/>
      <c r="M72" s="520"/>
      <c r="N72" s="525"/>
      <c r="O72" s="525"/>
      <c r="P72" s="525"/>
      <c r="Q72" s="525"/>
      <c r="R72" s="525"/>
      <c r="S72" s="525"/>
      <c r="T72" s="525"/>
      <c r="U72" s="525"/>
      <c r="V72" s="525"/>
      <c r="W72" s="525"/>
      <c r="X72" s="525"/>
      <c r="Y72" s="525"/>
      <c r="Z72" s="525"/>
      <c r="AA72" s="1142"/>
      <c r="AB72" s="1142"/>
      <c r="AC72" s="1142"/>
      <c r="AD72" s="1142"/>
      <c r="AE72" s="1142"/>
      <c r="AF72" s="1142"/>
      <c r="AG72" s="1142"/>
      <c r="AH72" s="1142"/>
      <c r="AI72" s="1142"/>
    </row>
    <row r="73" s="1143" customFormat="true" ht="14.25" hidden="false" customHeight="false" outlineLevel="0" collapsed="false">
      <c r="A73" s="1110" t="s">
        <v>801</v>
      </c>
      <c r="B73" s="1038" t="s">
        <v>814</v>
      </c>
      <c r="C73" s="1127" t="e">
        <f aca="false">C74+C78</f>
        <v>#VALUE!</v>
      </c>
      <c r="D73" s="1119" t="s">
        <v>122</v>
      </c>
      <c r="E73" s="1081"/>
      <c r="F73" s="1148"/>
      <c r="G73" s="1148"/>
      <c r="H73" s="1149"/>
      <c r="I73" s="1147"/>
      <c r="J73" s="525"/>
      <c r="K73" s="525"/>
      <c r="L73" s="525"/>
      <c r="M73" s="525"/>
      <c r="N73" s="525"/>
      <c r="O73" s="525"/>
      <c r="P73" s="525"/>
      <c r="Q73" s="525"/>
      <c r="R73" s="525"/>
      <c r="S73" s="525"/>
      <c r="T73" s="525"/>
      <c r="U73" s="525"/>
      <c r="V73" s="525"/>
      <c r="W73" s="525"/>
      <c r="X73" s="525"/>
      <c r="Y73" s="525"/>
      <c r="Z73" s="525"/>
      <c r="AA73" s="1142"/>
      <c r="AB73" s="1142"/>
      <c r="AC73" s="1142"/>
      <c r="AD73" s="1142"/>
      <c r="AE73" s="1142"/>
      <c r="AF73" s="1142"/>
      <c r="AG73" s="1142"/>
      <c r="AH73" s="1142"/>
      <c r="AI73" s="1142"/>
    </row>
    <row r="74" s="1143" customFormat="true" ht="24" hidden="false" customHeight="false" outlineLevel="0" collapsed="false">
      <c r="A74" s="1116" t="s">
        <v>794</v>
      </c>
      <c r="B74" s="1117" t="s">
        <v>815</v>
      </c>
      <c r="C74" s="1117" t="n">
        <f aca="false">ROUND(IF(G77="2016年5月1日后购买",C75/(1+'数据-取费表'!C42)+C76+C77,C75+C76+C77),0)</f>
        <v>0</v>
      </c>
      <c r="D74" s="1119" t="s">
        <v>122</v>
      </c>
      <c r="E74" s="1081"/>
      <c r="F74" s="1148"/>
      <c r="G74" s="1148"/>
      <c r="H74" s="1149"/>
      <c r="I74" s="1147"/>
      <c r="J74" s="525"/>
      <c r="K74" s="525"/>
      <c r="L74" s="525"/>
      <c r="M74" s="525"/>
      <c r="N74" s="525"/>
      <c r="O74" s="525"/>
      <c r="P74" s="525"/>
      <c r="Q74" s="525"/>
      <c r="R74" s="525"/>
      <c r="S74" s="525"/>
      <c r="T74" s="525"/>
      <c r="U74" s="525"/>
      <c r="V74" s="525"/>
      <c r="W74" s="525"/>
      <c r="X74" s="525"/>
      <c r="Y74" s="525"/>
      <c r="Z74" s="525"/>
      <c r="AA74" s="1142"/>
      <c r="AB74" s="1142"/>
      <c r="AC74" s="1142"/>
      <c r="AD74" s="1142"/>
      <c r="AE74" s="1142"/>
      <c r="AF74" s="1142"/>
      <c r="AG74" s="1142"/>
      <c r="AH74" s="1142"/>
      <c r="AI74" s="1142"/>
    </row>
    <row r="75" s="1143" customFormat="true" ht="14.25" hidden="false" customHeight="false" outlineLevel="0" collapsed="false">
      <c r="A75" s="1150" t="s">
        <v>816</v>
      </c>
      <c r="B75" s="1117" t="s">
        <v>817</v>
      </c>
      <c r="C75" s="1151"/>
      <c r="D75" s="1119" t="s">
        <v>122</v>
      </c>
      <c r="E75" s="1152" t="s">
        <v>818</v>
      </c>
      <c r="F75" s="1153"/>
      <c r="G75" s="1152" t="s">
        <v>819</v>
      </c>
      <c r="H75" s="1154"/>
      <c r="I75" s="522"/>
      <c r="J75" s="525"/>
      <c r="K75" s="525"/>
      <c r="L75" s="525"/>
      <c r="M75" s="525"/>
      <c r="N75" s="525"/>
      <c r="O75" s="525"/>
      <c r="P75" s="525"/>
      <c r="Q75" s="525"/>
      <c r="R75" s="525"/>
      <c r="S75" s="525"/>
      <c r="T75" s="525"/>
      <c r="U75" s="525"/>
      <c r="V75" s="525"/>
      <c r="W75" s="525"/>
      <c r="X75" s="525"/>
      <c r="Y75" s="525"/>
      <c r="Z75" s="525"/>
      <c r="AA75" s="1142"/>
      <c r="AB75" s="1142"/>
      <c r="AC75" s="1142"/>
      <c r="AD75" s="1142"/>
      <c r="AE75" s="1142"/>
      <c r="AF75" s="1142"/>
      <c r="AG75" s="1142"/>
      <c r="AH75" s="1142"/>
      <c r="AI75" s="1142"/>
    </row>
    <row r="76" s="1143" customFormat="true" ht="24.75" hidden="false" customHeight="true" outlineLevel="0" collapsed="false">
      <c r="A76" s="1150" t="s">
        <v>820</v>
      </c>
      <c r="B76" s="1155" t="s">
        <v>821</v>
      </c>
      <c r="C76" s="1117" t="n">
        <f aca="false">IF(F75="购房发票",ROUND(C75*H75*D76,0),0)</f>
        <v>0</v>
      </c>
      <c r="D76" s="1156" t="n">
        <v>0.05</v>
      </c>
      <c r="E76" s="1157" t="s">
        <v>822</v>
      </c>
      <c r="F76" s="1157"/>
      <c r="G76" s="1157"/>
      <c r="H76" s="1157"/>
      <c r="I76" s="1147"/>
      <c r="J76" s="525"/>
      <c r="K76" s="525"/>
      <c r="L76" s="525"/>
      <c r="M76" s="525"/>
      <c r="N76" s="525"/>
      <c r="O76" s="525"/>
      <c r="P76" s="525"/>
      <c r="Q76" s="525"/>
      <c r="R76" s="525"/>
      <c r="S76" s="525"/>
      <c r="T76" s="525"/>
      <c r="U76" s="525"/>
      <c r="V76" s="525"/>
      <c r="W76" s="525"/>
      <c r="X76" s="525"/>
      <c r="Y76" s="525"/>
      <c r="Z76" s="525"/>
      <c r="AA76" s="1142"/>
      <c r="AB76" s="1142"/>
      <c r="AC76" s="1142"/>
      <c r="AD76" s="1142"/>
      <c r="AE76" s="1142"/>
      <c r="AF76" s="1142"/>
      <c r="AG76" s="1142"/>
      <c r="AH76" s="1142"/>
      <c r="AI76" s="1142"/>
    </row>
    <row r="77" s="1143" customFormat="true" ht="24.75" hidden="false" customHeight="true" outlineLevel="0" collapsed="false">
      <c r="A77" s="1150" t="s">
        <v>823</v>
      </c>
      <c r="B77" s="1117" t="s">
        <v>824</v>
      </c>
      <c r="C77" s="1117" t="n">
        <f aca="false">ROUND(IF(G77="个人住宅",0,IF(G77="2016年5月1日前购买",C75*D77,C75*D77/(1+'数据-取费表'!C42))),0)</f>
        <v>0</v>
      </c>
      <c r="D77" s="1158" t="n">
        <f aca="false">'数据-取费表'!B48+'数据-取费表'!B49</f>
        <v>0.0305</v>
      </c>
      <c r="E77" s="418" t="s">
        <v>825</v>
      </c>
      <c r="F77" s="1159"/>
      <c r="G77" s="1160"/>
      <c r="H77" s="1161" t="str">
        <f aca="false">IF(G77="个人买卖住房","免征印花税"," ")</f>
        <v> </v>
      </c>
      <c r="I77" s="1147"/>
      <c r="J77" s="525"/>
      <c r="K77" s="525"/>
      <c r="L77" s="525"/>
      <c r="M77" s="525"/>
      <c r="N77" s="525"/>
      <c r="O77" s="525"/>
      <c r="P77" s="525"/>
      <c r="Q77" s="525"/>
      <c r="R77" s="525"/>
      <c r="S77" s="525"/>
      <c r="T77" s="525"/>
      <c r="U77" s="525"/>
      <c r="V77" s="525"/>
      <c r="W77" s="525"/>
      <c r="X77" s="525"/>
      <c r="Y77" s="525"/>
      <c r="Z77" s="525"/>
      <c r="AA77" s="1142"/>
      <c r="AB77" s="1142"/>
      <c r="AC77" s="1142"/>
      <c r="AD77" s="1142"/>
      <c r="AE77" s="1142"/>
      <c r="AF77" s="1142"/>
      <c r="AG77" s="1142"/>
      <c r="AH77" s="1142"/>
      <c r="AI77" s="1142"/>
    </row>
    <row r="78" s="1143" customFormat="true" ht="24.75" hidden="false" customHeight="true" outlineLevel="0" collapsed="false">
      <c r="A78" s="1116" t="s">
        <v>798</v>
      </c>
      <c r="B78" s="1117" t="s">
        <v>826</v>
      </c>
      <c r="C78" s="1162" t="e">
        <f aca="false">ROUND(D45*D78/(1+'数据-取费表'!C42),0)</f>
        <v>#VALUE!</v>
      </c>
      <c r="D78" s="1163" t="n">
        <f aca="false">'数据-取费表'!B43</f>
        <v>0.005</v>
      </c>
      <c r="E78" s="1164" t="s">
        <v>827</v>
      </c>
      <c r="F78" s="1164"/>
      <c r="G78" s="1164"/>
      <c r="H78" s="1164"/>
      <c r="I78" s="1165"/>
      <c r="J78" s="525"/>
      <c r="K78" s="525"/>
      <c r="L78" s="525"/>
      <c r="M78" s="525"/>
      <c r="N78" s="525"/>
      <c r="O78" s="525"/>
      <c r="P78" s="525"/>
      <c r="Q78" s="525"/>
      <c r="R78" s="525"/>
      <c r="S78" s="525"/>
      <c r="T78" s="525"/>
      <c r="U78" s="525"/>
      <c r="V78" s="525"/>
      <c r="W78" s="525"/>
      <c r="X78" s="525"/>
      <c r="Y78" s="525"/>
      <c r="Z78" s="525"/>
      <c r="AA78" s="1142"/>
      <c r="AB78" s="1142"/>
      <c r="AC78" s="1142"/>
      <c r="AD78" s="1142"/>
      <c r="AE78" s="1142"/>
      <c r="AF78" s="1142"/>
      <c r="AG78" s="1142"/>
      <c r="AH78" s="1142"/>
      <c r="AI78" s="1142"/>
    </row>
    <row r="79" s="1143" customFormat="true" ht="14.25" hidden="false" customHeight="false" outlineLevel="0" collapsed="false">
      <c r="A79" s="1110" t="s">
        <v>806</v>
      </c>
      <c r="B79" s="1123" t="s">
        <v>828</v>
      </c>
      <c r="C79" s="1127" t="e">
        <f aca="false">C72-C73</f>
        <v>#VALUE!</v>
      </c>
      <c r="D79" s="1119" t="s">
        <v>122</v>
      </c>
      <c r="E79" s="1081"/>
      <c r="F79" s="1148"/>
      <c r="G79" s="1148"/>
      <c r="H79" s="1149"/>
      <c r="I79" s="1147"/>
      <c r="J79" s="525"/>
      <c r="K79" s="525"/>
      <c r="L79" s="525"/>
      <c r="M79" s="525"/>
      <c r="N79" s="525"/>
      <c r="O79" s="525"/>
      <c r="P79" s="525"/>
      <c r="Q79" s="525"/>
      <c r="R79" s="525"/>
      <c r="S79" s="525"/>
      <c r="T79" s="525"/>
      <c r="U79" s="525"/>
      <c r="V79" s="525"/>
      <c r="W79" s="525"/>
      <c r="X79" s="525"/>
      <c r="Y79" s="525"/>
      <c r="Z79" s="525"/>
      <c r="AA79" s="1142"/>
      <c r="AB79" s="1142"/>
      <c r="AC79" s="1142"/>
      <c r="AD79" s="1142"/>
      <c r="AE79" s="1142"/>
      <c r="AF79" s="1142"/>
      <c r="AG79" s="1142"/>
      <c r="AH79" s="1142"/>
      <c r="AI79" s="1142"/>
    </row>
    <row r="80" s="1143" customFormat="true" ht="24" hidden="false" customHeight="false" outlineLevel="0" collapsed="false">
      <c r="A80" s="1110" t="s">
        <v>809</v>
      </c>
      <c r="B80" s="1123" t="s">
        <v>829</v>
      </c>
      <c r="C80" s="1166" t="e">
        <f aca="false">IF(C79&lt;=0,0,C79/C73)</f>
        <v>#VALUE!</v>
      </c>
      <c r="D80" s="1119" t="s">
        <v>122</v>
      </c>
      <c r="E80" s="418" t="e">
        <f aca="false">IF(C80&gt;=200%,"增值额超过扣除项目金额200%",IF(C80&gt;=100%,"增值额超过扣除项目金额100%，未超过200%",IF(C80&gt;=50%,"增值额超过扣除项目金额50%，未超过100%",IF(C80&lt;50%,"增值额未超过扣除项目金额50%"))))</f>
        <v>#VALUE!</v>
      </c>
      <c r="F80" s="1148"/>
      <c r="G80" s="1148"/>
      <c r="H80" s="1149"/>
      <c r="I80" s="1147"/>
      <c r="J80" s="525"/>
      <c r="K80" s="525"/>
      <c r="L80" s="525"/>
      <c r="M80" s="525"/>
      <c r="N80" s="525"/>
      <c r="O80" s="525"/>
      <c r="P80" s="525"/>
      <c r="Q80" s="525"/>
      <c r="R80" s="525"/>
      <c r="S80" s="525"/>
      <c r="T80" s="525"/>
      <c r="U80" s="525"/>
      <c r="V80" s="525"/>
      <c r="W80" s="525"/>
      <c r="X80" s="525"/>
      <c r="Y80" s="525"/>
      <c r="Z80" s="525"/>
      <c r="AA80" s="1142"/>
      <c r="AB80" s="1142"/>
      <c r="AC80" s="1142"/>
      <c r="AD80" s="1142"/>
      <c r="AE80" s="1142"/>
      <c r="AF80" s="1142"/>
      <c r="AG80" s="1142"/>
      <c r="AH80" s="1142"/>
      <c r="AI80" s="1142"/>
    </row>
    <row r="81" s="1143" customFormat="true" ht="24" hidden="false" customHeight="false" outlineLevel="0" collapsed="false">
      <c r="A81" s="1128" t="s">
        <v>830</v>
      </c>
      <c r="B81" s="1129" t="s">
        <v>831</v>
      </c>
      <c r="C81" s="1167" t="e">
        <f aca="false">ROUND(IF(C79&lt;=0,0,IF(C80&gt;=200%,C79*60%-C73*35%,IF(C80&gt;=100%,C79*50%-C73*15%,IF(C80&gt;=50%,C79*40%-C73*5%,IF(C80&lt;50%,C79*30%,0))))),0)</f>
        <v>#VALUE!</v>
      </c>
      <c r="D81" s="1168" t="s">
        <v>122</v>
      </c>
      <c r="E81" s="1169" t="e">
        <f aca="false">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#VALUE!</v>
      </c>
      <c r="F81" s="1170"/>
      <c r="G81" s="1170"/>
      <c r="H81" s="1171"/>
      <c r="I81" s="1147"/>
      <c r="J81" s="525"/>
      <c r="K81" s="525"/>
      <c r="L81" s="525"/>
      <c r="M81" s="525"/>
      <c r="N81" s="525"/>
      <c r="O81" s="525"/>
      <c r="P81" s="525"/>
      <c r="Q81" s="525"/>
      <c r="R81" s="525"/>
      <c r="S81" s="525"/>
      <c r="T81" s="525"/>
      <c r="U81" s="525"/>
      <c r="V81" s="525"/>
      <c r="W81" s="525"/>
      <c r="X81" s="525"/>
      <c r="Y81" s="525"/>
      <c r="Z81" s="525"/>
      <c r="AA81" s="1142"/>
      <c r="AB81" s="1142"/>
      <c r="AC81" s="1142"/>
      <c r="AD81" s="1142"/>
      <c r="AE81" s="1142"/>
      <c r="AF81" s="1142"/>
      <c r="AG81" s="1142"/>
      <c r="AH81" s="1142"/>
      <c r="AI81" s="1142"/>
    </row>
    <row r="82" s="1143" customFormat="true" ht="7.5" hidden="false" customHeight="true" outlineLevel="0" collapsed="false">
      <c r="A82" s="646"/>
      <c r="B82" s="1172"/>
      <c r="C82" s="149"/>
      <c r="D82" s="149"/>
      <c r="E82" s="1172"/>
      <c r="F82" s="1172"/>
      <c r="G82" s="1172"/>
      <c r="H82" s="1173"/>
      <c r="I82" s="1165"/>
      <c r="J82" s="525"/>
      <c r="K82" s="525"/>
      <c r="L82" s="525"/>
      <c r="M82" s="525"/>
      <c r="N82" s="525"/>
      <c r="O82" s="525"/>
      <c r="P82" s="525"/>
      <c r="Q82" s="525"/>
      <c r="R82" s="525"/>
      <c r="S82" s="525"/>
      <c r="T82" s="525"/>
      <c r="U82" s="525"/>
      <c r="V82" s="525"/>
      <c r="W82" s="525"/>
      <c r="X82" s="525"/>
      <c r="Y82" s="525"/>
      <c r="Z82" s="525"/>
      <c r="AA82" s="1142"/>
      <c r="AB82" s="1142"/>
      <c r="AC82" s="1142"/>
      <c r="AD82" s="1142"/>
      <c r="AE82" s="1142"/>
      <c r="AF82" s="1142"/>
      <c r="AG82" s="1142"/>
      <c r="AH82" s="1142"/>
      <c r="AI82" s="1142"/>
    </row>
    <row r="83" s="1143" customFormat="true" ht="14.25" hidden="false" customHeight="true" outlineLevel="0" collapsed="false">
      <c r="A83" s="1140" t="s">
        <v>832</v>
      </c>
      <c r="B83" s="1140"/>
      <c r="C83" s="1140"/>
      <c r="D83" s="1140"/>
      <c r="E83" s="1140"/>
      <c r="F83" s="1140"/>
      <c r="G83" s="1140"/>
      <c r="H83" s="1140"/>
      <c r="I83" s="522"/>
      <c r="J83" s="525"/>
      <c r="K83" s="525"/>
      <c r="L83" s="525"/>
      <c r="M83" s="525"/>
      <c r="N83" s="525"/>
      <c r="O83" s="525"/>
      <c r="P83" s="525"/>
      <c r="Q83" s="525"/>
      <c r="R83" s="525"/>
      <c r="S83" s="525"/>
      <c r="T83" s="525"/>
      <c r="U83" s="525"/>
      <c r="V83" s="525"/>
      <c r="W83" s="525"/>
      <c r="X83" s="525"/>
      <c r="Y83" s="525"/>
      <c r="Z83" s="525"/>
      <c r="AA83" s="1142"/>
      <c r="AB83" s="1142"/>
      <c r="AC83" s="1142"/>
      <c r="AD83" s="1142"/>
      <c r="AE83" s="1142"/>
      <c r="AF83" s="1142"/>
      <c r="AG83" s="1142"/>
      <c r="AH83" s="1142"/>
      <c r="AI83" s="1142"/>
    </row>
    <row r="84" s="1143" customFormat="true" ht="14.25" hidden="false" customHeight="true" outlineLevel="0" collapsed="false">
      <c r="A84" s="1106" t="s">
        <v>527</v>
      </c>
      <c r="B84" s="1106"/>
      <c r="C84" s="1107"/>
      <c r="D84" s="1108" t="s">
        <v>789</v>
      </c>
      <c r="E84" s="1144" t="s">
        <v>603</v>
      </c>
      <c r="F84" s="1145"/>
      <c r="G84" s="1145"/>
      <c r="H84" s="1174"/>
      <c r="I84" s="522"/>
      <c r="J84" s="525"/>
      <c r="K84" s="525"/>
      <c r="L84" s="525"/>
      <c r="M84" s="525"/>
      <c r="N84" s="525"/>
      <c r="O84" s="525"/>
      <c r="P84" s="525"/>
      <c r="Q84" s="525"/>
      <c r="R84" s="525"/>
      <c r="S84" s="525"/>
      <c r="T84" s="525"/>
      <c r="U84" s="525"/>
      <c r="V84" s="525"/>
      <c r="W84" s="525"/>
      <c r="X84" s="525"/>
      <c r="Y84" s="525"/>
      <c r="Z84" s="525"/>
      <c r="AA84" s="1142"/>
      <c r="AB84" s="1142"/>
      <c r="AC84" s="1142"/>
      <c r="AD84" s="1142"/>
      <c r="AE84" s="1142"/>
      <c r="AF84" s="1142"/>
      <c r="AG84" s="1142"/>
      <c r="AH84" s="1142"/>
      <c r="AI84" s="1142"/>
    </row>
    <row r="85" s="1143" customFormat="true" ht="14.25" hidden="false" customHeight="false" outlineLevel="0" collapsed="false">
      <c r="A85" s="1110" t="s">
        <v>790</v>
      </c>
      <c r="B85" s="1123" t="s">
        <v>813</v>
      </c>
      <c r="C85" s="1127" t="e">
        <f aca="false">ROUND(D45/(1+'数据-取费表'!C42),0)</f>
        <v>#VALUE!</v>
      </c>
      <c r="D85" s="1119" t="s">
        <v>122</v>
      </c>
      <c r="E85" s="1081"/>
      <c r="F85" s="1148"/>
      <c r="G85" s="1148"/>
      <c r="H85" s="1175"/>
      <c r="I85" s="522"/>
      <c r="J85" s="525"/>
      <c r="K85" s="525"/>
      <c r="L85" s="525"/>
      <c r="M85" s="525"/>
      <c r="N85" s="525"/>
      <c r="O85" s="525"/>
      <c r="P85" s="525"/>
      <c r="Q85" s="525"/>
      <c r="R85" s="525"/>
      <c r="S85" s="525"/>
      <c r="T85" s="525"/>
      <c r="U85" s="525"/>
      <c r="V85" s="525"/>
      <c r="W85" s="525"/>
      <c r="X85" s="525"/>
      <c r="Y85" s="525"/>
      <c r="Z85" s="525"/>
      <c r="AA85" s="1142"/>
      <c r="AB85" s="1142"/>
      <c r="AC85" s="1142"/>
      <c r="AD85" s="1142"/>
      <c r="AE85" s="1142"/>
      <c r="AF85" s="1142"/>
      <c r="AG85" s="1142"/>
      <c r="AH85" s="1142"/>
      <c r="AI85" s="1142"/>
    </row>
    <row r="86" s="1143" customFormat="true" ht="14.25" hidden="false" customHeight="false" outlineLevel="0" collapsed="false">
      <c r="A86" s="1110" t="s">
        <v>801</v>
      </c>
      <c r="B86" s="1038" t="s">
        <v>814</v>
      </c>
      <c r="C86" s="1127" t="e">
        <f aca="false">IF(H88="仅含出让金",C87+C90+C91+C92+C93+C94,C87+C91+C92+C93+C94)</f>
        <v>#VALUE!</v>
      </c>
      <c r="D86" s="1176"/>
      <c r="E86" s="1081"/>
      <c r="F86" s="1148"/>
      <c r="G86" s="1148"/>
      <c r="H86" s="1175"/>
      <c r="I86" s="522"/>
      <c r="J86" s="525"/>
      <c r="K86" s="525"/>
      <c r="L86" s="525"/>
      <c r="M86" s="525"/>
      <c r="N86" s="525"/>
      <c r="O86" s="525"/>
      <c r="P86" s="525"/>
      <c r="Q86" s="525"/>
      <c r="R86" s="525"/>
      <c r="S86" s="525"/>
      <c r="T86" s="525"/>
      <c r="U86" s="525"/>
      <c r="V86" s="525"/>
      <c r="W86" s="525"/>
      <c r="X86" s="525"/>
      <c r="Y86" s="525"/>
      <c r="Z86" s="525"/>
      <c r="AA86" s="1142"/>
      <c r="AB86" s="1142"/>
      <c r="AC86" s="1142"/>
      <c r="AD86" s="1142"/>
      <c r="AE86" s="1142"/>
      <c r="AF86" s="1142"/>
      <c r="AG86" s="1142"/>
      <c r="AH86" s="1142"/>
      <c r="AI86" s="1142"/>
    </row>
    <row r="87" s="1143" customFormat="true" ht="14.25" hidden="false" customHeight="false" outlineLevel="0" collapsed="false">
      <c r="A87" s="1116" t="s">
        <v>794</v>
      </c>
      <c r="B87" s="1117" t="s">
        <v>833</v>
      </c>
      <c r="C87" s="1162" t="n">
        <f aca="false">C88+C89</f>
        <v>0</v>
      </c>
      <c r="D87" s="1163"/>
      <c r="E87" s="1177"/>
      <c r="F87" s="1178"/>
      <c r="G87" s="1178"/>
      <c r="H87" s="1179"/>
      <c r="I87" s="522"/>
      <c r="J87" s="525"/>
      <c r="K87" s="525"/>
      <c r="L87" s="525"/>
      <c r="M87" s="525"/>
      <c r="N87" s="525"/>
      <c r="O87" s="525"/>
      <c r="P87" s="525"/>
      <c r="Q87" s="525"/>
      <c r="R87" s="525"/>
      <c r="S87" s="525"/>
      <c r="T87" s="525"/>
      <c r="U87" s="525"/>
      <c r="V87" s="525"/>
      <c r="W87" s="525"/>
      <c r="X87" s="525"/>
      <c r="Y87" s="525"/>
      <c r="Z87" s="525"/>
      <c r="AA87" s="1142"/>
      <c r="AB87" s="1142"/>
      <c r="AC87" s="1142"/>
      <c r="AD87" s="1142"/>
      <c r="AE87" s="1142"/>
      <c r="AF87" s="1142"/>
      <c r="AG87" s="1142"/>
      <c r="AH87" s="1142"/>
      <c r="AI87" s="1142"/>
    </row>
    <row r="88" s="1143" customFormat="true" ht="14.25" hidden="false" customHeight="false" outlineLevel="0" collapsed="false">
      <c r="A88" s="1150" t="s">
        <v>816</v>
      </c>
      <c r="B88" s="1117" t="s">
        <v>834</v>
      </c>
      <c r="C88" s="1180"/>
      <c r="D88" s="1163"/>
      <c r="E88" s="1181" t="s">
        <v>835</v>
      </c>
      <c r="F88" s="1178"/>
      <c r="G88" s="207" t="s">
        <v>836</v>
      </c>
      <c r="H88" s="1182"/>
      <c r="I88" s="522"/>
      <c r="J88" s="1183" t="s">
        <v>837</v>
      </c>
      <c r="K88" s="525"/>
      <c r="L88" s="525"/>
      <c r="M88" s="525"/>
      <c r="N88" s="525"/>
      <c r="O88" s="525"/>
      <c r="P88" s="525"/>
      <c r="Q88" s="525"/>
      <c r="R88" s="525"/>
      <c r="S88" s="525"/>
      <c r="T88" s="525"/>
      <c r="U88" s="525"/>
      <c r="V88" s="525"/>
      <c r="W88" s="525"/>
      <c r="X88" s="525"/>
      <c r="Y88" s="525"/>
      <c r="Z88" s="525"/>
      <c r="AA88" s="1142"/>
      <c r="AB88" s="1142"/>
      <c r="AC88" s="1142"/>
      <c r="AD88" s="1142"/>
      <c r="AE88" s="1142"/>
      <c r="AF88" s="1142"/>
      <c r="AG88" s="1142"/>
      <c r="AH88" s="1142"/>
      <c r="AI88" s="1142"/>
    </row>
    <row r="89" s="1143" customFormat="true" ht="14.25" hidden="false" customHeight="false" outlineLevel="0" collapsed="false">
      <c r="A89" s="1150" t="s">
        <v>820</v>
      </c>
      <c r="B89" s="1117" t="s">
        <v>824</v>
      </c>
      <c r="C89" s="1162" t="n">
        <f aca="false">ROUND(C88*D89,0)</f>
        <v>0</v>
      </c>
      <c r="D89" s="1163" t="n">
        <f aca="false">'数据-取费表'!B48+'数据-取费表'!B49</f>
        <v>0.0305</v>
      </c>
      <c r="E89" s="1181" t="s">
        <v>838</v>
      </c>
      <c r="F89" s="1178"/>
      <c r="G89" s="1178"/>
      <c r="H89" s="1179"/>
      <c r="I89" s="522"/>
      <c r="J89" s="525"/>
      <c r="K89" s="525"/>
      <c r="L89" s="525"/>
      <c r="M89" s="525"/>
      <c r="N89" s="525"/>
      <c r="O89" s="525"/>
      <c r="P89" s="525"/>
      <c r="Q89" s="525"/>
      <c r="R89" s="525"/>
      <c r="S89" s="525"/>
      <c r="T89" s="525"/>
      <c r="U89" s="525"/>
      <c r="V89" s="525"/>
      <c r="W89" s="525"/>
      <c r="X89" s="525"/>
      <c r="Y89" s="525"/>
      <c r="Z89" s="525"/>
      <c r="AA89" s="1142"/>
      <c r="AB89" s="1142"/>
      <c r="AC89" s="1142"/>
      <c r="AD89" s="1142"/>
      <c r="AE89" s="1142"/>
      <c r="AF89" s="1142"/>
      <c r="AG89" s="1142"/>
      <c r="AH89" s="1142"/>
      <c r="AI89" s="1142"/>
    </row>
    <row r="90" s="1143" customFormat="true" ht="14.25" hidden="false" customHeight="true" outlineLevel="0" collapsed="false">
      <c r="A90" s="1116" t="s">
        <v>798</v>
      </c>
      <c r="B90" s="1117" t="s">
        <v>839</v>
      </c>
      <c r="C90" s="1180"/>
      <c r="D90" s="1163"/>
      <c r="E90" s="1181" t="str">
        <f aca="false">IF(H88="-","土地取得成本中已包含该笔费用"," ")</f>
        <v> </v>
      </c>
      <c r="F90" s="1178"/>
      <c r="G90" s="1184" t="s">
        <v>840</v>
      </c>
      <c r="H90" s="1184"/>
      <c r="I90" s="522"/>
      <c r="J90" s="1183" t="s">
        <v>841</v>
      </c>
      <c r="K90" s="525"/>
      <c r="L90" s="525"/>
      <c r="M90" s="525"/>
      <c r="N90" s="525"/>
      <c r="O90" s="525"/>
      <c r="P90" s="525"/>
      <c r="Q90" s="525"/>
      <c r="R90" s="525"/>
      <c r="S90" s="525"/>
      <c r="T90" s="525"/>
      <c r="U90" s="525"/>
      <c r="V90" s="525"/>
      <c r="W90" s="525"/>
      <c r="X90" s="525"/>
      <c r="Y90" s="525"/>
      <c r="Z90" s="525"/>
      <c r="AA90" s="1142"/>
      <c r="AB90" s="1142"/>
      <c r="AC90" s="1142"/>
      <c r="AD90" s="1142"/>
      <c r="AE90" s="1142"/>
      <c r="AF90" s="1142"/>
      <c r="AG90" s="1142"/>
      <c r="AH90" s="1142"/>
      <c r="AI90" s="1142"/>
    </row>
    <row r="91" s="1143" customFormat="true" ht="27.75" hidden="false" customHeight="true" outlineLevel="0" collapsed="false">
      <c r="A91" s="1116" t="s">
        <v>842</v>
      </c>
      <c r="B91" s="1117" t="s">
        <v>843</v>
      </c>
      <c r="C91" s="1162" t="n">
        <f aca="false">IF(H91="——",成本法!C33,I91)</f>
        <v>0</v>
      </c>
      <c r="D91" s="1163"/>
      <c r="E91" s="1185" t="s">
        <v>844</v>
      </c>
      <c r="F91" s="1185"/>
      <c r="G91" s="1185"/>
      <c r="H91" s="1182"/>
      <c r="I91" s="1186"/>
      <c r="J91" s="525"/>
      <c r="K91" s="525"/>
      <c r="L91" s="525"/>
      <c r="M91" s="525"/>
      <c r="N91" s="525"/>
      <c r="O91" s="525"/>
      <c r="P91" s="525"/>
      <c r="Q91" s="525"/>
      <c r="R91" s="525"/>
      <c r="S91" s="525"/>
      <c r="T91" s="525"/>
      <c r="U91" s="525"/>
      <c r="V91" s="525"/>
      <c r="W91" s="525"/>
      <c r="X91" s="525"/>
      <c r="Y91" s="525"/>
      <c r="Z91" s="525"/>
      <c r="AA91" s="1142"/>
      <c r="AB91" s="1142"/>
      <c r="AC91" s="1142"/>
      <c r="AD91" s="1142"/>
      <c r="AE91" s="1142"/>
      <c r="AF91" s="1142"/>
      <c r="AG91" s="1142"/>
      <c r="AH91" s="1142"/>
      <c r="AI91" s="1142"/>
    </row>
    <row r="92" s="1143" customFormat="true" ht="25.5" hidden="false" customHeight="true" outlineLevel="0" collapsed="false">
      <c r="A92" s="1116" t="s">
        <v>845</v>
      </c>
      <c r="B92" s="1117" t="s">
        <v>846</v>
      </c>
      <c r="C92" s="1162" t="n">
        <f aca="false">ROUND((C87+C90+C91)*D92,0)</f>
        <v>0</v>
      </c>
      <c r="D92" s="1187"/>
      <c r="E92" s="1164" t="s">
        <v>847</v>
      </c>
      <c r="F92" s="1164"/>
      <c r="G92" s="1164"/>
      <c r="H92" s="1164"/>
      <c r="I92" s="522"/>
      <c r="J92" s="1183" t="s">
        <v>848</v>
      </c>
      <c r="K92" s="525"/>
      <c r="L92" s="525"/>
      <c r="M92" s="525"/>
      <c r="N92" s="525"/>
      <c r="O92" s="525"/>
      <c r="P92" s="525"/>
      <c r="Q92" s="525"/>
      <c r="R92" s="525"/>
      <c r="S92" s="525"/>
      <c r="T92" s="525"/>
      <c r="U92" s="525"/>
      <c r="V92" s="525"/>
      <c r="W92" s="525"/>
      <c r="X92" s="525"/>
      <c r="Y92" s="525"/>
      <c r="Z92" s="525"/>
      <c r="AA92" s="1142"/>
      <c r="AB92" s="1142"/>
      <c r="AC92" s="1142"/>
      <c r="AD92" s="1142"/>
      <c r="AE92" s="1142"/>
      <c r="AF92" s="1142"/>
      <c r="AG92" s="1142"/>
      <c r="AH92" s="1142"/>
      <c r="AI92" s="1142"/>
    </row>
    <row r="93" s="1143" customFormat="true" ht="25.5" hidden="false" customHeight="true" outlineLevel="0" collapsed="false">
      <c r="A93" s="1116" t="s">
        <v>849</v>
      </c>
      <c r="B93" s="1117" t="s">
        <v>826</v>
      </c>
      <c r="C93" s="1162" t="e">
        <f aca="false">ROUND(D45*D93/(1+'数据-取费表'!C42),0)</f>
        <v>#VALUE!</v>
      </c>
      <c r="D93" s="1163" t="n">
        <f aca="false">'数据-取费表'!B43</f>
        <v>0.005</v>
      </c>
      <c r="E93" s="1164" t="s">
        <v>827</v>
      </c>
      <c r="F93" s="1164"/>
      <c r="G93" s="1164"/>
      <c r="H93" s="1164"/>
      <c r="I93" s="522"/>
      <c r="J93" s="525"/>
      <c r="K93" s="525"/>
      <c r="L93" s="525"/>
      <c r="M93" s="525"/>
      <c r="N93" s="525"/>
      <c r="O93" s="525"/>
      <c r="P93" s="525"/>
      <c r="Q93" s="525"/>
      <c r="R93" s="525"/>
      <c r="S93" s="525"/>
      <c r="T93" s="525"/>
      <c r="U93" s="525"/>
      <c r="V93" s="525"/>
      <c r="W93" s="525"/>
      <c r="X93" s="525"/>
      <c r="Y93" s="525"/>
      <c r="Z93" s="525"/>
      <c r="AA93" s="1142"/>
      <c r="AB93" s="1142"/>
      <c r="AC93" s="1142"/>
      <c r="AD93" s="1142"/>
      <c r="AE93" s="1142"/>
      <c r="AF93" s="1142"/>
      <c r="AG93" s="1142"/>
      <c r="AH93" s="1142"/>
      <c r="AI93" s="1142"/>
    </row>
    <row r="94" s="1143" customFormat="true" ht="36.75" hidden="false" customHeight="true" outlineLevel="0" collapsed="false">
      <c r="A94" s="1116" t="s">
        <v>850</v>
      </c>
      <c r="B94" s="1117" t="s">
        <v>851</v>
      </c>
      <c r="C94" s="1180" t="n">
        <f aca="false">ROUND((C87+C90+C91)*D94,0)</f>
        <v>0</v>
      </c>
      <c r="D94" s="1163" t="n">
        <v>0.2</v>
      </c>
      <c r="E94" s="1188" t="s">
        <v>852</v>
      </c>
      <c r="F94" s="1188"/>
      <c r="G94" s="1188"/>
      <c r="H94" s="1188"/>
      <c r="I94" s="522"/>
      <c r="J94" s="525"/>
      <c r="K94" s="525"/>
      <c r="L94" s="525"/>
      <c r="M94" s="525"/>
      <c r="N94" s="525"/>
      <c r="O94" s="525"/>
      <c r="P94" s="525"/>
      <c r="Q94" s="525"/>
      <c r="R94" s="525"/>
      <c r="S94" s="525"/>
      <c r="T94" s="525"/>
      <c r="U94" s="525"/>
      <c r="V94" s="525"/>
      <c r="W94" s="525"/>
      <c r="X94" s="525"/>
      <c r="Y94" s="525"/>
      <c r="Z94" s="525"/>
      <c r="AA94" s="1142"/>
      <c r="AB94" s="1142"/>
      <c r="AC94" s="1142"/>
      <c r="AD94" s="1142"/>
      <c r="AE94" s="1142"/>
      <c r="AF94" s="1142"/>
      <c r="AG94" s="1142"/>
      <c r="AH94" s="1142"/>
      <c r="AI94" s="1142"/>
    </row>
    <row r="95" s="1143" customFormat="true" ht="14.25" hidden="false" customHeight="false" outlineLevel="0" collapsed="false">
      <c r="A95" s="1110" t="s">
        <v>806</v>
      </c>
      <c r="B95" s="1123" t="s">
        <v>828</v>
      </c>
      <c r="C95" s="1127" t="e">
        <f aca="false">ROUND(C85-C86,0)</f>
        <v>#VALUE!</v>
      </c>
      <c r="D95" s="1119" t="s">
        <v>122</v>
      </c>
      <c r="E95" s="1081"/>
      <c r="F95" s="1148"/>
      <c r="G95" s="1148"/>
      <c r="H95" s="1175"/>
      <c r="I95" s="522"/>
      <c r="J95" s="525"/>
      <c r="K95" s="525"/>
      <c r="L95" s="525"/>
      <c r="M95" s="525"/>
      <c r="N95" s="525"/>
      <c r="O95" s="525"/>
      <c r="P95" s="525"/>
      <c r="Q95" s="525"/>
      <c r="R95" s="525"/>
      <c r="S95" s="525"/>
      <c r="T95" s="525"/>
      <c r="U95" s="525"/>
      <c r="V95" s="525"/>
      <c r="W95" s="525"/>
      <c r="X95" s="525"/>
      <c r="Y95" s="525"/>
      <c r="Z95" s="525"/>
      <c r="AA95" s="1142"/>
      <c r="AB95" s="1142"/>
      <c r="AC95" s="1142"/>
      <c r="AD95" s="1142"/>
      <c r="AE95" s="1142"/>
      <c r="AF95" s="1142"/>
      <c r="AG95" s="1142"/>
      <c r="AH95" s="1142"/>
      <c r="AI95" s="1142"/>
    </row>
    <row r="96" s="1143" customFormat="true" ht="24" hidden="false" customHeight="false" outlineLevel="0" collapsed="false">
      <c r="A96" s="1110" t="s">
        <v>809</v>
      </c>
      <c r="B96" s="1123" t="s">
        <v>829</v>
      </c>
      <c r="C96" s="1166" t="e">
        <f aca="false">IF(C95&lt;=0,0,C95/C86)</f>
        <v>#VALUE!</v>
      </c>
      <c r="D96" s="1119" t="s">
        <v>122</v>
      </c>
      <c r="E96" s="418" t="e">
        <f aca="false">IF(C96&gt;=200%,"增值额超过扣除项目金额200%",IF(C96&gt;=100%,"增值额超过扣除项目金额100%，未超过200%",IF(C96&gt;=50%,"增值额超过扣除项目金额50%，未超过100%",IF(C96&lt;50%,"增值额未超过扣除项目金额50%"))))</f>
        <v>#VALUE!</v>
      </c>
      <c r="F96" s="1148"/>
      <c r="G96" s="1148"/>
      <c r="H96" s="1175"/>
      <c r="I96" s="522"/>
      <c r="J96" s="525"/>
      <c r="K96" s="525"/>
      <c r="L96" s="525"/>
      <c r="M96" s="525"/>
      <c r="N96" s="525"/>
      <c r="O96" s="525"/>
      <c r="P96" s="525"/>
      <c r="Q96" s="525"/>
      <c r="R96" s="525"/>
      <c r="S96" s="525"/>
      <c r="T96" s="525"/>
      <c r="U96" s="525"/>
      <c r="V96" s="525"/>
      <c r="W96" s="525"/>
      <c r="X96" s="525"/>
      <c r="Y96" s="525"/>
      <c r="Z96" s="525"/>
      <c r="AA96" s="1142"/>
      <c r="AB96" s="1142"/>
      <c r="AC96" s="1142"/>
      <c r="AD96" s="1142"/>
      <c r="AE96" s="1142"/>
      <c r="AF96" s="1142"/>
      <c r="AG96" s="1142"/>
      <c r="AH96" s="1142"/>
      <c r="AI96" s="1142"/>
    </row>
    <row r="97" s="1143" customFormat="true" ht="24" hidden="false" customHeight="false" outlineLevel="0" collapsed="false">
      <c r="A97" s="1128" t="s">
        <v>830</v>
      </c>
      <c r="B97" s="1129" t="s">
        <v>831</v>
      </c>
      <c r="C97" s="1167" t="e">
        <f aca="false">ROUND(IF(C95&lt;=0,0,IF(C96&gt;=200%,C95*60%-C86*35%,IF(C96&gt;=100%,C95*50%-C86*15%,IF(C96&gt;=50%,C95*40%-C86*5%,IF(C96&lt;50%,C95*30%,0))))),0)</f>
        <v>#VALUE!</v>
      </c>
      <c r="D97" s="1168" t="s">
        <v>122</v>
      </c>
      <c r="E97" s="1169" t="e">
        <f aca="false">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#VALUE!</v>
      </c>
      <c r="F97" s="1170"/>
      <c r="G97" s="1170"/>
      <c r="H97" s="1189"/>
      <c r="I97" s="522"/>
      <c r="J97" s="525"/>
      <c r="K97" s="525"/>
      <c r="L97" s="525"/>
      <c r="M97" s="525"/>
      <c r="N97" s="525"/>
      <c r="O97" s="525"/>
      <c r="P97" s="525"/>
      <c r="Q97" s="525"/>
      <c r="R97" s="525"/>
      <c r="S97" s="525"/>
      <c r="T97" s="525"/>
      <c r="U97" s="525"/>
      <c r="V97" s="525"/>
      <c r="W97" s="525"/>
      <c r="X97" s="525"/>
      <c r="Y97" s="525"/>
      <c r="Z97" s="525"/>
      <c r="AA97" s="1142"/>
      <c r="AB97" s="1142"/>
      <c r="AC97" s="1142"/>
      <c r="AD97" s="1142"/>
      <c r="AE97" s="1142"/>
      <c r="AF97" s="1142"/>
      <c r="AG97" s="1142"/>
      <c r="AH97" s="1142"/>
      <c r="AI97" s="1142"/>
    </row>
    <row r="98" customFormat="false" ht="21.75" hidden="false" customHeight="true" outlineLevel="0" collapsed="false">
      <c r="A98" s="1100"/>
      <c r="B98" s="922"/>
      <c r="C98" s="922"/>
      <c r="D98" s="922"/>
      <c r="E98" s="392"/>
      <c r="F98" s="392"/>
      <c r="G98" s="392"/>
      <c r="H98" s="406"/>
      <c r="I98" s="941"/>
    </row>
    <row r="99" customFormat="false" ht="21.75" hidden="false" customHeight="true" outlineLevel="0" collapsed="false">
      <c r="A99" s="1024" t="s">
        <v>853</v>
      </c>
      <c r="B99" s="922"/>
      <c r="C99" s="922"/>
      <c r="D99" s="922"/>
      <c r="E99" s="392"/>
      <c r="F99" s="392"/>
      <c r="G99" s="392"/>
      <c r="H99" s="406"/>
      <c r="I99" s="941"/>
    </row>
    <row r="100" customFormat="false" ht="18.75" hidden="false" customHeight="true" outlineLevel="0" collapsed="false">
      <c r="A100" s="1190" t="s">
        <v>854</v>
      </c>
      <c r="B100" s="1190"/>
      <c r="C100" s="1190"/>
      <c r="D100" s="1190"/>
      <c r="E100" s="528" t="s">
        <v>855</v>
      </c>
      <c r="F100" s="528"/>
      <c r="G100" s="528"/>
      <c r="H100" s="528"/>
      <c r="I100" s="941"/>
    </row>
    <row r="101" customFormat="false" ht="18.75" hidden="false" customHeight="true" outlineLevel="0" collapsed="false">
      <c r="A101" s="1191" t="s">
        <v>856</v>
      </c>
      <c r="B101" s="1191"/>
      <c r="C101" s="1192" t="str">
        <f aca="false">C4</f>
        <v>比较法-住宅</v>
      </c>
      <c r="D101" s="1193" t="str">
        <f aca="false">D4</f>
        <v>成本法 (元)</v>
      </c>
      <c r="E101" s="1194" t="s">
        <v>857</v>
      </c>
      <c r="F101" s="1194"/>
      <c r="G101" s="1195" t="s">
        <v>97</v>
      </c>
      <c r="H101" s="1196" t="e">
        <f aca="false">H118</f>
        <v>#VALUE!</v>
      </c>
      <c r="I101" s="941"/>
    </row>
    <row r="102" customFormat="false" ht="18.75" hidden="false" customHeight="true" outlineLevel="0" collapsed="false">
      <c r="A102" s="1197" t="s">
        <v>858</v>
      </c>
      <c r="B102" s="1198" t="s">
        <v>97</v>
      </c>
      <c r="C102" s="1198" t="n">
        <f aca="false">IF(D32="楼面单价",ROUND(C19,0),C19)</f>
        <v>56.038</v>
      </c>
      <c r="D102" s="1193" t="n">
        <f aca="false">IF(D32="楼面单价",ROUND(D19,0),D19)</f>
        <v>68.8067</v>
      </c>
      <c r="E102" s="1194"/>
      <c r="F102" s="1194"/>
      <c r="G102" s="1195" t="s">
        <v>99</v>
      </c>
      <c r="H102" s="1056" t="e">
        <f aca="false">I118</f>
        <v>#VALUE!</v>
      </c>
      <c r="I102" s="941"/>
    </row>
    <row r="103" customFormat="false" ht="42.75" hidden="false" customHeight="true" outlineLevel="0" collapsed="false">
      <c r="A103" s="1197"/>
      <c r="B103" s="1198" t="s">
        <v>99</v>
      </c>
      <c r="C103" s="1199" t="n">
        <f aca="false">C20</f>
        <v>9612</v>
      </c>
      <c r="D103" s="1200" t="n">
        <f aca="false">D20</f>
        <v>11802</v>
      </c>
      <c r="E103" s="1201" t="s">
        <v>859</v>
      </c>
      <c r="F103" s="1201"/>
      <c r="G103" s="1195" t="s">
        <v>100</v>
      </c>
      <c r="H103" s="1196" t="n">
        <f aca="false">IF(D36="正常操作",H104+H105+H106,H105+H106)</f>
        <v>0</v>
      </c>
      <c r="I103" s="941"/>
    </row>
    <row r="104" customFormat="false" ht="18.75" hidden="false" customHeight="true" outlineLevel="0" collapsed="false">
      <c r="A104" s="1202" t="s">
        <v>860</v>
      </c>
      <c r="B104" s="1203" t="s">
        <v>97</v>
      </c>
      <c r="C104" s="1203" t="e">
        <f aca="false">H118</f>
        <v>#VALUE!</v>
      </c>
      <c r="D104" s="1204"/>
      <c r="E104" s="617" t="s">
        <v>861</v>
      </c>
      <c r="F104" s="583"/>
      <c r="G104" s="1195" t="s">
        <v>100</v>
      </c>
      <c r="H104" s="1205" t="n">
        <f aca="false">IF(D36="同一抵押权人同一抵押物续贷",C36&amp;"（续贷，未扣减，详见特别提示）",C36)</f>
        <v>0</v>
      </c>
      <c r="I104" s="941"/>
    </row>
    <row r="105" customFormat="false" ht="18.75" hidden="false" customHeight="true" outlineLevel="0" collapsed="false">
      <c r="A105" s="1202"/>
      <c r="B105" s="1206" t="s">
        <v>99</v>
      </c>
      <c r="C105" s="1206" t="e">
        <f aca="false">I118</f>
        <v>#VALUE!</v>
      </c>
      <c r="D105" s="1207"/>
      <c r="E105" s="617" t="s">
        <v>862</v>
      </c>
      <c r="F105" s="583"/>
      <c r="G105" s="1195" t="s">
        <v>100</v>
      </c>
      <c r="H105" s="1208" t="n">
        <f aca="false">C37</f>
        <v>0</v>
      </c>
      <c r="I105" s="941"/>
    </row>
    <row r="106" customFormat="false" ht="18.75" hidden="false" customHeight="true" outlineLevel="0" collapsed="false">
      <c r="A106" s="1209" t="s">
        <v>104</v>
      </c>
      <c r="B106" s="922"/>
      <c r="C106" s="922"/>
      <c r="D106" s="922"/>
      <c r="E106" s="1210" t="s">
        <v>863</v>
      </c>
      <c r="F106" s="583"/>
      <c r="G106" s="1195" t="s">
        <v>100</v>
      </c>
      <c r="H106" s="1208" t="n">
        <f aca="false">C38</f>
        <v>0</v>
      </c>
      <c r="I106" s="941"/>
    </row>
    <row r="107" customFormat="false" ht="18.75" hidden="false" customHeight="true" outlineLevel="0" collapsed="false">
      <c r="A107" s="941"/>
      <c r="B107" s="941"/>
      <c r="C107" s="941"/>
      <c r="D107" s="941"/>
      <c r="E107" s="1211" t="str">
        <f aca="false">IF(项目基本情况!E8="已注销","——","3.房地产抵押价值")</f>
        <v>——</v>
      </c>
      <c r="F107" s="1211"/>
      <c r="G107" s="1195" t="s">
        <v>97</v>
      </c>
      <c r="H107" s="1196" t="str">
        <f aca="false">IF(E107="——","——",H101-H103)</f>
        <v>——</v>
      </c>
      <c r="I107" s="941"/>
    </row>
    <row r="108" customFormat="false" ht="18.75" hidden="false" customHeight="true" outlineLevel="0" collapsed="false">
      <c r="A108" s="941"/>
      <c r="B108" s="941"/>
      <c r="C108" s="941"/>
      <c r="D108" s="941"/>
      <c r="E108" s="1211"/>
      <c r="F108" s="1211"/>
      <c r="G108" s="1195" t="s">
        <v>99</v>
      </c>
      <c r="H108" s="1056" t="e">
        <f aca="false">IF(H107=H101,H102,ROUND(H107*10000/'数据-汇总表'!E3,0))</f>
        <v>#VALUE!</v>
      </c>
      <c r="I108" s="941"/>
    </row>
    <row r="109" customFormat="false" ht="18.75" hidden="false" customHeight="true" outlineLevel="0" collapsed="false">
      <c r="A109" s="941"/>
      <c r="B109" s="941"/>
      <c r="C109" s="941"/>
      <c r="D109" s="941"/>
      <c r="E109" s="1211" t="str">
        <f aca="false">IF(项目基本情况!E8="已注销及未注销","4.抵押担保权已注销时的房地产抵押价值",IF(项目基本情况!E8="已注销","3.抵押担保权已注销时的房地产抵押价值","——"))</f>
        <v>3.抵押担保权已注销时的房地产抵押价值</v>
      </c>
      <c r="F109" s="1211"/>
      <c r="G109" s="1195" t="s">
        <v>97</v>
      </c>
      <c r="H109" s="1212" t="e">
        <f aca="false">IF(E109="——","——",H101-H105-H106)</f>
        <v>#VALUE!</v>
      </c>
      <c r="I109" s="941"/>
    </row>
    <row r="110" customFormat="false" ht="18.75" hidden="false" customHeight="true" outlineLevel="0" collapsed="false">
      <c r="A110" s="941"/>
      <c r="B110" s="941"/>
      <c r="C110" s="941"/>
      <c r="D110" s="941"/>
      <c r="E110" s="1211"/>
      <c r="F110" s="1211"/>
      <c r="G110" s="1195" t="s">
        <v>99</v>
      </c>
      <c r="H110" s="1056" t="e">
        <f aca="false">IF(H109="——","——",ROUND(H109*10000/'数据-汇总表'!E3,0))</f>
        <v>#VALUE!</v>
      </c>
      <c r="I110" s="941"/>
    </row>
    <row r="111" customFormat="false" ht="18.75" hidden="false" customHeight="true" outlineLevel="0" collapsed="false">
      <c r="A111" s="941"/>
      <c r="B111" s="941"/>
      <c r="C111" s="941"/>
      <c r="D111" s="941"/>
      <c r="E111" s="1213" t="str">
        <f aca="false">IF(项目基本情况!E9="抵押净值",IF(OR(项目基本情况!E8="已注销",项目基本情况!E8="房地产抵押价值"),"4.抵押净值","5.抵押净值"),"——")</f>
        <v>——</v>
      </c>
      <c r="F111" s="1213"/>
      <c r="G111" s="1195" t="s">
        <v>97</v>
      </c>
      <c r="H111" s="1196" t="str">
        <f aca="false">IF(E111="——","——",N59)</f>
        <v>——</v>
      </c>
      <c r="I111" s="941"/>
    </row>
    <row r="112" customFormat="false" ht="18.75" hidden="false" customHeight="true" outlineLevel="0" collapsed="false">
      <c r="A112" s="941"/>
      <c r="B112" s="941"/>
      <c r="C112" s="941"/>
      <c r="D112" s="941"/>
      <c r="E112" s="1213"/>
      <c r="F112" s="1213"/>
      <c r="G112" s="1214" t="s">
        <v>99</v>
      </c>
      <c r="H112" s="1215" t="str">
        <f aca="false">IF(E111="——","——",N61)</f>
        <v>——</v>
      </c>
      <c r="I112" s="941"/>
    </row>
    <row r="113" customFormat="false" ht="18.75" hidden="false" customHeight="true" outlineLevel="0" collapsed="false">
      <c r="A113" s="941"/>
      <c r="B113" s="941"/>
      <c r="C113" s="941"/>
      <c r="D113" s="941"/>
      <c r="E113" s="1216" t="s">
        <v>104</v>
      </c>
      <c r="F113" s="1216"/>
      <c r="G113" s="1216"/>
      <c r="H113" s="1216"/>
      <c r="I113" s="941"/>
    </row>
    <row r="114" customFormat="false" ht="3.75" hidden="false" customHeight="true" outlineLevel="0" collapsed="false">
      <c r="A114" s="922"/>
      <c r="B114" s="922"/>
      <c r="C114" s="922"/>
      <c r="D114" s="922"/>
      <c r="E114" s="1100"/>
      <c r="F114" s="1100"/>
      <c r="G114" s="1100"/>
      <c r="H114" s="1100"/>
      <c r="I114" s="922"/>
    </row>
    <row r="115" customFormat="false" ht="18.75" hidden="false" customHeight="true" outlineLevel="0" collapsed="false">
      <c r="A115" s="523" t="s">
        <v>864</v>
      </c>
      <c r="B115" s="523"/>
      <c r="C115" s="523"/>
      <c r="D115" s="523"/>
      <c r="E115" s="523"/>
      <c r="F115" s="523"/>
      <c r="G115" s="523"/>
      <c r="H115" s="523"/>
      <c r="I115" s="523"/>
    </row>
    <row r="116" customFormat="false" ht="27" hidden="false" customHeight="true" outlineLevel="0" collapsed="false">
      <c r="A116" s="934" t="s">
        <v>865</v>
      </c>
      <c r="B116" s="1217" t="s">
        <v>866</v>
      </c>
      <c r="C116" s="1217" t="s">
        <v>867</v>
      </c>
      <c r="D116" s="1218" t="s">
        <v>868</v>
      </c>
      <c r="E116" s="1218"/>
      <c r="F116" s="1218" t="s">
        <v>869</v>
      </c>
      <c r="G116" s="1218"/>
      <c r="H116" s="934" t="s">
        <v>324</v>
      </c>
      <c r="I116" s="934"/>
    </row>
    <row r="117" customFormat="false" ht="18.75" hidden="false" customHeight="true" outlineLevel="0" collapsed="false">
      <c r="A117" s="934"/>
      <c r="B117" s="1217"/>
      <c r="C117" s="1217"/>
      <c r="D117" s="934" t="s">
        <v>870</v>
      </c>
      <c r="E117" s="934" t="s">
        <v>110</v>
      </c>
      <c r="F117" s="934" t="s">
        <v>870</v>
      </c>
      <c r="G117" s="934" t="s">
        <v>110</v>
      </c>
      <c r="H117" s="934" t="s">
        <v>870</v>
      </c>
      <c r="I117" s="934" t="s">
        <v>110</v>
      </c>
    </row>
    <row r="118" customFormat="false" ht="24.75" hidden="false" customHeight="true" outlineLevel="0" collapsed="false">
      <c r="A118" s="1219" t="str">
        <f aca="false">项目基本情况!S2</f>
        <v>北京市房地产</v>
      </c>
      <c r="B118" s="934" t="n">
        <f aca="false">M18</f>
        <v>58.3</v>
      </c>
      <c r="C118" s="934" t="n">
        <f aca="false">M19</f>
        <v>0</v>
      </c>
      <c r="D118" s="934" t="e">
        <f aca="false">ROUND(IF(D32="总价",C34,E118*B118/10000),0)</f>
        <v>#VALUE!</v>
      </c>
      <c r="E118" s="934" t="e">
        <f aca="false">ROUND(IF(C33="自定义",IF(D32="楼面单价",C34,D118*10000/B118),I118-G118),0)</f>
        <v>#VALUE!</v>
      </c>
      <c r="F118" s="934" t="e">
        <f aca="false">ROUND(IF(D32="总价",C35,G118*B118/10000),0)</f>
        <v>#VALUE!</v>
      </c>
      <c r="G118" s="934" t="e">
        <f aca="false">ROUND(IF(D32="楼面单价",C35,F118*10000/B118),0)</f>
        <v>#VALUE!</v>
      </c>
      <c r="H118" s="934" t="e">
        <f aca="false">ROUND(IF(D32="总价",C32,I118*B118/10000),0)</f>
        <v>#VALUE!</v>
      </c>
      <c r="I118" s="934" t="e">
        <f aca="false">ROUND(IF(D32="楼面单价",C32,H118*10000/B118),0)</f>
        <v>#VALUE!</v>
      </c>
    </row>
    <row r="119" customFormat="false" ht="18.75" hidden="false" customHeight="true" outlineLevel="0" collapsed="false">
      <c r="A119" s="934" t="s">
        <v>98</v>
      </c>
      <c r="B119" s="934"/>
      <c r="C119" s="934"/>
      <c r="D119" s="934" t="e">
        <f aca="false">numberstring(INT(D118*10000),2)&amp;"元整"</f>
        <v>#VALUE!</v>
      </c>
      <c r="E119" s="934"/>
      <c r="F119" s="934" t="e">
        <f aca="false">numberstring(INT(F118*10000),2)&amp;"元整"</f>
        <v>#VALUE!</v>
      </c>
      <c r="G119" s="934"/>
      <c r="H119" s="934" t="e">
        <f aca="false">numberstring(INT(H118*10000),2)&amp;"元整"</f>
        <v>#VALUE!</v>
      </c>
      <c r="I119" s="934"/>
    </row>
    <row r="120" customFormat="false" ht="18.75" hidden="false" customHeight="true" outlineLevel="0" collapsed="false">
      <c r="A120" s="1220" t="str">
        <f aca="false">IF(项目基本情况!B9="房地产市场价值","",MID(E103,3,LEN(E103)-2))</f>
        <v/>
      </c>
      <c r="B120" s="1220"/>
      <c r="C120" s="1220"/>
      <c r="D120" s="1220" t="n">
        <f aca="false">H103</f>
        <v>0</v>
      </c>
      <c r="E120" s="1220"/>
      <c r="F120" s="1220"/>
      <c r="G120" s="1220"/>
      <c r="H120" s="1220"/>
      <c r="I120" s="1220"/>
      <c r="J120" s="921"/>
      <c r="K120" s="921" t="str">
        <f aca="false">IF(D120=0,"故，本次评估不存在"&amp;A120,"故，本次评估"&amp;A120&amp;"为人民币"&amp;D120&amp;"万元整。")</f>
        <v>故，本次评估不存在</v>
      </c>
      <c r="L120" s="921"/>
      <c r="M120" s="921"/>
      <c r="N120" s="921"/>
      <c r="O120" s="921"/>
      <c r="P120" s="921"/>
      <c r="Q120" s="921"/>
      <c r="R120" s="921"/>
      <c r="S120" s="921"/>
    </row>
    <row r="121" customFormat="false" ht="18.75" hidden="false" customHeight="true" outlineLevel="0" collapsed="false">
      <c r="A121" s="934" t="s">
        <v>98</v>
      </c>
      <c r="B121" s="934"/>
      <c r="C121" s="934"/>
      <c r="D121" s="1221" t="str">
        <f aca="false">IF(D120=0,"零元整",numberstring(INT(D120*10000),2)&amp;"元整")</f>
        <v>零元整</v>
      </c>
      <c r="E121" s="1221"/>
      <c r="F121" s="1221"/>
      <c r="G121" s="1221"/>
      <c r="H121" s="1221"/>
      <c r="I121" s="1221"/>
      <c r="AA121" s="920"/>
    </row>
    <row r="122" customFormat="false" ht="18.75" hidden="false" customHeight="true" outlineLevel="0" collapsed="false">
      <c r="A122" s="1220" t="str">
        <f aca="false">IF(项目基本情况!B9="房地产市场价值","",MID(E107,3,LEN(E107)-2))</f>
        <v/>
      </c>
      <c r="B122" s="1220"/>
      <c r="C122" s="1220"/>
      <c r="D122" s="1220" t="str">
        <f aca="false">H107</f>
        <v>——</v>
      </c>
      <c r="E122" s="1220"/>
      <c r="F122" s="1220"/>
      <c r="G122" s="1220"/>
      <c r="H122" s="1220"/>
      <c r="I122" s="1220"/>
      <c r="AA122" s="920"/>
    </row>
    <row r="123" customFormat="false" ht="18.75" hidden="false" customHeight="true" outlineLevel="0" collapsed="false">
      <c r="A123" s="934" t="s">
        <v>98</v>
      </c>
      <c r="B123" s="934"/>
      <c r="C123" s="934"/>
      <c r="D123" s="1221" t="e">
        <f aca="false">numberstring(INT(D122*10000),2)&amp;"元整"</f>
        <v>#VALUE!</v>
      </c>
      <c r="E123" s="1221"/>
      <c r="F123" s="1221"/>
      <c r="G123" s="1221"/>
      <c r="H123" s="1221"/>
      <c r="I123" s="1221"/>
      <c r="AA123" s="920"/>
    </row>
    <row r="124" customFormat="false" ht="18.75" hidden="false" customHeight="true" outlineLevel="0" collapsed="false">
      <c r="A124" s="1220" t="str">
        <f aca="false">IF(项目基本情况!B9="房地产市场价值","",MID(E109,3,LEN(E109)-2))</f>
        <v/>
      </c>
      <c r="B124" s="1220"/>
      <c r="C124" s="1220"/>
      <c r="D124" s="1220" t="e">
        <f aca="false">H109</f>
        <v>#VALUE!</v>
      </c>
      <c r="E124" s="1220"/>
      <c r="F124" s="1220"/>
      <c r="G124" s="1220"/>
      <c r="H124" s="1220"/>
      <c r="I124" s="1220"/>
      <c r="AA124" s="920"/>
    </row>
    <row r="125" customFormat="false" ht="18.75" hidden="false" customHeight="true" outlineLevel="0" collapsed="false">
      <c r="A125" s="934" t="s">
        <v>98</v>
      </c>
      <c r="B125" s="934"/>
      <c r="C125" s="934"/>
      <c r="D125" s="1221" t="e">
        <f aca="false">numberstring(INT(D124*10000),2)&amp;"元整"</f>
        <v>#VALUE!</v>
      </c>
      <c r="E125" s="1221"/>
      <c r="F125" s="1221"/>
      <c r="G125" s="1221"/>
      <c r="H125" s="1221"/>
      <c r="I125" s="1221"/>
      <c r="AA125" s="920"/>
    </row>
    <row r="126" customFormat="false" ht="18.75" hidden="false" customHeight="true" outlineLevel="0" collapsed="false">
      <c r="A126" s="1220" t="str">
        <f aca="false">IF(项目基本情况!B9="房地产市场价值","",MID(E111,3,LEN(E111)-2))</f>
        <v/>
      </c>
      <c r="B126" s="1220"/>
      <c r="C126" s="1220"/>
      <c r="D126" s="1220" t="str">
        <f aca="false">H111</f>
        <v>——</v>
      </c>
      <c r="E126" s="1220"/>
      <c r="F126" s="1220"/>
      <c r="G126" s="1220"/>
      <c r="H126" s="1220"/>
      <c r="I126" s="1220"/>
      <c r="AA126" s="920"/>
    </row>
    <row r="127" customFormat="false" ht="18.75" hidden="false" customHeight="true" outlineLevel="0" collapsed="false">
      <c r="A127" s="934" t="s">
        <v>98</v>
      </c>
      <c r="B127" s="934"/>
      <c r="C127" s="934"/>
      <c r="D127" s="1221" t="e">
        <f aca="false">numberstring(INT(D126*10000),2)&amp;"元整"</f>
        <v>#VALUE!</v>
      </c>
      <c r="E127" s="1221"/>
      <c r="F127" s="1221"/>
      <c r="G127" s="1221"/>
      <c r="H127" s="1221"/>
      <c r="I127" s="1221"/>
      <c r="AA127" s="920"/>
    </row>
    <row r="128" customFormat="false" ht="21.75" hidden="false" customHeight="true" outlineLevel="0" collapsed="false">
      <c r="A128" s="1222" t="s">
        <v>111</v>
      </c>
      <c r="B128" s="1222"/>
      <c r="C128" s="1222"/>
      <c r="D128" s="1222"/>
      <c r="E128" s="1222"/>
      <c r="F128" s="1222"/>
      <c r="G128" s="1222"/>
      <c r="H128" s="1222"/>
      <c r="I128" s="1222"/>
      <c r="AA128" s="920"/>
    </row>
    <row r="129" customFormat="false" ht="21.75" hidden="false" customHeight="true" outlineLevel="0" collapsed="false">
      <c r="A129" s="1223" t="s">
        <v>871</v>
      </c>
      <c r="B129" s="1224"/>
      <c r="C129" s="1225" t="s">
        <v>872</v>
      </c>
      <c r="D129" s="1226"/>
      <c r="E129" s="1226"/>
      <c r="F129" s="1226"/>
      <c r="G129" s="1226"/>
      <c r="H129" s="1227"/>
      <c r="I129" s="1228"/>
      <c r="AA129" s="920"/>
    </row>
    <row r="130" customFormat="false" ht="21.75" hidden="false" customHeight="true" outlineLevel="0" collapsed="false">
      <c r="A130" s="1229" t="n">
        <v>1</v>
      </c>
      <c r="B130" s="1230"/>
      <c r="C130" s="1230"/>
      <c r="D130" s="242"/>
      <c r="E130" s="242"/>
      <c r="F130" s="242"/>
      <c r="G130" s="242"/>
      <c r="H130" s="1231"/>
      <c r="I130" s="1232"/>
      <c r="AA130" s="920"/>
    </row>
    <row r="131" customFormat="false" ht="21.75" hidden="false" customHeight="true" outlineLevel="0" collapsed="false">
      <c r="A131" s="1229" t="n">
        <v>2</v>
      </c>
      <c r="B131" s="1230"/>
      <c r="C131" s="1230"/>
      <c r="D131" s="242"/>
      <c r="E131" s="242"/>
      <c r="F131" s="242"/>
      <c r="G131" s="242"/>
      <c r="H131" s="1231"/>
      <c r="I131" s="1232"/>
      <c r="AA131" s="920"/>
    </row>
    <row r="132" customFormat="false" ht="21.75" hidden="false" customHeight="true" outlineLevel="0" collapsed="false">
      <c r="A132" s="1229" t="n">
        <v>3</v>
      </c>
      <c r="B132" s="1230"/>
      <c r="C132" s="1230"/>
      <c r="D132" s="242"/>
      <c r="E132" s="242"/>
      <c r="F132" s="242"/>
      <c r="G132" s="242"/>
      <c r="H132" s="1231"/>
      <c r="I132" s="1232"/>
      <c r="AA132" s="920"/>
    </row>
    <row r="133" customFormat="false" ht="21.75" hidden="false" customHeight="true" outlineLevel="0" collapsed="false">
      <c r="A133" s="1233"/>
      <c r="B133" s="1234"/>
      <c r="C133" s="1234"/>
      <c r="D133" s="1235"/>
      <c r="E133" s="1235"/>
      <c r="F133" s="1235"/>
      <c r="G133" s="1235"/>
      <c r="H133" s="1236"/>
      <c r="I133" s="1237"/>
    </row>
    <row r="134" customFormat="false" ht="21.75" hidden="false" customHeight="true" outlineLevel="0" collapsed="false">
      <c r="A134" s="1230"/>
      <c r="B134" s="1230"/>
      <c r="C134" s="1230"/>
      <c r="D134" s="242"/>
      <c r="E134" s="242"/>
      <c r="F134" s="242"/>
      <c r="G134" s="242"/>
      <c r="H134" s="1231"/>
      <c r="I134" s="920"/>
    </row>
    <row r="135" customFormat="false" ht="21.75" hidden="false" customHeight="true" outlineLevel="0" collapsed="false">
      <c r="A135" s="920"/>
      <c r="B135" s="920"/>
      <c r="C135" s="920"/>
      <c r="D135" s="920"/>
      <c r="E135" s="920"/>
      <c r="F135" s="1238" t="s">
        <v>873</v>
      </c>
      <c r="G135" s="1239"/>
      <c r="H135" s="1239"/>
      <c r="I135" s="1240" t="s">
        <v>874</v>
      </c>
    </row>
    <row r="136" customFormat="false" ht="21.75" hidden="false" customHeight="true" outlineLevel="0" collapsed="false">
      <c r="A136" s="920"/>
      <c r="B136" s="1241" t="s">
        <v>875</v>
      </c>
      <c r="C136" s="920"/>
      <c r="D136" s="920"/>
      <c r="E136" s="920"/>
      <c r="F136" s="920"/>
      <c r="G136" s="920"/>
      <c r="H136" s="920"/>
      <c r="I136" s="920"/>
    </row>
    <row r="137" customFormat="false" ht="21.75" hidden="false" customHeight="true" outlineLevel="0" collapsed="false">
      <c r="A137" s="920"/>
      <c r="B137" s="920"/>
      <c r="C137" s="920"/>
      <c r="D137" s="920"/>
      <c r="E137" s="920"/>
      <c r="F137" s="920"/>
      <c r="G137" s="920"/>
      <c r="H137" s="920"/>
      <c r="I137" s="920"/>
    </row>
    <row r="138" customFormat="false" ht="21.75" hidden="false" customHeight="true" outlineLevel="0" collapsed="false">
      <c r="A138" s="920"/>
      <c r="B138" s="1239"/>
      <c r="C138" s="1239"/>
      <c r="D138" s="1239"/>
      <c r="E138" s="1239"/>
      <c r="F138" s="1239"/>
      <c r="G138" s="1239"/>
      <c r="H138" s="1239"/>
      <c r="I138" s="1242" t="s">
        <v>876</v>
      </c>
    </row>
    <row r="139" customFormat="false" ht="21.75" hidden="false" customHeight="true" outlineLevel="0" collapsed="false">
      <c r="A139" s="920"/>
      <c r="B139" s="1241" t="s">
        <v>877</v>
      </c>
      <c r="C139" s="920"/>
      <c r="D139" s="920"/>
      <c r="E139" s="920"/>
      <c r="F139" s="920"/>
      <c r="G139" s="920"/>
      <c r="H139" s="920"/>
      <c r="I139" s="920"/>
    </row>
    <row r="140" customFormat="false" ht="21.75" hidden="false" customHeight="true" outlineLevel="0" collapsed="false">
      <c r="A140" s="920"/>
      <c r="B140" s="1241"/>
      <c r="C140" s="920"/>
      <c r="D140" s="920"/>
      <c r="E140" s="920"/>
      <c r="F140" s="920"/>
      <c r="G140" s="920"/>
      <c r="H140" s="920"/>
      <c r="I140" s="920"/>
    </row>
    <row r="141" customFormat="false" ht="21.75" hidden="false" customHeight="true" outlineLevel="0" collapsed="false">
      <c r="A141" s="920"/>
      <c r="B141" s="1239"/>
      <c r="C141" s="1239"/>
      <c r="D141" s="1239"/>
      <c r="E141" s="1239"/>
      <c r="F141" s="1239"/>
      <c r="G141" s="1239"/>
      <c r="H141" s="1239"/>
      <c r="I141" s="1242" t="s">
        <v>876</v>
      </c>
    </row>
    <row r="142" customFormat="false" ht="21.75" hidden="false" customHeight="true" outlineLevel="0" collapsed="false">
      <c r="A142" s="920"/>
      <c r="B142" s="1241"/>
      <c r="C142" s="1243"/>
      <c r="D142" s="1244"/>
      <c r="E142" s="1244"/>
      <c r="F142" s="257"/>
      <c r="G142" s="920"/>
      <c r="H142" s="920"/>
      <c r="I142" s="920"/>
    </row>
    <row r="143" s="1245" customFormat="true" ht="21.75" hidden="false" customHeight="true" outlineLevel="0" collapsed="false">
      <c r="A143" s="920"/>
      <c r="B143" s="1241"/>
      <c r="C143" s="1243"/>
      <c r="D143" s="1244"/>
      <c r="E143" s="1244"/>
      <c r="F143" s="257"/>
      <c r="G143" s="920"/>
      <c r="H143" s="920"/>
      <c r="I143" s="920"/>
      <c r="J143" s="920"/>
      <c r="K143" s="920"/>
      <c r="L143" s="920"/>
      <c r="M143" s="920"/>
      <c r="N143" s="920"/>
      <c r="O143" s="920"/>
      <c r="P143" s="920"/>
      <c r="Q143" s="920"/>
      <c r="R143" s="920"/>
      <c r="S143" s="920"/>
      <c r="T143" s="920"/>
      <c r="U143" s="920"/>
      <c r="V143" s="920"/>
      <c r="W143" s="920"/>
      <c r="X143" s="920"/>
      <c r="Y143" s="920"/>
      <c r="Z143" s="920"/>
      <c r="AA143" s="920"/>
      <c r="AB143" s="920"/>
      <c r="AC143" s="920"/>
      <c r="AD143" s="920"/>
      <c r="AE143" s="920"/>
      <c r="AF143" s="920"/>
      <c r="AG143" s="920"/>
      <c r="AH143" s="920"/>
      <c r="AI143" s="920"/>
    </row>
    <row r="144" s="1245" customFormat="true" ht="21.75" hidden="false" customHeight="true" outlineLevel="0" collapsed="false">
      <c r="A144" s="920"/>
      <c r="B144" s="920"/>
      <c r="C144" s="920"/>
      <c r="D144" s="920"/>
      <c r="E144" s="920"/>
      <c r="F144" s="920"/>
      <c r="G144" s="920"/>
      <c r="H144" s="920"/>
      <c r="I144" s="920"/>
      <c r="J144" s="920"/>
      <c r="K144" s="920"/>
      <c r="L144" s="920"/>
      <c r="M144" s="920"/>
      <c r="N144" s="920"/>
      <c r="O144" s="920"/>
      <c r="P144" s="920"/>
      <c r="Q144" s="920"/>
      <c r="R144" s="920"/>
      <c r="S144" s="920"/>
      <c r="T144" s="920"/>
      <c r="U144" s="920"/>
      <c r="V144" s="920"/>
      <c r="W144" s="920"/>
      <c r="X144" s="920"/>
      <c r="Y144" s="920"/>
      <c r="Z144" s="920"/>
      <c r="AA144" s="920"/>
      <c r="AB144" s="920"/>
      <c r="AC144" s="920"/>
      <c r="AD144" s="920"/>
      <c r="AE144" s="920"/>
      <c r="AF144" s="920"/>
      <c r="AG144" s="920"/>
      <c r="AH144" s="920"/>
      <c r="AI144" s="920"/>
    </row>
    <row r="145" s="1245" customFormat="true" ht="21.75" hidden="false" customHeight="true" outlineLevel="0" collapsed="false">
      <c r="A145" s="920"/>
      <c r="B145" s="920"/>
      <c r="C145" s="920"/>
      <c r="D145" s="920"/>
      <c r="E145" s="920"/>
      <c r="F145" s="920"/>
      <c r="G145" s="920"/>
      <c r="H145" s="920"/>
      <c r="I145" s="920"/>
      <c r="J145" s="920"/>
      <c r="K145" s="920"/>
      <c r="L145" s="920"/>
      <c r="M145" s="920"/>
      <c r="N145" s="920"/>
      <c r="O145" s="920"/>
      <c r="P145" s="920"/>
      <c r="Q145" s="920"/>
      <c r="R145" s="920"/>
      <c r="S145" s="920"/>
      <c r="T145" s="920"/>
      <c r="U145" s="920"/>
      <c r="V145" s="920"/>
      <c r="W145" s="920"/>
      <c r="X145" s="920"/>
      <c r="Y145" s="920"/>
      <c r="Z145" s="920"/>
      <c r="AA145" s="920"/>
      <c r="AB145" s="920"/>
      <c r="AC145" s="920"/>
      <c r="AD145" s="920"/>
      <c r="AE145" s="920"/>
      <c r="AF145" s="920"/>
      <c r="AG145" s="920"/>
      <c r="AH145" s="920"/>
      <c r="AI145" s="920"/>
    </row>
    <row r="146" s="920" customFormat="true" ht="21.75" hidden="false" customHeight="true" outlineLevel="0" collapsed="false"/>
    <row r="147" s="920" customFormat="true" ht="21.75" hidden="false" customHeight="true" outlineLevel="0" collapsed="false"/>
    <row r="148" s="920" customFormat="true" ht="21.75" hidden="false" customHeight="true" outlineLevel="0" collapsed="false"/>
    <row r="149" s="920" customFormat="true" ht="21.75" hidden="false" customHeight="true" outlineLevel="0" collapsed="false"/>
    <row r="150" s="920" customFormat="true" ht="21.75" hidden="false" customHeight="true" outlineLevel="0" collapsed="false"/>
    <row r="151" s="920" customFormat="true" ht="21.75" hidden="false" customHeight="true" outlineLevel="0" collapsed="false"/>
    <row r="152" s="920" customFormat="true" ht="21.75" hidden="false" customHeight="true" outlineLevel="0" collapsed="false"/>
    <row r="153" s="920" customFormat="true" ht="21.75" hidden="false" customHeight="true" outlineLevel="0" collapsed="false"/>
    <row r="154" s="920" customFormat="true" ht="21.75" hidden="false" customHeight="true" outlineLevel="0" collapsed="false"/>
    <row r="155" s="920" customFormat="true" ht="21.75" hidden="false" customHeight="true" outlineLevel="0" collapsed="false"/>
    <row r="156" s="920" customFormat="true" ht="21.75" hidden="false" customHeight="true" outlineLevel="0" collapsed="false"/>
    <row r="157" s="920" customFormat="true" ht="21.75" hidden="false" customHeight="true" outlineLevel="0" collapsed="false"/>
    <row r="158" s="920" customFormat="true" ht="21.75" hidden="false" customHeight="true" outlineLevel="0" collapsed="false"/>
    <row r="159" s="920" customFormat="true" ht="21.75" hidden="false" customHeight="true" outlineLevel="0" collapsed="false"/>
    <row r="160" s="920" customFormat="true" ht="21.75" hidden="false" customHeight="true" outlineLevel="0" collapsed="false"/>
    <row r="161" s="920" customFormat="true" ht="21.75" hidden="false" customHeight="true" outlineLevel="0" collapsed="false"/>
    <row r="162" s="920" customFormat="true" ht="21.75" hidden="false" customHeight="true" outlineLevel="0" collapsed="false"/>
    <row r="163" s="920" customFormat="true" ht="21.75" hidden="false" customHeight="true" outlineLevel="0" collapsed="false"/>
    <row r="164" s="920" customFormat="true" ht="21.75" hidden="false" customHeight="true" outlineLevel="0" collapsed="false"/>
    <row r="165" s="920" customFormat="true" ht="21.75" hidden="false" customHeight="true" outlineLevel="0" collapsed="false"/>
    <row r="166" s="920" customFormat="true" ht="21.75" hidden="false" customHeight="true" outlineLevel="0" collapsed="false"/>
    <row r="167" s="920" customFormat="true" ht="21.75" hidden="false" customHeight="true" outlineLevel="0" collapsed="false"/>
    <row r="168" s="920" customFormat="true" ht="21.75" hidden="false" customHeight="true" outlineLevel="0" collapsed="false"/>
    <row r="169" s="920" customFormat="true" ht="21.75" hidden="false" customHeight="true" outlineLevel="0" collapsed="false"/>
    <row r="170" s="920" customFormat="true" ht="21.75" hidden="false" customHeight="true" outlineLevel="0" collapsed="false"/>
    <row r="171" s="920" customFormat="true" ht="21.75" hidden="false" customHeight="true" outlineLevel="0" collapsed="false"/>
    <row r="172" s="920" customFormat="true" ht="21.75" hidden="false" customHeight="true" outlineLevel="0" collapsed="false"/>
    <row r="173" s="920" customFormat="true" ht="21.75" hidden="false" customHeight="true" outlineLevel="0" collapsed="false"/>
    <row r="174" s="920" customFormat="true" ht="21.75" hidden="false" customHeight="true" outlineLevel="0" collapsed="false"/>
    <row r="175" s="920" customFormat="true" ht="21.75" hidden="false" customHeight="true" outlineLevel="0" collapsed="false"/>
    <row r="176" s="920" customFormat="true" ht="21.75" hidden="false" customHeight="true" outlineLevel="0" collapsed="false"/>
    <row r="177" s="920" customFormat="true" ht="21.75" hidden="false" customHeight="true" outlineLevel="0" collapsed="false"/>
    <row r="178" s="920" customFormat="true" ht="21.75" hidden="false" customHeight="true" outlineLevel="0" collapsed="false"/>
    <row r="179" s="920" customFormat="true" ht="21.75" hidden="false" customHeight="true" outlineLevel="0" collapsed="false"/>
    <row r="180" s="920" customFormat="true" ht="21.75" hidden="false" customHeight="true" outlineLevel="0" collapsed="false"/>
    <row r="181" s="920" customFormat="true" ht="21.75" hidden="false" customHeight="true" outlineLevel="0" collapsed="false"/>
    <row r="182" s="920" customFormat="true" ht="21.75" hidden="false" customHeight="true" outlineLevel="0" collapsed="false"/>
    <row r="183" s="920" customFormat="true" ht="21.75" hidden="false" customHeight="true" outlineLevel="0" collapsed="false"/>
    <row r="184" s="920" customFormat="true" ht="21.75" hidden="false" customHeight="true" outlineLevel="0" collapsed="false"/>
    <row r="185" s="920" customFormat="true" ht="21.75" hidden="false" customHeight="true" outlineLevel="0" collapsed="false"/>
    <row r="186" s="920" customFormat="true" ht="21.75" hidden="false" customHeight="true" outlineLevel="0" collapsed="false"/>
    <row r="187" s="920" customFormat="true" ht="21.75" hidden="false" customHeight="true" outlineLevel="0" collapsed="false"/>
    <row r="188" s="920" customFormat="true" ht="21.75" hidden="false" customHeight="true" outlineLevel="0" collapsed="false"/>
    <row r="189" s="920" customFormat="true" ht="21.75" hidden="false" customHeight="true" outlineLevel="0" collapsed="false"/>
    <row r="190" s="920" customFormat="true" ht="21.75" hidden="false" customHeight="true" outlineLevel="0" collapsed="false"/>
    <row r="191" s="920" customFormat="true" ht="21.75" hidden="false" customHeight="true" outlineLevel="0" collapsed="false"/>
    <row r="192" s="920" customFormat="true" ht="21.75" hidden="false" customHeight="true" outlineLevel="0" collapsed="false"/>
    <row r="193" s="920" customFormat="true" ht="21.75" hidden="false" customHeight="true" outlineLevel="0" collapsed="false"/>
    <row r="194" s="920" customFormat="true" ht="21.75" hidden="false" customHeight="true" outlineLevel="0" collapsed="false"/>
    <row r="195" s="920" customFormat="true" ht="21.75" hidden="false" customHeight="true" outlineLevel="0" collapsed="false"/>
    <row r="196" s="920" customFormat="true" ht="21.75" hidden="false" customHeight="true" outlineLevel="0" collapsed="false"/>
    <row r="197" s="920" customFormat="true" ht="21.75" hidden="false" customHeight="true" outlineLevel="0" collapsed="false"/>
    <row r="198" s="920" customFormat="true" ht="21.75" hidden="false" customHeight="true" outlineLevel="0" collapsed="false"/>
    <row r="199" s="920" customFormat="true" ht="21.75" hidden="false" customHeight="true" outlineLevel="0" collapsed="false"/>
    <row r="200" s="920" customFormat="true" ht="21.75" hidden="false" customHeight="true" outlineLevel="0" collapsed="false"/>
    <row r="201" s="920" customFormat="true" ht="21.75" hidden="false" customHeight="true" outlineLevel="0" collapsed="false"/>
    <row r="202" s="920" customFormat="true" ht="21.75" hidden="false" customHeight="true" outlineLevel="0" collapsed="false"/>
    <row r="203" s="920" customFormat="true" ht="21.75" hidden="false" customHeight="true" outlineLevel="0" collapsed="false"/>
    <row r="204" s="920" customFormat="true" ht="21.75" hidden="false" customHeight="true" outlineLevel="0" collapsed="false"/>
    <row r="205" s="920" customFormat="true" ht="21.75" hidden="false" customHeight="true" outlineLevel="0" collapsed="false"/>
    <row r="206" s="920" customFormat="true" ht="21.75" hidden="false" customHeight="true" outlineLevel="0" collapsed="false"/>
    <row r="207" s="920" customFormat="true" ht="21.75" hidden="false" customHeight="true" outlineLevel="0" collapsed="false"/>
    <row r="208" s="920" customFormat="true" ht="21.75" hidden="false" customHeight="true" outlineLevel="0" collapsed="false"/>
    <row r="209" s="920" customFormat="true" ht="21.75" hidden="false" customHeight="true" outlineLevel="0" collapsed="false"/>
    <row r="210" s="920" customFormat="true" ht="21.75" hidden="false" customHeight="true" outlineLevel="0" collapsed="false"/>
    <row r="211" s="920" customFormat="true" ht="21.75" hidden="false" customHeight="true" outlineLevel="0" collapsed="false"/>
    <row r="212" s="920" customFormat="true" ht="21.75" hidden="false" customHeight="true" outlineLevel="0" collapsed="false"/>
    <row r="213" s="920" customFormat="true" ht="21.75" hidden="false" customHeight="true" outlineLevel="0" collapsed="false"/>
    <row r="214" s="920" customFormat="true" ht="21.75" hidden="false" customHeight="true" outlineLevel="0" collapsed="false"/>
    <row r="215" s="920" customFormat="true" ht="21.75" hidden="false" customHeight="true" outlineLevel="0" collapsed="false"/>
    <row r="216" s="920" customFormat="true" ht="21.75" hidden="false" customHeight="true" outlineLevel="0" collapsed="false"/>
    <row r="217" s="920" customFormat="true" ht="21.75" hidden="false" customHeight="true" outlineLevel="0" collapsed="false"/>
    <row r="218" s="920" customFormat="true" ht="21.75" hidden="false" customHeight="true" outlineLevel="0" collapsed="false"/>
    <row r="219" s="920" customFormat="true" ht="21.75" hidden="false" customHeight="true" outlineLevel="0" collapsed="false"/>
    <row r="220" s="920" customFormat="true" ht="21.75" hidden="false" customHeight="true" outlineLevel="0" collapsed="false"/>
    <row r="221" s="920" customFormat="true" ht="21.75" hidden="false" customHeight="true" outlineLevel="0" collapsed="false"/>
    <row r="222" s="920" customFormat="true" ht="21.75" hidden="false" customHeight="true" outlineLevel="0" collapsed="false"/>
    <row r="223" s="920" customFormat="true" ht="21.75" hidden="false" customHeight="true" outlineLevel="0" collapsed="false"/>
    <row r="224" s="920" customFormat="true" ht="21.75" hidden="false" customHeight="true" outlineLevel="0" collapsed="false"/>
    <row r="225" s="920" customFormat="true" ht="21.75" hidden="false" customHeight="true" outlineLevel="0" collapsed="false"/>
    <row r="226" s="920" customFormat="true" ht="21.75" hidden="false" customHeight="true" outlineLevel="0" collapsed="false"/>
    <row r="227" s="920" customFormat="true" ht="21.75" hidden="false" customHeight="true" outlineLevel="0" collapsed="false"/>
    <row r="228" s="920" customFormat="true" ht="21.75" hidden="false" customHeight="true" outlineLevel="0" collapsed="false"/>
    <row r="229" s="920" customFormat="true" ht="21.75" hidden="false" customHeight="true" outlineLevel="0" collapsed="false"/>
    <row r="230" s="920" customFormat="true" ht="21.75" hidden="false" customHeight="true" outlineLevel="0" collapsed="false"/>
    <row r="231" s="920" customFormat="true" ht="21.75" hidden="false" customHeight="true" outlineLevel="0" collapsed="false"/>
    <row r="232" s="920" customFormat="true" ht="21.75" hidden="false" customHeight="true" outlineLevel="0" collapsed="false"/>
    <row r="233" s="920" customFormat="true" ht="21.75" hidden="false" customHeight="true" outlineLevel="0" collapsed="false"/>
    <row r="234" s="920" customFormat="true" ht="21.75" hidden="false" customHeight="true" outlineLevel="0" collapsed="false"/>
    <row r="235" s="920" customFormat="true" ht="21.75" hidden="false" customHeight="true" outlineLevel="0" collapsed="false"/>
    <row r="236" s="920" customFormat="true" ht="21.75" hidden="false" customHeight="true" outlineLevel="0" collapsed="false"/>
    <row r="237" s="920" customFormat="true" ht="21.75" hidden="false" customHeight="true" outlineLevel="0" collapsed="false"/>
    <row r="238" s="920" customFormat="true" ht="21.75" hidden="false" customHeight="true" outlineLevel="0" collapsed="false"/>
    <row r="239" s="920" customFormat="true" ht="21.75" hidden="false" customHeight="true" outlineLevel="0" collapsed="false"/>
    <row r="240" s="920" customFormat="true" ht="21.75" hidden="false" customHeight="true" outlineLevel="0" collapsed="false"/>
    <row r="241" s="920" customFormat="true" ht="21.75" hidden="false" customHeight="true" outlineLevel="0" collapsed="false"/>
    <row r="242" s="920" customFormat="true" ht="21.75" hidden="false" customHeight="true" outlineLevel="0" collapsed="false"/>
    <row r="243" s="920" customFormat="true" ht="21.75" hidden="false" customHeight="true" outlineLevel="0" collapsed="false"/>
    <row r="244" s="920" customFormat="true" ht="21.75" hidden="false" customHeight="true" outlineLevel="0" collapsed="false"/>
    <row r="245" s="920" customFormat="true" ht="21.75" hidden="false" customHeight="true" outlineLevel="0" collapsed="false"/>
    <row r="246" s="920" customFormat="true" ht="21.75" hidden="false" customHeight="true" outlineLevel="0" collapsed="false"/>
    <row r="247" s="920" customFormat="true" ht="21.75" hidden="false" customHeight="true" outlineLevel="0" collapsed="false"/>
    <row r="248" s="920" customFormat="true" ht="21.75" hidden="false" customHeight="true" outlineLevel="0" collapsed="false"/>
    <row r="249" s="920" customFormat="true" ht="21.75" hidden="false" customHeight="true" outlineLevel="0" collapsed="false"/>
    <row r="250" s="920" customFormat="true" ht="21.75" hidden="false" customHeight="true" outlineLevel="0" collapsed="false"/>
    <row r="251" s="920" customFormat="true" ht="21.75" hidden="false" customHeight="true" outlineLevel="0" collapsed="false"/>
    <row r="252" s="920" customFormat="true" ht="21.75" hidden="false" customHeight="true" outlineLevel="0" collapsed="false"/>
    <row r="253" s="920" customFormat="true" ht="21.75" hidden="false" customHeight="true" outlineLevel="0" collapsed="false"/>
    <row r="254" s="920" customFormat="true" ht="21.75" hidden="false" customHeight="true" outlineLevel="0" collapsed="false"/>
    <row r="255" s="920" customFormat="true" ht="21.75" hidden="false" customHeight="true" outlineLevel="0" collapsed="false"/>
    <row r="256" s="920" customFormat="true" ht="21.75" hidden="false" customHeight="true" outlineLevel="0" collapsed="false"/>
    <row r="257" s="920" customFormat="true" ht="21.75" hidden="false" customHeight="true" outlineLevel="0" collapsed="false"/>
    <row r="258" s="920" customFormat="true" ht="21.75" hidden="false" customHeight="true" outlineLevel="0" collapsed="false"/>
    <row r="259" s="920" customFormat="true" ht="21.75" hidden="false" customHeight="true" outlineLevel="0" collapsed="false"/>
    <row r="260" s="920" customFormat="true" ht="21.75" hidden="false" customHeight="true" outlineLevel="0" collapsed="false"/>
    <row r="261" s="920" customFormat="true" ht="21.75" hidden="false" customHeight="true" outlineLevel="0" collapsed="false"/>
    <row r="262" s="920" customFormat="true" ht="21.75" hidden="false" customHeight="true" outlineLevel="0" collapsed="false"/>
    <row r="263" s="920" customFormat="true" ht="21.75" hidden="false" customHeight="true" outlineLevel="0" collapsed="false"/>
    <row r="264" s="920" customFormat="true" ht="21.75" hidden="false" customHeight="true" outlineLevel="0" collapsed="false"/>
    <row r="265" s="920" customFormat="true" ht="21.75" hidden="false" customHeight="true" outlineLevel="0" collapsed="false"/>
    <row r="266" s="920" customFormat="true" ht="21.75" hidden="false" customHeight="true" outlineLevel="0" collapsed="false"/>
    <row r="267" s="920" customFormat="true" ht="21.75" hidden="false" customHeight="true" outlineLevel="0" collapsed="false"/>
    <row r="268" s="920" customFormat="true" ht="21.75" hidden="false" customHeight="true" outlineLevel="0" collapsed="false"/>
    <row r="269" s="920" customFormat="true" ht="21.75" hidden="false" customHeight="true" outlineLevel="0" collapsed="false"/>
    <row r="270" s="920" customFormat="true" ht="21.75" hidden="false" customHeight="true" outlineLevel="0" collapsed="false"/>
    <row r="271" s="920" customFormat="true" ht="21.75" hidden="false" customHeight="true" outlineLevel="0" collapsed="false"/>
    <row r="272" s="920" customFormat="true" ht="21.75" hidden="false" customHeight="true" outlineLevel="0" collapsed="false"/>
    <row r="273" s="920" customFormat="true" ht="21.75" hidden="false" customHeight="true" outlineLevel="0" collapsed="false"/>
    <row r="274" s="920" customFormat="true" ht="21.75" hidden="false" customHeight="true" outlineLevel="0" collapsed="false"/>
    <row r="275" s="920" customFormat="true" ht="21.75" hidden="false" customHeight="true" outlineLevel="0" collapsed="false"/>
    <row r="276" s="920" customFormat="true" ht="21.75" hidden="false" customHeight="true" outlineLevel="0" collapsed="false"/>
    <row r="277" s="920" customFormat="true" ht="21.75" hidden="false" customHeight="true" outlineLevel="0" collapsed="false"/>
    <row r="278" s="920" customFormat="true" ht="21.75" hidden="false" customHeight="true" outlineLevel="0" collapsed="false"/>
    <row r="279" s="920" customFormat="true" ht="21.75" hidden="false" customHeight="true" outlineLevel="0" collapsed="false"/>
    <row r="280" s="920" customFormat="true" ht="21.75" hidden="false" customHeight="true" outlineLevel="0" collapsed="false"/>
    <row r="281" s="920" customFormat="true" ht="21.75" hidden="false" customHeight="true" outlineLevel="0" collapsed="false"/>
    <row r="282" s="920" customFormat="true" ht="21.75" hidden="false" customHeight="true" outlineLevel="0" collapsed="false"/>
    <row r="283" s="920" customFormat="true" ht="21.75" hidden="false" customHeight="true" outlineLevel="0" collapsed="false"/>
    <row r="284" s="920" customFormat="true" ht="21.75" hidden="false" customHeight="true" outlineLevel="0" collapsed="false"/>
    <row r="285" s="920" customFormat="true" ht="21.75" hidden="false" customHeight="true" outlineLevel="0" collapsed="false"/>
    <row r="286" s="920" customFormat="true" ht="21.75" hidden="false" customHeight="true" outlineLevel="0" collapsed="false"/>
    <row r="287" s="920" customFormat="true" ht="21.75" hidden="false" customHeight="true" outlineLevel="0" collapsed="false"/>
    <row r="288" s="920" customFormat="true" ht="21.75" hidden="false" customHeight="true" outlineLevel="0" collapsed="false"/>
    <row r="289" s="920" customFormat="true" ht="21.75" hidden="false" customHeight="true" outlineLevel="0" collapsed="false"/>
    <row r="290" s="920" customFormat="true" ht="21.75" hidden="false" customHeight="true" outlineLevel="0" collapsed="false"/>
    <row r="291" s="920" customFormat="true" ht="21.75" hidden="false" customHeight="true" outlineLevel="0" collapsed="false"/>
    <row r="292" s="920" customFormat="true" ht="21.75" hidden="false" customHeight="true" outlineLevel="0" collapsed="false"/>
    <row r="293" s="920" customFormat="true" ht="21.75" hidden="false" customHeight="true" outlineLevel="0" collapsed="false"/>
    <row r="294" s="920" customFormat="true" ht="21.75" hidden="false" customHeight="true" outlineLevel="0" collapsed="false"/>
    <row r="295" s="920" customFormat="true" ht="21.75" hidden="false" customHeight="true" outlineLevel="0" collapsed="false"/>
    <row r="296" s="920" customFormat="true" ht="21.75" hidden="false" customHeight="true" outlineLevel="0" collapsed="false"/>
    <row r="297" s="920" customFormat="true" ht="21.75" hidden="false" customHeight="true" outlineLevel="0" collapsed="false"/>
    <row r="298" s="920" customFormat="true" ht="21.75" hidden="false" customHeight="true" outlineLevel="0" collapsed="false"/>
    <row r="299" s="920" customFormat="true" ht="21.75" hidden="false" customHeight="true" outlineLevel="0" collapsed="false"/>
    <row r="300" s="920" customFormat="true" ht="21.75" hidden="false" customHeight="true" outlineLevel="0" collapsed="false"/>
    <row r="301" s="920" customFormat="true" ht="21.75" hidden="false" customHeight="true" outlineLevel="0" collapsed="false"/>
    <row r="302" s="920" customFormat="true" ht="21.75" hidden="false" customHeight="true" outlineLevel="0" collapsed="false"/>
    <row r="303" s="920" customFormat="true" ht="21.75" hidden="false" customHeight="true" outlineLevel="0" collapsed="false"/>
    <row r="304" s="920" customFormat="true" ht="21.75" hidden="false" customHeight="true" outlineLevel="0" collapsed="false"/>
    <row r="305" s="920" customFormat="true" ht="21.75" hidden="false" customHeight="true" outlineLevel="0" collapsed="false"/>
    <row r="306" s="920" customFormat="true" ht="21.75" hidden="false" customHeight="true" outlineLevel="0" collapsed="false"/>
    <row r="307" s="920" customFormat="true" ht="21.75" hidden="false" customHeight="true" outlineLevel="0" collapsed="false"/>
    <row r="308" s="920" customFormat="true" ht="21.75" hidden="false" customHeight="true" outlineLevel="0" collapsed="false"/>
    <row r="309" s="920" customFormat="true" ht="21.75" hidden="false" customHeight="true" outlineLevel="0" collapsed="false"/>
    <row r="310" s="920" customFormat="true" ht="21.75" hidden="false" customHeight="true" outlineLevel="0" collapsed="false"/>
    <row r="311" s="920" customFormat="true" ht="21.75" hidden="false" customHeight="true" outlineLevel="0" collapsed="false"/>
    <row r="312" s="920" customFormat="true" ht="21.75" hidden="false" customHeight="true" outlineLevel="0" collapsed="false"/>
    <row r="313" s="920" customFormat="true" ht="21.75" hidden="false" customHeight="true" outlineLevel="0" collapsed="false"/>
    <row r="314" s="920" customFormat="true" ht="21.75" hidden="false" customHeight="true" outlineLevel="0" collapsed="false"/>
    <row r="315" s="920" customFormat="true" ht="21.75" hidden="false" customHeight="true" outlineLevel="0" collapsed="false"/>
    <row r="316" s="920" customFormat="true" ht="21.75" hidden="false" customHeight="true" outlineLevel="0" collapsed="false"/>
    <row r="317" s="920" customFormat="true" ht="21.75" hidden="false" customHeight="true" outlineLevel="0" collapsed="false"/>
    <row r="318" s="920" customFormat="true" ht="21.75" hidden="false" customHeight="true" outlineLevel="0" collapsed="false"/>
    <row r="319" s="920" customFormat="true" ht="21.75" hidden="false" customHeight="true" outlineLevel="0" collapsed="false"/>
    <row r="320" s="920" customFormat="true" ht="21.75" hidden="false" customHeight="true" outlineLevel="0" collapsed="false"/>
    <row r="321" s="920" customFormat="true" ht="21.75" hidden="false" customHeight="true" outlineLevel="0" collapsed="false"/>
    <row r="322" s="920" customFormat="true" ht="21.75" hidden="false" customHeight="true" outlineLevel="0" collapsed="false"/>
    <row r="323" s="920" customFormat="true" ht="21.75" hidden="false" customHeight="true" outlineLevel="0" collapsed="false"/>
    <row r="324" s="920" customFormat="true" ht="21.75" hidden="false" customHeight="true" outlineLevel="0" collapsed="false"/>
    <row r="325" s="920" customFormat="true" ht="21.75" hidden="false" customHeight="true" outlineLevel="0" collapsed="false"/>
    <row r="326" s="920" customFormat="true" ht="21.75" hidden="false" customHeight="true" outlineLevel="0" collapsed="false"/>
    <row r="327" s="920" customFormat="true" ht="21.75" hidden="false" customHeight="true" outlineLevel="0" collapsed="false"/>
    <row r="328" s="920" customFormat="true" ht="21.75" hidden="false" customHeight="true" outlineLevel="0" collapsed="false"/>
    <row r="329" s="920" customFormat="true" ht="21.75" hidden="false" customHeight="true" outlineLevel="0" collapsed="false"/>
    <row r="330" s="920" customFormat="true" ht="21.75" hidden="false" customHeight="true" outlineLevel="0" collapsed="false"/>
    <row r="331" s="920" customFormat="true" ht="21.75" hidden="false" customHeight="true" outlineLevel="0" collapsed="false"/>
    <row r="332" s="920" customFormat="true" ht="21.75" hidden="false" customHeight="true" outlineLevel="0" collapsed="false"/>
    <row r="333" s="920" customFormat="true" ht="21.75" hidden="false" customHeight="true" outlineLevel="0" collapsed="false"/>
    <row r="334" s="920" customFormat="true" ht="21.75" hidden="false" customHeight="true" outlineLevel="0" collapsed="false"/>
    <row r="335" s="920" customFormat="true" ht="21.75" hidden="false" customHeight="true" outlineLevel="0" collapsed="false"/>
    <row r="336" s="920" customFormat="true" ht="21.75" hidden="false" customHeight="true" outlineLevel="0" collapsed="false"/>
    <row r="337" s="920" customFormat="true" ht="21.75" hidden="false" customHeight="true" outlineLevel="0" collapsed="false"/>
    <row r="338" s="920" customFormat="true" ht="21.75" hidden="false" customHeight="true" outlineLevel="0" collapsed="false"/>
    <row r="339" s="920" customFormat="true" ht="21.75" hidden="false" customHeight="true" outlineLevel="0" collapsed="false"/>
    <row r="340" s="920" customFormat="true" ht="21.75" hidden="false" customHeight="true" outlineLevel="0" collapsed="false"/>
    <row r="341" s="920" customFormat="true" ht="21.75" hidden="false" customHeight="true" outlineLevel="0" collapsed="false"/>
    <row r="342" s="920" customFormat="true" ht="21.75" hidden="false" customHeight="true" outlineLevel="0" collapsed="false"/>
    <row r="343" s="920" customFormat="true" ht="21.75" hidden="false" customHeight="true" outlineLevel="0" collapsed="false"/>
    <row r="344" s="920" customFormat="true" ht="21.75" hidden="false" customHeight="true" outlineLevel="0" collapsed="false"/>
    <row r="345" s="920" customFormat="true" ht="21.75" hidden="false" customHeight="true" outlineLevel="0" collapsed="false"/>
    <row r="346" s="920" customFormat="true" ht="21.75" hidden="false" customHeight="true" outlineLevel="0" collapsed="false"/>
    <row r="347" s="920" customFormat="true" ht="21.75" hidden="false" customHeight="true" outlineLevel="0" collapsed="false"/>
    <row r="348" s="920" customFormat="true" ht="21.75" hidden="false" customHeight="true" outlineLevel="0" collapsed="false"/>
    <row r="349" s="920" customFormat="true" ht="21.75" hidden="false" customHeight="true" outlineLevel="0" collapsed="false"/>
    <row r="350" s="920" customFormat="true" ht="21.75" hidden="false" customHeight="true" outlineLevel="0" collapsed="false"/>
    <row r="351" s="920" customFormat="true" ht="21.75" hidden="false" customHeight="true" outlineLevel="0" collapsed="false"/>
    <row r="352" s="920" customFormat="true" ht="21.75" hidden="false" customHeight="true" outlineLevel="0" collapsed="false"/>
    <row r="353" s="920" customFormat="true" ht="21.75" hidden="false" customHeight="true" outlineLevel="0" collapsed="false"/>
    <row r="354" s="920" customFormat="true" ht="21.75" hidden="false" customHeight="true" outlineLevel="0" collapsed="false"/>
    <row r="355" s="920" customFormat="true" ht="21.75" hidden="false" customHeight="true" outlineLevel="0" collapsed="false"/>
    <row r="356" s="920" customFormat="true" ht="21.75" hidden="false" customHeight="true" outlineLevel="0" collapsed="false"/>
    <row r="357" s="920" customFormat="true" ht="21.75" hidden="false" customHeight="true" outlineLevel="0" collapsed="false"/>
    <row r="358" s="920" customFormat="true" ht="21.75" hidden="false" customHeight="true" outlineLevel="0" collapsed="false"/>
    <row r="359" s="920" customFormat="true" ht="21.75" hidden="false" customHeight="true" outlineLevel="0" collapsed="false"/>
    <row r="360" s="920" customFormat="true" ht="21.75" hidden="false" customHeight="true" outlineLevel="0" collapsed="false"/>
    <row r="361" s="920" customFormat="true" ht="21.75" hidden="false" customHeight="true" outlineLevel="0" collapsed="false"/>
    <row r="362" s="920" customFormat="true" ht="21.75" hidden="false" customHeight="true" outlineLevel="0" collapsed="false"/>
    <row r="363" s="920" customFormat="true" ht="21.75" hidden="false" customHeight="true" outlineLevel="0" collapsed="false"/>
    <row r="364" s="920" customFormat="true" ht="21.75" hidden="false" customHeight="true" outlineLevel="0" collapsed="false"/>
    <row r="365" s="920" customFormat="true" ht="21.75" hidden="false" customHeight="true" outlineLevel="0" collapsed="false"/>
    <row r="366" s="920" customFormat="true" ht="21.75" hidden="false" customHeight="true" outlineLevel="0" collapsed="false"/>
    <row r="367" s="920" customFormat="true" ht="21.75" hidden="false" customHeight="true" outlineLevel="0" collapsed="false"/>
    <row r="368" s="920" customFormat="true" ht="21.75" hidden="false" customHeight="true" outlineLevel="0" collapsed="false"/>
    <row r="369" s="920" customFormat="true" ht="21.75" hidden="false" customHeight="true" outlineLevel="0" collapsed="false"/>
    <row r="370" s="920" customFormat="true" ht="21.75" hidden="false" customHeight="true" outlineLevel="0" collapsed="false"/>
    <row r="371" s="920" customFormat="true" ht="21.75" hidden="false" customHeight="true" outlineLevel="0" collapsed="false"/>
    <row r="372" s="920" customFormat="true" ht="21.75" hidden="false" customHeight="true" outlineLevel="0" collapsed="false"/>
    <row r="373" s="920" customFormat="true" ht="21.75" hidden="false" customHeight="true" outlineLevel="0" collapsed="false"/>
    <row r="374" s="920" customFormat="true" ht="21.75" hidden="false" customHeight="true" outlineLevel="0" collapsed="false"/>
    <row r="375" s="920" customFormat="true" ht="21.75" hidden="false" customHeight="true" outlineLevel="0" collapsed="false"/>
    <row r="376" s="920" customFormat="true" ht="21.75" hidden="false" customHeight="true" outlineLevel="0" collapsed="false"/>
    <row r="377" s="920" customFormat="true" ht="21.75" hidden="false" customHeight="true" outlineLevel="0" collapsed="false"/>
    <row r="378" s="920" customFormat="true" ht="21.75" hidden="false" customHeight="true" outlineLevel="0" collapsed="false"/>
    <row r="379" s="920" customFormat="true" ht="21.75" hidden="false" customHeight="true" outlineLevel="0" collapsed="false"/>
    <row r="380" s="920" customFormat="true" ht="21.75" hidden="false" customHeight="true" outlineLevel="0" collapsed="false"/>
    <row r="381" s="920" customFormat="true" ht="21.75" hidden="false" customHeight="true" outlineLevel="0" collapsed="false"/>
    <row r="382" s="920" customFormat="true" ht="21.75" hidden="false" customHeight="true" outlineLevel="0" collapsed="false"/>
    <row r="383" s="920" customFormat="true" ht="21.75" hidden="false" customHeight="true" outlineLevel="0" collapsed="false"/>
    <row r="384" s="920" customFormat="true" ht="21.75" hidden="false" customHeight="true" outlineLevel="0" collapsed="false"/>
    <row r="385" s="920" customFormat="true" ht="21.75" hidden="false" customHeight="true" outlineLevel="0" collapsed="false"/>
    <row r="386" s="920" customFormat="true" ht="21.75" hidden="false" customHeight="true" outlineLevel="0" collapsed="false"/>
    <row r="387" s="920" customFormat="true" ht="21.75" hidden="false" customHeight="true" outlineLevel="0" collapsed="false"/>
    <row r="388" s="920" customFormat="true" ht="21.75" hidden="false" customHeight="true" outlineLevel="0" collapsed="false"/>
    <row r="389" s="920" customFormat="true" ht="21.75" hidden="false" customHeight="true" outlineLevel="0" collapsed="false"/>
    <row r="390" s="920" customFormat="true" ht="21.75" hidden="false" customHeight="true" outlineLevel="0" collapsed="false"/>
    <row r="391" s="920" customFormat="true" ht="21.75" hidden="false" customHeight="true" outlineLevel="0" collapsed="false"/>
    <row r="392" s="920" customFormat="true" ht="21.75" hidden="false" customHeight="true" outlineLevel="0" collapsed="false"/>
    <row r="393" s="920" customFormat="true" ht="21.75" hidden="false" customHeight="true" outlineLevel="0" collapsed="false"/>
    <row r="394" s="920" customFormat="true" ht="21.75" hidden="false" customHeight="true" outlineLevel="0" collapsed="false"/>
    <row r="395" s="920" customFormat="true" ht="21.75" hidden="false" customHeight="true" outlineLevel="0" collapsed="false"/>
    <row r="396" s="920" customFormat="true" ht="21.75" hidden="false" customHeight="true" outlineLevel="0" collapsed="false"/>
    <row r="397" s="920" customFormat="true" ht="21.75" hidden="false" customHeight="true" outlineLevel="0" collapsed="false"/>
    <row r="398" s="920" customFormat="true" ht="21.75" hidden="false" customHeight="true" outlineLevel="0" collapsed="false"/>
    <row r="399" s="920" customFormat="true" ht="21.75" hidden="false" customHeight="true" outlineLevel="0" collapsed="false"/>
    <row r="400" s="920" customFormat="true" ht="21.75" hidden="false" customHeight="true" outlineLevel="0" collapsed="false"/>
    <row r="401" s="920" customFormat="true" ht="21.75" hidden="false" customHeight="true" outlineLevel="0" collapsed="false"/>
    <row r="402" s="920" customFormat="true" ht="21.75" hidden="false" customHeight="true" outlineLevel="0" collapsed="false"/>
    <row r="403" s="920" customFormat="true" ht="21.75" hidden="false" customHeight="true" outlineLevel="0" collapsed="false"/>
    <row r="404" s="920" customFormat="true" ht="21.75" hidden="false" customHeight="true" outlineLevel="0" collapsed="false"/>
    <row r="405" s="920" customFormat="true" ht="21.75" hidden="false" customHeight="true" outlineLevel="0" collapsed="false"/>
    <row r="406" s="920" customFormat="true" ht="21.75" hidden="false" customHeight="true" outlineLevel="0" collapsed="false"/>
    <row r="407" s="920" customFormat="true" ht="21.75" hidden="false" customHeight="true" outlineLevel="0" collapsed="false"/>
    <row r="408" s="920" customFormat="true" ht="21.75" hidden="false" customHeight="true" outlineLevel="0" collapsed="false"/>
    <row r="409" s="921" customFormat="true" ht="21.75" hidden="false" customHeight="true" outlineLevel="0" collapsed="false">
      <c r="J409" s="920"/>
      <c r="K409" s="920"/>
      <c r="L409" s="920"/>
      <c r="M409" s="920"/>
      <c r="N409" s="920"/>
      <c r="O409" s="920"/>
      <c r="P409" s="920"/>
      <c r="Q409" s="920"/>
      <c r="R409" s="920"/>
      <c r="S409" s="920"/>
      <c r="T409" s="920"/>
      <c r="U409" s="920"/>
      <c r="V409" s="920"/>
      <c r="W409" s="920"/>
      <c r="X409" s="920"/>
      <c r="Y409" s="920"/>
      <c r="Z409" s="920"/>
    </row>
    <row r="410" s="921" customFormat="true" ht="21.75" hidden="false" customHeight="true" outlineLevel="0" collapsed="false">
      <c r="J410" s="920"/>
      <c r="K410" s="920"/>
      <c r="L410" s="920"/>
      <c r="M410" s="920"/>
      <c r="N410" s="920"/>
      <c r="O410" s="920"/>
      <c r="P410" s="920"/>
      <c r="Q410" s="920"/>
      <c r="R410" s="920"/>
      <c r="S410" s="920"/>
      <c r="T410" s="920"/>
      <c r="U410" s="920"/>
      <c r="V410" s="920"/>
      <c r="W410" s="920"/>
      <c r="X410" s="920"/>
      <c r="Y410" s="920"/>
      <c r="Z410" s="920"/>
    </row>
    <row r="411" s="921" customFormat="true" ht="21.75" hidden="false" customHeight="true" outlineLevel="0" collapsed="false">
      <c r="J411" s="920"/>
      <c r="K411" s="920"/>
      <c r="L411" s="920"/>
      <c r="M411" s="920"/>
      <c r="N411" s="920"/>
      <c r="O411" s="920"/>
      <c r="P411" s="920"/>
      <c r="Q411" s="920"/>
      <c r="R411" s="920"/>
      <c r="S411" s="920"/>
      <c r="T411" s="920"/>
      <c r="U411" s="920"/>
      <c r="V411" s="920"/>
      <c r="W411" s="920"/>
      <c r="X411" s="920"/>
      <c r="Y411" s="920"/>
      <c r="Z411" s="920"/>
    </row>
    <row r="412" s="921" customFormat="true" ht="21.75" hidden="false" customHeight="true" outlineLevel="0" collapsed="false">
      <c r="J412" s="920"/>
      <c r="K412" s="920"/>
      <c r="L412" s="920"/>
      <c r="M412" s="920"/>
      <c r="N412" s="920"/>
      <c r="O412" s="920"/>
      <c r="P412" s="920"/>
      <c r="Q412" s="920"/>
      <c r="R412" s="920"/>
      <c r="S412" s="920"/>
      <c r="T412" s="920"/>
      <c r="U412" s="920"/>
      <c r="V412" s="920"/>
      <c r="W412" s="920"/>
      <c r="X412" s="920"/>
      <c r="Y412" s="920"/>
      <c r="Z412" s="920"/>
    </row>
    <row r="413" s="921" customFormat="true" ht="21.75" hidden="false" customHeight="true" outlineLevel="0" collapsed="false">
      <c r="J413" s="920"/>
      <c r="K413" s="920"/>
      <c r="L413" s="920"/>
      <c r="M413" s="920"/>
      <c r="N413" s="920"/>
      <c r="O413" s="920"/>
      <c r="P413" s="920"/>
      <c r="Q413" s="920"/>
      <c r="R413" s="920"/>
      <c r="S413" s="920"/>
      <c r="T413" s="920"/>
      <c r="U413" s="920"/>
      <c r="V413" s="920"/>
      <c r="W413" s="920"/>
      <c r="X413" s="920"/>
      <c r="Y413" s="920"/>
      <c r="Z413" s="920"/>
    </row>
    <row r="414" s="921" customFormat="true" ht="21.75" hidden="false" customHeight="true" outlineLevel="0" collapsed="false">
      <c r="J414" s="920"/>
      <c r="K414" s="920"/>
      <c r="L414" s="920"/>
      <c r="M414" s="920"/>
      <c r="N414" s="920"/>
      <c r="O414" s="920"/>
      <c r="P414" s="920"/>
      <c r="Q414" s="920"/>
      <c r="R414" s="920"/>
      <c r="S414" s="920"/>
      <c r="T414" s="920"/>
      <c r="U414" s="920"/>
      <c r="V414" s="920"/>
      <c r="W414" s="920"/>
      <c r="X414" s="920"/>
      <c r="Y414" s="920"/>
      <c r="Z414" s="920"/>
    </row>
    <row r="415" s="921" customFormat="true" ht="21.75" hidden="false" customHeight="true" outlineLevel="0" collapsed="false">
      <c r="J415" s="920"/>
      <c r="K415" s="920"/>
      <c r="L415" s="920"/>
      <c r="M415" s="920"/>
      <c r="N415" s="920"/>
      <c r="O415" s="920"/>
      <c r="P415" s="920"/>
      <c r="Q415" s="920"/>
      <c r="R415" s="920"/>
      <c r="S415" s="920"/>
      <c r="T415" s="920"/>
      <c r="U415" s="920"/>
      <c r="V415" s="920"/>
      <c r="W415" s="920"/>
      <c r="X415" s="920"/>
      <c r="Y415" s="920"/>
      <c r="Z415" s="920"/>
    </row>
    <row r="416" s="921" customFormat="true" ht="21.75" hidden="false" customHeight="true" outlineLevel="0" collapsed="false">
      <c r="J416" s="920"/>
      <c r="K416" s="920"/>
      <c r="L416" s="920"/>
      <c r="M416" s="920"/>
      <c r="N416" s="920"/>
      <c r="O416" s="920"/>
      <c r="P416" s="920"/>
      <c r="Q416" s="920"/>
      <c r="R416" s="920"/>
      <c r="S416" s="920"/>
      <c r="T416" s="920"/>
      <c r="U416" s="920"/>
      <c r="V416" s="920"/>
      <c r="W416" s="920"/>
      <c r="X416" s="920"/>
      <c r="Y416" s="920"/>
      <c r="Z416" s="920"/>
    </row>
    <row r="417" s="921" customFormat="true" ht="21.75" hidden="false" customHeight="true" outlineLevel="0" collapsed="false">
      <c r="J417" s="920"/>
      <c r="K417" s="920"/>
      <c r="L417" s="920"/>
      <c r="M417" s="920"/>
      <c r="N417" s="920"/>
      <c r="O417" s="920"/>
      <c r="P417" s="920"/>
      <c r="Q417" s="920"/>
      <c r="R417" s="920"/>
      <c r="S417" s="920"/>
      <c r="T417" s="920"/>
      <c r="U417" s="920"/>
      <c r="V417" s="920"/>
      <c r="W417" s="920"/>
      <c r="X417" s="920"/>
      <c r="Y417" s="920"/>
      <c r="Z417" s="920"/>
    </row>
    <row r="418" s="921" customFormat="true" ht="21.75" hidden="false" customHeight="true" outlineLevel="0" collapsed="false">
      <c r="J418" s="920"/>
      <c r="K418" s="920"/>
      <c r="L418" s="920"/>
      <c r="M418" s="920"/>
      <c r="N418" s="920"/>
      <c r="O418" s="920"/>
      <c r="P418" s="920"/>
      <c r="Q418" s="920"/>
      <c r="R418" s="920"/>
      <c r="S418" s="920"/>
      <c r="T418" s="920"/>
      <c r="U418" s="920"/>
      <c r="V418" s="920"/>
      <c r="W418" s="920"/>
      <c r="X418" s="920"/>
      <c r="Y418" s="920"/>
      <c r="Z418" s="920"/>
    </row>
    <row r="419" s="921" customFormat="true" ht="21.75" hidden="false" customHeight="true" outlineLevel="0" collapsed="false">
      <c r="J419" s="920"/>
      <c r="K419" s="920"/>
      <c r="L419" s="920"/>
      <c r="M419" s="920"/>
      <c r="N419" s="920"/>
      <c r="O419" s="920"/>
      <c r="P419" s="920"/>
      <c r="Q419" s="920"/>
      <c r="R419" s="920"/>
      <c r="S419" s="920"/>
      <c r="T419" s="920"/>
      <c r="U419" s="920"/>
      <c r="V419" s="920"/>
      <c r="W419" s="920"/>
      <c r="X419" s="920"/>
      <c r="Y419" s="920"/>
      <c r="Z419" s="920"/>
    </row>
    <row r="420" s="921" customFormat="true" ht="21.75" hidden="false" customHeight="true" outlineLevel="0" collapsed="false">
      <c r="J420" s="920"/>
      <c r="K420" s="920"/>
      <c r="L420" s="920"/>
      <c r="M420" s="920"/>
      <c r="N420" s="920"/>
      <c r="O420" s="920"/>
      <c r="P420" s="920"/>
      <c r="Q420" s="920"/>
      <c r="R420" s="920"/>
      <c r="S420" s="920"/>
      <c r="T420" s="920"/>
      <c r="U420" s="920"/>
      <c r="V420" s="920"/>
      <c r="W420" s="920"/>
      <c r="X420" s="920"/>
      <c r="Y420" s="920"/>
      <c r="Z420" s="920"/>
    </row>
    <row r="421" s="921" customFormat="true" ht="21.75" hidden="false" customHeight="true" outlineLevel="0" collapsed="false">
      <c r="J421" s="920"/>
      <c r="K421" s="920"/>
      <c r="L421" s="920"/>
      <c r="M421" s="920"/>
      <c r="N421" s="920"/>
      <c r="O421" s="920"/>
      <c r="P421" s="920"/>
      <c r="Q421" s="920"/>
      <c r="R421" s="920"/>
      <c r="S421" s="920"/>
      <c r="T421" s="920"/>
      <c r="U421" s="920"/>
      <c r="V421" s="920"/>
      <c r="W421" s="920"/>
      <c r="X421" s="920"/>
      <c r="Y421" s="920"/>
      <c r="Z421" s="920"/>
    </row>
    <row r="422" s="921" customFormat="true" ht="21.75" hidden="false" customHeight="true" outlineLevel="0" collapsed="false">
      <c r="J422" s="920"/>
      <c r="K422" s="920"/>
      <c r="L422" s="920"/>
      <c r="M422" s="920"/>
      <c r="N422" s="920"/>
      <c r="O422" s="920"/>
      <c r="P422" s="920"/>
      <c r="Q422" s="920"/>
      <c r="R422" s="920"/>
      <c r="S422" s="920"/>
      <c r="T422" s="920"/>
      <c r="U422" s="920"/>
      <c r="V422" s="920"/>
      <c r="W422" s="920"/>
      <c r="X422" s="920"/>
      <c r="Y422" s="920"/>
      <c r="Z422" s="920"/>
    </row>
    <row r="423" s="921" customFormat="true" ht="21.75" hidden="false" customHeight="true" outlineLevel="0" collapsed="false">
      <c r="J423" s="920"/>
      <c r="K423" s="920"/>
      <c r="L423" s="920"/>
      <c r="M423" s="920"/>
      <c r="N423" s="920"/>
      <c r="O423" s="920"/>
      <c r="P423" s="920"/>
      <c r="Q423" s="920"/>
      <c r="R423" s="920"/>
      <c r="S423" s="920"/>
      <c r="T423" s="920"/>
      <c r="U423" s="920"/>
      <c r="V423" s="920"/>
      <c r="W423" s="920"/>
      <c r="X423" s="920"/>
      <c r="Y423" s="920"/>
      <c r="Z423" s="920"/>
    </row>
    <row r="424" s="921" customFormat="true" ht="21.75" hidden="false" customHeight="true" outlineLevel="0" collapsed="false">
      <c r="J424" s="920"/>
      <c r="K424" s="920"/>
      <c r="L424" s="920"/>
      <c r="M424" s="920"/>
      <c r="N424" s="920"/>
      <c r="O424" s="920"/>
      <c r="P424" s="920"/>
      <c r="Q424" s="920"/>
      <c r="R424" s="920"/>
      <c r="S424" s="920"/>
      <c r="T424" s="920"/>
      <c r="U424" s="920"/>
      <c r="V424" s="920"/>
      <c r="W424" s="920"/>
      <c r="X424" s="920"/>
      <c r="Y424" s="920"/>
      <c r="Z424" s="920"/>
    </row>
    <row r="425" s="921" customFormat="true" ht="21.75" hidden="false" customHeight="true" outlineLevel="0" collapsed="false">
      <c r="J425" s="920"/>
      <c r="K425" s="920"/>
      <c r="L425" s="920"/>
      <c r="M425" s="920"/>
      <c r="N425" s="920"/>
      <c r="O425" s="920"/>
      <c r="P425" s="920"/>
      <c r="Q425" s="920"/>
      <c r="R425" s="920"/>
      <c r="S425" s="920"/>
      <c r="T425" s="920"/>
      <c r="U425" s="920"/>
      <c r="V425" s="920"/>
      <c r="W425" s="920"/>
      <c r="X425" s="920"/>
      <c r="Y425" s="920"/>
      <c r="Z425" s="920"/>
    </row>
    <row r="426" s="921" customFormat="true" ht="21.75" hidden="false" customHeight="true" outlineLevel="0" collapsed="false">
      <c r="J426" s="920"/>
      <c r="K426" s="920"/>
      <c r="L426" s="920"/>
      <c r="M426" s="920"/>
      <c r="N426" s="920"/>
      <c r="O426" s="920"/>
      <c r="P426" s="920"/>
      <c r="Q426" s="920"/>
      <c r="R426" s="920"/>
      <c r="S426" s="920"/>
      <c r="T426" s="920"/>
      <c r="U426" s="920"/>
      <c r="V426" s="920"/>
      <c r="W426" s="920"/>
      <c r="X426" s="920"/>
      <c r="Y426" s="920"/>
      <c r="Z426" s="920"/>
    </row>
    <row r="427" s="921" customFormat="true" ht="21.75" hidden="false" customHeight="true" outlineLevel="0" collapsed="false">
      <c r="J427" s="920"/>
      <c r="K427" s="920"/>
      <c r="L427" s="920"/>
      <c r="M427" s="920"/>
      <c r="N427" s="920"/>
      <c r="O427" s="920"/>
      <c r="P427" s="920"/>
      <c r="Q427" s="920"/>
      <c r="R427" s="920"/>
      <c r="S427" s="920"/>
      <c r="T427" s="920"/>
      <c r="U427" s="920"/>
      <c r="V427" s="920"/>
      <c r="W427" s="920"/>
      <c r="X427" s="920"/>
      <c r="Y427" s="920"/>
      <c r="Z427" s="920"/>
    </row>
    <row r="428" s="921" customFormat="true" ht="21.75" hidden="false" customHeight="true" outlineLevel="0" collapsed="false">
      <c r="J428" s="920"/>
      <c r="K428" s="920"/>
      <c r="L428" s="920"/>
      <c r="M428" s="920"/>
      <c r="N428" s="920"/>
      <c r="O428" s="920"/>
      <c r="P428" s="920"/>
      <c r="Q428" s="920"/>
      <c r="R428" s="920"/>
      <c r="S428" s="920"/>
      <c r="T428" s="920"/>
      <c r="U428" s="920"/>
      <c r="V428" s="920"/>
      <c r="W428" s="920"/>
      <c r="X428" s="920"/>
      <c r="Y428" s="920"/>
      <c r="Z428" s="920"/>
    </row>
    <row r="429" s="921" customFormat="true" ht="21.75" hidden="false" customHeight="true" outlineLevel="0" collapsed="false">
      <c r="J429" s="920"/>
      <c r="K429" s="920"/>
      <c r="L429" s="920"/>
      <c r="M429" s="920"/>
      <c r="N429" s="920"/>
      <c r="O429" s="920"/>
      <c r="P429" s="920"/>
      <c r="Q429" s="920"/>
      <c r="R429" s="920"/>
      <c r="S429" s="920"/>
      <c r="T429" s="920"/>
      <c r="U429" s="920"/>
      <c r="V429" s="920"/>
      <c r="W429" s="920"/>
      <c r="X429" s="920"/>
      <c r="Y429" s="920"/>
      <c r="Z429" s="920"/>
    </row>
    <row r="430" s="921" customFormat="true" ht="21.75" hidden="false" customHeight="true" outlineLevel="0" collapsed="false">
      <c r="J430" s="920"/>
      <c r="K430" s="920"/>
      <c r="L430" s="920"/>
      <c r="M430" s="920"/>
      <c r="N430" s="920"/>
      <c r="O430" s="920"/>
      <c r="P430" s="920"/>
      <c r="Q430" s="920"/>
      <c r="R430" s="920"/>
      <c r="S430" s="920"/>
      <c r="T430" s="920"/>
      <c r="U430" s="920"/>
      <c r="V430" s="920"/>
      <c r="W430" s="920"/>
      <c r="X430" s="920"/>
      <c r="Y430" s="920"/>
      <c r="Z430" s="920"/>
    </row>
    <row r="431" s="921" customFormat="true" ht="21.75" hidden="false" customHeight="true" outlineLevel="0" collapsed="false">
      <c r="J431" s="920"/>
      <c r="K431" s="920"/>
      <c r="L431" s="920"/>
      <c r="M431" s="920"/>
      <c r="N431" s="920"/>
      <c r="O431" s="920"/>
      <c r="P431" s="920"/>
      <c r="Q431" s="920"/>
      <c r="R431" s="920"/>
      <c r="S431" s="920"/>
      <c r="T431" s="920"/>
      <c r="U431" s="920"/>
      <c r="V431" s="920"/>
      <c r="W431" s="920"/>
      <c r="X431" s="920"/>
      <c r="Y431" s="920"/>
      <c r="Z431" s="920"/>
    </row>
    <row r="432" s="921" customFormat="true" ht="21.75" hidden="false" customHeight="true" outlineLevel="0" collapsed="false">
      <c r="J432" s="920"/>
      <c r="K432" s="920"/>
      <c r="L432" s="920"/>
      <c r="M432" s="920"/>
      <c r="N432" s="920"/>
      <c r="O432" s="920"/>
      <c r="P432" s="920"/>
      <c r="Q432" s="920"/>
      <c r="R432" s="920"/>
      <c r="S432" s="920"/>
      <c r="T432" s="920"/>
      <c r="U432" s="920"/>
      <c r="V432" s="920"/>
      <c r="W432" s="920"/>
      <c r="X432" s="920"/>
      <c r="Y432" s="920"/>
      <c r="Z432" s="920"/>
    </row>
    <row r="433" s="921" customFormat="true" ht="21.75" hidden="false" customHeight="true" outlineLevel="0" collapsed="false">
      <c r="J433" s="920"/>
      <c r="K433" s="920"/>
      <c r="L433" s="920"/>
      <c r="M433" s="920"/>
      <c r="N433" s="920"/>
      <c r="O433" s="920"/>
      <c r="P433" s="920"/>
      <c r="Q433" s="920"/>
      <c r="R433" s="920"/>
      <c r="S433" s="920"/>
      <c r="T433" s="920"/>
      <c r="U433" s="920"/>
      <c r="V433" s="920"/>
      <c r="W433" s="920"/>
      <c r="X433" s="920"/>
      <c r="Y433" s="920"/>
      <c r="Z433" s="920"/>
    </row>
    <row r="434" s="921" customFormat="true" ht="21.75" hidden="false" customHeight="true" outlineLevel="0" collapsed="false">
      <c r="J434" s="920"/>
      <c r="K434" s="920"/>
      <c r="L434" s="920"/>
      <c r="M434" s="920"/>
      <c r="N434" s="920"/>
      <c r="O434" s="920"/>
      <c r="P434" s="920"/>
      <c r="Q434" s="920"/>
      <c r="R434" s="920"/>
      <c r="S434" s="920"/>
      <c r="T434" s="920"/>
      <c r="U434" s="920"/>
      <c r="V434" s="920"/>
      <c r="W434" s="920"/>
      <c r="X434" s="920"/>
      <c r="Y434" s="920"/>
      <c r="Z434" s="920"/>
    </row>
    <row r="435" s="921" customFormat="true" ht="21.75" hidden="false" customHeight="true" outlineLevel="0" collapsed="false">
      <c r="J435" s="920"/>
      <c r="K435" s="920"/>
      <c r="L435" s="920"/>
      <c r="M435" s="920"/>
      <c r="N435" s="920"/>
      <c r="O435" s="920"/>
      <c r="P435" s="920"/>
      <c r="Q435" s="920"/>
      <c r="R435" s="920"/>
      <c r="S435" s="920"/>
      <c r="T435" s="920"/>
      <c r="U435" s="920"/>
      <c r="V435" s="920"/>
      <c r="W435" s="920"/>
      <c r="X435" s="920"/>
      <c r="Y435" s="920"/>
      <c r="Z435" s="920"/>
    </row>
    <row r="436" s="921" customFormat="true" ht="21.75" hidden="false" customHeight="true" outlineLevel="0" collapsed="false">
      <c r="J436" s="920"/>
      <c r="K436" s="920"/>
      <c r="L436" s="920"/>
      <c r="M436" s="920"/>
      <c r="N436" s="920"/>
      <c r="O436" s="920"/>
      <c r="P436" s="920"/>
      <c r="Q436" s="920"/>
      <c r="R436" s="920"/>
      <c r="S436" s="920"/>
      <c r="T436" s="920"/>
      <c r="U436" s="920"/>
      <c r="V436" s="920"/>
      <c r="W436" s="920"/>
      <c r="X436" s="920"/>
      <c r="Y436" s="920"/>
      <c r="Z436" s="920"/>
    </row>
    <row r="437" s="921" customFormat="true" ht="21.75" hidden="false" customHeight="true" outlineLevel="0" collapsed="false">
      <c r="J437" s="920"/>
      <c r="K437" s="920"/>
      <c r="L437" s="920"/>
      <c r="M437" s="920"/>
      <c r="N437" s="920"/>
      <c r="O437" s="920"/>
      <c r="P437" s="920"/>
      <c r="Q437" s="920"/>
      <c r="R437" s="920"/>
      <c r="S437" s="920"/>
      <c r="T437" s="920"/>
      <c r="U437" s="920"/>
      <c r="V437" s="920"/>
      <c r="W437" s="920"/>
      <c r="X437" s="920"/>
      <c r="Y437" s="920"/>
      <c r="Z437" s="920"/>
    </row>
    <row r="438" s="921" customFormat="true" ht="21.75" hidden="false" customHeight="true" outlineLevel="0" collapsed="false">
      <c r="J438" s="920"/>
      <c r="K438" s="920"/>
      <c r="L438" s="920"/>
      <c r="M438" s="920"/>
      <c r="N438" s="920"/>
      <c r="O438" s="920"/>
      <c r="P438" s="920"/>
      <c r="Q438" s="920"/>
      <c r="R438" s="920"/>
      <c r="S438" s="920"/>
      <c r="T438" s="920"/>
      <c r="U438" s="920"/>
      <c r="V438" s="920"/>
      <c r="W438" s="920"/>
      <c r="X438" s="920"/>
      <c r="Y438" s="920"/>
      <c r="Z438" s="920"/>
    </row>
    <row r="439" s="921" customFormat="true" ht="21.75" hidden="false" customHeight="true" outlineLevel="0" collapsed="false">
      <c r="J439" s="920"/>
      <c r="K439" s="920"/>
      <c r="L439" s="920"/>
      <c r="M439" s="920"/>
      <c r="N439" s="920"/>
      <c r="O439" s="920"/>
      <c r="P439" s="920"/>
      <c r="Q439" s="920"/>
      <c r="R439" s="920"/>
      <c r="S439" s="920"/>
      <c r="T439" s="920"/>
      <c r="U439" s="920"/>
      <c r="V439" s="920"/>
      <c r="W439" s="920"/>
      <c r="X439" s="920"/>
      <c r="Y439" s="920"/>
      <c r="Z439" s="920"/>
    </row>
    <row r="440" s="921" customFormat="true" ht="21.75" hidden="false" customHeight="true" outlineLevel="0" collapsed="false">
      <c r="J440" s="920"/>
      <c r="K440" s="920"/>
      <c r="L440" s="920"/>
      <c r="M440" s="920"/>
      <c r="N440" s="920"/>
      <c r="O440" s="920"/>
      <c r="P440" s="920"/>
      <c r="Q440" s="920"/>
      <c r="R440" s="920"/>
      <c r="S440" s="920"/>
      <c r="T440" s="920"/>
      <c r="U440" s="920"/>
      <c r="V440" s="920"/>
      <c r="W440" s="920"/>
      <c r="X440" s="920"/>
      <c r="Y440" s="920"/>
      <c r="Z440" s="920"/>
    </row>
    <row r="441" s="921" customFormat="true" ht="21.75" hidden="false" customHeight="true" outlineLevel="0" collapsed="false">
      <c r="J441" s="920"/>
      <c r="K441" s="920"/>
      <c r="L441" s="920"/>
      <c r="M441" s="920"/>
      <c r="N441" s="920"/>
      <c r="O441" s="920"/>
      <c r="P441" s="920"/>
      <c r="Q441" s="920"/>
      <c r="R441" s="920"/>
      <c r="S441" s="920"/>
      <c r="T441" s="920"/>
      <c r="U441" s="920"/>
      <c r="V441" s="920"/>
      <c r="W441" s="920"/>
      <c r="X441" s="920"/>
      <c r="Y441" s="920"/>
      <c r="Z441" s="920"/>
    </row>
    <row r="442" s="921" customFormat="true" ht="21.75" hidden="false" customHeight="true" outlineLevel="0" collapsed="false">
      <c r="J442" s="920"/>
      <c r="K442" s="920"/>
      <c r="L442" s="920"/>
      <c r="M442" s="920"/>
      <c r="N442" s="920"/>
      <c r="O442" s="920"/>
      <c r="P442" s="920"/>
      <c r="Q442" s="920"/>
      <c r="R442" s="920"/>
      <c r="S442" s="920"/>
      <c r="T442" s="920"/>
      <c r="U442" s="920"/>
      <c r="V442" s="920"/>
      <c r="W442" s="920"/>
      <c r="X442" s="920"/>
      <c r="Y442" s="920"/>
      <c r="Z442" s="920"/>
    </row>
    <row r="443" s="921" customFormat="true" ht="21.75" hidden="false" customHeight="true" outlineLevel="0" collapsed="false">
      <c r="J443" s="920"/>
      <c r="K443" s="920"/>
      <c r="L443" s="920"/>
      <c r="M443" s="920"/>
      <c r="N443" s="920"/>
      <c r="O443" s="920"/>
      <c r="P443" s="920"/>
      <c r="Q443" s="920"/>
      <c r="R443" s="920"/>
      <c r="S443" s="920"/>
      <c r="T443" s="920"/>
      <c r="U443" s="920"/>
      <c r="V443" s="920"/>
      <c r="W443" s="920"/>
      <c r="X443" s="920"/>
      <c r="Y443" s="920"/>
      <c r="Z443" s="920"/>
    </row>
    <row r="444" s="921" customFormat="true" ht="21.75" hidden="false" customHeight="true" outlineLevel="0" collapsed="false">
      <c r="J444" s="920"/>
      <c r="K444" s="920"/>
      <c r="L444" s="920"/>
      <c r="M444" s="920"/>
      <c r="N444" s="920"/>
      <c r="O444" s="920"/>
      <c r="P444" s="920"/>
      <c r="Q444" s="920"/>
      <c r="R444" s="920"/>
      <c r="S444" s="920"/>
      <c r="T444" s="920"/>
      <c r="U444" s="920"/>
      <c r="V444" s="920"/>
      <c r="W444" s="920"/>
      <c r="X444" s="920"/>
      <c r="Y444" s="920"/>
      <c r="Z444" s="920"/>
    </row>
    <row r="445" s="921" customFormat="true" ht="21.75" hidden="false" customHeight="true" outlineLevel="0" collapsed="false">
      <c r="J445" s="920"/>
      <c r="K445" s="920"/>
      <c r="L445" s="920"/>
      <c r="M445" s="920"/>
      <c r="N445" s="920"/>
      <c r="O445" s="920"/>
      <c r="P445" s="920"/>
      <c r="Q445" s="920"/>
      <c r="R445" s="920"/>
      <c r="S445" s="920"/>
      <c r="T445" s="920"/>
      <c r="U445" s="920"/>
      <c r="V445" s="920"/>
      <c r="W445" s="920"/>
      <c r="X445" s="920"/>
      <c r="Y445" s="920"/>
      <c r="Z445" s="920"/>
    </row>
    <row r="446" s="921" customFormat="true" ht="21.75" hidden="false" customHeight="true" outlineLevel="0" collapsed="false">
      <c r="J446" s="920"/>
      <c r="K446" s="920"/>
      <c r="L446" s="920"/>
      <c r="M446" s="920"/>
      <c r="N446" s="920"/>
      <c r="O446" s="920"/>
      <c r="P446" s="920"/>
      <c r="Q446" s="920"/>
      <c r="R446" s="920"/>
      <c r="S446" s="920"/>
      <c r="T446" s="920"/>
      <c r="U446" s="920"/>
      <c r="V446" s="920"/>
      <c r="W446" s="920"/>
      <c r="X446" s="920"/>
      <c r="Y446" s="920"/>
      <c r="Z446" s="920"/>
    </row>
    <row r="447" s="921" customFormat="true" ht="21.75" hidden="false" customHeight="true" outlineLevel="0" collapsed="false">
      <c r="J447" s="920"/>
      <c r="K447" s="920"/>
      <c r="L447" s="920"/>
      <c r="M447" s="920"/>
      <c r="N447" s="920"/>
      <c r="O447" s="920"/>
      <c r="P447" s="920"/>
      <c r="Q447" s="920"/>
      <c r="R447" s="920"/>
      <c r="S447" s="920"/>
      <c r="T447" s="920"/>
      <c r="U447" s="920"/>
      <c r="V447" s="920"/>
      <c r="W447" s="920"/>
      <c r="X447" s="920"/>
      <c r="Y447" s="920"/>
      <c r="Z447" s="920"/>
    </row>
    <row r="448" s="921" customFormat="true" ht="21.75" hidden="false" customHeight="true" outlineLevel="0" collapsed="false">
      <c r="J448" s="920"/>
      <c r="K448" s="920"/>
      <c r="L448" s="920"/>
      <c r="M448" s="920"/>
      <c r="N448" s="920"/>
      <c r="O448" s="920"/>
      <c r="P448" s="920"/>
      <c r="Q448" s="920"/>
      <c r="R448" s="920"/>
      <c r="S448" s="920"/>
      <c r="T448" s="920"/>
      <c r="U448" s="920"/>
      <c r="V448" s="920"/>
      <c r="W448" s="920"/>
      <c r="X448" s="920"/>
      <c r="Y448" s="920"/>
      <c r="Z448" s="920"/>
    </row>
    <row r="449" s="921" customFormat="true" ht="21.75" hidden="false" customHeight="true" outlineLevel="0" collapsed="false">
      <c r="J449" s="920"/>
      <c r="K449" s="920"/>
      <c r="L449" s="920"/>
      <c r="M449" s="920"/>
      <c r="N449" s="920"/>
      <c r="O449" s="920"/>
      <c r="P449" s="920"/>
      <c r="Q449" s="920"/>
      <c r="R449" s="920"/>
      <c r="S449" s="920"/>
      <c r="T449" s="920"/>
      <c r="U449" s="920"/>
      <c r="V449" s="920"/>
      <c r="W449" s="920"/>
      <c r="X449" s="920"/>
      <c r="Y449" s="920"/>
      <c r="Z449" s="920"/>
    </row>
    <row r="450" s="921" customFormat="true" ht="21.75" hidden="false" customHeight="true" outlineLevel="0" collapsed="false">
      <c r="J450" s="920"/>
      <c r="K450" s="920"/>
      <c r="L450" s="920"/>
      <c r="M450" s="920"/>
      <c r="N450" s="920"/>
      <c r="O450" s="920"/>
      <c r="P450" s="920"/>
      <c r="Q450" s="920"/>
      <c r="R450" s="920"/>
      <c r="S450" s="920"/>
      <c r="T450" s="920"/>
      <c r="U450" s="920"/>
      <c r="V450" s="920"/>
      <c r="W450" s="920"/>
      <c r="X450" s="920"/>
      <c r="Y450" s="920"/>
      <c r="Z450" s="920"/>
    </row>
    <row r="451" s="921" customFormat="true" ht="21.75" hidden="false" customHeight="true" outlineLevel="0" collapsed="false">
      <c r="J451" s="920"/>
      <c r="K451" s="920"/>
      <c r="L451" s="920"/>
      <c r="M451" s="920"/>
      <c r="N451" s="920"/>
      <c r="O451" s="920"/>
      <c r="P451" s="920"/>
      <c r="Q451" s="920"/>
      <c r="R451" s="920"/>
      <c r="S451" s="920"/>
      <c r="T451" s="920"/>
      <c r="U451" s="920"/>
      <c r="V451" s="920"/>
      <c r="W451" s="920"/>
      <c r="X451" s="920"/>
      <c r="Y451" s="920"/>
      <c r="Z451" s="920"/>
    </row>
    <row r="452" s="921" customFormat="true" ht="21.75" hidden="false" customHeight="true" outlineLevel="0" collapsed="false">
      <c r="J452" s="920"/>
      <c r="K452" s="920"/>
      <c r="L452" s="920"/>
      <c r="M452" s="920"/>
      <c r="N452" s="920"/>
      <c r="O452" s="920"/>
      <c r="P452" s="920"/>
      <c r="Q452" s="920"/>
      <c r="R452" s="920"/>
      <c r="S452" s="920"/>
      <c r="T452" s="920"/>
      <c r="U452" s="920"/>
      <c r="V452" s="920"/>
      <c r="W452" s="920"/>
      <c r="X452" s="920"/>
      <c r="Y452" s="920"/>
      <c r="Z452" s="920"/>
    </row>
    <row r="453" s="921" customFormat="true" ht="21.75" hidden="false" customHeight="true" outlineLevel="0" collapsed="false">
      <c r="J453" s="920"/>
      <c r="K453" s="920"/>
      <c r="L453" s="920"/>
      <c r="M453" s="920"/>
      <c r="N453" s="920"/>
      <c r="O453" s="920"/>
      <c r="P453" s="920"/>
      <c r="Q453" s="920"/>
      <c r="R453" s="920"/>
      <c r="S453" s="920"/>
      <c r="T453" s="920"/>
      <c r="U453" s="920"/>
      <c r="V453" s="920"/>
      <c r="W453" s="920"/>
      <c r="X453" s="920"/>
      <c r="Y453" s="920"/>
      <c r="Z453" s="920"/>
    </row>
    <row r="454" s="921" customFormat="true" ht="21.75" hidden="false" customHeight="true" outlineLevel="0" collapsed="false">
      <c r="J454" s="920"/>
      <c r="K454" s="920"/>
      <c r="L454" s="920"/>
      <c r="M454" s="920"/>
      <c r="N454" s="920"/>
      <c r="O454" s="920"/>
      <c r="P454" s="920"/>
      <c r="Q454" s="920"/>
      <c r="R454" s="920"/>
      <c r="S454" s="920"/>
      <c r="T454" s="920"/>
      <c r="U454" s="920"/>
      <c r="V454" s="920"/>
      <c r="W454" s="920"/>
      <c r="X454" s="920"/>
      <c r="Y454" s="920"/>
      <c r="Z454" s="920"/>
    </row>
    <row r="455" s="921" customFormat="true" ht="21.75" hidden="false" customHeight="true" outlineLevel="0" collapsed="false">
      <c r="J455" s="920"/>
      <c r="K455" s="920"/>
      <c r="L455" s="920"/>
      <c r="M455" s="920"/>
      <c r="N455" s="920"/>
      <c r="O455" s="920"/>
      <c r="P455" s="920"/>
      <c r="Q455" s="920"/>
      <c r="R455" s="920"/>
      <c r="S455" s="920"/>
      <c r="T455" s="920"/>
      <c r="U455" s="920"/>
      <c r="V455" s="920"/>
      <c r="W455" s="920"/>
      <c r="X455" s="920"/>
      <c r="Y455" s="920"/>
      <c r="Z455" s="920"/>
    </row>
    <row r="456" s="921" customFormat="true" ht="21.75" hidden="false" customHeight="true" outlineLevel="0" collapsed="false">
      <c r="J456" s="920"/>
      <c r="K456" s="920"/>
      <c r="L456" s="920"/>
      <c r="M456" s="920"/>
      <c r="N456" s="920"/>
      <c r="O456" s="920"/>
      <c r="P456" s="920"/>
      <c r="Q456" s="920"/>
      <c r="R456" s="920"/>
      <c r="S456" s="920"/>
      <c r="T456" s="920"/>
      <c r="U456" s="920"/>
      <c r="V456" s="920"/>
      <c r="W456" s="920"/>
      <c r="X456" s="920"/>
      <c r="Y456" s="920"/>
      <c r="Z456" s="920"/>
    </row>
    <row r="457" s="921" customFormat="true" ht="21.75" hidden="false" customHeight="true" outlineLevel="0" collapsed="false">
      <c r="J457" s="920"/>
      <c r="K457" s="920"/>
      <c r="L457" s="920"/>
      <c r="M457" s="920"/>
      <c r="N457" s="920"/>
      <c r="O457" s="920"/>
      <c r="P457" s="920"/>
      <c r="Q457" s="920"/>
      <c r="R457" s="920"/>
      <c r="S457" s="920"/>
      <c r="T457" s="920"/>
      <c r="U457" s="920"/>
      <c r="V457" s="920"/>
      <c r="W457" s="920"/>
      <c r="X457" s="920"/>
      <c r="Y457" s="920"/>
      <c r="Z457" s="920"/>
    </row>
    <row r="458" s="921" customFormat="true" ht="21.75" hidden="false" customHeight="true" outlineLevel="0" collapsed="false">
      <c r="J458" s="920"/>
      <c r="K458" s="920"/>
      <c r="L458" s="920"/>
      <c r="M458" s="920"/>
      <c r="N458" s="920"/>
      <c r="O458" s="920"/>
      <c r="P458" s="920"/>
      <c r="Q458" s="920"/>
      <c r="R458" s="920"/>
      <c r="S458" s="920"/>
      <c r="T458" s="920"/>
      <c r="U458" s="920"/>
      <c r="V458" s="920"/>
      <c r="W458" s="920"/>
      <c r="X458" s="920"/>
      <c r="Y458" s="920"/>
      <c r="Z458" s="920"/>
    </row>
    <row r="459" s="921" customFormat="true" ht="21.75" hidden="false" customHeight="true" outlineLevel="0" collapsed="false">
      <c r="J459" s="920"/>
      <c r="K459" s="920"/>
      <c r="L459" s="920"/>
      <c r="M459" s="920"/>
      <c r="N459" s="920"/>
      <c r="O459" s="920"/>
      <c r="P459" s="920"/>
      <c r="Q459" s="920"/>
      <c r="R459" s="920"/>
      <c r="S459" s="920"/>
      <c r="T459" s="920"/>
      <c r="U459" s="920"/>
      <c r="V459" s="920"/>
      <c r="W459" s="920"/>
      <c r="X459" s="920"/>
      <c r="Y459" s="920"/>
      <c r="Z459" s="920"/>
    </row>
    <row r="460" s="921" customFormat="true" ht="21.75" hidden="false" customHeight="true" outlineLevel="0" collapsed="false">
      <c r="J460" s="920"/>
      <c r="K460" s="920"/>
      <c r="L460" s="920"/>
      <c r="M460" s="920"/>
      <c r="N460" s="920"/>
      <c r="O460" s="920"/>
      <c r="P460" s="920"/>
      <c r="Q460" s="920"/>
      <c r="R460" s="920"/>
      <c r="S460" s="920"/>
      <c r="T460" s="920"/>
      <c r="U460" s="920"/>
      <c r="V460" s="920"/>
      <c r="W460" s="920"/>
      <c r="X460" s="920"/>
      <c r="Y460" s="920"/>
      <c r="Z460" s="920"/>
    </row>
    <row r="461" s="921" customFormat="true" ht="21.75" hidden="false" customHeight="true" outlineLevel="0" collapsed="false">
      <c r="J461" s="920"/>
      <c r="K461" s="920"/>
      <c r="L461" s="920"/>
      <c r="M461" s="920"/>
      <c r="N461" s="920"/>
      <c r="O461" s="920"/>
      <c r="P461" s="920"/>
      <c r="Q461" s="920"/>
      <c r="R461" s="920"/>
      <c r="S461" s="920"/>
      <c r="T461" s="920"/>
      <c r="U461" s="920"/>
      <c r="V461" s="920"/>
      <c r="W461" s="920"/>
      <c r="X461" s="920"/>
      <c r="Y461" s="920"/>
      <c r="Z461" s="920"/>
    </row>
    <row r="462" s="921" customFormat="true" ht="21.75" hidden="false" customHeight="true" outlineLevel="0" collapsed="false">
      <c r="J462" s="920"/>
      <c r="K462" s="920"/>
      <c r="L462" s="920"/>
      <c r="M462" s="920"/>
      <c r="N462" s="920"/>
      <c r="O462" s="920"/>
      <c r="P462" s="920"/>
      <c r="Q462" s="920"/>
      <c r="R462" s="920"/>
      <c r="S462" s="920"/>
      <c r="T462" s="920"/>
      <c r="U462" s="920"/>
      <c r="V462" s="920"/>
      <c r="W462" s="920"/>
      <c r="X462" s="920"/>
      <c r="Y462" s="920"/>
      <c r="Z462" s="920"/>
    </row>
    <row r="463" s="921" customFormat="true" ht="21.75" hidden="false" customHeight="true" outlineLevel="0" collapsed="false">
      <c r="J463" s="920"/>
      <c r="K463" s="920"/>
      <c r="L463" s="920"/>
      <c r="M463" s="920"/>
      <c r="N463" s="920"/>
      <c r="O463" s="920"/>
      <c r="P463" s="920"/>
      <c r="Q463" s="920"/>
      <c r="R463" s="920"/>
      <c r="S463" s="920"/>
      <c r="T463" s="920"/>
      <c r="U463" s="920"/>
      <c r="V463" s="920"/>
      <c r="W463" s="920"/>
      <c r="X463" s="920"/>
      <c r="Y463" s="920"/>
      <c r="Z463" s="920"/>
    </row>
    <row r="464" s="921" customFormat="true" ht="21.75" hidden="false" customHeight="true" outlineLevel="0" collapsed="false">
      <c r="J464" s="920"/>
      <c r="K464" s="920"/>
      <c r="L464" s="920"/>
      <c r="M464" s="920"/>
      <c r="N464" s="920"/>
      <c r="O464" s="920"/>
      <c r="P464" s="920"/>
      <c r="Q464" s="920"/>
      <c r="R464" s="920"/>
      <c r="S464" s="920"/>
      <c r="T464" s="920"/>
      <c r="U464" s="920"/>
      <c r="V464" s="920"/>
      <c r="W464" s="920"/>
      <c r="X464" s="920"/>
      <c r="Y464" s="920"/>
      <c r="Z464" s="920"/>
    </row>
    <row r="465" s="921" customFormat="true" ht="21.75" hidden="false" customHeight="true" outlineLevel="0" collapsed="false">
      <c r="J465" s="920"/>
      <c r="K465" s="920"/>
      <c r="L465" s="920"/>
      <c r="M465" s="920"/>
      <c r="N465" s="920"/>
      <c r="O465" s="920"/>
      <c r="P465" s="920"/>
      <c r="Q465" s="920"/>
      <c r="R465" s="920"/>
      <c r="S465" s="920"/>
      <c r="T465" s="920"/>
      <c r="U465" s="920"/>
      <c r="V465" s="920"/>
      <c r="W465" s="920"/>
      <c r="X465" s="920"/>
      <c r="Y465" s="920"/>
      <c r="Z465" s="920"/>
    </row>
    <row r="466" s="921" customFormat="true" ht="21.75" hidden="false" customHeight="true" outlineLevel="0" collapsed="false">
      <c r="J466" s="920"/>
      <c r="K466" s="920"/>
      <c r="L466" s="920"/>
      <c r="M466" s="920"/>
      <c r="N466" s="920"/>
      <c r="O466" s="920"/>
      <c r="P466" s="920"/>
      <c r="Q466" s="920"/>
      <c r="R466" s="920"/>
      <c r="S466" s="920"/>
      <c r="T466" s="920"/>
      <c r="U466" s="920"/>
      <c r="V466" s="920"/>
      <c r="W466" s="920"/>
      <c r="X466" s="920"/>
      <c r="Y466" s="920"/>
      <c r="Z466" s="920"/>
    </row>
    <row r="467" s="921" customFormat="true" ht="21.75" hidden="false" customHeight="true" outlineLevel="0" collapsed="false">
      <c r="J467" s="920"/>
      <c r="K467" s="920"/>
      <c r="L467" s="920"/>
      <c r="M467" s="920"/>
      <c r="N467" s="920"/>
      <c r="O467" s="920"/>
      <c r="P467" s="920"/>
      <c r="Q467" s="920"/>
      <c r="R467" s="920"/>
      <c r="S467" s="920"/>
      <c r="T467" s="920"/>
      <c r="U467" s="920"/>
      <c r="V467" s="920"/>
      <c r="W467" s="920"/>
      <c r="X467" s="920"/>
      <c r="Y467" s="920"/>
      <c r="Z467" s="920"/>
    </row>
    <row r="468" s="921" customFormat="true" ht="21.75" hidden="false" customHeight="true" outlineLevel="0" collapsed="false">
      <c r="J468" s="920"/>
      <c r="K468" s="920"/>
      <c r="L468" s="920"/>
      <c r="M468" s="920"/>
      <c r="N468" s="920"/>
      <c r="O468" s="920"/>
      <c r="P468" s="920"/>
      <c r="Q468" s="920"/>
      <c r="R468" s="920"/>
      <c r="S468" s="920"/>
      <c r="T468" s="920"/>
      <c r="U468" s="920"/>
      <c r="V468" s="920"/>
      <c r="W468" s="920"/>
      <c r="X468" s="920"/>
      <c r="Y468" s="920"/>
      <c r="Z468" s="920"/>
    </row>
    <row r="469" s="921" customFormat="true" ht="21.75" hidden="false" customHeight="true" outlineLevel="0" collapsed="false">
      <c r="J469" s="920"/>
      <c r="K469" s="920"/>
      <c r="L469" s="920"/>
      <c r="M469" s="920"/>
      <c r="N469" s="920"/>
      <c r="O469" s="920"/>
      <c r="P469" s="920"/>
      <c r="Q469" s="920"/>
      <c r="R469" s="920"/>
      <c r="S469" s="920"/>
      <c r="T469" s="920"/>
      <c r="U469" s="920"/>
      <c r="V469" s="920"/>
      <c r="W469" s="920"/>
      <c r="X469" s="920"/>
      <c r="Y469" s="920"/>
      <c r="Z469" s="920"/>
    </row>
    <row r="470" s="921" customFormat="true" ht="21.75" hidden="false" customHeight="true" outlineLevel="0" collapsed="false">
      <c r="J470" s="920"/>
      <c r="K470" s="920"/>
      <c r="L470" s="920"/>
      <c r="M470" s="920"/>
      <c r="N470" s="920"/>
      <c r="O470" s="920"/>
      <c r="P470" s="920"/>
      <c r="Q470" s="920"/>
      <c r="R470" s="920"/>
      <c r="S470" s="920"/>
      <c r="T470" s="920"/>
      <c r="U470" s="920"/>
      <c r="V470" s="920"/>
      <c r="W470" s="920"/>
      <c r="X470" s="920"/>
      <c r="Y470" s="920"/>
      <c r="Z470" s="920"/>
    </row>
    <row r="471" s="921" customFormat="true" ht="21.75" hidden="false" customHeight="true" outlineLevel="0" collapsed="false">
      <c r="J471" s="920"/>
      <c r="K471" s="920"/>
      <c r="L471" s="920"/>
      <c r="M471" s="920"/>
      <c r="N471" s="920"/>
      <c r="O471" s="920"/>
      <c r="P471" s="920"/>
      <c r="Q471" s="920"/>
      <c r="R471" s="920"/>
      <c r="S471" s="920"/>
      <c r="T471" s="920"/>
      <c r="U471" s="920"/>
      <c r="V471" s="920"/>
      <c r="W471" s="920"/>
      <c r="X471" s="920"/>
      <c r="Y471" s="920"/>
      <c r="Z471" s="920"/>
    </row>
    <row r="472" s="921" customFormat="true" ht="21.75" hidden="false" customHeight="true" outlineLevel="0" collapsed="false">
      <c r="J472" s="920"/>
      <c r="K472" s="920"/>
      <c r="L472" s="920"/>
      <c r="M472" s="920"/>
      <c r="N472" s="920"/>
      <c r="O472" s="920"/>
      <c r="P472" s="920"/>
      <c r="Q472" s="920"/>
      <c r="R472" s="920"/>
      <c r="S472" s="920"/>
      <c r="T472" s="920"/>
      <c r="U472" s="920"/>
      <c r="V472" s="920"/>
      <c r="W472" s="920"/>
      <c r="X472" s="920"/>
      <c r="Y472" s="920"/>
      <c r="Z472" s="920"/>
    </row>
    <row r="473" s="921" customFormat="true" ht="21.75" hidden="false" customHeight="true" outlineLevel="0" collapsed="false">
      <c r="J473" s="920"/>
      <c r="K473" s="920"/>
      <c r="L473" s="920"/>
      <c r="M473" s="920"/>
      <c r="N473" s="920"/>
      <c r="O473" s="920"/>
      <c r="P473" s="920"/>
      <c r="Q473" s="920"/>
      <c r="R473" s="920"/>
      <c r="S473" s="920"/>
      <c r="T473" s="920"/>
      <c r="U473" s="920"/>
      <c r="V473" s="920"/>
      <c r="W473" s="920"/>
      <c r="X473" s="920"/>
      <c r="Y473" s="920"/>
      <c r="Z473" s="920"/>
    </row>
    <row r="474" s="921" customFormat="true" ht="21.75" hidden="false" customHeight="true" outlineLevel="0" collapsed="false">
      <c r="J474" s="920"/>
      <c r="K474" s="920"/>
      <c r="L474" s="920"/>
      <c r="M474" s="920"/>
      <c r="N474" s="920"/>
      <c r="O474" s="920"/>
      <c r="P474" s="920"/>
      <c r="Q474" s="920"/>
      <c r="R474" s="920"/>
      <c r="S474" s="920"/>
      <c r="T474" s="920"/>
      <c r="U474" s="920"/>
      <c r="V474" s="920"/>
      <c r="W474" s="920"/>
      <c r="X474" s="920"/>
      <c r="Y474" s="920"/>
      <c r="Z474" s="920"/>
    </row>
    <row r="475" s="921" customFormat="true" ht="21.75" hidden="false" customHeight="true" outlineLevel="0" collapsed="false">
      <c r="J475" s="920"/>
      <c r="K475" s="920"/>
      <c r="L475" s="920"/>
      <c r="M475" s="920"/>
      <c r="N475" s="920"/>
      <c r="O475" s="920"/>
      <c r="P475" s="920"/>
      <c r="Q475" s="920"/>
      <c r="R475" s="920"/>
      <c r="S475" s="920"/>
      <c r="T475" s="920"/>
      <c r="U475" s="920"/>
      <c r="V475" s="920"/>
      <c r="W475" s="920"/>
      <c r="X475" s="920"/>
      <c r="Y475" s="920"/>
      <c r="Z475" s="920"/>
    </row>
    <row r="476" s="921" customFormat="true" ht="21.75" hidden="false" customHeight="true" outlineLevel="0" collapsed="false">
      <c r="J476" s="920"/>
      <c r="K476" s="920"/>
      <c r="L476" s="920"/>
      <c r="M476" s="920"/>
      <c r="N476" s="920"/>
      <c r="O476" s="920"/>
      <c r="P476" s="920"/>
      <c r="Q476" s="920"/>
      <c r="R476" s="920"/>
      <c r="S476" s="920"/>
      <c r="T476" s="920"/>
      <c r="U476" s="920"/>
      <c r="V476" s="920"/>
      <c r="W476" s="920"/>
      <c r="X476" s="920"/>
      <c r="Y476" s="920"/>
      <c r="Z476" s="920"/>
    </row>
    <row r="477" s="921" customFormat="true" ht="21.75" hidden="false" customHeight="true" outlineLevel="0" collapsed="false">
      <c r="J477" s="920"/>
      <c r="K477" s="920"/>
      <c r="L477" s="920"/>
      <c r="M477" s="920"/>
      <c r="N477" s="920"/>
      <c r="O477" s="920"/>
      <c r="P477" s="920"/>
      <c r="Q477" s="920"/>
      <c r="R477" s="920"/>
      <c r="S477" s="920"/>
      <c r="T477" s="920"/>
      <c r="U477" s="920"/>
      <c r="V477" s="920"/>
      <c r="W477" s="920"/>
      <c r="X477" s="920"/>
      <c r="Y477" s="920"/>
      <c r="Z477" s="920"/>
    </row>
    <row r="478" s="921" customFormat="true" ht="21.75" hidden="false" customHeight="true" outlineLevel="0" collapsed="false">
      <c r="J478" s="920"/>
      <c r="K478" s="920"/>
      <c r="L478" s="920"/>
      <c r="M478" s="920"/>
      <c r="N478" s="920"/>
      <c r="O478" s="920"/>
      <c r="P478" s="920"/>
      <c r="Q478" s="920"/>
      <c r="R478" s="920"/>
      <c r="S478" s="920"/>
      <c r="T478" s="920"/>
      <c r="U478" s="920"/>
      <c r="V478" s="920"/>
      <c r="W478" s="920"/>
      <c r="X478" s="920"/>
      <c r="Y478" s="920"/>
      <c r="Z478" s="920"/>
    </row>
    <row r="479" s="921" customFormat="true" ht="21.75" hidden="false" customHeight="true" outlineLevel="0" collapsed="false">
      <c r="J479" s="920"/>
      <c r="K479" s="920"/>
      <c r="L479" s="920"/>
      <c r="M479" s="920"/>
      <c r="N479" s="920"/>
      <c r="O479" s="920"/>
      <c r="P479" s="920"/>
      <c r="Q479" s="920"/>
      <c r="R479" s="920"/>
      <c r="S479" s="920"/>
      <c r="T479" s="920"/>
      <c r="U479" s="920"/>
      <c r="V479" s="920"/>
      <c r="W479" s="920"/>
      <c r="X479" s="920"/>
      <c r="Y479" s="920"/>
      <c r="Z479" s="920"/>
    </row>
    <row r="480" s="921" customFormat="true" ht="21.75" hidden="false" customHeight="true" outlineLevel="0" collapsed="false">
      <c r="J480" s="920"/>
      <c r="K480" s="920"/>
      <c r="L480" s="920"/>
      <c r="M480" s="920"/>
      <c r="N480" s="920"/>
      <c r="O480" s="920"/>
      <c r="P480" s="920"/>
      <c r="Q480" s="920"/>
      <c r="R480" s="920"/>
      <c r="S480" s="920"/>
      <c r="T480" s="920"/>
      <c r="U480" s="920"/>
      <c r="V480" s="920"/>
      <c r="W480" s="920"/>
      <c r="X480" s="920"/>
      <c r="Y480" s="920"/>
      <c r="Z480" s="920"/>
    </row>
    <row r="481" s="921" customFormat="true" ht="21.75" hidden="false" customHeight="true" outlineLevel="0" collapsed="false">
      <c r="J481" s="920"/>
      <c r="K481" s="920"/>
      <c r="L481" s="920"/>
      <c r="M481" s="920"/>
      <c r="N481" s="920"/>
      <c r="O481" s="920"/>
      <c r="P481" s="920"/>
      <c r="Q481" s="920"/>
      <c r="R481" s="920"/>
      <c r="S481" s="920"/>
      <c r="T481" s="920"/>
      <c r="U481" s="920"/>
      <c r="V481" s="920"/>
      <c r="W481" s="920"/>
      <c r="X481" s="920"/>
      <c r="Y481" s="920"/>
      <c r="Z481" s="920"/>
    </row>
    <row r="482" s="921" customFormat="true" ht="21.75" hidden="false" customHeight="true" outlineLevel="0" collapsed="false">
      <c r="J482" s="920"/>
      <c r="K482" s="920"/>
      <c r="L482" s="920"/>
      <c r="M482" s="920"/>
      <c r="N482" s="920"/>
      <c r="O482" s="920"/>
      <c r="P482" s="920"/>
      <c r="Q482" s="920"/>
      <c r="R482" s="920"/>
      <c r="S482" s="920"/>
      <c r="T482" s="920"/>
      <c r="U482" s="920"/>
      <c r="V482" s="920"/>
      <c r="W482" s="920"/>
      <c r="X482" s="920"/>
      <c r="Y482" s="920"/>
      <c r="Z482" s="920"/>
    </row>
    <row r="483" s="921" customFormat="true" ht="21.75" hidden="false" customHeight="true" outlineLevel="0" collapsed="false">
      <c r="J483" s="920"/>
      <c r="K483" s="920"/>
      <c r="L483" s="920"/>
      <c r="M483" s="920"/>
      <c r="N483" s="920"/>
      <c r="O483" s="920"/>
      <c r="P483" s="920"/>
      <c r="Q483" s="920"/>
      <c r="R483" s="920"/>
      <c r="S483" s="920"/>
      <c r="T483" s="920"/>
      <c r="U483" s="920"/>
      <c r="V483" s="920"/>
      <c r="W483" s="920"/>
      <c r="X483" s="920"/>
      <c r="Y483" s="920"/>
      <c r="Z483" s="920"/>
    </row>
    <row r="484" s="921" customFormat="true" ht="21.75" hidden="false" customHeight="true" outlineLevel="0" collapsed="false">
      <c r="J484" s="920"/>
      <c r="K484" s="920"/>
      <c r="L484" s="920"/>
      <c r="M484" s="920"/>
      <c r="N484" s="920"/>
      <c r="O484" s="920"/>
      <c r="P484" s="920"/>
      <c r="Q484" s="920"/>
      <c r="R484" s="920"/>
      <c r="S484" s="920"/>
      <c r="T484" s="920"/>
      <c r="U484" s="920"/>
      <c r="V484" s="920"/>
      <c r="W484" s="920"/>
      <c r="X484" s="920"/>
      <c r="Y484" s="920"/>
      <c r="Z484" s="920"/>
    </row>
    <row r="485" s="921" customFormat="true" ht="21.75" hidden="false" customHeight="true" outlineLevel="0" collapsed="false">
      <c r="J485" s="920"/>
      <c r="K485" s="920"/>
      <c r="L485" s="920"/>
      <c r="M485" s="920"/>
      <c r="N485" s="920"/>
      <c r="O485" s="920"/>
      <c r="P485" s="920"/>
      <c r="Q485" s="920"/>
      <c r="R485" s="920"/>
      <c r="S485" s="920"/>
      <c r="T485" s="920"/>
      <c r="U485" s="920"/>
      <c r="V485" s="920"/>
      <c r="W485" s="920"/>
      <c r="X485" s="920"/>
      <c r="Y485" s="920"/>
      <c r="Z485" s="920"/>
    </row>
    <row r="486" s="921" customFormat="true" ht="21.75" hidden="false" customHeight="true" outlineLevel="0" collapsed="false">
      <c r="J486" s="920"/>
      <c r="K486" s="920"/>
      <c r="L486" s="920"/>
      <c r="M486" s="920"/>
      <c r="N486" s="920"/>
      <c r="O486" s="920"/>
      <c r="P486" s="920"/>
      <c r="Q486" s="920"/>
      <c r="R486" s="920"/>
      <c r="S486" s="920"/>
      <c r="T486" s="920"/>
      <c r="U486" s="920"/>
      <c r="V486" s="920"/>
      <c r="W486" s="920"/>
      <c r="X486" s="920"/>
      <c r="Y486" s="920"/>
      <c r="Z486" s="920"/>
    </row>
    <row r="487" s="921" customFormat="true" ht="21.75" hidden="false" customHeight="true" outlineLevel="0" collapsed="false">
      <c r="J487" s="920"/>
      <c r="K487" s="920"/>
      <c r="L487" s="920"/>
      <c r="M487" s="920"/>
      <c r="N487" s="920"/>
      <c r="O487" s="920"/>
      <c r="P487" s="920"/>
      <c r="Q487" s="920"/>
      <c r="R487" s="920"/>
      <c r="S487" s="920"/>
      <c r="T487" s="920"/>
      <c r="U487" s="920"/>
      <c r="V487" s="920"/>
      <c r="W487" s="920"/>
      <c r="X487" s="920"/>
      <c r="Y487" s="920"/>
      <c r="Z487" s="920"/>
    </row>
    <row r="488" s="921" customFormat="true" ht="21.75" hidden="false" customHeight="true" outlineLevel="0" collapsed="false">
      <c r="J488" s="920"/>
      <c r="K488" s="920"/>
      <c r="L488" s="920"/>
      <c r="M488" s="920"/>
      <c r="N488" s="920"/>
      <c r="O488" s="920"/>
      <c r="P488" s="920"/>
      <c r="Q488" s="920"/>
      <c r="R488" s="920"/>
      <c r="S488" s="920"/>
      <c r="T488" s="920"/>
      <c r="U488" s="920"/>
      <c r="V488" s="920"/>
      <c r="W488" s="920"/>
      <c r="X488" s="920"/>
      <c r="Y488" s="920"/>
      <c r="Z488" s="920"/>
    </row>
    <row r="489" s="921" customFormat="true" ht="21.75" hidden="false" customHeight="true" outlineLevel="0" collapsed="false">
      <c r="J489" s="920"/>
      <c r="K489" s="920"/>
      <c r="L489" s="920"/>
      <c r="M489" s="920"/>
      <c r="N489" s="920"/>
      <c r="O489" s="920"/>
      <c r="P489" s="920"/>
      <c r="Q489" s="920"/>
      <c r="R489" s="920"/>
      <c r="S489" s="920"/>
      <c r="T489" s="920"/>
      <c r="U489" s="920"/>
      <c r="V489" s="920"/>
      <c r="W489" s="920"/>
      <c r="X489" s="920"/>
      <c r="Y489" s="920"/>
      <c r="Z489" s="920"/>
    </row>
    <row r="490" s="921" customFormat="true" ht="21.75" hidden="false" customHeight="true" outlineLevel="0" collapsed="false">
      <c r="J490" s="920"/>
      <c r="K490" s="920"/>
      <c r="L490" s="920"/>
      <c r="M490" s="920"/>
      <c r="N490" s="920"/>
      <c r="O490" s="920"/>
      <c r="P490" s="920"/>
      <c r="Q490" s="920"/>
      <c r="R490" s="920"/>
      <c r="S490" s="920"/>
      <c r="T490" s="920"/>
      <c r="U490" s="920"/>
      <c r="V490" s="920"/>
      <c r="W490" s="920"/>
      <c r="X490" s="920"/>
      <c r="Y490" s="920"/>
      <c r="Z490" s="920"/>
    </row>
    <row r="491" s="921" customFormat="true" ht="21.75" hidden="false" customHeight="true" outlineLevel="0" collapsed="false">
      <c r="J491" s="920"/>
      <c r="K491" s="920"/>
      <c r="L491" s="920"/>
      <c r="M491" s="920"/>
      <c r="N491" s="920"/>
      <c r="O491" s="920"/>
      <c r="P491" s="920"/>
      <c r="Q491" s="920"/>
      <c r="R491" s="920"/>
      <c r="S491" s="920"/>
      <c r="T491" s="920"/>
      <c r="U491" s="920"/>
      <c r="V491" s="920"/>
      <c r="W491" s="920"/>
      <c r="X491" s="920"/>
      <c r="Y491" s="920"/>
      <c r="Z491" s="920"/>
    </row>
    <row r="492" s="921" customFormat="true" ht="21.75" hidden="false" customHeight="true" outlineLevel="0" collapsed="false">
      <c r="J492" s="920"/>
      <c r="K492" s="920"/>
      <c r="L492" s="920"/>
      <c r="M492" s="920"/>
      <c r="N492" s="920"/>
      <c r="O492" s="920"/>
      <c r="P492" s="920"/>
      <c r="Q492" s="920"/>
      <c r="R492" s="920"/>
      <c r="S492" s="920"/>
      <c r="T492" s="920"/>
      <c r="U492" s="920"/>
      <c r="V492" s="920"/>
      <c r="W492" s="920"/>
      <c r="X492" s="920"/>
      <c r="Y492" s="920"/>
      <c r="Z492" s="920"/>
    </row>
    <row r="493" s="921" customFormat="true" ht="21.75" hidden="false" customHeight="true" outlineLevel="0" collapsed="false">
      <c r="J493" s="920"/>
      <c r="K493" s="920"/>
      <c r="L493" s="920"/>
      <c r="M493" s="920"/>
      <c r="N493" s="920"/>
      <c r="O493" s="920"/>
      <c r="P493" s="920"/>
      <c r="Q493" s="920"/>
      <c r="R493" s="920"/>
      <c r="S493" s="920"/>
      <c r="T493" s="920"/>
      <c r="U493" s="920"/>
      <c r="V493" s="920"/>
      <c r="W493" s="920"/>
      <c r="X493" s="920"/>
      <c r="Y493" s="920"/>
      <c r="Z493" s="920"/>
    </row>
    <row r="494" s="921" customFormat="true" ht="21.75" hidden="false" customHeight="true" outlineLevel="0" collapsed="false">
      <c r="J494" s="920"/>
      <c r="K494" s="920"/>
      <c r="L494" s="920"/>
      <c r="M494" s="920"/>
      <c r="N494" s="920"/>
      <c r="O494" s="920"/>
      <c r="P494" s="920"/>
      <c r="Q494" s="920"/>
      <c r="R494" s="920"/>
      <c r="S494" s="920"/>
      <c r="T494" s="920"/>
      <c r="U494" s="920"/>
      <c r="V494" s="920"/>
      <c r="W494" s="920"/>
      <c r="X494" s="920"/>
      <c r="Y494" s="920"/>
      <c r="Z494" s="920"/>
    </row>
    <row r="495" s="921" customFormat="true" ht="21.75" hidden="false" customHeight="true" outlineLevel="0" collapsed="false">
      <c r="J495" s="920"/>
      <c r="K495" s="920"/>
      <c r="L495" s="920"/>
      <c r="M495" s="920"/>
      <c r="N495" s="920"/>
      <c r="O495" s="920"/>
      <c r="P495" s="920"/>
      <c r="Q495" s="920"/>
      <c r="R495" s="920"/>
      <c r="S495" s="920"/>
      <c r="T495" s="920"/>
      <c r="U495" s="920"/>
      <c r="V495" s="920"/>
      <c r="W495" s="920"/>
      <c r="X495" s="920"/>
      <c r="Y495" s="920"/>
      <c r="Z495" s="920"/>
    </row>
    <row r="496" s="921" customFormat="true" ht="21.75" hidden="false" customHeight="true" outlineLevel="0" collapsed="false">
      <c r="J496" s="920"/>
      <c r="K496" s="920"/>
      <c r="L496" s="920"/>
      <c r="M496" s="920"/>
      <c r="N496" s="920"/>
      <c r="O496" s="920"/>
      <c r="P496" s="920"/>
      <c r="Q496" s="920"/>
      <c r="R496" s="920"/>
      <c r="S496" s="920"/>
      <c r="T496" s="920"/>
      <c r="U496" s="920"/>
      <c r="V496" s="920"/>
      <c r="W496" s="920"/>
      <c r="X496" s="920"/>
      <c r="Y496" s="920"/>
      <c r="Z496" s="920"/>
    </row>
    <row r="497" s="921" customFormat="true" ht="21.75" hidden="false" customHeight="true" outlineLevel="0" collapsed="false">
      <c r="J497" s="920"/>
      <c r="K497" s="920"/>
      <c r="L497" s="920"/>
      <c r="M497" s="920"/>
      <c r="N497" s="920"/>
      <c r="O497" s="920"/>
      <c r="P497" s="920"/>
      <c r="Q497" s="920"/>
      <c r="R497" s="920"/>
      <c r="S497" s="920"/>
      <c r="T497" s="920"/>
      <c r="U497" s="920"/>
      <c r="V497" s="920"/>
      <c r="W497" s="920"/>
      <c r="X497" s="920"/>
      <c r="Y497" s="920"/>
      <c r="Z497" s="920"/>
    </row>
    <row r="498" s="921" customFormat="true" ht="21.75" hidden="false" customHeight="true" outlineLevel="0" collapsed="false">
      <c r="J498" s="920"/>
      <c r="K498" s="920"/>
      <c r="L498" s="920"/>
      <c r="M498" s="920"/>
      <c r="N498" s="920"/>
      <c r="O498" s="920"/>
      <c r="P498" s="920"/>
      <c r="Q498" s="920"/>
      <c r="R498" s="920"/>
      <c r="S498" s="920"/>
      <c r="T498" s="920"/>
      <c r="U498" s="920"/>
      <c r="V498" s="920"/>
      <c r="W498" s="920"/>
      <c r="X498" s="920"/>
      <c r="Y498" s="920"/>
      <c r="Z498" s="920"/>
    </row>
    <row r="499" s="921" customFormat="true" ht="21.75" hidden="false" customHeight="true" outlineLevel="0" collapsed="false">
      <c r="J499" s="920"/>
      <c r="K499" s="920"/>
      <c r="L499" s="920"/>
      <c r="M499" s="920"/>
      <c r="N499" s="920"/>
      <c r="O499" s="920"/>
      <c r="P499" s="920"/>
      <c r="Q499" s="920"/>
      <c r="R499" s="920"/>
      <c r="S499" s="920"/>
      <c r="T499" s="920"/>
      <c r="U499" s="920"/>
      <c r="V499" s="920"/>
      <c r="W499" s="920"/>
      <c r="X499" s="920"/>
      <c r="Y499" s="920"/>
      <c r="Z499" s="920"/>
    </row>
    <row r="500" s="921" customFormat="true" ht="21.75" hidden="false" customHeight="true" outlineLevel="0" collapsed="false">
      <c r="J500" s="920"/>
      <c r="K500" s="920"/>
      <c r="L500" s="920"/>
      <c r="M500" s="920"/>
      <c r="N500" s="920"/>
      <c r="O500" s="920"/>
      <c r="P500" s="920"/>
      <c r="Q500" s="920"/>
      <c r="R500" s="920"/>
      <c r="S500" s="920"/>
      <c r="T500" s="920"/>
      <c r="U500" s="920"/>
      <c r="V500" s="920"/>
      <c r="W500" s="920"/>
      <c r="X500" s="920"/>
      <c r="Y500" s="920"/>
      <c r="Z500" s="920"/>
    </row>
    <row r="501" s="921" customFormat="true" ht="21.75" hidden="false" customHeight="true" outlineLevel="0" collapsed="false">
      <c r="J501" s="920"/>
      <c r="K501" s="920"/>
      <c r="L501" s="920"/>
      <c r="M501" s="920"/>
      <c r="N501" s="920"/>
      <c r="O501" s="920"/>
      <c r="P501" s="920"/>
      <c r="Q501" s="920"/>
      <c r="R501" s="920"/>
      <c r="S501" s="920"/>
      <c r="T501" s="920"/>
      <c r="U501" s="920"/>
      <c r="V501" s="920"/>
      <c r="W501" s="920"/>
      <c r="X501" s="920"/>
      <c r="Y501" s="920"/>
      <c r="Z501" s="920"/>
    </row>
    <row r="502" s="921" customFormat="true" ht="21.75" hidden="false" customHeight="true" outlineLevel="0" collapsed="false">
      <c r="J502" s="920"/>
      <c r="K502" s="920"/>
      <c r="L502" s="920"/>
      <c r="M502" s="920"/>
      <c r="N502" s="920"/>
      <c r="O502" s="920"/>
      <c r="P502" s="920"/>
      <c r="Q502" s="920"/>
      <c r="R502" s="920"/>
      <c r="S502" s="920"/>
      <c r="T502" s="920"/>
      <c r="U502" s="920"/>
      <c r="V502" s="920"/>
      <c r="W502" s="920"/>
      <c r="X502" s="920"/>
      <c r="Y502" s="920"/>
      <c r="Z502" s="920"/>
    </row>
    <row r="503" s="921" customFormat="true" ht="21.75" hidden="false" customHeight="true" outlineLevel="0" collapsed="false">
      <c r="J503" s="920"/>
      <c r="K503" s="920"/>
      <c r="L503" s="920"/>
      <c r="M503" s="920"/>
      <c r="N503" s="920"/>
      <c r="O503" s="920"/>
      <c r="P503" s="920"/>
      <c r="Q503" s="920"/>
      <c r="R503" s="920"/>
      <c r="S503" s="920"/>
      <c r="T503" s="920"/>
      <c r="U503" s="920"/>
      <c r="V503" s="920"/>
      <c r="W503" s="920"/>
      <c r="X503" s="920"/>
      <c r="Y503" s="920"/>
      <c r="Z503" s="920"/>
    </row>
    <row r="504" s="921" customFormat="true" ht="21.75" hidden="false" customHeight="true" outlineLevel="0" collapsed="false">
      <c r="J504" s="920"/>
      <c r="K504" s="920"/>
      <c r="L504" s="920"/>
      <c r="M504" s="920"/>
      <c r="N504" s="920"/>
      <c r="O504" s="920"/>
      <c r="P504" s="920"/>
      <c r="Q504" s="920"/>
      <c r="R504" s="920"/>
      <c r="S504" s="920"/>
      <c r="T504" s="920"/>
      <c r="U504" s="920"/>
      <c r="V504" s="920"/>
      <c r="W504" s="920"/>
      <c r="X504" s="920"/>
      <c r="Y504" s="920"/>
      <c r="Z504" s="920"/>
    </row>
    <row r="505" s="921" customFormat="true" ht="21.75" hidden="false" customHeight="true" outlineLevel="0" collapsed="false">
      <c r="J505" s="920"/>
      <c r="K505" s="920"/>
      <c r="L505" s="920"/>
      <c r="M505" s="920"/>
      <c r="N505" s="920"/>
      <c r="O505" s="920"/>
      <c r="P505" s="920"/>
      <c r="Q505" s="920"/>
      <c r="R505" s="920"/>
      <c r="S505" s="920"/>
      <c r="T505" s="920"/>
      <c r="U505" s="920"/>
      <c r="V505" s="920"/>
      <c r="W505" s="920"/>
      <c r="X505" s="920"/>
      <c r="Y505" s="920"/>
      <c r="Z505" s="920"/>
    </row>
    <row r="506" s="921" customFormat="true" ht="21.75" hidden="false" customHeight="true" outlineLevel="0" collapsed="false">
      <c r="J506" s="920"/>
      <c r="K506" s="920"/>
      <c r="L506" s="920"/>
      <c r="M506" s="920"/>
      <c r="N506" s="920"/>
      <c r="O506" s="920"/>
      <c r="P506" s="920"/>
      <c r="Q506" s="920"/>
      <c r="R506" s="920"/>
      <c r="S506" s="920"/>
      <c r="T506" s="920"/>
      <c r="U506" s="920"/>
      <c r="V506" s="920"/>
      <c r="W506" s="920"/>
      <c r="X506" s="920"/>
      <c r="Y506" s="920"/>
      <c r="Z506" s="920"/>
    </row>
    <row r="507" s="921" customFormat="true" ht="21.75" hidden="false" customHeight="true" outlineLevel="0" collapsed="false">
      <c r="J507" s="920"/>
      <c r="K507" s="920"/>
      <c r="L507" s="920"/>
      <c r="M507" s="920"/>
      <c r="N507" s="920"/>
      <c r="O507" s="920"/>
      <c r="P507" s="920"/>
      <c r="Q507" s="920"/>
      <c r="R507" s="920"/>
      <c r="S507" s="920"/>
      <c r="T507" s="920"/>
      <c r="U507" s="920"/>
      <c r="V507" s="920"/>
      <c r="W507" s="920"/>
      <c r="X507" s="920"/>
      <c r="Y507" s="920"/>
      <c r="Z507" s="920"/>
    </row>
    <row r="508" s="921" customFormat="true" ht="21.75" hidden="false" customHeight="true" outlineLevel="0" collapsed="false">
      <c r="J508" s="920"/>
      <c r="K508" s="920"/>
      <c r="L508" s="920"/>
      <c r="M508" s="920"/>
      <c r="N508" s="920"/>
      <c r="O508" s="920"/>
      <c r="P508" s="920"/>
      <c r="Q508" s="920"/>
      <c r="R508" s="920"/>
      <c r="S508" s="920"/>
      <c r="T508" s="920"/>
      <c r="U508" s="920"/>
      <c r="V508" s="920"/>
      <c r="W508" s="920"/>
      <c r="X508" s="920"/>
      <c r="Y508" s="920"/>
      <c r="Z508" s="920"/>
    </row>
    <row r="509" s="921" customFormat="true" ht="21.75" hidden="false" customHeight="true" outlineLevel="0" collapsed="false">
      <c r="J509" s="920"/>
      <c r="K509" s="920"/>
      <c r="L509" s="920"/>
      <c r="M509" s="920"/>
      <c r="N509" s="920"/>
      <c r="O509" s="920"/>
      <c r="P509" s="920"/>
      <c r="Q509" s="920"/>
      <c r="R509" s="920"/>
      <c r="S509" s="920"/>
      <c r="T509" s="920"/>
      <c r="U509" s="920"/>
      <c r="V509" s="920"/>
      <c r="W509" s="920"/>
      <c r="X509" s="920"/>
      <c r="Y509" s="920"/>
      <c r="Z509" s="920"/>
    </row>
    <row r="510" s="921" customFormat="true" ht="21.75" hidden="false" customHeight="true" outlineLevel="0" collapsed="false">
      <c r="J510" s="920"/>
      <c r="K510" s="920"/>
      <c r="L510" s="920"/>
      <c r="M510" s="920"/>
      <c r="N510" s="920"/>
      <c r="O510" s="920"/>
      <c r="P510" s="920"/>
      <c r="Q510" s="920"/>
      <c r="R510" s="920"/>
      <c r="S510" s="920"/>
      <c r="T510" s="920"/>
      <c r="U510" s="920"/>
      <c r="V510" s="920"/>
      <c r="W510" s="920"/>
      <c r="X510" s="920"/>
      <c r="Y510" s="920"/>
      <c r="Z510" s="920"/>
    </row>
    <row r="511" s="921" customFormat="true" ht="21.75" hidden="false" customHeight="true" outlineLevel="0" collapsed="false">
      <c r="J511" s="920"/>
      <c r="K511" s="920"/>
      <c r="L511" s="920"/>
      <c r="M511" s="920"/>
      <c r="N511" s="920"/>
      <c r="O511" s="920"/>
      <c r="P511" s="920"/>
      <c r="Q511" s="920"/>
      <c r="R511" s="920"/>
      <c r="S511" s="920"/>
      <c r="T511" s="920"/>
      <c r="U511" s="920"/>
      <c r="V511" s="920"/>
      <c r="W511" s="920"/>
      <c r="X511" s="920"/>
      <c r="Y511" s="920"/>
      <c r="Z511" s="920"/>
    </row>
    <row r="512" s="921" customFormat="true" ht="21.75" hidden="false" customHeight="true" outlineLevel="0" collapsed="false">
      <c r="J512" s="920"/>
      <c r="K512" s="920"/>
      <c r="L512" s="920"/>
      <c r="M512" s="920"/>
      <c r="N512" s="920"/>
      <c r="O512" s="920"/>
      <c r="P512" s="920"/>
      <c r="Q512" s="920"/>
      <c r="R512" s="920"/>
      <c r="S512" s="920"/>
      <c r="T512" s="920"/>
      <c r="U512" s="920"/>
      <c r="V512" s="920"/>
      <c r="W512" s="920"/>
      <c r="X512" s="920"/>
      <c r="Y512" s="920"/>
      <c r="Z512" s="920"/>
    </row>
  </sheetData>
  <sheetProtection sheet="true" password="cee9" objects="true" scenarios="true" formatCells="false" formatColumns="false" formatRows="false"/>
  <mergeCells count="116">
    <mergeCell ref="A2:I2"/>
    <mergeCell ref="A3:I3"/>
    <mergeCell ref="E4:I4"/>
    <mergeCell ref="A5:A7"/>
    <mergeCell ref="B5:B7"/>
    <mergeCell ref="C5:C7"/>
    <mergeCell ref="D5:D7"/>
    <mergeCell ref="A8:A9"/>
    <mergeCell ref="B8:B9"/>
    <mergeCell ref="C8:C9"/>
    <mergeCell ref="D8:D9"/>
    <mergeCell ref="A10:A11"/>
    <mergeCell ref="B10:B11"/>
    <mergeCell ref="C10:C11"/>
    <mergeCell ref="D10:D11"/>
    <mergeCell ref="A12:A13"/>
    <mergeCell ref="B12:B13"/>
    <mergeCell ref="C12:C13"/>
    <mergeCell ref="D12:D13"/>
    <mergeCell ref="A14:A16"/>
    <mergeCell ref="B14:B16"/>
    <mergeCell ref="C14:C16"/>
    <mergeCell ref="D14:D16"/>
    <mergeCell ref="E18:I18"/>
    <mergeCell ref="A24:A25"/>
    <mergeCell ref="A36:A38"/>
    <mergeCell ref="A45:C45"/>
    <mergeCell ref="J45:O45"/>
    <mergeCell ref="A46:G46"/>
    <mergeCell ref="K46:L46"/>
    <mergeCell ref="M46:O46"/>
    <mergeCell ref="K47:L47"/>
    <mergeCell ref="M47:O47"/>
    <mergeCell ref="A48:C48"/>
    <mergeCell ref="K48:L48"/>
    <mergeCell ref="M48:O48"/>
    <mergeCell ref="B49:C49"/>
    <mergeCell ref="G49:G51"/>
    <mergeCell ref="K49:L49"/>
    <mergeCell ref="M49:O49"/>
    <mergeCell ref="B50:C50"/>
    <mergeCell ref="J50:O50"/>
    <mergeCell ref="B51:C51"/>
    <mergeCell ref="K51:L51"/>
    <mergeCell ref="B52:C52"/>
    <mergeCell ref="K52:L52"/>
    <mergeCell ref="B53:C53"/>
    <mergeCell ref="K53:L53"/>
    <mergeCell ref="B54:C54"/>
    <mergeCell ref="K54:L54"/>
    <mergeCell ref="A55:C55"/>
    <mergeCell ref="K55:L55"/>
    <mergeCell ref="A56:C56"/>
    <mergeCell ref="K56:L56"/>
    <mergeCell ref="N56:O56"/>
    <mergeCell ref="B57:C57"/>
    <mergeCell ref="J57:J58"/>
    <mergeCell ref="K57:K58"/>
    <mergeCell ref="B58:C58"/>
    <mergeCell ref="A59:C59"/>
    <mergeCell ref="J59:J60"/>
    <mergeCell ref="K59:K60"/>
    <mergeCell ref="A61:E61"/>
    <mergeCell ref="K61:L61"/>
    <mergeCell ref="A62:B62"/>
    <mergeCell ref="J63:J69"/>
    <mergeCell ref="A70:H70"/>
    <mergeCell ref="A71:B71"/>
    <mergeCell ref="E76:H76"/>
    <mergeCell ref="E78:H78"/>
    <mergeCell ref="A83:H83"/>
    <mergeCell ref="A84:B84"/>
    <mergeCell ref="G90:H90"/>
    <mergeCell ref="E91:G91"/>
    <mergeCell ref="E92:H92"/>
    <mergeCell ref="E93:H93"/>
    <mergeCell ref="E94:H94"/>
    <mergeCell ref="A100:D100"/>
    <mergeCell ref="E100:H100"/>
    <mergeCell ref="A101:B101"/>
    <mergeCell ref="E101:F102"/>
    <mergeCell ref="A102:A103"/>
    <mergeCell ref="E103:F103"/>
    <mergeCell ref="A104:A105"/>
    <mergeCell ref="E107:F108"/>
    <mergeCell ref="E109:F110"/>
    <mergeCell ref="E111:F112"/>
    <mergeCell ref="E113:H113"/>
    <mergeCell ref="A115:I115"/>
    <mergeCell ref="A116:A117"/>
    <mergeCell ref="B116:B117"/>
    <mergeCell ref="C116:C117"/>
    <mergeCell ref="D116:E116"/>
    <mergeCell ref="F116:G116"/>
    <mergeCell ref="H116:I116"/>
    <mergeCell ref="A119:C119"/>
    <mergeCell ref="D119:E119"/>
    <mergeCell ref="F119:G119"/>
    <mergeCell ref="H119:I119"/>
    <mergeCell ref="A120:C120"/>
    <mergeCell ref="D120:I120"/>
    <mergeCell ref="A121:C121"/>
    <mergeCell ref="D121:I121"/>
    <mergeCell ref="A122:C122"/>
    <mergeCell ref="D122:I122"/>
    <mergeCell ref="A123:C123"/>
    <mergeCell ref="D123:I123"/>
    <mergeCell ref="A124:C124"/>
    <mergeCell ref="D124:I124"/>
    <mergeCell ref="A125:C125"/>
    <mergeCell ref="D125:I125"/>
    <mergeCell ref="A126:C126"/>
    <mergeCell ref="D126:I126"/>
    <mergeCell ref="A127:C127"/>
    <mergeCell ref="D127:I127"/>
    <mergeCell ref="A128:I128"/>
  </mergeCells>
  <conditionalFormatting sqref="E36">
    <cfRule type="expression" priority="2" aboveAverage="0" equalAverage="0" bottom="0" percent="0" rank="0" text="" dxfId="55">
      <formula>$D$36="同一抵押权人同一抵押物续贷"</formula>
    </cfRule>
  </conditionalFormatting>
  <conditionalFormatting sqref="C90">
    <cfRule type="expression" priority="3" aboveAverage="0" equalAverage="0" bottom="0" percent="0" rank="0" text="" dxfId="56">
      <formula>$H$88&lt;&gt;"仅含出让金"</formula>
    </cfRule>
  </conditionalFormatting>
  <conditionalFormatting sqref="C91">
    <cfRule type="expression" priority="4" aboveAverage="0" equalAverage="0" bottom="0" percent="0" rank="0" text="" dxfId="57">
      <formula>$H$91="由企业提供"</formula>
    </cfRule>
  </conditionalFormatting>
  <conditionalFormatting sqref="C5:C7">
    <cfRule type="cellIs" priority="5" operator="equal" aboveAverage="0" equalAverage="0" bottom="0" percent="0" rank="0" text="" dxfId="58">
      <formula>25</formula>
    </cfRule>
  </conditionalFormatting>
  <conditionalFormatting sqref="C8:C9">
    <cfRule type="cellIs" priority="6" operator="equal" aboveAverage="0" equalAverage="0" bottom="0" percent="0" rank="0" text="" dxfId="59">
      <formula>15</formula>
    </cfRule>
  </conditionalFormatting>
  <conditionalFormatting sqref="C14:C16">
    <cfRule type="cellIs" priority="7" operator="equal" aboveAverage="0" equalAverage="0" bottom="0" percent="0" rank="0" text="" dxfId="60">
      <formula>30</formula>
    </cfRule>
  </conditionalFormatting>
  <conditionalFormatting sqref="D5:D7">
    <cfRule type="cellIs" priority="8" operator="equal" aboveAverage="0" equalAverage="0" bottom="0" percent="0" rank="0" text="" dxfId="61">
      <formula>25</formula>
    </cfRule>
  </conditionalFormatting>
  <conditionalFormatting sqref="D8:D9">
    <cfRule type="cellIs" priority="9" operator="equal" aboveAverage="0" equalAverage="0" bottom="0" percent="0" rank="0" text="" dxfId="62">
      <formula>15</formula>
    </cfRule>
  </conditionalFormatting>
  <conditionalFormatting sqref="D14:D16">
    <cfRule type="cellIs" priority="10" operator="equal" aboveAverage="0" equalAverage="0" bottom="0" percent="0" rank="0" text="" dxfId="63">
      <formula>30</formula>
    </cfRule>
  </conditionalFormatting>
  <conditionalFormatting sqref="C10:D13">
    <cfRule type="cellIs" priority="11" operator="equal" aboveAverage="0" equalAverage="0" bottom="0" percent="0" rank="0" text="" dxfId="64">
      <formula>15</formula>
    </cfRule>
  </conditionalFormatting>
  <dataValidations count="23">
    <dataValidation allowBlank="true" operator="between" showDropDown="false" showErrorMessage="true" showInputMessage="true" sqref="I1" type="list">
      <formula1>"项目局部,项目全部,——"</formula1>
      <formula2>0</formula2>
    </dataValidation>
    <dataValidation allowBlank="true" operator="between" showDropDown="false" showErrorMessage="true" showInputMessage="true" sqref="D92" type="list">
      <formula1>"0,5%,10%"</formula1>
      <formula2>0</formula2>
    </dataValidation>
    <dataValidation allowBlank="true" operator="between" showDropDown="false" showErrorMessage="true" showInputMessage="true" sqref="C1" type="list">
      <formula1>项目类型</formula1>
      <formula2>0</formula2>
    </dataValidation>
    <dataValidation allowBlank="true" operator="between" showDropDown="false" showErrorMessage="true" showInputMessage="true" sqref="F75" type="list">
      <formula1>"买卖合同,购房发票"</formula1>
      <formula2>0</formula2>
    </dataValidation>
    <dataValidation allowBlank="false" operator="between" showDropDown="false" showErrorMessage="true" showInputMessage="true" sqref="G1" type="list">
      <formula1>"现房,在建,土地,-"</formula1>
      <formula2>0</formula2>
    </dataValidation>
    <dataValidation allowBlank="true" operator="between" showDropDown="false" showErrorMessage="true" showInputMessage="true" sqref="D36" type="list">
      <formula1>"同一抵押权人同一抵押物续贷,注销后放款,正常操作"</formula1>
      <formula2>0</formula2>
    </dataValidation>
    <dataValidation allowBlank="true" operator="between" showDropDown="false" showErrorMessage="true" showInputMessage="true" sqref="G77" type="list">
      <formula1>"个人住宅,2016年5月1日前购买,2016年5月1日后购买"</formula1>
      <formula2>0</formula2>
    </dataValidation>
    <dataValidation allowBlank="true" operator="between" showDropDown="false" showErrorMessage="true" showInputMessage="true" sqref="C4:D4 D33" type="list">
      <formula1>估价方法</formula1>
      <formula2>0</formula2>
    </dataValidation>
    <dataValidation allowBlank="true" operator="between" showDropDown="false" showErrorMessage="true" showInputMessage="true" sqref="C116:C117" type="list">
      <formula1>"土地面积,分摊土地面积,（分摊）土地面积"</formula1>
      <formula2>0</formula2>
    </dataValidation>
    <dataValidation allowBlank="true" operator="between" showDropDown="false" showErrorMessage="true" showInputMessage="true" sqref="D32" type="list">
      <formula1>"总价,楼面单价"</formula1>
      <formula2>0</formula2>
    </dataValidation>
    <dataValidation allowBlank="true" operator="between" showDropDown="false" showErrorMessage="true" showInputMessage="true" sqref="C33" type="list">
      <formula1>"成本比率,收益比率,自定义"</formula1>
      <formula2>0</formula2>
    </dataValidation>
    <dataValidation allowBlank="true" operator="between" showDropDown="false" showErrorMessage="true" showInputMessage="true" sqref="F45" type="list">
      <formula1>"100%,70%,56%"</formula1>
      <formula2>0</formula2>
    </dataValidation>
    <dataValidation allowBlank="true" operator="between" showDropDown="false" showErrorMessage="true" showInputMessage="true" sqref="H48" type="list">
      <formula1>"情况1,情况2,情况3,情况4"</formula1>
      <formula2>0</formula2>
    </dataValidation>
    <dataValidation allowBlank="true" operator="between" showDropDown="false" showErrorMessage="true" showInputMessage="true" sqref="B116:B117" type="list">
      <formula1>"建筑面积,规划建筑面积,（规划）建筑面积"</formula1>
      <formula2>0</formula2>
    </dataValidation>
    <dataValidation allowBlank="true" operator="between" showDropDown="false" showErrorMessage="true" showInputMessage="true" sqref="H58" type="list">
      <formula1>"转让取得,自行开发建设"</formula1>
      <formula2>0</formula2>
    </dataValidation>
    <dataValidation allowBlank="true" operator="between" showDropDown="false" showErrorMessage="true" showInputMessage="true" sqref="H59" type="list">
      <formula1>"非个人房产,个人住宅（满五唯一有凭证）,个人其他（有凭证）,个人其他（无凭证）"</formula1>
      <formula2>0</formula2>
    </dataValidation>
    <dataValidation allowBlank="true" operator="between" showDropDown="false" showErrorMessage="true" showInputMessage="true" sqref="H88" type="list">
      <formula1>"仅含出让金,出让金+开发费"</formula1>
      <formula2>0</formula2>
    </dataValidation>
    <dataValidation allowBlank="true" operator="between" showDropDown="false" showErrorMessage="true" showInputMessage="true" sqref="H91" type="list">
      <formula1>"企业提供（在右侧录入）,——"</formula1>
      <formula2>0</formula2>
    </dataValidation>
    <dataValidation allowBlank="true" operator="between" showDropDown="false" showErrorMessage="true" showInputMessage="true" sqref="E103" type="list">
      <formula1>"2.估价师知悉的法定优先受偿款,2.估价师知悉的除抵押担保权以外的法定优先受偿款"</formula1>
      <formula2>0</formula2>
    </dataValidation>
    <dataValidation allowBlank="true" operator="between" showDropDown="false" showErrorMessage="true" showInputMessage="true" sqref="D116:E116" type="list">
      <formula1>"出让国有建设用地使用权价值,划拨国有建设用地使用权价值"</formula1>
      <formula2>0</formula2>
    </dataValidation>
    <dataValidation allowBlank="true" operator="between" showDropDown="false" showErrorMessage="true" showInputMessage="true" sqref="F116:G116" type="list">
      <formula1>"建筑物价值,在建建筑物价值,建筑物/在建建筑物价值"</formula1>
      <formula2>0</formula2>
    </dataValidation>
    <dataValidation allowBlank="true" operator="between" showDropDown="false" showErrorMessage="true" showInputMessage="true" sqref="C129" type="list">
      <formula1>"无,有"</formula1>
      <formula2>0</formula2>
    </dataValidation>
    <dataValidation allowBlank="true" operator="between" showDropDown="false" showErrorMessage="true" showInputMessage="true" sqref="H55:H56" type="list">
      <formula1>"个人住宅,正常"</formula1>
      <formula2>0</formula2>
    </dataValidation>
  </dataValidations>
  <printOptions headings="false" gridLines="false" gridLinesSet="true" horizontalCentered="false" verticalCentered="false"/>
  <pageMargins left="0.433333333333333" right="0.433333333333333" top="0.354166666666667" bottom="0.157638888888889" header="0.511805555555555" footer="0.511805555555555"/>
  <pageSetup paperSize="9" scale="82"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3" manualBreakCount="3">
    <brk id="43" man="true" max="16383" min="0"/>
    <brk id="97" man="true" max="16383" min="0"/>
    <brk id="142" man="true" max="16383" min="0"/>
  </rowBreaks>
  <legacyDrawing r:id="rId2"/>
</worksheet>
</file>

<file path=xl/worksheets/sheet19.xml><?xml version="1.0" encoding="utf-8"?>
<worksheet xmlns="http://schemas.openxmlformats.org/spreadsheetml/2006/main" xmlns:r="http://schemas.openxmlformats.org/officeDocument/2006/relationships">
  <sheetPr filterMode="false">
    <pageSetUpPr fitToPage="true"/>
  </sheetPr>
  <dimension ref="A1:I57"/>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F39" activeCellId="0" sqref="F39"/>
    </sheetView>
  </sheetViews>
  <sheetFormatPr defaultRowHeight="12.75" zeroHeight="false" outlineLevelRow="0" outlineLevelCol="0"/>
  <cols>
    <col collapsed="false" customWidth="true" hidden="false" outlineLevel="0" max="1" min="1" style="1246" width="10.38"/>
    <col collapsed="false" customWidth="true" hidden="false" outlineLevel="0" max="2" min="2" style="1247" width="29.25"/>
    <col collapsed="false" customWidth="true" hidden="false" outlineLevel="0" max="3" min="3" style="1247" width="12.12"/>
    <col collapsed="false" customWidth="true" hidden="false" outlineLevel="0" max="5" min="4" style="1248" width="11.26"/>
    <col collapsed="false" customWidth="true" hidden="false" outlineLevel="0" max="6" min="6" style="1247" width="9.5"/>
    <col collapsed="false" customWidth="true" hidden="false" outlineLevel="0" max="7" min="7" style="1247" width="31.88"/>
    <col collapsed="false" customWidth="true" hidden="false" outlineLevel="0" max="254" min="8" style="1247" width="9"/>
    <col collapsed="false" customWidth="true" hidden="false" outlineLevel="0" max="1025" min="255" style="1247" width="8.38"/>
  </cols>
  <sheetData>
    <row r="1" s="1253" customFormat="true" ht="20.25" hidden="false" customHeight="false" outlineLevel="0" collapsed="false">
      <c r="A1" s="1249" t="s">
        <v>225</v>
      </c>
      <c r="B1" s="1250"/>
      <c r="C1" s="1251"/>
      <c r="D1" s="1251"/>
      <c r="E1" s="1251"/>
      <c r="F1" s="1251"/>
      <c r="G1" s="1252" t="n">
        <f aca="false">MATCH(B1,'数据-取费表'!A6:A16,0)+5</f>
        <v>7</v>
      </c>
    </row>
    <row r="2" s="1253" customFormat="true" ht="18" hidden="false" customHeight="true" outlineLevel="0" collapsed="false">
      <c r="A2" s="1254" t="s">
        <v>97</v>
      </c>
      <c r="B2" s="1255" t="n">
        <f aca="false">IF(D2="——",C52,C52-E2)</f>
        <v>8</v>
      </c>
      <c r="C2" s="1256" t="s">
        <v>722</v>
      </c>
      <c r="D2" s="1257" t="s">
        <v>122</v>
      </c>
      <c r="E2" s="1258" t="e">
        <f aca="true">SUMIF(INDIRECT("'"&amp;G2&amp;"'"&amp;"!A:A"),"承租人权益价值",INDIRECT("'"&amp;G2&amp;"'"&amp;"!c:c"))</f>
        <v>#REF!</v>
      </c>
      <c r="F2" s="1259" t="s">
        <v>722</v>
      </c>
      <c r="G2" s="1260"/>
    </row>
    <row r="3" s="1253" customFormat="true" ht="18" hidden="false" customHeight="true" outlineLevel="0" collapsed="false">
      <c r="A3" s="1261" t="s">
        <v>110</v>
      </c>
      <c r="B3" s="1262" t="n">
        <f aca="true">ROUND(B2*10000/(IF(B1="",'数据-汇总表'!E3,INDIRECT("'数据-取费表'!k"&amp;$G$1))),0)</f>
        <v>1372</v>
      </c>
      <c r="C3" s="1256" t="s">
        <v>878</v>
      </c>
      <c r="D3" s="1256"/>
      <c r="E3" s="1256"/>
      <c r="F3" s="1256"/>
      <c r="G3" s="1256"/>
    </row>
    <row r="4" s="1266" customFormat="true" ht="15.75" hidden="false" customHeight="false" outlineLevel="0" collapsed="false">
      <c r="A4" s="1263" t="s">
        <v>879</v>
      </c>
      <c r="B4" s="1264"/>
      <c r="C4" s="1264"/>
      <c r="D4" s="1264"/>
      <c r="E4" s="1264"/>
      <c r="F4" s="1264"/>
      <c r="G4" s="1265"/>
    </row>
    <row r="5" s="1273" customFormat="true" ht="13.5" hidden="false" customHeight="true" outlineLevel="0" collapsed="false">
      <c r="A5" s="1267" t="s">
        <v>880</v>
      </c>
      <c r="B5" s="1268" t="s">
        <v>833</v>
      </c>
      <c r="C5" s="1269" t="n">
        <f aca="false">C6+C7+C8</f>
        <v>0</v>
      </c>
      <c r="D5" s="1270" t="s">
        <v>728</v>
      </c>
      <c r="E5" s="1271" t="s">
        <v>99</v>
      </c>
      <c r="F5" s="1271" t="s">
        <v>789</v>
      </c>
      <c r="G5" s="1272"/>
    </row>
    <row r="6" s="1273" customFormat="true" ht="13.5" hidden="false" customHeight="true" outlineLevel="0" collapsed="false">
      <c r="A6" s="1274" t="s">
        <v>881</v>
      </c>
      <c r="B6" s="1275" t="s">
        <v>882</v>
      </c>
      <c r="C6" s="1276"/>
      <c r="D6" s="1277"/>
      <c r="E6" s="1278"/>
      <c r="F6" s="1278"/>
      <c r="G6" s="1279"/>
    </row>
    <row r="7" s="1273" customFormat="true" ht="13.5" hidden="false" customHeight="true" outlineLevel="0" collapsed="false">
      <c r="A7" s="1274" t="s">
        <v>883</v>
      </c>
      <c r="B7" s="1275" t="s">
        <v>884</v>
      </c>
      <c r="C7" s="1280" t="n">
        <f aca="false">ROUND(C6*F7,0)</f>
        <v>0</v>
      </c>
      <c r="D7" s="1280"/>
      <c r="E7" s="1278"/>
      <c r="F7" s="1281" t="n">
        <f aca="false">IF(项目基本情况!B8="出让",0,'数据-取费表'!B48+'数据-取费表'!B49)</f>
        <v>0.0305</v>
      </c>
      <c r="G7" s="1279"/>
    </row>
    <row r="8" s="1284" customFormat="true" ht="12.75" hidden="false" customHeight="false" outlineLevel="0" collapsed="false">
      <c r="A8" s="1274" t="s">
        <v>885</v>
      </c>
      <c r="B8" s="1275" t="s">
        <v>886</v>
      </c>
      <c r="C8" s="1280" t="n">
        <f aca="false">IF(G8="已包含在土地购买价格中","0",IF(B1="",'数据-取费表'!B29,IF(G9="全部缴纳",C9+C10,H9)))</f>
        <v>0</v>
      </c>
      <c r="D8" s="1282"/>
      <c r="E8" s="1280"/>
      <c r="F8" s="1281"/>
      <c r="G8" s="1283"/>
    </row>
    <row r="9" s="1273" customFormat="true" ht="13.5" hidden="false" customHeight="true" outlineLevel="0" collapsed="false">
      <c r="A9" s="1285" t="s">
        <v>887</v>
      </c>
      <c r="B9" s="1286" t="s">
        <v>156</v>
      </c>
      <c r="C9" s="1287" t="n">
        <f aca="false">ROUND(D9*E9/10000,0)</f>
        <v>1</v>
      </c>
      <c r="D9" s="1288" t="n">
        <f aca="true">IF(B1="",'数据-汇总表'!E5,IF(INDIRECT("'数据-取费表'!c"&amp;$G$1)="住宅",INDIRECT("'数据-取费表'!k"&amp;$G$1),0))</f>
        <v>58.3</v>
      </c>
      <c r="E9" s="1287" t="n">
        <f aca="false">'数据-取费表'!B27</f>
        <v>160</v>
      </c>
      <c r="F9" s="1281"/>
      <c r="G9" s="1289"/>
      <c r="H9" s="1290"/>
      <c r="I9" s="1291" t="s">
        <v>722</v>
      </c>
    </row>
    <row r="10" s="1273" customFormat="true" ht="13.5" hidden="false" customHeight="true" outlineLevel="0" collapsed="false">
      <c r="A10" s="1285" t="s">
        <v>888</v>
      </c>
      <c r="B10" s="1286" t="s">
        <v>529</v>
      </c>
      <c r="C10" s="1287" t="n">
        <f aca="false">ROUND(D10*E10/10000,0)</f>
        <v>0</v>
      </c>
      <c r="D10" s="1288" t="n">
        <f aca="true">IF(B1="",'数据-汇总表'!E6,IF(INDIRECT("'数据-取费表'!c"&amp;$G$1)="住宅",INDIRECT("'数据-取费表'!s"&amp;$G$1),INDIRECT("'数据-取费表'!k"&amp;$G$1)+INDIRECT("'数据-取费表'!s"&amp;$G$1)))</f>
        <v>0</v>
      </c>
      <c r="E10" s="1287" t="n">
        <f aca="false">'数据-取费表'!B28</f>
        <v>200</v>
      </c>
      <c r="F10" s="1281"/>
      <c r="G10" s="1292"/>
    </row>
    <row r="11" s="1273" customFormat="true" ht="13.5" hidden="true" customHeight="true" outlineLevel="0" collapsed="false">
      <c r="A11" s="1293" t="s">
        <v>889</v>
      </c>
      <c r="B11" s="1275" t="s">
        <v>890</v>
      </c>
      <c r="C11" s="1269"/>
      <c r="D11" s="1294"/>
      <c r="E11" s="1278"/>
      <c r="F11" s="1278"/>
      <c r="G11" s="1279"/>
    </row>
    <row r="12" s="1273" customFormat="true" ht="13.5" hidden="true" customHeight="true" outlineLevel="0" collapsed="false">
      <c r="A12" s="1293" t="s">
        <v>891</v>
      </c>
      <c r="B12" s="1275" t="s">
        <v>824</v>
      </c>
      <c r="C12" s="1269" t="n">
        <v>0</v>
      </c>
      <c r="D12" s="1294"/>
      <c r="E12" s="1295"/>
      <c r="F12" s="1281" t="n">
        <v>0.0305</v>
      </c>
      <c r="G12" s="1279"/>
    </row>
    <row r="13" s="1273" customFormat="true" ht="13.5" hidden="true" customHeight="true" outlineLevel="0" collapsed="false">
      <c r="A13" s="1293" t="s">
        <v>892</v>
      </c>
      <c r="B13" s="1275" t="s">
        <v>893</v>
      </c>
      <c r="C13" s="1269"/>
      <c r="D13" s="1294"/>
      <c r="E13" s="1278"/>
      <c r="F13" s="1278"/>
      <c r="G13" s="1279"/>
    </row>
    <row r="14" s="1273" customFormat="true" ht="13.5" hidden="true" customHeight="true" outlineLevel="0" collapsed="false">
      <c r="A14" s="1293" t="s">
        <v>894</v>
      </c>
      <c r="B14" s="1275" t="s">
        <v>886</v>
      </c>
      <c r="C14" s="1269"/>
      <c r="D14" s="1294"/>
      <c r="E14" s="1278"/>
      <c r="F14" s="1278"/>
      <c r="G14" s="1279" t="s">
        <v>895</v>
      </c>
    </row>
    <row r="15" s="1273" customFormat="true" ht="13.5" hidden="true" customHeight="true" outlineLevel="0" collapsed="false">
      <c r="A15" s="1293" t="s">
        <v>896</v>
      </c>
      <c r="B15" s="1275" t="s">
        <v>897</v>
      </c>
      <c r="C15" s="1280"/>
      <c r="D15" s="1294"/>
      <c r="E15" s="1278"/>
      <c r="F15" s="1278"/>
      <c r="G15" s="1279" t="s">
        <v>898</v>
      </c>
    </row>
    <row r="16" s="1273" customFormat="true" ht="13.5" hidden="true" customHeight="true" outlineLevel="0" collapsed="false">
      <c r="A16" s="1293" t="s">
        <v>899</v>
      </c>
      <c r="B16" s="1275" t="s">
        <v>886</v>
      </c>
      <c r="C16" s="1280"/>
      <c r="D16" s="1294"/>
      <c r="E16" s="1278"/>
      <c r="F16" s="1278"/>
      <c r="G16" s="1279"/>
    </row>
    <row r="17" s="1273" customFormat="true" ht="13.5" hidden="true" customHeight="true" outlineLevel="0" collapsed="false">
      <c r="A17" s="1293" t="s">
        <v>900</v>
      </c>
      <c r="B17" s="1275" t="s">
        <v>901</v>
      </c>
      <c r="C17" s="1296"/>
      <c r="D17" s="1297"/>
      <c r="E17" s="1296"/>
      <c r="F17" s="1296"/>
      <c r="G17" s="1279" t="s">
        <v>898</v>
      </c>
    </row>
    <row r="18" s="1273" customFormat="true" ht="13.5" hidden="true" customHeight="true" outlineLevel="0" collapsed="false">
      <c r="A18" s="1293" t="s">
        <v>902</v>
      </c>
      <c r="B18" s="1275" t="s">
        <v>838</v>
      </c>
      <c r="C18" s="1280" t="n">
        <v>0</v>
      </c>
      <c r="D18" s="1294"/>
      <c r="E18" s="1278"/>
      <c r="F18" s="1281" t="n">
        <v>0.0305</v>
      </c>
      <c r="G18" s="1279" t="s">
        <v>903</v>
      </c>
    </row>
    <row r="19" s="1284" customFormat="true" ht="13.5" hidden="false" customHeight="true" outlineLevel="0" collapsed="false">
      <c r="A19" s="1267" t="s">
        <v>904</v>
      </c>
      <c r="B19" s="1268" t="s">
        <v>905</v>
      </c>
      <c r="C19" s="1269" t="n">
        <f aca="false">IF(G19="已包含在土地取得成本中","0",ROUND(D19*E19/10000,0))</f>
        <v>1</v>
      </c>
      <c r="D19" s="1298" t="n">
        <f aca="false">D9+D10</f>
        <v>58.3</v>
      </c>
      <c r="E19" s="1269" t="n">
        <f aca="false">'数据-取费表'!B31</f>
        <v>120</v>
      </c>
      <c r="F19" s="1299"/>
      <c r="G19" s="1283"/>
    </row>
    <row r="20" s="1273" customFormat="true" ht="13.5" hidden="false" customHeight="true" outlineLevel="0" collapsed="false">
      <c r="A20" s="1267" t="s">
        <v>906</v>
      </c>
      <c r="B20" s="1268" t="s">
        <v>621</v>
      </c>
      <c r="C20" s="1300" t="n">
        <f aca="false">ROUND((C5+C19)*F20,0)</f>
        <v>0</v>
      </c>
      <c r="D20" s="1300"/>
      <c r="E20" s="1300"/>
      <c r="F20" s="1301" t="n">
        <f aca="false">'数据-取费表'!B37</f>
        <v>0.01</v>
      </c>
      <c r="G20" s="1302" t="s">
        <v>907</v>
      </c>
    </row>
    <row r="21" s="1273" customFormat="true" ht="13.5" hidden="false" customHeight="true" outlineLevel="0" collapsed="false">
      <c r="A21" s="1267" t="s">
        <v>908</v>
      </c>
      <c r="B21" s="1268" t="s">
        <v>623</v>
      </c>
      <c r="C21" s="1303" t="n">
        <f aca="false">F21</f>
        <v>0.01</v>
      </c>
      <c r="D21" s="1304" t="s">
        <v>909</v>
      </c>
      <c r="E21" s="1300"/>
      <c r="F21" s="1301" t="n">
        <f aca="false">'数据-取费表'!B38</f>
        <v>0.01</v>
      </c>
      <c r="G21" s="1302" t="s">
        <v>910</v>
      </c>
    </row>
    <row r="22" s="1273" customFormat="true" ht="13.5" hidden="false" customHeight="true" outlineLevel="0" collapsed="false">
      <c r="A22" s="1267" t="s">
        <v>911</v>
      </c>
      <c r="B22" s="1268" t="s">
        <v>912</v>
      </c>
      <c r="C22" s="1305" t="n">
        <f aca="false">ROUND(SUM(C23:C25),0)</f>
        <v>0</v>
      </c>
      <c r="D22" s="1303" t="n">
        <f aca="false">C26</f>
        <v>0.0006</v>
      </c>
      <c r="E22" s="1304" t="s">
        <v>909</v>
      </c>
      <c r="F22" s="1306" t="n">
        <f aca="false">'数据-取费表'!B40</f>
        <v>0.063</v>
      </c>
      <c r="G22" s="1302" t="str">
        <f aca="false">IF('数据-取费表'!B22&lt;=1,"单利计息","复利计息")</f>
        <v>复利计息</v>
      </c>
    </row>
    <row r="23" s="1273" customFormat="true" ht="13.5" hidden="false" customHeight="true" outlineLevel="0" collapsed="false">
      <c r="A23" s="1307" t="s">
        <v>881</v>
      </c>
      <c r="B23" s="1275" t="s">
        <v>913</v>
      </c>
      <c r="C23" s="1308" t="n">
        <f aca="false">ROUND(IF('数据-取费表'!B22&lt;=1,C5*F22*'数据-取费表'!B23,C5*(POWER((1+F22),'数据-取费表'!B23)-1)),0)</f>
        <v>0</v>
      </c>
      <c r="D23" s="1309"/>
      <c r="E23" s="1309"/>
      <c r="F23" s="1310"/>
      <c r="G23" s="1311" t="s">
        <v>914</v>
      </c>
    </row>
    <row r="24" s="1273" customFormat="true" ht="13.5" hidden="false" customHeight="true" outlineLevel="0" collapsed="false">
      <c r="A24" s="1307" t="s">
        <v>883</v>
      </c>
      <c r="B24" s="1275" t="s">
        <v>915</v>
      </c>
      <c r="C24" s="1308" t="n">
        <f aca="false">ROUND(IF('数据-取费表'!B22&lt;=1,C19*F22*('数据-取费表'!B19/2+'数据-取费表'!B21),C19*(POWER((1+F22),('数据-取费表'!B19/2+'数据-取费表'!B21))-1)),0)</f>
        <v>0</v>
      </c>
      <c r="D24" s="1309"/>
      <c r="E24" s="1309"/>
      <c r="F24" s="1310"/>
      <c r="G24" s="1311" t="s">
        <v>916</v>
      </c>
    </row>
    <row r="25" s="1273" customFormat="true" ht="24" hidden="false" customHeight="false" outlineLevel="0" collapsed="false">
      <c r="A25" s="1307" t="s">
        <v>885</v>
      </c>
      <c r="B25" s="1275" t="s">
        <v>917</v>
      </c>
      <c r="C25" s="1308" t="n">
        <f aca="false">ROUND(IF('数据-取费表'!B22&lt;=1,C20*F22*'数据-取费表'!B23/2,C20*(POWER((1+F22),'数据-取费表'!B23/2)-1)),0)</f>
        <v>0</v>
      </c>
      <c r="D25" s="1309"/>
      <c r="E25" s="1312"/>
      <c r="F25" s="1310"/>
      <c r="G25" s="1313" t="s">
        <v>918</v>
      </c>
    </row>
    <row r="26" s="1273" customFormat="true" ht="12.75" hidden="false" customHeight="false" outlineLevel="0" collapsed="false">
      <c r="A26" s="1307" t="s">
        <v>919</v>
      </c>
      <c r="B26" s="1275" t="s">
        <v>920</v>
      </c>
      <c r="C26" s="1309" t="n">
        <f aca="false">ROUND(IF('数据-取费表'!B22&lt;=1,F21*F22*'数据-取费表'!B23/2,F21*(POWER((1+F22),'数据-取费表'!B23/2)-1)),4)</f>
        <v>0.0006</v>
      </c>
      <c r="D26" s="1309"/>
      <c r="E26" s="1312"/>
      <c r="F26" s="1310"/>
      <c r="G26" s="1314"/>
    </row>
    <row r="27" s="1273" customFormat="true" ht="24.75" hidden="false" customHeight="false" outlineLevel="0" collapsed="false">
      <c r="A27" s="1267" t="s">
        <v>921</v>
      </c>
      <c r="B27" s="1315" t="s">
        <v>570</v>
      </c>
      <c r="C27" s="1316" t="n">
        <f aca="false">C28</f>
        <v>0</v>
      </c>
      <c r="D27" s="1303" t="n">
        <f aca="false">C29</f>
        <v>0.0015</v>
      </c>
      <c r="E27" s="1304" t="s">
        <v>909</v>
      </c>
      <c r="F27" s="1317" t="n">
        <f aca="true">IF(B1="",'数据-取费表'!Q16,INDIRECT("'数据-取费表'!q"&amp;$G$1))</f>
        <v>0.15</v>
      </c>
      <c r="G27" s="1318" t="s">
        <v>922</v>
      </c>
    </row>
    <row r="28" s="1273" customFormat="true" ht="13.5" hidden="false" customHeight="true" outlineLevel="0" collapsed="false">
      <c r="A28" s="1307" t="s">
        <v>881</v>
      </c>
      <c r="B28" s="1319" t="s">
        <v>923</v>
      </c>
      <c r="C28" s="1320" t="n">
        <f aca="false">ROUND((C5+C19+C20)*F27*'数据-取费表'!B21/'数据-取费表'!B20,0)</f>
        <v>0</v>
      </c>
      <c r="D28" s="1303"/>
      <c r="E28" s="1304"/>
      <c r="F28" s="1317"/>
      <c r="G28" s="1318"/>
    </row>
    <row r="29" s="1273" customFormat="true" ht="13.5" hidden="false" customHeight="true" outlineLevel="0" collapsed="false">
      <c r="A29" s="1307" t="s">
        <v>883</v>
      </c>
      <c r="B29" s="1319" t="s">
        <v>924</v>
      </c>
      <c r="C29" s="1309" t="n">
        <f aca="false">ROUND(C21*F27*'数据-取费表'!B21/'数据-取费表'!B20,4)</f>
        <v>0.0015</v>
      </c>
      <c r="D29" s="1303"/>
      <c r="E29" s="1304"/>
      <c r="F29" s="1317"/>
      <c r="G29" s="1318"/>
    </row>
    <row r="30" s="1273" customFormat="true" ht="13.5" hidden="false" customHeight="true" outlineLevel="0" collapsed="false">
      <c r="A30" s="1267" t="s">
        <v>925</v>
      </c>
      <c r="B30" s="1268" t="s">
        <v>926</v>
      </c>
      <c r="C30" s="1303" t="n">
        <f aca="false">ROUND(F30/(1+'数据-取费表'!C42),4)</f>
        <v>0.055</v>
      </c>
      <c r="D30" s="1304" t="s">
        <v>909</v>
      </c>
      <c r="E30" s="1312"/>
      <c r="F30" s="1306" t="n">
        <f aca="false">'数据-取费表'!B41</f>
        <v>0.055</v>
      </c>
      <c r="G30" s="1302" t="s">
        <v>927</v>
      </c>
    </row>
    <row r="31" customFormat="false" ht="16.5" hidden="false" customHeight="true" outlineLevel="0" collapsed="false">
      <c r="A31" s="1321" t="n">
        <v>1</v>
      </c>
      <c r="B31" s="1268" t="s">
        <v>928</v>
      </c>
      <c r="C31" s="1269" t="n">
        <f aca="false">ROUND((C5+C19+C20+C22+C27)/(1-C21-D22-D27-C30),0)</f>
        <v>1</v>
      </c>
      <c r="D31" s="1322"/>
      <c r="E31" s="1269"/>
      <c r="F31" s="1323"/>
      <c r="G31" s="1302" t="s">
        <v>929</v>
      </c>
    </row>
    <row r="32" s="1266" customFormat="true" ht="15.75" hidden="false" customHeight="false" outlineLevel="0" collapsed="false">
      <c r="A32" s="1324" t="s">
        <v>930</v>
      </c>
      <c r="B32" s="1325"/>
      <c r="C32" s="1325"/>
      <c r="D32" s="1325"/>
      <c r="E32" s="1325"/>
      <c r="F32" s="1325"/>
      <c r="G32" s="1326"/>
    </row>
    <row r="33" s="1273" customFormat="true" ht="13.5" hidden="false" customHeight="true" outlineLevel="0" collapsed="false">
      <c r="A33" s="1267" t="s">
        <v>880</v>
      </c>
      <c r="B33" s="1268" t="s">
        <v>931</v>
      </c>
      <c r="C33" s="1327" t="n">
        <f aca="false">SUM(C34:C38)</f>
        <v>9</v>
      </c>
      <c r="D33" s="1300"/>
      <c r="E33" s="1271"/>
      <c r="F33" s="1312"/>
      <c r="G33" s="1302"/>
    </row>
    <row r="34" s="1329" customFormat="true" ht="13.5" hidden="false" customHeight="true" outlineLevel="0" collapsed="false">
      <c r="A34" s="1307" t="s">
        <v>881</v>
      </c>
      <c r="B34" s="1275" t="s">
        <v>557</v>
      </c>
      <c r="C34" s="1280" t="n">
        <f aca="true">IF(B1="",IF(F34=100%,'数据-取费表'!M16,'数据-取费表'!O16),IF(F34=100%,INDIRECT("'数据-取费表'!m"&amp;$G$1)+INDIRECT("'数据-取费表'!t"&amp;$G$1),INDIRECT("'数据-取费表'!o"&amp;$G$1)+INDIRECT("'数据-取费表'!aq"&amp;$G$1)))</f>
        <v>8</v>
      </c>
      <c r="D34" s="1277"/>
      <c r="E34" s="1280"/>
      <c r="F34" s="1328" t="n">
        <f aca="true">IF('数据-取费表'!B24=0,1,IF(B1="",'数据-取费表'!N16,INDIRECT("'数据-取费表'!n"&amp;$G$1)))</f>
        <v>1</v>
      </c>
      <c r="G34" s="1279" t="s">
        <v>932</v>
      </c>
    </row>
    <row r="35" customFormat="false" ht="13.5" hidden="false" customHeight="true" outlineLevel="0" collapsed="false">
      <c r="A35" s="1307" t="s">
        <v>883</v>
      </c>
      <c r="B35" s="1275" t="s">
        <v>612</v>
      </c>
      <c r="C35" s="1280" t="n">
        <f aca="false">ROUND(C34*F35,0)</f>
        <v>0</v>
      </c>
      <c r="D35" s="1280"/>
      <c r="E35" s="1280"/>
      <c r="F35" s="1330" t="n">
        <f aca="false">'数据-取费表'!B33</f>
        <v>0.03</v>
      </c>
      <c r="G35" s="1279" t="s">
        <v>933</v>
      </c>
    </row>
    <row r="36" customFormat="false" ht="24" hidden="false" customHeight="false" outlineLevel="0" collapsed="false">
      <c r="A36" s="1307" t="s">
        <v>885</v>
      </c>
      <c r="B36" s="1275" t="s">
        <v>614</v>
      </c>
      <c r="C36" s="1280" t="n">
        <f aca="true">ROUND(IF(B1="",SUMIF('数据-取费表'!C:C,"住宅",IF(F34=100%,'数据-取费表'!M:M,'数据-取费表'!O:O))*F36,IF(INDIRECT("'数据-取费表'!c"&amp;$G$1)="住宅",IF(F34=100%,INDIRECT("'数据-取费表'!m"&amp;$G$1)*F36,INDIRECT("'数据-取费表'!o"&amp;$G$1)*F36),0)),0)</f>
        <v>0</v>
      </c>
      <c r="D36" s="1280"/>
      <c r="E36" s="1280"/>
      <c r="F36" s="1330" t="n">
        <f aca="false">'数据-取费表'!B34</f>
        <v>0.05</v>
      </c>
      <c r="G36" s="1331" t="s">
        <v>934</v>
      </c>
    </row>
    <row r="37" s="1329" customFormat="true" ht="13.5" hidden="false" customHeight="true" outlineLevel="0" collapsed="false">
      <c r="A37" s="1307" t="s">
        <v>919</v>
      </c>
      <c r="B37" s="1275" t="s">
        <v>935</v>
      </c>
      <c r="C37" s="1320" t="n">
        <f aca="false">ROUND(E37*D37*F34/10000,0)</f>
        <v>1</v>
      </c>
      <c r="D37" s="1277" t="n">
        <f aca="false">D19</f>
        <v>58.3</v>
      </c>
      <c r="E37" s="1320" t="n">
        <f aca="false">'数据-取费表'!B35</f>
        <v>120</v>
      </c>
      <c r="F37" s="1330"/>
      <c r="G37" s="1332" t="s">
        <v>936</v>
      </c>
    </row>
    <row r="38" customFormat="false" ht="13.5" hidden="false" customHeight="true" outlineLevel="0" collapsed="false">
      <c r="A38" s="1307" t="s">
        <v>937</v>
      </c>
      <c r="B38" s="1275" t="s">
        <v>824</v>
      </c>
      <c r="C38" s="1280" t="n">
        <f aca="false">ROUND(C34*F38,0)</f>
        <v>0</v>
      </c>
      <c r="D38" s="1280"/>
      <c r="E38" s="1280"/>
      <c r="F38" s="1330" t="n">
        <f aca="false">'数据-取费表'!B36</f>
        <v>0.015</v>
      </c>
      <c r="G38" s="1279" t="s">
        <v>933</v>
      </c>
    </row>
    <row r="39" s="1273" customFormat="true" ht="13.5" hidden="false" customHeight="true" outlineLevel="0" collapsed="false">
      <c r="A39" s="1267" t="s">
        <v>904</v>
      </c>
      <c r="B39" s="1268" t="s">
        <v>621</v>
      </c>
      <c r="C39" s="1300" t="n">
        <f aca="false">ROUND(C33*F20,0)</f>
        <v>0</v>
      </c>
      <c r="D39" s="1300"/>
      <c r="E39" s="1300"/>
      <c r="F39" s="1301" t="n">
        <f aca="false">F20</f>
        <v>0.01</v>
      </c>
      <c r="G39" s="1302" t="s">
        <v>938</v>
      </c>
    </row>
    <row r="40" s="1273" customFormat="true" ht="13.5" hidden="false" customHeight="true" outlineLevel="0" collapsed="false">
      <c r="A40" s="1267" t="s">
        <v>906</v>
      </c>
      <c r="B40" s="1268" t="s">
        <v>623</v>
      </c>
      <c r="C40" s="1333" t="n">
        <f aca="false">F21</f>
        <v>0.01</v>
      </c>
      <c r="D40" s="1304" t="s">
        <v>939</v>
      </c>
      <c r="E40" s="1300"/>
      <c r="F40" s="1301" t="n">
        <f aca="false">F21</f>
        <v>0.01</v>
      </c>
      <c r="G40" s="1302" t="s">
        <v>940</v>
      </c>
    </row>
    <row r="41" s="1273" customFormat="true" ht="13.5" hidden="false" customHeight="true" outlineLevel="0" collapsed="false">
      <c r="A41" s="1267" t="s">
        <v>908</v>
      </c>
      <c r="B41" s="1268" t="s">
        <v>912</v>
      </c>
      <c r="C41" s="1300" t="n">
        <f aca="false">ROUND(SUM(C42:C43),0)</f>
        <v>1</v>
      </c>
      <c r="D41" s="1303" t="n">
        <f aca="false">C44</f>
        <v>0.0006</v>
      </c>
      <c r="E41" s="1304" t="s">
        <v>939</v>
      </c>
      <c r="F41" s="1306" t="n">
        <f aca="false">F22</f>
        <v>0.063</v>
      </c>
      <c r="G41" s="1302" t="str">
        <f aca="false">IF('数据-取费表'!B22&lt;=1,"单利计息","复利计息")</f>
        <v>复利计息</v>
      </c>
    </row>
    <row r="42" customFormat="false" ht="13.5" hidden="false" customHeight="true" outlineLevel="0" collapsed="false">
      <c r="A42" s="1307" t="s">
        <v>881</v>
      </c>
      <c r="B42" s="1275" t="s">
        <v>913</v>
      </c>
      <c r="C42" s="1309" t="n">
        <f aca="false">ROUND(IF('数据-取费表'!B22&lt;=1,C33*F22*'数据-取费表'!B21/2,C33*(POWER((1+F22),'数据-取费表'!B21/2)-1)),0)</f>
        <v>1</v>
      </c>
      <c r="D42" s="1309"/>
      <c r="E42" s="1309"/>
      <c r="F42" s="1310"/>
      <c r="G42" s="1334" t="s">
        <v>941</v>
      </c>
    </row>
    <row r="43" customFormat="false" ht="13.5" hidden="false" customHeight="true" outlineLevel="0" collapsed="false">
      <c r="A43" s="1307" t="s">
        <v>883</v>
      </c>
      <c r="B43" s="1275" t="s">
        <v>915</v>
      </c>
      <c r="C43" s="1309" t="n">
        <f aca="false">ROUND(IF('数据-取费表'!B22&lt;=1,C39*F22*'数据-取费表'!B21/2,C39*(POWER((1+F22),'数据-取费表'!B21/2)-1)),0)</f>
        <v>0</v>
      </c>
      <c r="D43" s="1309"/>
      <c r="E43" s="1309"/>
      <c r="F43" s="1310"/>
      <c r="G43" s="1334"/>
    </row>
    <row r="44" customFormat="false" ht="13.5" hidden="false" customHeight="true" outlineLevel="0" collapsed="false">
      <c r="A44" s="1307" t="s">
        <v>885</v>
      </c>
      <c r="B44" s="1275" t="s">
        <v>917</v>
      </c>
      <c r="C44" s="1309" t="n">
        <f aca="false">ROUND(IF('数据-取费表'!B22&lt;=1,C40*F22*'数据-取费表'!B21/2,C40*(POWER((1+F22),'数据-取费表'!B21/2)-1)),4)</f>
        <v>0.0006</v>
      </c>
      <c r="D44" s="1309"/>
      <c r="E44" s="1309"/>
      <c r="F44" s="1310"/>
      <c r="G44" s="1334"/>
    </row>
    <row r="45" s="1273" customFormat="true" ht="13.5" hidden="false" customHeight="true" outlineLevel="0" collapsed="false">
      <c r="A45" s="1267" t="s">
        <v>911</v>
      </c>
      <c r="B45" s="1315" t="s">
        <v>570</v>
      </c>
      <c r="C45" s="1316" t="n">
        <f aca="false">C46</f>
        <v>1</v>
      </c>
      <c r="D45" s="1303" t="n">
        <f aca="false">C47</f>
        <v>0.0015</v>
      </c>
      <c r="E45" s="1304" t="s">
        <v>939</v>
      </c>
      <c r="F45" s="1317" t="n">
        <f aca="false">F27</f>
        <v>0.15</v>
      </c>
      <c r="G45" s="1318" t="s">
        <v>942</v>
      </c>
    </row>
    <row r="46" s="1273" customFormat="true" ht="13.5" hidden="false" customHeight="true" outlineLevel="0" collapsed="false">
      <c r="A46" s="1307" t="s">
        <v>881</v>
      </c>
      <c r="B46" s="1319" t="s">
        <v>943</v>
      </c>
      <c r="C46" s="1320" t="n">
        <f aca="false">ROUND((C33+C39)*F27,0)</f>
        <v>1</v>
      </c>
      <c r="D46" s="1335"/>
      <c r="E46" s="1304"/>
      <c r="F46" s="1317"/>
      <c r="G46" s="1318"/>
    </row>
    <row r="47" s="1273" customFormat="true" ht="13.5" hidden="false" customHeight="true" outlineLevel="0" collapsed="false">
      <c r="A47" s="1307" t="s">
        <v>883</v>
      </c>
      <c r="B47" s="1319" t="s">
        <v>944</v>
      </c>
      <c r="C47" s="1309" t="n">
        <f aca="false">ROUND(C40*F27,4)</f>
        <v>0.0015</v>
      </c>
      <c r="D47" s="1335"/>
      <c r="E47" s="1304"/>
      <c r="F47" s="1317"/>
      <c r="G47" s="1318"/>
    </row>
    <row r="48" s="1273" customFormat="true" ht="13.5" hidden="false" customHeight="true" outlineLevel="0" collapsed="false">
      <c r="A48" s="1267" t="s">
        <v>921</v>
      </c>
      <c r="B48" s="1268" t="s">
        <v>926</v>
      </c>
      <c r="C48" s="1333" t="n">
        <f aca="false">ROUND(F30/(1+'数据-取费表'!C42),4)</f>
        <v>0.055</v>
      </c>
      <c r="D48" s="1304" t="s">
        <v>939</v>
      </c>
      <c r="E48" s="1300"/>
      <c r="F48" s="1306" t="n">
        <f aca="false">F30</f>
        <v>0.055</v>
      </c>
      <c r="G48" s="1302" t="s">
        <v>945</v>
      </c>
    </row>
    <row r="49" customFormat="false" ht="16.5" hidden="false" customHeight="true" outlineLevel="0" collapsed="false">
      <c r="A49" s="1267" t="s">
        <v>925</v>
      </c>
      <c r="B49" s="1268" t="s">
        <v>946</v>
      </c>
      <c r="C49" s="1300" t="n">
        <f aca="false">ROUND((C33+C39+C41+C45)/(1-C40-D41-D45-C48),0)</f>
        <v>12</v>
      </c>
      <c r="D49" s="1300"/>
      <c r="E49" s="1300"/>
      <c r="F49" s="1336"/>
      <c r="G49" s="1302" t="s">
        <v>947</v>
      </c>
    </row>
    <row r="50" s="1329" customFormat="true" ht="24" hidden="false" customHeight="false" outlineLevel="0" collapsed="false">
      <c r="A50" s="1267" t="s">
        <v>948</v>
      </c>
      <c r="B50" s="1268" t="s">
        <v>949</v>
      </c>
      <c r="C50" s="1300"/>
      <c r="D50" s="1300"/>
      <c r="E50" s="1300"/>
      <c r="F50" s="1336" t="n">
        <f aca="false">IF('数据-取费表'!B24=0,'数据-取费表'!N16,1)</f>
        <v>0.6</v>
      </c>
      <c r="G50" s="1318" t="s">
        <v>950</v>
      </c>
    </row>
    <row r="51" customFormat="false" ht="16.5" hidden="false" customHeight="true" outlineLevel="0" collapsed="false">
      <c r="A51" s="1267" t="s">
        <v>951</v>
      </c>
      <c r="B51" s="1268" t="s">
        <v>952</v>
      </c>
      <c r="C51" s="1300" t="n">
        <f aca="false">ROUND(C49*F50,0)</f>
        <v>7</v>
      </c>
      <c r="D51" s="1300"/>
      <c r="E51" s="1300"/>
      <c r="F51" s="1336"/>
      <c r="G51" s="1302" t="s">
        <v>953</v>
      </c>
    </row>
    <row r="52" s="1266" customFormat="true" ht="15.75" hidden="false" customHeight="false" outlineLevel="0" collapsed="false">
      <c r="A52" s="1337" t="s">
        <v>954</v>
      </c>
      <c r="B52" s="1338"/>
      <c r="C52" s="1339" t="n">
        <f aca="false">C31+C51</f>
        <v>8</v>
      </c>
      <c r="D52" s="1338"/>
      <c r="E52" s="1338"/>
      <c r="F52" s="1338"/>
      <c r="G52" s="1340"/>
    </row>
    <row r="55" customFormat="false" ht="15" hidden="false" customHeight="false" outlineLevel="0" collapsed="false">
      <c r="B55" s="1341" t="s">
        <v>955</v>
      </c>
      <c r="C55" s="1342"/>
    </row>
    <row r="56" customFormat="false" ht="12.75" hidden="false" customHeight="false" outlineLevel="0" collapsed="false">
      <c r="B56" s="1343" t="s">
        <v>956</v>
      </c>
      <c r="C56" s="1344" t="n">
        <f aca="false">1-C57</f>
        <v>0.125</v>
      </c>
    </row>
    <row r="57" customFormat="false" ht="12.75" hidden="false" customHeight="false" outlineLevel="0" collapsed="false">
      <c r="B57" s="1343" t="s">
        <v>957</v>
      </c>
      <c r="C57" s="1345" t="n">
        <f aca="false">ROUND(C51/C52,3)</f>
        <v>0.875</v>
      </c>
    </row>
  </sheetData>
  <sheetProtection sheet="true" password="cee9" objects="true" scenarios="true" formatCells="false"/>
  <mergeCells count="1">
    <mergeCell ref="G42:G44"/>
  </mergeCells>
  <dataValidations count="6">
    <dataValidation allowBlank="true" operator="between" showDropDown="false" showErrorMessage="true" showInputMessage="true" sqref="G9" type="list">
      <formula1>"部分缴纳,全部缴纳"</formula1>
      <formula2>0</formula2>
    </dataValidation>
    <dataValidation allowBlank="true" operator="between" showDropDown="false" showErrorMessage="true" showInputMessage="true" sqref="B1" type="list">
      <formula1>项目类型</formula1>
      <formula2>0</formula2>
    </dataValidation>
    <dataValidation allowBlank="true" operator="between" showDropDown="false" showErrorMessage="true" showInputMessage="true" sqref="G2" type="list">
      <formula1>估价方法</formula1>
      <formula2>0</formula2>
    </dataValidation>
    <dataValidation allowBlank="true" operator="between" showDropDown="false" showErrorMessage="true" showInputMessage="true" sqref="D2" type="list">
      <formula1>"需扣减承租人权益,——"</formula1>
      <formula2>0</formula2>
    </dataValidation>
    <dataValidation allowBlank="true" operator="between" showDropDown="false" showErrorMessage="true" showInputMessage="true" sqref="G8" type="list">
      <formula1>"已包含在土地购买价格中,未包含在土地购买价格中"</formula1>
      <formula2>0</formula2>
    </dataValidation>
    <dataValidation allowBlank="true" operator="between" showDropDown="false" showErrorMessage="true" showInputMessage="true" sqref="G19" type="list">
      <formula1>"已包含在土地取得成本中,未包含在土地取得成本中"</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A36:I49"/>
  <sheetViews>
    <sheetView showFormulas="false" showGridLines="true" showRowColHeaders="true" showZeros="true" rightToLeft="false" tabSelected="false" showOutlineSymbols="true" defaultGridColor="true" view="pageBreakPreview" topLeftCell="A11" colorId="64" zoomScale="100" zoomScaleNormal="80" zoomScalePageLayoutView="100" workbookViewId="0">
      <selection pane="topLeft" activeCell="B49" activeCellId="0" sqref="B49"/>
    </sheetView>
  </sheetViews>
  <sheetFormatPr defaultRowHeight="13.5" zeroHeight="false" outlineLevelRow="0" outlineLevelCol="0"/>
  <cols>
    <col collapsed="false" customWidth="true" hidden="false" outlineLevel="0" max="1" min="1" style="19" width="3.5"/>
    <col collapsed="false" customWidth="true" hidden="false" outlineLevel="0" max="9" min="2" style="19" width="10"/>
    <col collapsed="false" customWidth="true" hidden="false" outlineLevel="0" max="1025" min="10" style="19" width="9"/>
  </cols>
  <sheetData>
    <row r="36" customFormat="false" ht="13.5" hidden="false" customHeight="false" outlineLevel="0" collapsed="false">
      <c r="A36" s="20" t="s">
        <v>75</v>
      </c>
      <c r="B36" s="20" t="s">
        <v>76</v>
      </c>
    </row>
    <row r="37" customFormat="false" ht="27.75" hidden="false" customHeight="true" outlineLevel="0" collapsed="false">
      <c r="A37" s="20"/>
      <c r="B37" s="21" t="str">
        <f aca="false">项目基本情况!B1</f>
        <v>北京市房地产市场价值预评估</v>
      </c>
      <c r="C37" s="21"/>
      <c r="D37" s="21"/>
      <c r="E37" s="21"/>
      <c r="F37" s="21"/>
      <c r="G37" s="21"/>
      <c r="H37" s="21"/>
      <c r="I37" s="21"/>
    </row>
    <row r="38" customFormat="false" ht="13.5" hidden="false" customHeight="false" outlineLevel="0" collapsed="false">
      <c r="A38" s="22"/>
      <c r="B38" s="22"/>
    </row>
    <row r="39" customFormat="false" ht="13.5" hidden="false" customHeight="false" outlineLevel="0" collapsed="false">
      <c r="A39" s="20" t="s">
        <v>75</v>
      </c>
      <c r="B39" s="20" t="s">
        <v>77</v>
      </c>
    </row>
    <row r="40" customFormat="false" ht="13.5" hidden="false" customHeight="false" outlineLevel="0" collapsed="false">
      <c r="A40" s="20"/>
      <c r="B40" s="23" t="n">
        <f aca="false">项目基本情况!B5</f>
        <v>0</v>
      </c>
    </row>
    <row r="41" customFormat="false" ht="13.5" hidden="false" customHeight="false" outlineLevel="0" collapsed="false">
      <c r="A41" s="20"/>
      <c r="B41" s="20"/>
    </row>
    <row r="42" customFormat="false" ht="13.5" hidden="false" customHeight="false" outlineLevel="0" collapsed="false">
      <c r="A42" s="20" t="s">
        <v>75</v>
      </c>
      <c r="B42" s="20" t="s">
        <v>78</v>
      </c>
    </row>
    <row r="43" customFormat="false" ht="13.5" hidden="false" customHeight="false" outlineLevel="0" collapsed="false">
      <c r="A43" s="20"/>
      <c r="B43" s="23" t="s">
        <v>79</v>
      </c>
    </row>
    <row r="44" customFormat="false" ht="13.5" hidden="false" customHeight="false" outlineLevel="0" collapsed="false">
      <c r="A44" s="20"/>
      <c r="B44" s="20"/>
    </row>
    <row r="45" customFormat="false" ht="13.5" hidden="false" customHeight="false" outlineLevel="0" collapsed="false">
      <c r="A45" s="20" t="s">
        <v>75</v>
      </c>
      <c r="B45" s="20" t="s">
        <v>80</v>
      </c>
    </row>
    <row r="46" s="20" customFormat="true" ht="12.75" hidden="false" customHeight="false" outlineLevel="0" collapsed="false">
      <c r="B46" s="23" t="str">
        <f aca="false">项目基本情况!K4</f>
        <v>（注册号：0)、（注册号：0)</v>
      </c>
    </row>
    <row r="47" customFormat="false" ht="13.5" hidden="false" customHeight="false" outlineLevel="0" collapsed="false">
      <c r="A47" s="20"/>
      <c r="B47" s="20" t="str">
        <f aca="false">项目基本情况!K5</f>
        <v>（注册号：0)、（注册号：0)</v>
      </c>
    </row>
    <row r="48" customFormat="false" ht="13.5" hidden="false" customHeight="false" outlineLevel="0" collapsed="false">
      <c r="A48" s="20" t="s">
        <v>75</v>
      </c>
      <c r="B48" s="20" t="s">
        <v>81</v>
      </c>
    </row>
    <row r="49" customFormat="false" ht="13.5" hidden="false" customHeight="false" outlineLevel="0" collapsed="false">
      <c r="B49" s="23" t="str">
        <f aca="false">"康正预评字"&amp;项目基本情况!B2&amp;"号"</f>
        <v>康正预评字号</v>
      </c>
    </row>
  </sheetData>
  <sheetProtection sheet="true" objects="true" scenarios="true" formatCells="false" formatRows="false" insertColumns="false" deleteRows="false"/>
  <mergeCells count="1">
    <mergeCell ref="B37:I37"/>
  </mergeCells>
  <printOptions headings="false" gridLines="false" gridLinesSet="true" horizontalCentered="false" verticalCentered="false"/>
  <pageMargins left="0.984027777777778" right="0.7875" top="0.984027777777778" bottom="0.984027777777778"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0.xml><?xml version="1.0" encoding="utf-8"?>
<worksheet xmlns="http://schemas.openxmlformats.org/spreadsheetml/2006/main" xmlns:r="http://schemas.openxmlformats.org/officeDocument/2006/relationships">
  <sheetPr filterMode="false">
    <pageSetUpPr fitToPage="true"/>
  </sheetPr>
  <dimension ref="A1:H57"/>
  <sheetViews>
    <sheetView showFormulas="false" showGridLines="true" showRowColHeaders="true" showZeros="true" rightToLeft="false" tabSelected="false" showOutlineSymbols="true" defaultGridColor="true" view="pageBreakPreview" topLeftCell="A4" colorId="64" zoomScale="100" zoomScaleNormal="70" zoomScalePageLayoutView="100" workbookViewId="0">
      <selection pane="topLeft" activeCell="F50" activeCellId="0" sqref="F50"/>
    </sheetView>
  </sheetViews>
  <sheetFormatPr defaultRowHeight="12.75" zeroHeight="false" outlineLevelRow="0" outlineLevelCol="0"/>
  <cols>
    <col collapsed="false" customWidth="true" hidden="false" outlineLevel="0" max="1" min="1" style="1246" width="9.38"/>
    <col collapsed="false" customWidth="true" hidden="false" outlineLevel="0" max="2" min="2" style="1247" width="29.25"/>
    <col collapsed="false" customWidth="true" hidden="false" outlineLevel="0" max="3" min="3" style="1247" width="12.12"/>
    <col collapsed="false" customWidth="true" hidden="false" outlineLevel="0" max="5" min="4" style="1248" width="11.26"/>
    <col collapsed="false" customWidth="true" hidden="false" outlineLevel="0" max="6" min="6" style="1247" width="9.5"/>
    <col collapsed="false" customWidth="true" hidden="false" outlineLevel="0" max="7" min="7" style="1247" width="31.88"/>
    <col collapsed="false" customWidth="true" hidden="false" outlineLevel="0" max="8" min="8" style="1247" width="10.76"/>
    <col collapsed="false" customWidth="true" hidden="false" outlineLevel="0" max="254" min="9" style="1247" width="9"/>
    <col collapsed="false" customWidth="true" hidden="false" outlineLevel="0" max="1025" min="255" style="1247" width="8.38"/>
  </cols>
  <sheetData>
    <row r="1" s="1253" customFormat="true" ht="20.25" hidden="false" customHeight="false" outlineLevel="0" collapsed="false">
      <c r="A1" s="1249" t="s">
        <v>225</v>
      </c>
      <c r="B1" s="1250"/>
      <c r="C1" s="1346" t="s">
        <v>958</v>
      </c>
      <c r="D1" s="1251"/>
      <c r="E1" s="1251"/>
      <c r="F1" s="1251"/>
      <c r="G1" s="1252" t="n">
        <f aca="false">MATCH(B1,'数据-取费表'!A6:A16,0)+5</f>
        <v>7</v>
      </c>
      <c r="H1" s="1347" t="str">
        <f aca="false">IF(ISERROR(FIND("住宅",B1)),"非住宅","住宅")</f>
        <v>非住宅</v>
      </c>
    </row>
    <row r="2" s="1253" customFormat="true" ht="18" hidden="false" customHeight="true" outlineLevel="0" collapsed="false">
      <c r="A2" s="1254" t="s">
        <v>97</v>
      </c>
      <c r="B2" s="1348" t="n">
        <f aca="false">ROUND(IF(D2="——",C52/10000,C52/10000-E2),4)</f>
        <v>68.8067</v>
      </c>
      <c r="C2" s="1256" t="s">
        <v>722</v>
      </c>
      <c r="D2" s="1257" t="s">
        <v>122</v>
      </c>
      <c r="E2" s="1258" t="e">
        <f aca="true">SUMIF(INDIRECT("'"&amp;G2&amp;"'"&amp;"!A:A"),"承租人权益价值",INDIRECT("'"&amp;G2&amp;"'"&amp;"!c:c"))</f>
        <v>#REF!</v>
      </c>
      <c r="F2" s="1259" t="s">
        <v>722</v>
      </c>
      <c r="G2" s="1260"/>
    </row>
    <row r="3" s="1253" customFormat="true" ht="18" hidden="false" customHeight="true" outlineLevel="0" collapsed="false">
      <c r="A3" s="1261" t="s">
        <v>110</v>
      </c>
      <c r="B3" s="1262" t="n">
        <f aca="true">ROUND(B2*10000/(IF(B1="",'数据-汇总表'!E3,INDIRECT("'数据-取费表'!k"&amp;$G$1))),0)</f>
        <v>11802</v>
      </c>
      <c r="C3" s="1256" t="s">
        <v>878</v>
      </c>
      <c r="D3" s="1256"/>
      <c r="E3" s="1256"/>
      <c r="F3" s="1256"/>
      <c r="G3" s="1256"/>
    </row>
    <row r="4" s="1266" customFormat="true" ht="15.75" hidden="false" customHeight="false" outlineLevel="0" collapsed="false">
      <c r="A4" s="1263" t="s">
        <v>879</v>
      </c>
      <c r="B4" s="1264"/>
      <c r="C4" s="1264"/>
      <c r="D4" s="1264"/>
      <c r="E4" s="1264"/>
      <c r="F4" s="1264"/>
      <c r="G4" s="1265"/>
    </row>
    <row r="5" s="1273" customFormat="true" ht="13.5" hidden="false" customHeight="true" outlineLevel="0" collapsed="false">
      <c r="A5" s="1267" t="s">
        <v>880</v>
      </c>
      <c r="B5" s="1268" t="s">
        <v>833</v>
      </c>
      <c r="C5" s="1269" t="n">
        <f aca="false">C6+C7+C8</f>
        <v>434966</v>
      </c>
      <c r="D5" s="1270" t="s">
        <v>728</v>
      </c>
      <c r="E5" s="1271" t="s">
        <v>99</v>
      </c>
      <c r="F5" s="1271" t="s">
        <v>789</v>
      </c>
      <c r="G5" s="1272"/>
    </row>
    <row r="6" s="1273" customFormat="true" ht="13.5" hidden="false" customHeight="true" outlineLevel="0" collapsed="false">
      <c r="A6" s="1274" t="s">
        <v>881</v>
      </c>
      <c r="B6" s="1275" t="s">
        <v>882</v>
      </c>
      <c r="C6" s="1276" t="n">
        <f aca="false">[2]2002基准地价!$E$18</f>
        <v>422092</v>
      </c>
      <c r="D6" s="1277"/>
      <c r="E6" s="1278"/>
      <c r="F6" s="1278"/>
      <c r="G6" s="1279"/>
    </row>
    <row r="7" s="1273" customFormat="true" ht="13.5" hidden="false" customHeight="true" outlineLevel="0" collapsed="false">
      <c r="A7" s="1274" t="s">
        <v>883</v>
      </c>
      <c r="B7" s="1275" t="s">
        <v>884</v>
      </c>
      <c r="C7" s="1280" t="n">
        <f aca="false">ROUND(C6*F7,0)</f>
        <v>12874</v>
      </c>
      <c r="D7" s="1280"/>
      <c r="E7" s="1278"/>
      <c r="F7" s="1281" t="n">
        <f aca="false">IF(项目基本情况!B8="出让",0,'数据-取费表'!B48+'数据-取费表'!B49)</f>
        <v>0.0305</v>
      </c>
      <c r="G7" s="1279"/>
    </row>
    <row r="8" s="1284" customFormat="true" ht="12.75" hidden="false" customHeight="false" outlineLevel="0" collapsed="false">
      <c r="A8" s="1274" t="s">
        <v>885</v>
      </c>
      <c r="B8" s="1275" t="s">
        <v>886</v>
      </c>
      <c r="C8" s="1280" t="n">
        <f aca="false">IF(G8="已包含在土地购买价格中",0,C9+C10)</f>
        <v>0</v>
      </c>
      <c r="D8" s="1282"/>
      <c r="E8" s="1280"/>
      <c r="F8" s="1281"/>
      <c r="G8" s="1283" t="s">
        <v>959</v>
      </c>
    </row>
    <row r="9" s="1273" customFormat="true" ht="13.5" hidden="false" customHeight="true" outlineLevel="0" collapsed="false">
      <c r="A9" s="1285" t="s">
        <v>887</v>
      </c>
      <c r="B9" s="1286" t="s">
        <v>156</v>
      </c>
      <c r="C9" s="1287" t="n">
        <f aca="false">ROUND(D9*E9,0)</f>
        <v>9328</v>
      </c>
      <c r="D9" s="1288" t="n">
        <f aca="true">IF(B1="",'数据-汇总表'!E5,IF(INDIRECT("'数据-取费表'!c"&amp;$G$1)="住宅",INDIRECT("'数据-取费表'!k"&amp;$G$1),0))</f>
        <v>58.3</v>
      </c>
      <c r="E9" s="1287" t="n">
        <f aca="false">'数据-取费表'!B27</f>
        <v>160</v>
      </c>
      <c r="F9" s="1281"/>
      <c r="G9" s="1292"/>
    </row>
    <row r="10" s="1273" customFormat="true" ht="13.5" hidden="false" customHeight="true" outlineLevel="0" collapsed="false">
      <c r="A10" s="1285" t="s">
        <v>888</v>
      </c>
      <c r="B10" s="1286" t="s">
        <v>529</v>
      </c>
      <c r="C10" s="1287" t="n">
        <f aca="false">ROUND(D10*E10,0)</f>
        <v>0</v>
      </c>
      <c r="D10" s="1288" t="n">
        <f aca="true">IF(B1="",'数据-汇总表'!E6,IF(INDIRECT("'数据-取费表'!c"&amp;$G$1)="住宅",INDIRECT("'数据-取费表'!s"&amp;$G$1),INDIRECT("'数据-取费表'!k"&amp;$G$1)+INDIRECT("'数据-取费表'!s"&amp;$G$1)))</f>
        <v>0</v>
      </c>
      <c r="E10" s="1287" t="n">
        <f aca="false">'数据-取费表'!B28</f>
        <v>200</v>
      </c>
      <c r="F10" s="1281"/>
      <c r="G10" s="1292"/>
    </row>
    <row r="11" s="1273" customFormat="true" ht="13.5" hidden="true" customHeight="true" outlineLevel="0" collapsed="false">
      <c r="A11" s="1293" t="s">
        <v>889</v>
      </c>
      <c r="B11" s="1275" t="s">
        <v>890</v>
      </c>
      <c r="C11" s="1269"/>
      <c r="D11" s="1294"/>
      <c r="E11" s="1278"/>
      <c r="F11" s="1278"/>
      <c r="G11" s="1279"/>
    </row>
    <row r="12" s="1273" customFormat="true" ht="13.5" hidden="true" customHeight="true" outlineLevel="0" collapsed="false">
      <c r="A12" s="1293" t="s">
        <v>891</v>
      </c>
      <c r="B12" s="1275" t="s">
        <v>824</v>
      </c>
      <c r="C12" s="1269" t="n">
        <v>0</v>
      </c>
      <c r="D12" s="1294"/>
      <c r="E12" s="1295"/>
      <c r="F12" s="1281" t="n">
        <v>0.0305</v>
      </c>
      <c r="G12" s="1279"/>
    </row>
    <row r="13" s="1273" customFormat="true" ht="13.5" hidden="true" customHeight="true" outlineLevel="0" collapsed="false">
      <c r="A13" s="1293" t="s">
        <v>892</v>
      </c>
      <c r="B13" s="1275" t="s">
        <v>893</v>
      </c>
      <c r="C13" s="1269"/>
      <c r="D13" s="1294"/>
      <c r="E13" s="1278"/>
      <c r="F13" s="1278"/>
      <c r="G13" s="1279"/>
    </row>
    <row r="14" s="1273" customFormat="true" ht="13.5" hidden="true" customHeight="true" outlineLevel="0" collapsed="false">
      <c r="A14" s="1293" t="s">
        <v>894</v>
      </c>
      <c r="B14" s="1275" t="s">
        <v>886</v>
      </c>
      <c r="C14" s="1269"/>
      <c r="D14" s="1294"/>
      <c r="E14" s="1278"/>
      <c r="F14" s="1278"/>
      <c r="G14" s="1279" t="s">
        <v>895</v>
      </c>
    </row>
    <row r="15" s="1273" customFormat="true" ht="13.5" hidden="true" customHeight="true" outlineLevel="0" collapsed="false">
      <c r="A15" s="1293" t="s">
        <v>896</v>
      </c>
      <c r="B15" s="1275" t="s">
        <v>897</v>
      </c>
      <c r="C15" s="1280"/>
      <c r="D15" s="1294"/>
      <c r="E15" s="1278"/>
      <c r="F15" s="1278"/>
      <c r="G15" s="1279" t="s">
        <v>898</v>
      </c>
    </row>
    <row r="16" s="1273" customFormat="true" ht="13.5" hidden="true" customHeight="true" outlineLevel="0" collapsed="false">
      <c r="A16" s="1293" t="s">
        <v>899</v>
      </c>
      <c r="B16" s="1275" t="s">
        <v>886</v>
      </c>
      <c r="C16" s="1280"/>
      <c r="D16" s="1294"/>
      <c r="E16" s="1278"/>
      <c r="F16" s="1278"/>
      <c r="G16" s="1279"/>
    </row>
    <row r="17" s="1273" customFormat="true" ht="13.5" hidden="true" customHeight="true" outlineLevel="0" collapsed="false">
      <c r="A17" s="1293" t="s">
        <v>900</v>
      </c>
      <c r="B17" s="1275" t="s">
        <v>901</v>
      </c>
      <c r="C17" s="1296"/>
      <c r="D17" s="1297"/>
      <c r="E17" s="1296"/>
      <c r="F17" s="1296"/>
      <c r="G17" s="1279" t="s">
        <v>898</v>
      </c>
    </row>
    <row r="18" s="1273" customFormat="true" ht="13.5" hidden="true" customHeight="true" outlineLevel="0" collapsed="false">
      <c r="A18" s="1293" t="s">
        <v>902</v>
      </c>
      <c r="B18" s="1275" t="s">
        <v>838</v>
      </c>
      <c r="C18" s="1280" t="n">
        <v>0</v>
      </c>
      <c r="D18" s="1294"/>
      <c r="E18" s="1278"/>
      <c r="F18" s="1281" t="n">
        <v>0.0305</v>
      </c>
      <c r="G18" s="1279" t="s">
        <v>903</v>
      </c>
    </row>
    <row r="19" s="1284" customFormat="true" ht="13.5" hidden="false" customHeight="true" outlineLevel="0" collapsed="false">
      <c r="A19" s="1267" t="s">
        <v>904</v>
      </c>
      <c r="B19" s="1268" t="s">
        <v>905</v>
      </c>
      <c r="C19" s="1269" t="n">
        <f aca="false">IF(G19="已包含在土地取得成本中","0",ROUND(D19*E19,0))</f>
        <v>6996</v>
      </c>
      <c r="D19" s="1298" t="n">
        <f aca="false">D9+D10</f>
        <v>58.3</v>
      </c>
      <c r="E19" s="1269" t="n">
        <f aca="false">'数据-取费表'!B31</f>
        <v>120</v>
      </c>
      <c r="F19" s="1299"/>
      <c r="G19" s="1283" t="s">
        <v>960</v>
      </c>
    </row>
    <row r="20" s="1273" customFormat="true" ht="13.5" hidden="false" customHeight="true" outlineLevel="0" collapsed="false">
      <c r="A20" s="1267" t="s">
        <v>906</v>
      </c>
      <c r="B20" s="1268" t="s">
        <v>621</v>
      </c>
      <c r="C20" s="1300" t="n">
        <f aca="false">ROUND((C5+C19)*F20,0)</f>
        <v>4420</v>
      </c>
      <c r="D20" s="1300"/>
      <c r="E20" s="1300"/>
      <c r="F20" s="1301" t="n">
        <f aca="false">'数据-取费表'!B37</f>
        <v>0.01</v>
      </c>
      <c r="G20" s="1302" t="s">
        <v>907</v>
      </c>
    </row>
    <row r="21" s="1273" customFormat="true" ht="13.5" hidden="false" customHeight="true" outlineLevel="0" collapsed="false">
      <c r="A21" s="1267" t="s">
        <v>908</v>
      </c>
      <c r="B21" s="1268" t="s">
        <v>623</v>
      </c>
      <c r="C21" s="1303" t="n">
        <f aca="false">F21</f>
        <v>0.01</v>
      </c>
      <c r="D21" s="1304" t="s">
        <v>909</v>
      </c>
      <c r="E21" s="1300"/>
      <c r="F21" s="1301" t="n">
        <f aca="false">'数据-取费表'!B38</f>
        <v>0.01</v>
      </c>
      <c r="G21" s="1302" t="s">
        <v>910</v>
      </c>
    </row>
    <row r="22" s="1273" customFormat="true" ht="13.5" hidden="false" customHeight="true" outlineLevel="0" collapsed="false">
      <c r="A22" s="1267" t="s">
        <v>911</v>
      </c>
      <c r="B22" s="1268" t="s">
        <v>912</v>
      </c>
      <c r="C22" s="1349" t="n">
        <f aca="false">ROUND(SUM(C23:C25),0)</f>
        <v>57719</v>
      </c>
      <c r="D22" s="1303" t="n">
        <f aca="false">C26</f>
        <v>0.0006</v>
      </c>
      <c r="E22" s="1304" t="s">
        <v>909</v>
      </c>
      <c r="F22" s="1306" t="n">
        <f aca="false">'数据-取费表'!B40</f>
        <v>0.063</v>
      </c>
      <c r="G22" s="1302" t="str">
        <f aca="false">IF('数据-取费表'!B22&lt;=1,"单利计息","复利计息")</f>
        <v>复利计息</v>
      </c>
    </row>
    <row r="23" s="1273" customFormat="true" ht="13.5" hidden="false" customHeight="true" outlineLevel="0" collapsed="false">
      <c r="A23" s="1307" t="s">
        <v>881</v>
      </c>
      <c r="B23" s="1275" t="s">
        <v>913</v>
      </c>
      <c r="C23" s="1350" t="n">
        <f aca="false">ROUND(IF('数据-取费表'!B22&lt;=1,C5*F22*'数据-取费表'!B22,C5*(POWER((1+F22),'数据-取费表'!B22)-1)),0)</f>
        <v>56532</v>
      </c>
      <c r="D23" s="1309"/>
      <c r="E23" s="1309"/>
      <c r="F23" s="1310"/>
      <c r="G23" s="1311" t="s">
        <v>914</v>
      </c>
    </row>
    <row r="24" s="1273" customFormat="true" ht="13.5" hidden="false" customHeight="true" outlineLevel="0" collapsed="false">
      <c r="A24" s="1307" t="s">
        <v>883</v>
      </c>
      <c r="B24" s="1275" t="s">
        <v>915</v>
      </c>
      <c r="C24" s="1350" t="n">
        <f aca="false">ROUND(IF('数据-取费表'!B22&lt;=1,C19*F22*('数据-取费表'!B19/2+'数据-取费表'!B20),C19*(POWER((1+F22),('数据-取费表'!B19/2+'数据-取费表'!B20))-1)),0)</f>
        <v>909</v>
      </c>
      <c r="D24" s="1309"/>
      <c r="E24" s="1309"/>
      <c r="F24" s="1310"/>
      <c r="G24" s="1311" t="s">
        <v>916</v>
      </c>
    </row>
    <row r="25" s="1273" customFormat="true" ht="24" hidden="false" customHeight="false" outlineLevel="0" collapsed="false">
      <c r="A25" s="1307" t="s">
        <v>885</v>
      </c>
      <c r="B25" s="1275" t="s">
        <v>917</v>
      </c>
      <c r="C25" s="1350" t="n">
        <f aca="false">ROUND(IF('数据-取费表'!B22&lt;=1,C20*F22*'数据-取费表'!B22/2,C20*(POWER((1+F22),'数据-取费表'!B22/2)-1)),0)</f>
        <v>278</v>
      </c>
      <c r="D25" s="1309"/>
      <c r="E25" s="1312"/>
      <c r="F25" s="1310"/>
      <c r="G25" s="1313" t="s">
        <v>918</v>
      </c>
    </row>
    <row r="26" s="1273" customFormat="true" ht="12.75" hidden="false" customHeight="false" outlineLevel="0" collapsed="false">
      <c r="A26" s="1307" t="s">
        <v>919</v>
      </c>
      <c r="B26" s="1275" t="s">
        <v>920</v>
      </c>
      <c r="C26" s="1309" t="n">
        <f aca="false">ROUND(IF('数据-取费表'!B22&lt;=1,F21*F22*'数据-取费表'!B22/2,F21*(POWER((1+F22),'数据-取费表'!B22/2)-1)),4)</f>
        <v>0.0006</v>
      </c>
      <c r="D26" s="1309"/>
      <c r="E26" s="1312"/>
      <c r="F26" s="1310"/>
      <c r="G26" s="1314"/>
    </row>
    <row r="27" s="1273" customFormat="true" ht="24.75" hidden="false" customHeight="false" outlineLevel="0" collapsed="false">
      <c r="A27" s="1267" t="s">
        <v>921</v>
      </c>
      <c r="B27" s="1315" t="s">
        <v>570</v>
      </c>
      <c r="C27" s="1316" t="n">
        <f aca="false">C28</f>
        <v>66957</v>
      </c>
      <c r="D27" s="1303" t="n">
        <f aca="false">C29</f>
        <v>0.0015</v>
      </c>
      <c r="E27" s="1304" t="s">
        <v>909</v>
      </c>
      <c r="F27" s="1317" t="n">
        <f aca="true">IF(B1="",'数据-取费表'!Q16,INDIRECT("'数据-取费表'!q"&amp;$G$1))</f>
        <v>0.15</v>
      </c>
      <c r="G27" s="1318" t="s">
        <v>922</v>
      </c>
    </row>
    <row r="28" s="1273" customFormat="true" ht="13.5" hidden="false" customHeight="true" outlineLevel="0" collapsed="false">
      <c r="A28" s="1307" t="s">
        <v>881</v>
      </c>
      <c r="B28" s="1319" t="s">
        <v>923</v>
      </c>
      <c r="C28" s="1320" t="n">
        <f aca="false">ROUND((C5+C19+C20)*F27,0)</f>
        <v>66957</v>
      </c>
      <c r="D28" s="1303"/>
      <c r="E28" s="1304"/>
      <c r="F28" s="1317"/>
      <c r="G28" s="1318"/>
    </row>
    <row r="29" s="1273" customFormat="true" ht="13.5" hidden="false" customHeight="true" outlineLevel="0" collapsed="false">
      <c r="A29" s="1307" t="s">
        <v>883</v>
      </c>
      <c r="B29" s="1319" t="s">
        <v>924</v>
      </c>
      <c r="C29" s="1309" t="n">
        <f aca="false">ROUND(C21*F27,4)</f>
        <v>0.0015</v>
      </c>
      <c r="D29" s="1303"/>
      <c r="E29" s="1304"/>
      <c r="F29" s="1317"/>
      <c r="G29" s="1318"/>
    </row>
    <row r="30" s="1273" customFormat="true" ht="13.5" hidden="false" customHeight="true" outlineLevel="0" collapsed="false">
      <c r="A30" s="1267" t="s">
        <v>925</v>
      </c>
      <c r="B30" s="1268" t="s">
        <v>926</v>
      </c>
      <c r="C30" s="1303" t="n">
        <f aca="false">ROUND(F30/(1+'数据-取费表'!C42),4)</f>
        <v>0.055</v>
      </c>
      <c r="D30" s="1304" t="s">
        <v>909</v>
      </c>
      <c r="E30" s="1312"/>
      <c r="F30" s="1306" t="n">
        <f aca="false">'数据-取费表'!B41</f>
        <v>0.055</v>
      </c>
      <c r="G30" s="1302" t="s">
        <v>927</v>
      </c>
    </row>
    <row r="31" customFormat="false" ht="16.5" hidden="false" customHeight="true" outlineLevel="0" collapsed="false">
      <c r="A31" s="1321" t="n">
        <v>1</v>
      </c>
      <c r="B31" s="1268" t="s">
        <v>928</v>
      </c>
      <c r="C31" s="1269" t="n">
        <f aca="false">ROUND((C5+C19+C20+C22+C27)/(1-C21-D22-D27-C30),0)</f>
        <v>612132</v>
      </c>
      <c r="D31" s="1322"/>
      <c r="E31" s="1269"/>
      <c r="F31" s="1323"/>
      <c r="G31" s="1302" t="s">
        <v>929</v>
      </c>
    </row>
    <row r="32" s="1266" customFormat="true" ht="15.75" hidden="false" customHeight="false" outlineLevel="0" collapsed="false">
      <c r="A32" s="1324" t="s">
        <v>961</v>
      </c>
      <c r="B32" s="1325"/>
      <c r="C32" s="1325"/>
      <c r="D32" s="1325"/>
      <c r="E32" s="1325"/>
      <c r="F32" s="1325"/>
      <c r="G32" s="1326"/>
    </row>
    <row r="33" s="1273" customFormat="true" ht="13.5" hidden="false" customHeight="true" outlineLevel="0" collapsed="false">
      <c r="A33" s="1267" t="s">
        <v>880</v>
      </c>
      <c r="B33" s="1268" t="s">
        <v>962</v>
      </c>
      <c r="C33" s="1327" t="n">
        <f aca="false">SUM(C34:C38)</f>
        <v>96370</v>
      </c>
      <c r="D33" s="1300"/>
      <c r="E33" s="1271"/>
      <c r="F33" s="1312"/>
      <c r="G33" s="1302"/>
    </row>
    <row r="34" s="1329" customFormat="true" ht="13.5" hidden="false" customHeight="true" outlineLevel="0" collapsed="false">
      <c r="A34" s="1307" t="s">
        <v>881</v>
      </c>
      <c r="B34" s="1275" t="s">
        <v>557</v>
      </c>
      <c r="C34" s="1280" t="n">
        <f aca="true">ROUND(IF(B1="",SUMPRODUCT('数据-取费表'!K6:K14,'数据-取费表'!L6:L14),INDIRECT("'数据-取费表'!l"&amp;$G$1)*INDIRECT("'数据-取费表'!k"&amp;$G$1)+'数据-取费表'!L14*INDIRECT("'数据-取费表'!S"&amp;$G$1)),0)</f>
        <v>81620</v>
      </c>
      <c r="D34" s="1277"/>
      <c r="E34" s="1280"/>
      <c r="F34" s="1328"/>
      <c r="G34" s="1279"/>
    </row>
    <row r="35" customFormat="false" ht="13.5" hidden="false" customHeight="true" outlineLevel="0" collapsed="false">
      <c r="A35" s="1307" t="s">
        <v>883</v>
      </c>
      <c r="B35" s="1275" t="s">
        <v>612</v>
      </c>
      <c r="C35" s="1280" t="n">
        <f aca="false">ROUND(C34*F35,0)</f>
        <v>2449</v>
      </c>
      <c r="D35" s="1280"/>
      <c r="E35" s="1280"/>
      <c r="F35" s="1330" t="n">
        <f aca="false">'数据-取费表'!B33</f>
        <v>0.03</v>
      </c>
      <c r="G35" s="1279" t="s">
        <v>933</v>
      </c>
    </row>
    <row r="36" customFormat="false" ht="24" hidden="false" customHeight="false" outlineLevel="0" collapsed="false">
      <c r="A36" s="1307" t="s">
        <v>885</v>
      </c>
      <c r="B36" s="1275" t="s">
        <v>614</v>
      </c>
      <c r="C36" s="1280" t="n">
        <f aca="true">ROUND(IF(B1="",SUM('数据-取费表'!AP6:AP13)*F36,IF(INDIRECT("'数据-取费表'!c"&amp;$G$1)="住宅",INDIRECT("'数据-取费表'!k"&amp;$G$1)*INDIRECT("'数据-取费表'!l"&amp;$G$1)*F36,0)),0)</f>
        <v>4081</v>
      </c>
      <c r="D36" s="1280"/>
      <c r="E36" s="1280"/>
      <c r="F36" s="1330" t="n">
        <f aca="false">'数据-取费表'!B34</f>
        <v>0.05</v>
      </c>
      <c r="G36" s="1331" t="s">
        <v>934</v>
      </c>
    </row>
    <row r="37" s="1329" customFormat="true" ht="13.5" hidden="false" customHeight="true" outlineLevel="0" collapsed="false">
      <c r="A37" s="1307" t="s">
        <v>919</v>
      </c>
      <c r="B37" s="1275" t="s">
        <v>935</v>
      </c>
      <c r="C37" s="1320" t="n">
        <f aca="false">ROUND(E37*D37,0)</f>
        <v>6996</v>
      </c>
      <c r="D37" s="1277" t="n">
        <f aca="false">D19</f>
        <v>58.3</v>
      </c>
      <c r="E37" s="1320" t="n">
        <f aca="false">'数据-取费表'!B35</f>
        <v>120</v>
      </c>
      <c r="F37" s="1330"/>
      <c r="G37" s="1332"/>
    </row>
    <row r="38" customFormat="false" ht="13.5" hidden="false" customHeight="true" outlineLevel="0" collapsed="false">
      <c r="A38" s="1307" t="s">
        <v>937</v>
      </c>
      <c r="B38" s="1275" t="s">
        <v>824</v>
      </c>
      <c r="C38" s="1280" t="n">
        <f aca="false">ROUND(C34*F38,0)</f>
        <v>1224</v>
      </c>
      <c r="D38" s="1280"/>
      <c r="E38" s="1280"/>
      <c r="F38" s="1330" t="n">
        <f aca="false">'数据-取费表'!B36</f>
        <v>0.015</v>
      </c>
      <c r="G38" s="1279" t="s">
        <v>933</v>
      </c>
    </row>
    <row r="39" s="1273" customFormat="true" ht="13.5" hidden="false" customHeight="true" outlineLevel="0" collapsed="false">
      <c r="A39" s="1267" t="s">
        <v>904</v>
      </c>
      <c r="B39" s="1268" t="s">
        <v>621</v>
      </c>
      <c r="C39" s="1300" t="n">
        <f aca="false">ROUND(C33*F20,0)</f>
        <v>964</v>
      </c>
      <c r="D39" s="1300"/>
      <c r="E39" s="1300"/>
      <c r="F39" s="1301" t="n">
        <f aca="false">F20</f>
        <v>0.01</v>
      </c>
      <c r="G39" s="1302" t="s">
        <v>938</v>
      </c>
    </row>
    <row r="40" s="1273" customFormat="true" ht="13.5" hidden="false" customHeight="true" outlineLevel="0" collapsed="false">
      <c r="A40" s="1267" t="s">
        <v>906</v>
      </c>
      <c r="B40" s="1268" t="s">
        <v>623</v>
      </c>
      <c r="C40" s="1333" t="n">
        <f aca="false">F21</f>
        <v>0.01</v>
      </c>
      <c r="D40" s="1304" t="s">
        <v>939</v>
      </c>
      <c r="E40" s="1300"/>
      <c r="F40" s="1301" t="n">
        <f aca="false">F21</f>
        <v>0.01</v>
      </c>
      <c r="G40" s="1302" t="s">
        <v>940</v>
      </c>
    </row>
    <row r="41" s="1273" customFormat="true" ht="13.5" hidden="false" customHeight="true" outlineLevel="0" collapsed="false">
      <c r="A41" s="1267" t="s">
        <v>908</v>
      </c>
      <c r="B41" s="1268" t="s">
        <v>912</v>
      </c>
      <c r="C41" s="1300" t="n">
        <f aca="false">ROUND(SUM(C42:C43),0)</f>
        <v>6132</v>
      </c>
      <c r="D41" s="1303" t="n">
        <f aca="false">C44</f>
        <v>0.0006</v>
      </c>
      <c r="E41" s="1304" t="s">
        <v>939</v>
      </c>
      <c r="F41" s="1306" t="n">
        <f aca="false">F22</f>
        <v>0.063</v>
      </c>
      <c r="G41" s="1302" t="str">
        <f aca="false">IF('数据-取费表'!B22&lt;=1,"单利计息","复利计息")</f>
        <v>复利计息</v>
      </c>
    </row>
    <row r="42" customFormat="false" ht="13.5" hidden="false" customHeight="true" outlineLevel="0" collapsed="false">
      <c r="A42" s="1307" t="s">
        <v>881</v>
      </c>
      <c r="B42" s="1275" t="s">
        <v>913</v>
      </c>
      <c r="C42" s="1309" t="n">
        <f aca="false">ROUND(IF('数据-取费表'!B22&lt;=1,C33*F22*'数据-取费表'!B20/2,C33*(POWER((1+F22),'数据-取费表'!B20/2)-1)),0)</f>
        <v>6071</v>
      </c>
      <c r="D42" s="1309"/>
      <c r="E42" s="1309"/>
      <c r="F42" s="1310"/>
      <c r="G42" s="1334" t="s">
        <v>963</v>
      </c>
    </row>
    <row r="43" customFormat="false" ht="13.5" hidden="false" customHeight="true" outlineLevel="0" collapsed="false">
      <c r="A43" s="1307" t="s">
        <v>883</v>
      </c>
      <c r="B43" s="1275" t="s">
        <v>915</v>
      </c>
      <c r="C43" s="1309" t="n">
        <f aca="false">ROUND(IF('数据-取费表'!B22&lt;=1,C39*F22*'数据-取费表'!B20/2,C39*(POWER((1+F22),'数据-取费表'!B20/2)-1)),0)</f>
        <v>61</v>
      </c>
      <c r="D43" s="1309"/>
      <c r="E43" s="1309"/>
      <c r="F43" s="1310"/>
      <c r="G43" s="1334"/>
    </row>
    <row r="44" customFormat="false" ht="13.5" hidden="false" customHeight="true" outlineLevel="0" collapsed="false">
      <c r="A44" s="1307" t="s">
        <v>885</v>
      </c>
      <c r="B44" s="1275" t="s">
        <v>917</v>
      </c>
      <c r="C44" s="1309" t="n">
        <f aca="false">ROUND(IF('数据-取费表'!B22&lt;=1,C40*F22*'数据-取费表'!B20/2,C40*(POWER((1+F22),'数据-取费表'!B20/2)-1)),4)</f>
        <v>0.0006</v>
      </c>
      <c r="D44" s="1309"/>
      <c r="E44" s="1309"/>
      <c r="F44" s="1310"/>
      <c r="G44" s="1334"/>
    </row>
    <row r="45" s="1273" customFormat="true" ht="13.5" hidden="false" customHeight="true" outlineLevel="0" collapsed="false">
      <c r="A45" s="1267" t="s">
        <v>911</v>
      </c>
      <c r="B45" s="1315" t="s">
        <v>570</v>
      </c>
      <c r="C45" s="1316" t="n">
        <f aca="false">C46</f>
        <v>14600</v>
      </c>
      <c r="D45" s="1303" t="n">
        <f aca="false">C47</f>
        <v>0.0015</v>
      </c>
      <c r="E45" s="1304" t="s">
        <v>939</v>
      </c>
      <c r="F45" s="1317" t="n">
        <f aca="false">F27</f>
        <v>0.15</v>
      </c>
      <c r="G45" s="1318" t="s">
        <v>942</v>
      </c>
    </row>
    <row r="46" s="1273" customFormat="true" ht="13.5" hidden="false" customHeight="true" outlineLevel="0" collapsed="false">
      <c r="A46" s="1307" t="s">
        <v>881</v>
      </c>
      <c r="B46" s="1319" t="s">
        <v>943</v>
      </c>
      <c r="C46" s="1320" t="n">
        <f aca="false">ROUND((C33+C39)*F27,0)</f>
        <v>14600</v>
      </c>
      <c r="D46" s="1335"/>
      <c r="E46" s="1304"/>
      <c r="F46" s="1317"/>
      <c r="G46" s="1318"/>
    </row>
    <row r="47" s="1273" customFormat="true" ht="13.5" hidden="false" customHeight="true" outlineLevel="0" collapsed="false">
      <c r="A47" s="1307" t="s">
        <v>883</v>
      </c>
      <c r="B47" s="1319" t="s">
        <v>944</v>
      </c>
      <c r="C47" s="1309" t="n">
        <f aca="false">ROUND(C40*F27,4)</f>
        <v>0.0015</v>
      </c>
      <c r="D47" s="1335"/>
      <c r="E47" s="1304"/>
      <c r="F47" s="1317"/>
      <c r="G47" s="1318"/>
    </row>
    <row r="48" s="1273" customFormat="true" ht="13.5" hidden="false" customHeight="true" outlineLevel="0" collapsed="false">
      <c r="A48" s="1267" t="s">
        <v>921</v>
      </c>
      <c r="B48" s="1268" t="s">
        <v>926</v>
      </c>
      <c r="C48" s="1351" t="n">
        <f aca="false">ROUND(F30/(1+'数据-取费表'!C42),4)</f>
        <v>0.055</v>
      </c>
      <c r="D48" s="1304" t="s">
        <v>939</v>
      </c>
      <c r="E48" s="1300"/>
      <c r="F48" s="1306" t="n">
        <f aca="false">F30</f>
        <v>0.055</v>
      </c>
      <c r="G48" s="1302" t="s">
        <v>945</v>
      </c>
    </row>
    <row r="49" customFormat="false" ht="16.5" hidden="false" customHeight="true" outlineLevel="0" collapsed="false">
      <c r="A49" s="1267" t="s">
        <v>925</v>
      </c>
      <c r="B49" s="1268" t="s">
        <v>964</v>
      </c>
      <c r="C49" s="1300" t="n">
        <f aca="false">ROUND((C33+C39+C41+C45)/(1-C40-D41-D45-C48),0)</f>
        <v>126558</v>
      </c>
      <c r="D49" s="1300"/>
      <c r="E49" s="1300"/>
      <c r="F49" s="1336"/>
      <c r="G49" s="1302" t="s">
        <v>947</v>
      </c>
    </row>
    <row r="50" s="1329" customFormat="true" ht="12.75" hidden="false" customHeight="false" outlineLevel="0" collapsed="false">
      <c r="A50" s="1267" t="s">
        <v>948</v>
      </c>
      <c r="B50" s="1268" t="s">
        <v>949</v>
      </c>
      <c r="C50" s="1300"/>
      <c r="D50" s="1300"/>
      <c r="E50" s="1300"/>
      <c r="F50" s="1336" t="n">
        <f aca="false">IF('数据-取费表'!B24=0,'数据-取费表'!N16,1)</f>
        <v>0.6</v>
      </c>
      <c r="G50" s="1318"/>
    </row>
    <row r="51" customFormat="false" ht="16.5" hidden="false" customHeight="true" outlineLevel="0" collapsed="false">
      <c r="A51" s="1267" t="s">
        <v>951</v>
      </c>
      <c r="B51" s="1268" t="s">
        <v>965</v>
      </c>
      <c r="C51" s="1300" t="n">
        <f aca="false">ROUND(C49*F50,0)</f>
        <v>75935</v>
      </c>
      <c r="D51" s="1300"/>
      <c r="E51" s="1300"/>
      <c r="F51" s="1336"/>
      <c r="G51" s="1302" t="s">
        <v>953</v>
      </c>
    </row>
    <row r="52" s="1266" customFormat="true" ht="15.75" hidden="false" customHeight="false" outlineLevel="0" collapsed="false">
      <c r="A52" s="1337" t="s">
        <v>954</v>
      </c>
      <c r="B52" s="1338"/>
      <c r="C52" s="1339" t="n">
        <f aca="false">C31+C51</f>
        <v>688067</v>
      </c>
      <c r="D52" s="1338"/>
      <c r="E52" s="1338"/>
      <c r="F52" s="1338"/>
      <c r="G52" s="1340"/>
    </row>
    <row r="55" customFormat="false" ht="15" hidden="false" customHeight="false" outlineLevel="0" collapsed="false">
      <c r="B55" s="1341" t="s">
        <v>955</v>
      </c>
      <c r="C55" s="1342"/>
    </row>
    <row r="56" customFormat="false" ht="12.75" hidden="false" customHeight="false" outlineLevel="0" collapsed="false">
      <c r="B56" s="1343" t="s">
        <v>956</v>
      </c>
      <c r="C56" s="1344" t="n">
        <f aca="false">1-C57</f>
        <v>0.89</v>
      </c>
    </row>
    <row r="57" customFormat="false" ht="12.75" hidden="false" customHeight="false" outlineLevel="0" collapsed="false">
      <c r="B57" s="1343" t="s">
        <v>957</v>
      </c>
      <c r="C57" s="1345" t="n">
        <f aca="false">ROUND(C51/C52,3)</f>
        <v>0.11</v>
      </c>
    </row>
  </sheetData>
  <sheetProtection sheet="true" password="cee9" objects="true" scenarios="true" formatCells="false"/>
  <mergeCells count="1">
    <mergeCell ref="G42:G44"/>
  </mergeCells>
  <dataValidations count="5">
    <dataValidation allowBlank="true" operator="between" showDropDown="false" showErrorMessage="true" showInputMessage="true" sqref="B1" type="list">
      <formula1>项目类型</formula1>
      <formula2>0</formula2>
    </dataValidation>
    <dataValidation allowBlank="true" operator="between" showDropDown="false" showErrorMessage="true" showInputMessage="true" sqref="G2" type="list">
      <formula1>估价方法</formula1>
      <formula2>0</formula2>
    </dataValidation>
    <dataValidation allowBlank="true" operator="between" showDropDown="false" showErrorMessage="true" showInputMessage="true" sqref="D2" type="list">
      <formula1>"需扣减承租人权益,——"</formula1>
      <formula2>0</formula2>
    </dataValidation>
    <dataValidation allowBlank="true" operator="between" showDropDown="false" showErrorMessage="true" showInputMessage="true" sqref="G8" type="list">
      <formula1>"已包含在土地购买价格中,未包含在土地购买价格中"</formula1>
      <formula2>0</formula2>
    </dataValidation>
    <dataValidation allowBlank="true" operator="between" showDropDown="false" showErrorMessage="true" showInputMessage="true" sqref="G19" type="list">
      <formula1>"已包含在土地取得成本中,未包含在土地取得成本中"</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1.xml><?xml version="1.0" encoding="utf-8"?>
<worksheet xmlns="http://schemas.openxmlformats.org/spreadsheetml/2006/main" xmlns:r="http://schemas.openxmlformats.org/officeDocument/2006/relationships">
  <sheetPr filterMode="false">
    <pageSetUpPr fitToPage="true"/>
  </sheetPr>
  <dimension ref="A1:AG34"/>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F39" activeCellId="0" sqref="F39"/>
    </sheetView>
  </sheetViews>
  <sheetFormatPr defaultRowHeight="12.75" zeroHeight="false" outlineLevelRow="0" outlineLevelCol="0"/>
  <cols>
    <col collapsed="false" customWidth="true" hidden="false" outlineLevel="0" max="1" min="1" style="769" width="9.76"/>
    <col collapsed="false" customWidth="true" hidden="false" outlineLevel="0" max="2" min="2" style="637" width="25.75"/>
    <col collapsed="false" customWidth="true" hidden="false" outlineLevel="0" max="3" min="3" style="1352" width="10.38"/>
    <col collapsed="false" customWidth="true" hidden="false" outlineLevel="0" max="4" min="4" style="637" width="9.88"/>
    <col collapsed="false" customWidth="true" hidden="false" outlineLevel="0" max="5" min="5" style="769" width="9.5"/>
    <col collapsed="false" customWidth="true" hidden="false" outlineLevel="0" max="6" min="6" style="637" width="10.12"/>
    <col collapsed="false" customWidth="true" hidden="false" outlineLevel="0" max="7" min="7" style="637" width="10.76"/>
    <col collapsed="false" customWidth="true" hidden="false" outlineLevel="0" max="8" min="8" style="637" width="10"/>
    <col collapsed="false" customWidth="true" hidden="false" outlineLevel="0" max="11" min="9" style="637" width="9.5"/>
    <col collapsed="false" customWidth="true" hidden="false" outlineLevel="0" max="12" min="12" style="637" width="9"/>
    <col collapsed="false" customWidth="true" hidden="false" outlineLevel="0" max="13" min="13" style="637" width="10.5"/>
    <col collapsed="false" customWidth="true" hidden="false" outlineLevel="0" max="254" min="14" style="637" width="9"/>
    <col collapsed="false" customWidth="true" hidden="false" outlineLevel="0" max="1025" min="255" style="637" width="6.63"/>
  </cols>
  <sheetData>
    <row r="1" customFormat="false" ht="20.25" hidden="false" customHeight="false" outlineLevel="0" collapsed="false">
      <c r="A1" s="1249" t="s">
        <v>246</v>
      </c>
      <c r="B1" s="634"/>
      <c r="C1" s="1353"/>
      <c r="D1" s="1354"/>
      <c r="E1" s="1355"/>
      <c r="F1" s="1355"/>
      <c r="H1" s="1355"/>
      <c r="I1" s="1355"/>
      <c r="J1" s="1355"/>
      <c r="K1" s="1356" t="n">
        <f aca="false">MATCH(C1,'数据-取费表'!A6:A16,0)+5</f>
        <v>7</v>
      </c>
    </row>
    <row r="2" customFormat="false" ht="18" hidden="false" customHeight="true" outlineLevel="0" collapsed="false">
      <c r="A2" s="1254" t="s">
        <v>97</v>
      </c>
      <c r="B2" s="1262" t="n">
        <f aca="false">C32</f>
        <v>-1</v>
      </c>
      <c r="C2" s="1357" t="s">
        <v>722</v>
      </c>
      <c r="D2" s="1357"/>
      <c r="E2" s="1355"/>
      <c r="F2" s="1355"/>
      <c r="G2" s="1355"/>
      <c r="H2" s="1355"/>
      <c r="I2" s="1355"/>
      <c r="J2" s="1355"/>
      <c r="K2" s="1355"/>
    </row>
    <row r="3" customFormat="false" ht="18" hidden="false" customHeight="true" outlineLevel="0" collapsed="false">
      <c r="A3" s="1261" t="s">
        <v>110</v>
      </c>
      <c r="B3" s="1262" t="n">
        <f aca="true">ROUND(B2*10000/IF(C1="",'数据-汇总表'!E3,INDIRECT("'数据-取费表'!K"&amp;$K$1)),0)</f>
        <v>-172</v>
      </c>
      <c r="C3" s="1357" t="s">
        <v>966</v>
      </c>
      <c r="D3" s="1357"/>
      <c r="E3" s="1355"/>
      <c r="F3" s="1355"/>
      <c r="G3" s="1355"/>
      <c r="H3" s="1355"/>
      <c r="I3" s="1355"/>
      <c r="J3" s="1355"/>
      <c r="K3" s="1355"/>
    </row>
    <row r="4" s="1362" customFormat="true" ht="16.5" hidden="false" customHeight="true" outlineLevel="0" collapsed="false">
      <c r="A4" s="1358" t="s">
        <v>967</v>
      </c>
      <c r="B4" s="1359"/>
      <c r="C4" s="1360" t="n">
        <f aca="false">SUM(C8:K8)</f>
        <v>0</v>
      </c>
      <c r="D4" s="1359"/>
      <c r="E4" s="1359"/>
      <c r="F4" s="1359"/>
      <c r="G4" s="1359"/>
      <c r="H4" s="1359"/>
      <c r="I4" s="1359"/>
      <c r="J4" s="1359"/>
      <c r="K4" s="1361"/>
    </row>
    <row r="5" s="1366" customFormat="true" ht="15" hidden="false" customHeight="false" outlineLevel="0" collapsed="false">
      <c r="A5" s="982" t="s">
        <v>765</v>
      </c>
      <c r="B5" s="1363" t="s">
        <v>106</v>
      </c>
      <c r="C5" s="1364"/>
      <c r="D5" s="1364"/>
      <c r="E5" s="1364"/>
      <c r="F5" s="1364"/>
      <c r="G5" s="1364"/>
      <c r="H5" s="1364"/>
      <c r="I5" s="1364"/>
      <c r="J5" s="1364"/>
      <c r="K5" s="1364"/>
      <c r="L5" s="1365"/>
      <c r="M5" s="1365"/>
      <c r="N5" s="1365"/>
      <c r="O5" s="1365"/>
      <c r="P5" s="1365"/>
      <c r="Q5" s="1365"/>
      <c r="R5" s="1365"/>
      <c r="S5" s="1365"/>
      <c r="T5" s="1365"/>
      <c r="U5" s="1365"/>
      <c r="V5" s="1365"/>
      <c r="W5" s="1365"/>
      <c r="X5" s="1365"/>
      <c r="Y5" s="1365"/>
      <c r="Z5" s="1365"/>
      <c r="AA5" s="1365"/>
      <c r="AB5" s="1365"/>
      <c r="AC5" s="1365"/>
      <c r="AD5" s="1365"/>
      <c r="AE5" s="1365"/>
      <c r="AF5" s="1365"/>
      <c r="AG5" s="1365"/>
    </row>
    <row r="6" s="787" customFormat="true" ht="13.5" hidden="false" customHeight="true" outlineLevel="0" collapsed="false">
      <c r="A6" s="1367" t="s">
        <v>794</v>
      </c>
      <c r="B6" s="1368" t="s">
        <v>110</v>
      </c>
      <c r="C6" s="1369"/>
      <c r="D6" s="1369"/>
      <c r="E6" s="1369"/>
      <c r="F6" s="1369"/>
      <c r="G6" s="1369"/>
      <c r="H6" s="1369"/>
      <c r="I6" s="1369"/>
      <c r="J6" s="1369"/>
      <c r="K6" s="1370"/>
      <c r="L6" s="637"/>
      <c r="M6" s="637"/>
      <c r="N6" s="637"/>
      <c r="O6" s="637"/>
      <c r="P6" s="637"/>
      <c r="Q6" s="637"/>
      <c r="R6" s="637"/>
      <c r="S6" s="637"/>
      <c r="T6" s="637"/>
      <c r="U6" s="637"/>
      <c r="V6" s="637"/>
      <c r="W6" s="637"/>
      <c r="X6" s="637"/>
      <c r="Y6" s="637"/>
      <c r="Z6" s="637"/>
      <c r="AA6" s="637"/>
      <c r="AB6" s="637"/>
      <c r="AC6" s="637"/>
      <c r="AD6" s="637"/>
      <c r="AE6" s="637"/>
      <c r="AF6" s="637"/>
      <c r="AG6" s="637"/>
    </row>
    <row r="7" s="787" customFormat="true" ht="13.5" hidden="false" customHeight="true" outlineLevel="0" collapsed="false">
      <c r="A7" s="1367" t="s">
        <v>798</v>
      </c>
      <c r="B7" s="1368" t="s">
        <v>107</v>
      </c>
      <c r="C7" s="1371" t="n">
        <f aca="false">SUMIF('数据-汇总表'!$C19:$C33,假设开发法!C5,'数据-汇总表'!$E19:$E33)</f>
        <v>0</v>
      </c>
      <c r="D7" s="1371" t="n">
        <f aca="false">SUMIF('数据-汇总表'!$C19:$C33,假设开发法!D5,'数据-汇总表'!$E19:$E33)</f>
        <v>0</v>
      </c>
      <c r="E7" s="1371" t="n">
        <f aca="false">SUMIF('数据-汇总表'!$C19:$C33,假设开发法!E5,'数据-汇总表'!$E19:$E33)</f>
        <v>0</v>
      </c>
      <c r="F7" s="1371" t="n">
        <f aca="false">SUMIF('数据-汇总表'!$C19:$C33,假设开发法!F5,'数据-汇总表'!$E19:$E33)</f>
        <v>0</v>
      </c>
      <c r="G7" s="1371" t="n">
        <f aca="false">SUMIF('数据-汇总表'!$C19:$C33,假设开发法!G5,'数据-汇总表'!$E19:$E33)</f>
        <v>0</v>
      </c>
      <c r="H7" s="1371" t="n">
        <f aca="false">SUMIF('数据-汇总表'!$C19:$C33,假设开发法!H5,'数据-汇总表'!$E19:$E33)</f>
        <v>0</v>
      </c>
      <c r="I7" s="1371" t="n">
        <f aca="false">SUMIF('数据-汇总表'!$C19:$C33,假设开发法!I5,'数据-汇总表'!$E19:$E33)</f>
        <v>0</v>
      </c>
      <c r="J7" s="1371" t="n">
        <f aca="false">SUMIF('数据-汇总表'!$C19:$C33,假设开发法!J5,'数据-汇总表'!$E19:$E33)</f>
        <v>0</v>
      </c>
      <c r="K7" s="1372" t="n">
        <f aca="false">SUMIF('数据-汇总表'!$C19:$C33,假设开发法!K5,'数据-汇总表'!$E19:$E33)</f>
        <v>0</v>
      </c>
      <c r="L7" s="637"/>
      <c r="M7" s="637"/>
      <c r="N7" s="637"/>
      <c r="O7" s="637"/>
      <c r="P7" s="637"/>
      <c r="Q7" s="637"/>
      <c r="R7" s="637"/>
      <c r="S7" s="637"/>
      <c r="T7" s="637"/>
      <c r="U7" s="637"/>
      <c r="V7" s="637"/>
      <c r="W7" s="637"/>
      <c r="X7" s="637"/>
      <c r="Y7" s="637"/>
      <c r="Z7" s="637"/>
      <c r="AA7" s="637"/>
      <c r="AB7" s="637"/>
      <c r="AC7" s="637"/>
      <c r="AD7" s="637"/>
      <c r="AE7" s="637"/>
      <c r="AF7" s="637"/>
      <c r="AG7" s="637"/>
    </row>
    <row r="8" s="787" customFormat="true" ht="13.5" hidden="false" customHeight="true" outlineLevel="0" collapsed="false">
      <c r="A8" s="1373" t="s">
        <v>842</v>
      </c>
      <c r="B8" s="1374" t="s">
        <v>100</v>
      </c>
      <c r="C8" s="1375"/>
      <c r="D8" s="1375"/>
      <c r="E8" s="1375"/>
      <c r="F8" s="1375"/>
      <c r="G8" s="1375"/>
      <c r="H8" s="1375"/>
      <c r="I8" s="1375"/>
      <c r="J8" s="1375"/>
      <c r="K8" s="1376"/>
      <c r="L8" s="637"/>
      <c r="M8" s="637"/>
      <c r="N8" s="637"/>
      <c r="O8" s="637"/>
      <c r="P8" s="637"/>
      <c r="Q8" s="637"/>
      <c r="R8" s="637"/>
      <c r="S8" s="637"/>
      <c r="T8" s="637"/>
      <c r="U8" s="637"/>
      <c r="V8" s="637"/>
      <c r="W8" s="637"/>
      <c r="X8" s="637"/>
      <c r="Y8" s="637"/>
      <c r="Z8" s="637"/>
      <c r="AA8" s="637"/>
      <c r="AB8" s="637"/>
      <c r="AC8" s="637"/>
      <c r="AD8" s="637"/>
      <c r="AE8" s="637"/>
      <c r="AF8" s="637"/>
      <c r="AG8" s="637"/>
    </row>
    <row r="9" s="1362" customFormat="true" ht="16.5" hidden="false" customHeight="true" outlineLevel="0" collapsed="false">
      <c r="A9" s="1358" t="s">
        <v>968</v>
      </c>
      <c r="B9" s="1359"/>
      <c r="C9" s="1359"/>
      <c r="D9" s="1359"/>
      <c r="E9" s="1359"/>
      <c r="F9" s="1359"/>
      <c r="G9" s="1359"/>
      <c r="H9" s="1359"/>
      <c r="I9" s="1359"/>
      <c r="J9" s="1359"/>
      <c r="K9" s="1361"/>
    </row>
    <row r="10" s="642" customFormat="true" ht="13.5" hidden="false" customHeight="true" outlineLevel="0" collapsed="false">
      <c r="A10" s="982" t="s">
        <v>765</v>
      </c>
      <c r="B10" s="1377" t="s">
        <v>106</v>
      </c>
      <c r="C10" s="1378" t="s">
        <v>100</v>
      </c>
      <c r="D10" s="523" t="s">
        <v>728</v>
      </c>
      <c r="E10" s="523" t="s">
        <v>99</v>
      </c>
      <c r="F10" s="523" t="s">
        <v>969</v>
      </c>
      <c r="G10" s="1377"/>
      <c r="H10" s="1379"/>
      <c r="I10" s="1379"/>
      <c r="J10" s="1379"/>
      <c r="K10" s="1380"/>
    </row>
    <row r="11" s="1386" customFormat="true" ht="13.5" hidden="false" customHeight="true" outlineLevel="0" collapsed="false">
      <c r="A11" s="1381" t="s">
        <v>887</v>
      </c>
      <c r="B11" s="1382" t="s">
        <v>569</v>
      </c>
      <c r="C11" s="1383" t="n">
        <f aca="true">IF(C1="",'数据-取费表'!P16,INDIRECT("'数据-取费表'!p"&amp;$K$1)+INDIRECT("'数据-取费表'!ar"&amp;$K$1))</f>
        <v>0</v>
      </c>
      <c r="D11" s="1384"/>
      <c r="E11" s="378"/>
      <c r="F11" s="1385" t="n">
        <f aca="true">1-IF('数据-取费表'!B24=0,1,IF(C1="",'数据-取费表'!N16,INDIRECT("'数据-取费表'!n"&amp;$K$1)))</f>
        <v>0</v>
      </c>
      <c r="G11" s="1377"/>
      <c r="H11" s="1379"/>
      <c r="I11" s="1379"/>
      <c r="J11" s="1379"/>
      <c r="K11" s="1380"/>
    </row>
    <row r="12" s="1386" customFormat="true" ht="13.5" hidden="false" customHeight="true" outlineLevel="0" collapsed="false">
      <c r="A12" s="1381" t="s">
        <v>888</v>
      </c>
      <c r="B12" s="1382" t="s">
        <v>612</v>
      </c>
      <c r="C12" s="478" t="n">
        <f aca="false">ROUND(C11*F12,0)</f>
        <v>0</v>
      </c>
      <c r="D12" s="1384"/>
      <c r="E12" s="378"/>
      <c r="F12" s="1385" t="n">
        <f aca="false">'数据-取费表'!B33</f>
        <v>0.03</v>
      </c>
      <c r="G12" s="1377" t="s">
        <v>933</v>
      </c>
      <c r="H12" s="1379"/>
      <c r="I12" s="1379"/>
      <c r="J12" s="1379"/>
      <c r="K12" s="1380"/>
    </row>
    <row r="13" s="1386" customFormat="true" ht="13.5" hidden="false" customHeight="true" outlineLevel="0" collapsed="false">
      <c r="A13" s="1381" t="s">
        <v>970</v>
      </c>
      <c r="B13" s="1382" t="s">
        <v>614</v>
      </c>
      <c r="C13" s="478" t="n">
        <f aca="true">ROUND(IF(C1="",SUMIF('数据-取费表'!C:C,"住宅",'数据-取费表'!P:P)*F13,IF(INDIRECT("'数据-取费表'!c"&amp;$K$1)="住宅",INDIRECT("'数据-取费表'!P"&amp;$K$1)*F13,0)),0)</f>
        <v>0</v>
      </c>
      <c r="D13" s="1387"/>
      <c r="E13" s="378"/>
      <c r="F13" s="1385" t="n">
        <f aca="false">'数据-取费表'!B34</f>
        <v>0.05</v>
      </c>
      <c r="G13" s="1377" t="s">
        <v>971</v>
      </c>
      <c r="H13" s="1379"/>
      <c r="I13" s="1379"/>
      <c r="J13" s="1379"/>
      <c r="K13" s="1380"/>
    </row>
    <row r="14" s="1389" customFormat="true" ht="13.5" hidden="false" customHeight="true" outlineLevel="0" collapsed="false">
      <c r="A14" s="1381" t="s">
        <v>972</v>
      </c>
      <c r="B14" s="1382" t="s">
        <v>935</v>
      </c>
      <c r="C14" s="478" t="n">
        <f aca="false">ROUND(D14*E14*F11/10000,0)</f>
        <v>0</v>
      </c>
      <c r="D14" s="1387" t="n">
        <f aca="true">IF(C1="",'数据-汇总表'!E3,INDIRECT("'数据-取费表'!K"&amp;$K$1)+INDIRECT("'数据-取费表'!S"&amp;$K$1))</f>
        <v>58.3</v>
      </c>
      <c r="E14" s="478" t="n">
        <f aca="false">'数据-取费表'!B35</f>
        <v>120</v>
      </c>
      <c r="F14" s="1388"/>
      <c r="G14" s="1377" t="s">
        <v>936</v>
      </c>
      <c r="H14" s="1379"/>
      <c r="I14" s="1379"/>
      <c r="J14" s="1379"/>
      <c r="K14" s="1380"/>
      <c r="L14" s="1386"/>
      <c r="M14" s="1386"/>
      <c r="N14" s="1386"/>
      <c r="O14" s="1386"/>
      <c r="P14" s="1386"/>
      <c r="Q14" s="1386"/>
      <c r="R14" s="1386"/>
      <c r="S14" s="1386"/>
      <c r="T14" s="1386"/>
      <c r="U14" s="1386"/>
      <c r="V14" s="1386"/>
      <c r="W14" s="1386"/>
      <c r="X14" s="1386"/>
      <c r="Y14" s="1386"/>
      <c r="Z14" s="1386"/>
      <c r="AA14" s="1386"/>
      <c r="AB14" s="1386"/>
      <c r="AC14" s="1386"/>
      <c r="AD14" s="1386"/>
      <c r="AE14" s="1386"/>
      <c r="AF14" s="1386"/>
      <c r="AG14" s="1386"/>
    </row>
    <row r="15" s="1389" customFormat="true" ht="13.5" hidden="false" customHeight="true" outlineLevel="0" collapsed="false">
      <c r="A15" s="1381" t="s">
        <v>973</v>
      </c>
      <c r="B15" s="1382" t="s">
        <v>824</v>
      </c>
      <c r="C15" s="1390" t="n">
        <f aca="false">ROUND(C11*F15,0)</f>
        <v>0</v>
      </c>
      <c r="D15" s="1391"/>
      <c r="E15" s="1390"/>
      <c r="F15" s="1385" t="n">
        <f aca="false">'数据-取费表'!B36</f>
        <v>0.015</v>
      </c>
      <c r="G15" s="1368" t="s">
        <v>933</v>
      </c>
      <c r="H15" s="1392"/>
      <c r="I15" s="1392"/>
      <c r="J15" s="1392"/>
      <c r="K15" s="953"/>
      <c r="L15" s="1386"/>
      <c r="M15" s="1386"/>
      <c r="N15" s="1386"/>
      <c r="O15" s="1386"/>
      <c r="P15" s="1386"/>
      <c r="Q15" s="1386"/>
      <c r="R15" s="1386"/>
      <c r="S15" s="1386"/>
      <c r="T15" s="1386"/>
      <c r="U15" s="1386"/>
      <c r="V15" s="1386"/>
      <c r="W15" s="1386"/>
      <c r="X15" s="1386"/>
      <c r="Y15" s="1386"/>
      <c r="Z15" s="1386"/>
      <c r="AA15" s="1386"/>
      <c r="AB15" s="1386"/>
      <c r="AC15" s="1386"/>
      <c r="AD15" s="1386"/>
      <c r="AE15" s="1386"/>
      <c r="AF15" s="1386"/>
      <c r="AG15" s="1386"/>
    </row>
    <row r="16" s="1389" customFormat="true" ht="13.5" hidden="false" customHeight="true" outlineLevel="0" collapsed="false">
      <c r="A16" s="1381" t="s">
        <v>816</v>
      </c>
      <c r="B16" s="1382" t="s">
        <v>974</v>
      </c>
      <c r="C16" s="1390" t="n">
        <f aca="false">SUM(C11:C15)</f>
        <v>0</v>
      </c>
      <c r="D16" s="1391"/>
      <c r="E16" s="1390"/>
      <c r="F16" s="1385"/>
      <c r="G16" s="936"/>
      <c r="H16" s="1393"/>
      <c r="I16" s="1392"/>
      <c r="J16" s="1392"/>
      <c r="K16" s="953"/>
      <c r="L16" s="1386"/>
      <c r="M16" s="1386"/>
      <c r="N16" s="1386"/>
      <c r="O16" s="1386"/>
      <c r="P16" s="1386"/>
      <c r="Q16" s="1386"/>
      <c r="R16" s="1386"/>
      <c r="S16" s="1386"/>
      <c r="T16" s="1386"/>
      <c r="U16" s="1386"/>
      <c r="V16" s="1386"/>
      <c r="W16" s="1386"/>
      <c r="X16" s="1386"/>
      <c r="Y16" s="1386"/>
      <c r="Z16" s="1386"/>
      <c r="AA16" s="1386"/>
      <c r="AB16" s="1386"/>
      <c r="AC16" s="1386"/>
      <c r="AD16" s="1386"/>
      <c r="AE16" s="1386"/>
      <c r="AF16" s="1386"/>
      <c r="AG16" s="1386"/>
    </row>
    <row r="17" s="1389" customFormat="true" ht="13.5" hidden="false" customHeight="true" outlineLevel="0" collapsed="false">
      <c r="A17" s="1381" t="s">
        <v>820</v>
      </c>
      <c r="B17" s="1382" t="s">
        <v>975</v>
      </c>
      <c r="C17" s="478" t="n">
        <f aca="false">ROUND(D17*E17/10000,0)</f>
        <v>0</v>
      </c>
      <c r="D17" s="1387" t="n">
        <f aca="false">D14</f>
        <v>58.3</v>
      </c>
      <c r="E17" s="478" t="n">
        <f aca="false">'数据-取费表'!B32</f>
        <v>0</v>
      </c>
      <c r="F17" s="1391"/>
      <c r="G17" s="1368" t="s">
        <v>976</v>
      </c>
      <c r="H17" s="1393"/>
      <c r="I17" s="1392"/>
      <c r="J17" s="1392"/>
      <c r="K17" s="953"/>
      <c r="L17" s="1386"/>
      <c r="M17" s="1386"/>
      <c r="N17" s="1386"/>
      <c r="O17" s="1386"/>
      <c r="P17" s="1386"/>
      <c r="Q17" s="1386"/>
      <c r="R17" s="1386"/>
      <c r="S17" s="1386"/>
      <c r="T17" s="1386"/>
      <c r="U17" s="1386"/>
      <c r="V17" s="1386"/>
      <c r="W17" s="1386"/>
      <c r="X17" s="1386"/>
      <c r="Y17" s="1386"/>
      <c r="Z17" s="1386"/>
      <c r="AA17" s="1386"/>
      <c r="AB17" s="1386"/>
      <c r="AC17" s="1386"/>
      <c r="AD17" s="1386"/>
      <c r="AE17" s="1386"/>
      <c r="AF17" s="1386"/>
      <c r="AG17" s="1386"/>
    </row>
    <row r="18" s="1386" customFormat="true" ht="13.5" hidden="false" customHeight="true" outlineLevel="0" collapsed="false">
      <c r="A18" s="1381" t="s">
        <v>977</v>
      </c>
      <c r="B18" s="1382" t="s">
        <v>886</v>
      </c>
      <c r="C18" s="478" t="n">
        <f aca="false">C19+C20-IF(C1="",'数据-取费表'!B29,IF(G18="已全部缴纳",C19+C20,H18))</f>
        <v>1</v>
      </c>
      <c r="D18" s="1387"/>
      <c r="E18" s="478"/>
      <c r="F18" s="1388"/>
      <c r="G18" s="1394"/>
      <c r="H18" s="1395"/>
      <c r="I18" s="1396" t="s">
        <v>722</v>
      </c>
      <c r="J18" s="1392"/>
      <c r="K18" s="953"/>
    </row>
    <row r="19" s="1386" customFormat="true" ht="13.5" hidden="false" customHeight="true" outlineLevel="0" collapsed="false">
      <c r="A19" s="1381" t="s">
        <v>887</v>
      </c>
      <c r="B19" s="1382" t="s">
        <v>156</v>
      </c>
      <c r="C19" s="478" t="n">
        <f aca="false">ROUND(D19*E19/10000,0)</f>
        <v>1</v>
      </c>
      <c r="D19" s="1387" t="n">
        <f aca="true">IF(C1="",'数据-汇总表'!E5,IF(INDIRECT("'数据-取费表'!c"&amp;$K$1)="住宅",INDIRECT("'数据-取费表'!k"&amp;$K$1),0))</f>
        <v>58.3</v>
      </c>
      <c r="E19" s="478" t="n">
        <f aca="false">'数据-取费表'!B27</f>
        <v>160</v>
      </c>
      <c r="F19" s="1388"/>
      <c r="G19" s="366"/>
      <c r="H19" s="1397"/>
      <c r="I19" s="448"/>
      <c r="J19" s="448"/>
      <c r="K19" s="1398"/>
    </row>
    <row r="20" s="1386" customFormat="true" ht="13.5" hidden="false" customHeight="true" outlineLevel="0" collapsed="false">
      <c r="A20" s="1381" t="s">
        <v>888</v>
      </c>
      <c r="B20" s="1382" t="s">
        <v>529</v>
      </c>
      <c r="C20" s="478" t="n">
        <f aca="false">ROUND(D20*E20/10000,0)</f>
        <v>0</v>
      </c>
      <c r="D20" s="1387" t="n">
        <f aca="true">IF(C1="",'数据-汇总表'!E6,IF(INDIRECT("'数据-取费表'!c"&amp;$K$1)="住宅",INDIRECT("'数据-取费表'!s"&amp;$K$1),INDIRECT("'数据-取费表'!k"&amp;$K$1)+INDIRECT("'数据-取费表'!s"&amp;$K$1)))</f>
        <v>0</v>
      </c>
      <c r="E20" s="478" t="n">
        <f aca="false">'数据-取费表'!B28</f>
        <v>200</v>
      </c>
      <c r="F20" s="1388"/>
      <c r="G20" s="366"/>
      <c r="H20" s="448"/>
      <c r="I20" s="448"/>
      <c r="J20" s="448"/>
      <c r="K20" s="1398"/>
    </row>
    <row r="21" s="1386" customFormat="true" ht="13.5" hidden="false" customHeight="true" outlineLevel="0" collapsed="false">
      <c r="A21" s="1367" t="s">
        <v>794</v>
      </c>
      <c r="B21" s="1399" t="s">
        <v>978</v>
      </c>
      <c r="C21" s="1400" t="n">
        <f aca="false">C16+C17+C18</f>
        <v>1</v>
      </c>
      <c r="D21" s="1401"/>
      <c r="E21" s="1402"/>
      <c r="F21" s="1402"/>
      <c r="G21" s="1368" t="s">
        <v>979</v>
      </c>
      <c r="H21" s="1392"/>
      <c r="I21" s="1392"/>
      <c r="J21" s="1392"/>
      <c r="K21" s="953"/>
    </row>
    <row r="22" s="1386" customFormat="true" ht="13.5" hidden="false" customHeight="true" outlineLevel="0" collapsed="false">
      <c r="A22" s="1367" t="s">
        <v>798</v>
      </c>
      <c r="B22" s="1399" t="s">
        <v>621</v>
      </c>
      <c r="C22" s="1400" t="n">
        <f aca="false">ROUND(C21*F22,0)</f>
        <v>0</v>
      </c>
      <c r="D22" s="1402"/>
      <c r="E22" s="1402"/>
      <c r="F22" s="1403" t="n">
        <f aca="false">'数据-取费表'!B37</f>
        <v>0.01</v>
      </c>
      <c r="G22" s="1377" t="s">
        <v>980</v>
      </c>
      <c r="H22" s="1379"/>
      <c r="I22" s="1379"/>
      <c r="J22" s="1379"/>
      <c r="K22" s="1380"/>
    </row>
    <row r="23" s="1386" customFormat="true" ht="13.5" hidden="false" customHeight="true" outlineLevel="0" collapsed="false">
      <c r="A23" s="1367" t="s">
        <v>842</v>
      </c>
      <c r="B23" s="1399" t="s">
        <v>623</v>
      </c>
      <c r="C23" s="1400" t="n">
        <f aca="false">ROUND(C4*F23*F11,0)</f>
        <v>0</v>
      </c>
      <c r="D23" s="1402"/>
      <c r="E23" s="1402"/>
      <c r="F23" s="1403" t="n">
        <f aca="false">'数据-取费表'!B38</f>
        <v>0.01</v>
      </c>
      <c r="G23" s="1377" t="s">
        <v>981</v>
      </c>
      <c r="H23" s="1379"/>
      <c r="I23" s="1379"/>
      <c r="J23" s="1379"/>
      <c r="K23" s="1380"/>
    </row>
    <row r="24" s="1386" customFormat="true" ht="13.5" hidden="false" customHeight="true" outlineLevel="0" collapsed="false">
      <c r="A24" s="1367" t="s">
        <v>845</v>
      </c>
      <c r="B24" s="1399" t="s">
        <v>982</v>
      </c>
      <c r="C24" s="1404" t="n">
        <f aca="false">ROUND(F24/(1+'数据-取费表'!C42),4)</f>
        <v>0.0305</v>
      </c>
      <c r="D24" s="1405" t="s">
        <v>983</v>
      </c>
      <c r="E24" s="1402"/>
      <c r="F24" s="1403" t="n">
        <f aca="false">IF(项目基本情况!B8="出让",0,'数据-取费表'!B48+'数据-取费表'!B49)</f>
        <v>0.0305</v>
      </c>
      <c r="G24" s="1406" t="s">
        <v>984</v>
      </c>
      <c r="H24" s="1407"/>
      <c r="I24" s="1407"/>
      <c r="J24" s="1407"/>
      <c r="K24" s="1408"/>
    </row>
    <row r="25" s="1386" customFormat="true" ht="13.5" hidden="false" customHeight="true" outlineLevel="0" collapsed="false">
      <c r="A25" s="1367" t="s">
        <v>849</v>
      </c>
      <c r="B25" s="1401" t="s">
        <v>985</v>
      </c>
      <c r="C25" s="1409" t="n">
        <f aca="false">C27</f>
        <v>0</v>
      </c>
      <c r="D25" s="1404" t="n">
        <f aca="false">C26</f>
        <v>0</v>
      </c>
      <c r="E25" s="1410" t="s">
        <v>983</v>
      </c>
      <c r="F25" s="1411" t="n">
        <f aca="false">'数据-取费表'!B40</f>
        <v>0.063</v>
      </c>
      <c r="G25" s="936" t="str">
        <f aca="false">IF('数据-取费表'!B22&lt;=1,"单利计息。","复利计息。")&amp;"后续开发成本、管理费用及销售费用产生的利息。"</f>
        <v>复利计息。后续开发成本、管理费用及销售费用产生的利息。</v>
      </c>
      <c r="H25" s="1407"/>
      <c r="I25" s="1407"/>
      <c r="J25" s="1407"/>
      <c r="K25" s="1408"/>
    </row>
    <row r="26" s="808" customFormat="true" ht="13.5" hidden="false" customHeight="true" outlineLevel="0" collapsed="false">
      <c r="A26" s="1381" t="s">
        <v>816</v>
      </c>
      <c r="B26" s="1412" t="s">
        <v>986</v>
      </c>
      <c r="C26" s="1413" t="n">
        <f aca="false">ROUND(IF('数据-取费表'!B22&lt;=1,(1+C24)*F25*'数据-取费表'!B24,(1+C24)*(POWER((1+F25),'数据-取费表'!B24)-1)),4)</f>
        <v>0</v>
      </c>
      <c r="D26" s="1414"/>
      <c r="E26" s="1415"/>
      <c r="F26" s="1416"/>
      <c r="G26" s="1417" t="str">
        <f aca="false">IF('数据-取费表'!B22&lt;=1,"（(1)+取得税费率/(1+5%)）×年利率×建设期","（(1)+取得税费率）/(1+5%)×((1+年利率)^建设期-1)")</f>
        <v>（(1)+取得税费率）/(1+5%)×((1+年利率)^建设期-1)</v>
      </c>
      <c r="H26" s="1392"/>
      <c r="I26" s="1392"/>
      <c r="J26" s="1392"/>
      <c r="K26" s="953"/>
    </row>
    <row r="27" s="808" customFormat="true" ht="13.5" hidden="false" customHeight="true" outlineLevel="0" collapsed="false">
      <c r="A27" s="1381" t="s">
        <v>820</v>
      </c>
      <c r="B27" s="1412" t="s">
        <v>987</v>
      </c>
      <c r="C27" s="1418" t="n">
        <f aca="false">ROUND(IF('数据-取费表'!B22&lt;=1,(C21+C22+C23)*F25*'数据-取费表'!B24/2,(C21+C22+C23)*(POWER((1+F25),'数据-取费表'!B24/2)-1)),0)</f>
        <v>0</v>
      </c>
      <c r="D27" s="1414"/>
      <c r="E27" s="1415"/>
      <c r="F27" s="1416"/>
      <c r="G27" s="1417" t="str">
        <f aca="false">IF('数据-取费表'!B22&lt;=1,"（1）-（3）项×年利率×建设期÷2","（1）-（3）项×((1+年利率)^(建设期÷2)-1)")</f>
        <v>（1）-（3）项×((1+年利率)^(建设期÷2)-1)</v>
      </c>
      <c r="H27" s="1392"/>
      <c r="I27" s="1392"/>
      <c r="J27" s="1392"/>
      <c r="K27" s="953"/>
    </row>
    <row r="28" s="1423" customFormat="true" ht="13.5" hidden="false" customHeight="true" outlineLevel="0" collapsed="false">
      <c r="A28" s="1367" t="s">
        <v>850</v>
      </c>
      <c r="B28" s="1419" t="s">
        <v>988</v>
      </c>
      <c r="C28" s="1420" t="n">
        <f aca="false">C30</f>
        <v>0</v>
      </c>
      <c r="D28" s="1404" t="n">
        <f aca="false">C29</f>
        <v>0</v>
      </c>
      <c r="E28" s="1410" t="s">
        <v>983</v>
      </c>
      <c r="F28" s="1421" t="n">
        <f aca="true">IF(C1="",'数据-取费表'!Q16,INDIRECT("'数据-取费表'!q"&amp;$K$1))</f>
        <v>0.15</v>
      </c>
      <c r="G28" s="1422"/>
      <c r="H28" s="1407"/>
      <c r="I28" s="1407"/>
      <c r="J28" s="1407"/>
      <c r="K28" s="1408"/>
    </row>
    <row r="29" s="1426" customFormat="true" ht="13.5" hidden="false" customHeight="true" outlineLevel="0" collapsed="false">
      <c r="A29" s="1381" t="s">
        <v>816</v>
      </c>
      <c r="B29" s="1424" t="s">
        <v>989</v>
      </c>
      <c r="C29" s="1414" t="n">
        <f aca="false">ROUND((1+C24)*F28*'数据-取费表'!B24/'数据-取费表'!B20,4)</f>
        <v>0</v>
      </c>
      <c r="D29" s="1414"/>
      <c r="E29" s="1415"/>
      <c r="F29" s="1425"/>
      <c r="G29" s="1368" t="s">
        <v>990</v>
      </c>
      <c r="H29" s="1392"/>
      <c r="I29" s="1392"/>
      <c r="J29" s="1392"/>
      <c r="K29" s="953"/>
    </row>
    <row r="30" s="1426" customFormat="true" ht="13.5" hidden="false" customHeight="true" outlineLevel="0" collapsed="false">
      <c r="A30" s="1381" t="s">
        <v>820</v>
      </c>
      <c r="B30" s="1424" t="s">
        <v>991</v>
      </c>
      <c r="C30" s="1427" t="n">
        <f aca="false">ROUND((C21+C22+C23)*F28,0)</f>
        <v>0</v>
      </c>
      <c r="D30" s="1414"/>
      <c r="E30" s="1415"/>
      <c r="F30" s="1425"/>
      <c r="G30" s="936"/>
      <c r="H30" s="1392"/>
      <c r="I30" s="1392"/>
      <c r="J30" s="1392"/>
      <c r="K30" s="953"/>
    </row>
    <row r="31" s="1386" customFormat="true" ht="13.5" hidden="false" customHeight="true" outlineLevel="0" collapsed="false">
      <c r="A31" s="1428" t="s">
        <v>992</v>
      </c>
      <c r="B31" s="749" t="s">
        <v>926</v>
      </c>
      <c r="C31" s="1429" t="n">
        <f aca="false">ROUND(C4*F31/(1+'数据-取费表'!C42),0)</f>
        <v>0</v>
      </c>
      <c r="D31" s="622"/>
      <c r="E31" s="1430"/>
      <c r="F31" s="1431" t="n">
        <f aca="false">'数据-取费表'!B41</f>
        <v>0.055</v>
      </c>
      <c r="G31" s="1432" t="s">
        <v>993</v>
      </c>
      <c r="H31" s="1433"/>
      <c r="I31" s="1433"/>
      <c r="J31" s="1433"/>
      <c r="K31" s="1434"/>
    </row>
    <row r="32" s="642" customFormat="true" ht="13.5" hidden="false" customHeight="true" outlineLevel="0" collapsed="false">
      <c r="A32" s="1435" t="s">
        <v>994</v>
      </c>
      <c r="B32" s="1436"/>
      <c r="C32" s="1437" t="n">
        <f aca="false">ROUND((C4-C21-C22-C23-C25-C28-C31)/(1+C24+D25+D28),0)</f>
        <v>-1</v>
      </c>
      <c r="D32" s="1436"/>
      <c r="E32" s="1436"/>
      <c r="F32" s="1436"/>
      <c r="G32" s="1438" t="s">
        <v>995</v>
      </c>
      <c r="H32" s="1436"/>
      <c r="I32" s="1436"/>
      <c r="J32" s="1436"/>
      <c r="K32" s="1439"/>
    </row>
    <row r="34" customFormat="false" ht="12.75" hidden="false" customHeight="true" outlineLevel="0" collapsed="false"/>
  </sheetData>
  <sheetProtection sheet="true" password="cee9" objects="true" scenarios="true" formatCells="false" formatColumns="false" formatRows="false"/>
  <dataValidations count="2">
    <dataValidation allowBlank="true" operator="between" showDropDown="false" showErrorMessage="true" showInputMessage="true" sqref="G18" type="list">
      <formula1>"已部分缴纳,已全部缴纳"</formula1>
      <formula2>0</formula2>
    </dataValidation>
    <dataValidation allowBlank="true" operator="between" showDropDown="false" showErrorMessage="true" showInputMessage="true" sqref="C1 C5:K5" type="list">
      <formula1>项目类型</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22.xml><?xml version="1.0" encoding="utf-8"?>
<worksheet xmlns="http://schemas.openxmlformats.org/spreadsheetml/2006/main" xmlns:r="http://schemas.openxmlformats.org/officeDocument/2006/relationships">
  <sheetPr filterMode="false">
    <pageSetUpPr fitToPage="false"/>
  </sheetPr>
  <dimension ref="A1:AK83"/>
  <sheetViews>
    <sheetView showFormulas="false" showGridLines="true" showRowColHeaders="true" showZeros="true" rightToLeft="false" tabSelected="false" showOutlineSymbols="true" defaultGridColor="true" view="pageBreakPreview" topLeftCell="A10" colorId="64" zoomScale="100" zoomScaleNormal="70" zoomScalePageLayoutView="100" workbookViewId="0">
      <selection pane="topLeft" activeCell="F39" activeCellId="0" sqref="F39"/>
    </sheetView>
  </sheetViews>
  <sheetFormatPr defaultRowHeight="12.75" zeroHeight="false" outlineLevelRow="0" outlineLevelCol="0"/>
  <cols>
    <col collapsed="false" customWidth="true" hidden="false" outlineLevel="0" max="1" min="1" style="1329" width="9"/>
    <col collapsed="false" customWidth="true" hidden="false" outlineLevel="0" max="2" min="2" style="1440" width="20.62"/>
    <col collapsed="false" customWidth="true" hidden="false" outlineLevel="0" max="3" min="3" style="1440" width="11.88"/>
    <col collapsed="false" customWidth="true" hidden="false" outlineLevel="0" max="4" min="4" style="1329" width="40.49"/>
    <col collapsed="false" customWidth="true" hidden="false" outlineLevel="0" max="5" min="5" style="1329" width="15.76"/>
    <col collapsed="false" customWidth="true" hidden="false" outlineLevel="0" max="6" min="6" style="1329" width="10.62"/>
    <col collapsed="false" customWidth="true" hidden="false" outlineLevel="0" max="7" min="7" style="1329" width="4.87"/>
    <col collapsed="false" customWidth="true" hidden="false" outlineLevel="0" max="8" min="8" style="1329" width="8.5"/>
    <col collapsed="false" customWidth="true" hidden="false" outlineLevel="0" max="9" min="9" style="1329" width="21.25"/>
    <col collapsed="false" customWidth="true" hidden="false" outlineLevel="0" max="10" min="10" style="1329" width="12.26"/>
    <col collapsed="false" customWidth="true" hidden="false" outlineLevel="0" max="11" min="11" style="1441" width="45.12"/>
    <col collapsed="false" customWidth="true" hidden="false" outlineLevel="0" max="12" min="12" style="1329" width="16.38"/>
    <col collapsed="false" customWidth="true" hidden="false" outlineLevel="0" max="13" min="13" style="1329" width="13"/>
    <col collapsed="false" customWidth="true" hidden="false" outlineLevel="0" max="14" min="14" style="1247" width="13.76"/>
    <col collapsed="false" customWidth="true" hidden="false" outlineLevel="0" max="15" min="15" style="1247" width="5.13"/>
    <col collapsed="false" customWidth="true" hidden="false" outlineLevel="0" max="16" min="16" style="1247" width="25.75"/>
    <col collapsed="false" customWidth="true" hidden="false" outlineLevel="0" max="17" min="17" style="1247" width="13.76"/>
    <col collapsed="false" customWidth="true" hidden="false" outlineLevel="0" max="18" min="18" style="1247" width="20.51"/>
    <col collapsed="false" customWidth="true" hidden="false" outlineLevel="0" max="19" min="19" style="1247" width="13.26"/>
    <col collapsed="false" customWidth="true" hidden="false" outlineLevel="0" max="37" min="20" style="1247" width="9"/>
    <col collapsed="false" customWidth="true" hidden="false" outlineLevel="0" max="1025" min="38" style="1329" width="9"/>
  </cols>
  <sheetData>
    <row r="1" s="1453" customFormat="true" ht="21" hidden="false" customHeight="false" outlineLevel="0" collapsed="false">
      <c r="A1" s="1442" t="s">
        <v>996</v>
      </c>
      <c r="B1" s="1443"/>
      <c r="C1" s="1444"/>
      <c r="D1" s="1445" t="s">
        <v>122</v>
      </c>
      <c r="E1" s="1446" t="s">
        <v>997</v>
      </c>
      <c r="F1" s="1447" t="n">
        <f aca="false">J53</f>
        <v>0</v>
      </c>
      <c r="G1" s="1448" t="n">
        <f aca="false">MATCH(C1,'数据-取费表'!A6:A16,0)+5</f>
        <v>7</v>
      </c>
      <c r="H1" s="1449"/>
      <c r="I1" s="1450"/>
      <c r="J1" s="1450"/>
      <c r="K1" s="1451"/>
      <c r="L1" s="1450"/>
      <c r="M1" s="1450"/>
      <c r="N1" s="1452"/>
      <c r="O1" s="1452"/>
      <c r="P1" s="1452"/>
      <c r="Q1" s="1452"/>
      <c r="R1" s="1452"/>
      <c r="S1" s="1452"/>
      <c r="T1" s="1452"/>
      <c r="U1" s="1452"/>
      <c r="V1" s="1452"/>
      <c r="W1" s="1452"/>
      <c r="X1" s="1452"/>
      <c r="Y1" s="1452"/>
      <c r="Z1" s="1452"/>
      <c r="AA1" s="1452"/>
      <c r="AB1" s="1452"/>
      <c r="AC1" s="1452"/>
      <c r="AD1" s="1452"/>
      <c r="AE1" s="1452"/>
      <c r="AF1" s="1452"/>
      <c r="AG1" s="1452"/>
      <c r="AH1" s="1452"/>
      <c r="AI1" s="1452"/>
      <c r="AJ1" s="1452"/>
      <c r="AK1" s="1452"/>
    </row>
    <row r="2" customFormat="false" ht="18" hidden="false" customHeight="true" outlineLevel="0" collapsed="false">
      <c r="A2" s="1454" t="s">
        <v>97</v>
      </c>
      <c r="B2" s="1455" t="e">
        <f aca="false">C40+J29+L46</f>
        <v>#DIV/0!</v>
      </c>
      <c r="C2" s="1456" t="s">
        <v>722</v>
      </c>
      <c r="D2" s="1456"/>
      <c r="E2" s="1457"/>
      <c r="F2" s="1458"/>
      <c r="G2" s="1459"/>
      <c r="H2" s="1460"/>
      <c r="I2" s="1460"/>
      <c r="J2" s="1460"/>
      <c r="K2" s="1461"/>
      <c r="L2" s="1460"/>
      <c r="M2" s="1460"/>
    </row>
    <row r="3" customFormat="false" ht="18" hidden="false" customHeight="true" outlineLevel="0" collapsed="false">
      <c r="A3" s="1462" t="s">
        <v>110</v>
      </c>
      <c r="B3" s="1463" t="n">
        <f aca="false">IF(ISERROR(B2*10000/F43),0,ROUND(B2*10000/F43,0))</f>
        <v>0</v>
      </c>
      <c r="C3" s="1456" t="s">
        <v>998</v>
      </c>
      <c r="D3" s="1456"/>
      <c r="E3" s="1457"/>
      <c r="F3" s="1458"/>
      <c r="G3" s="1459"/>
      <c r="H3" s="1464" t="s">
        <v>999</v>
      </c>
      <c r="I3" s="1465"/>
      <c r="J3" s="1465"/>
      <c r="K3" s="1466"/>
      <c r="L3" s="1465"/>
      <c r="M3" s="1465"/>
    </row>
    <row r="4" customFormat="false" ht="18" hidden="false" customHeight="true" outlineLevel="0" collapsed="false">
      <c r="A4" s="1467" t="s">
        <v>765</v>
      </c>
      <c r="B4" s="1468" t="s">
        <v>527</v>
      </c>
      <c r="C4" s="1468" t="s">
        <v>1000</v>
      </c>
      <c r="D4" s="1468" t="s">
        <v>1001</v>
      </c>
      <c r="E4" s="1469" t="s">
        <v>1002</v>
      </c>
      <c r="F4" s="1470"/>
      <c r="G4" s="1247"/>
      <c r="H4" s="1467" t="s">
        <v>765</v>
      </c>
      <c r="I4" s="1468" t="s">
        <v>527</v>
      </c>
      <c r="J4" s="1468" t="s">
        <v>1000</v>
      </c>
      <c r="K4" s="1468" t="s">
        <v>1001</v>
      </c>
      <c r="L4" s="1469" t="s">
        <v>1002</v>
      </c>
      <c r="M4" s="1470"/>
    </row>
    <row r="5" customFormat="false" ht="18" hidden="false" customHeight="true" outlineLevel="0" collapsed="false">
      <c r="A5" s="1471" t="n">
        <v>1</v>
      </c>
      <c r="B5" s="1472" t="s">
        <v>1003</v>
      </c>
      <c r="C5" s="450" t="n">
        <f aca="false">C6+C10+C12</f>
        <v>0</v>
      </c>
      <c r="D5" s="1473" t="s">
        <v>1004</v>
      </c>
      <c r="E5" s="1474"/>
      <c r="F5" s="1475"/>
      <c r="G5" s="1247"/>
      <c r="H5" s="1471" t="n">
        <v>1</v>
      </c>
      <c r="I5" s="1472" t="s">
        <v>1003</v>
      </c>
      <c r="J5" s="450" t="n">
        <f aca="false">J6+J10+J12</f>
        <v>0</v>
      </c>
      <c r="K5" s="1473" t="s">
        <v>1004</v>
      </c>
      <c r="L5" s="1474"/>
      <c r="M5" s="1475"/>
    </row>
    <row r="6" customFormat="false" ht="18" hidden="false" customHeight="true" outlineLevel="0" collapsed="false">
      <c r="A6" s="1476" t="s">
        <v>794</v>
      </c>
      <c r="B6" s="1477" t="s">
        <v>1005</v>
      </c>
      <c r="C6" s="1478" t="n">
        <f aca="false">ROUND(F6*F8*F7*(1-F9)/10000,0)</f>
        <v>0</v>
      </c>
      <c r="D6" s="1479" t="s">
        <v>1006</v>
      </c>
      <c r="E6" s="244" t="s">
        <v>574</v>
      </c>
      <c r="F6" s="1480" t="n">
        <f aca="true">INDIRECT("'数据-取费表'!u"&amp;$G$1)</f>
        <v>0</v>
      </c>
      <c r="G6" s="1247"/>
      <c r="H6" s="1476" t="s">
        <v>794</v>
      </c>
      <c r="I6" s="1477" t="s">
        <v>1005</v>
      </c>
      <c r="J6" s="1481" t="n">
        <f aca="false">ROUND(M6*M8*M7*(1-M9)/10000,0)</f>
        <v>0</v>
      </c>
      <c r="K6" s="1479" t="s">
        <v>1007</v>
      </c>
      <c r="L6" s="244" t="s">
        <v>574</v>
      </c>
      <c r="M6" s="1480" t="n">
        <f aca="true">INDIRECT("'数据-取费表'!z"&amp;$G$1)</f>
        <v>0</v>
      </c>
    </row>
    <row r="7" customFormat="false" ht="18" hidden="false" customHeight="true" outlineLevel="0" collapsed="false">
      <c r="A7" s="1482"/>
      <c r="B7" s="1477"/>
      <c r="C7" s="1483"/>
      <c r="D7" s="322"/>
      <c r="E7" s="1484" t="s">
        <v>1008</v>
      </c>
      <c r="F7" s="1480" t="n">
        <f aca="true">IF(INDIRECT("'数据-取费表'!ah"&amp;$G$1)="",INDIRECT("'数据-取费表'!k"&amp;$G$1),INDIRECT("'数据-取费表'!ah"&amp;$G$1))</f>
        <v>0</v>
      </c>
      <c r="G7" s="1247"/>
      <c r="H7" s="1485"/>
      <c r="I7" s="1477"/>
      <c r="J7" s="1486"/>
      <c r="K7" s="322"/>
      <c r="L7" s="244" t="s">
        <v>1008</v>
      </c>
      <c r="M7" s="1480" t="n">
        <f aca="false">F7</f>
        <v>0</v>
      </c>
    </row>
    <row r="8" customFormat="false" ht="18" hidden="false" customHeight="true" outlineLevel="0" collapsed="false">
      <c r="A8" s="1485"/>
      <c r="B8" s="1477"/>
      <c r="C8" s="1486"/>
      <c r="D8" s="322"/>
      <c r="E8" s="244" t="s">
        <v>1009</v>
      </c>
      <c r="F8" s="1480" t="n">
        <f aca="true">INDIRECT("'数据-取费表'!ai"&amp;$G$1)</f>
        <v>0</v>
      </c>
      <c r="G8" s="1247"/>
      <c r="H8" s="1485"/>
      <c r="I8" s="1477"/>
      <c r="J8" s="1486"/>
      <c r="K8" s="322"/>
      <c r="L8" s="244" t="s">
        <v>1009</v>
      </c>
      <c r="M8" s="1480" t="n">
        <f aca="true">INDIRECT("'数据-取费表'!ai"&amp;$G$1)</f>
        <v>0</v>
      </c>
    </row>
    <row r="9" customFormat="false" ht="18" hidden="false" customHeight="true" outlineLevel="0" collapsed="false">
      <c r="A9" s="1485"/>
      <c r="B9" s="1477"/>
      <c r="C9" s="1486"/>
      <c r="D9" s="322"/>
      <c r="E9" s="244" t="s">
        <v>1010</v>
      </c>
      <c r="F9" s="1487" t="n">
        <f aca="true">INDIRECT("'数据-取费表'!w"&amp;$G$1)</f>
        <v>0</v>
      </c>
      <c r="G9" s="1247"/>
      <c r="H9" s="1485"/>
      <c r="I9" s="1477"/>
      <c r="J9" s="1486"/>
      <c r="K9" s="322"/>
      <c r="L9" s="312" t="s">
        <v>1010</v>
      </c>
      <c r="M9" s="1488" t="n">
        <f aca="true">INDIRECT("'数据-取费表'!ab"&amp;$G$1)</f>
        <v>0</v>
      </c>
    </row>
    <row r="10" customFormat="false" ht="18" hidden="false" customHeight="true" outlineLevel="0" collapsed="false">
      <c r="A10" s="1476" t="s">
        <v>798</v>
      </c>
      <c r="B10" s="1489" t="s">
        <v>1011</v>
      </c>
      <c r="C10" s="1490" t="n">
        <f aca="false">ROUND(IF(F10="押一",C6/12*F11,IF(F10="押二",C6/12*2*F11,IF(F10="押三",C6/12*3*F11,C11*F11))),0)</f>
        <v>0</v>
      </c>
      <c r="D10" s="1491" t="s">
        <v>1012</v>
      </c>
      <c r="E10" s="312" t="s">
        <v>1013</v>
      </c>
      <c r="F10" s="1492"/>
      <c r="G10" s="1247"/>
      <c r="H10" s="1476" t="s">
        <v>798</v>
      </c>
      <c r="I10" s="1489" t="s">
        <v>1011</v>
      </c>
      <c r="J10" s="1481" t="n">
        <f aca="false">ROUND(IF(M10="押一",J6/12*M11,IF(M10="押二",J6/12*2*M11,IF(M10="押三",J6/12*3*M11,J11*M11))),0)</f>
        <v>0</v>
      </c>
      <c r="K10" s="1491" t="s">
        <v>1012</v>
      </c>
      <c r="L10" s="312" t="s">
        <v>1013</v>
      </c>
      <c r="M10" s="1492"/>
    </row>
    <row r="11" customFormat="false" ht="18" hidden="false" customHeight="true" outlineLevel="0" collapsed="false">
      <c r="A11" s="1493"/>
      <c r="B11" s="1494" t="s">
        <v>1014</v>
      </c>
      <c r="C11" s="1495"/>
      <c r="D11" s="1496"/>
      <c r="E11" s="312" t="s">
        <v>624</v>
      </c>
      <c r="F11" s="1488" t="n">
        <f aca="false">'数据-取费表'!B39</f>
        <v>0.0252</v>
      </c>
      <c r="G11" s="1247"/>
      <c r="H11" s="1497"/>
      <c r="I11" s="1494" t="s">
        <v>1014</v>
      </c>
      <c r="J11" s="1495"/>
      <c r="K11" s="333"/>
      <c r="L11" s="312" t="s">
        <v>624</v>
      </c>
      <c r="M11" s="1498" t="n">
        <f aca="false">'数据-取费表'!B39</f>
        <v>0.0252</v>
      </c>
    </row>
    <row r="12" customFormat="false" ht="18" hidden="false" customHeight="true" outlineLevel="0" collapsed="false">
      <c r="A12" s="1499" t="s">
        <v>842</v>
      </c>
      <c r="B12" s="1500" t="s">
        <v>1015</v>
      </c>
      <c r="C12" s="1501"/>
      <c r="D12" s="1502"/>
      <c r="E12" s="247"/>
      <c r="F12" s="1503"/>
      <c r="G12" s="1247"/>
      <c r="H12" s="1499" t="s">
        <v>842</v>
      </c>
      <c r="I12" s="1500" t="s">
        <v>1015</v>
      </c>
      <c r="J12" s="1501"/>
      <c r="K12" s="1504"/>
      <c r="L12" s="247"/>
      <c r="M12" s="1505"/>
    </row>
    <row r="13" customFormat="false" ht="18" hidden="false" customHeight="true" outlineLevel="0" collapsed="false">
      <c r="A13" s="1506" t="n">
        <v>2</v>
      </c>
      <c r="B13" s="1507" t="s">
        <v>1016</v>
      </c>
      <c r="C13" s="1508" t="n">
        <f aca="false">ROUND(C29*F13,0)</f>
        <v>0</v>
      </c>
      <c r="D13" s="1509" t="s">
        <v>1017</v>
      </c>
      <c r="E13" s="1509" t="s">
        <v>1018</v>
      </c>
      <c r="F13" s="1510" t="n">
        <f aca="true">INDIRECT("'数据-取费表'!y"&amp;$G$1)</f>
        <v>0</v>
      </c>
      <c r="G13" s="1247"/>
      <c r="H13" s="1506" t="n">
        <v>2</v>
      </c>
      <c r="I13" s="1507" t="s">
        <v>1016</v>
      </c>
      <c r="J13" s="1511" t="n">
        <f aca="false">ROUND(J14*J15,0)</f>
        <v>0</v>
      </c>
      <c r="K13" s="1043" t="s">
        <v>1017</v>
      </c>
      <c r="L13" s="1512"/>
      <c r="M13" s="1513"/>
    </row>
    <row r="14" customFormat="false" ht="18" hidden="false" customHeight="true" outlineLevel="0" collapsed="false">
      <c r="A14" s="1514" t="s">
        <v>816</v>
      </c>
      <c r="B14" s="244" t="s">
        <v>557</v>
      </c>
      <c r="C14" s="452" t="n">
        <f aca="true">INDIRECT("'数据-取费表'!m"&amp;$G$1)+INDIRECT("'数据-取费表'!t"&amp;$G$1)</f>
        <v>0</v>
      </c>
      <c r="D14" s="1081" t="s">
        <v>1019</v>
      </c>
      <c r="E14" s="1148"/>
      <c r="F14" s="1515"/>
      <c r="G14" s="1247"/>
      <c r="H14" s="1516" t="s">
        <v>794</v>
      </c>
      <c r="I14" s="244" t="s">
        <v>1020</v>
      </c>
      <c r="J14" s="478" t="n">
        <f aca="false">C29</f>
        <v>0</v>
      </c>
      <c r="K14" s="366"/>
      <c r="L14" s="1392"/>
      <c r="M14" s="953"/>
    </row>
    <row r="15" s="1522" customFormat="true" ht="18" hidden="false" customHeight="true" outlineLevel="0" collapsed="false">
      <c r="A15" s="1514" t="s">
        <v>820</v>
      </c>
      <c r="B15" s="244" t="s">
        <v>612</v>
      </c>
      <c r="C15" s="478" t="n">
        <f aca="false">ROUND(C14*F15,0)</f>
        <v>0</v>
      </c>
      <c r="D15" s="356" t="s">
        <v>1021</v>
      </c>
      <c r="E15" s="356" t="s">
        <v>1022</v>
      </c>
      <c r="F15" s="1517" t="n">
        <f aca="false">'数据-取费表'!B33</f>
        <v>0.03</v>
      </c>
      <c r="G15" s="808"/>
      <c r="H15" s="1518" t="s">
        <v>798</v>
      </c>
      <c r="I15" s="247" t="s">
        <v>1018</v>
      </c>
      <c r="J15" s="1505" t="n">
        <f aca="true">INDIRECT("'数据-取费表'!ad"&amp;$G$1)</f>
        <v>0</v>
      </c>
      <c r="K15" s="1519"/>
      <c r="L15" s="1520"/>
      <c r="M15" s="1521"/>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row>
    <row r="16" customFormat="false" ht="18" hidden="false" customHeight="true" outlineLevel="0" collapsed="false">
      <c r="A16" s="1514" t="s">
        <v>823</v>
      </c>
      <c r="B16" s="244" t="s">
        <v>614</v>
      </c>
      <c r="C16" s="478" t="n">
        <f aca="true">ROUND(INDIRECT("'数据-取费表'!m"&amp;$G$1)*F16,0)</f>
        <v>0</v>
      </c>
      <c r="D16" s="244" t="s">
        <v>1021</v>
      </c>
      <c r="E16" s="244" t="s">
        <v>1022</v>
      </c>
      <c r="F16" s="1523" t="n">
        <f aca="true">IF(INDIRECT("'数据-取费表'!c"&amp;$G$1)="住宅",'数据-取费表'!B34,0)</f>
        <v>0</v>
      </c>
      <c r="G16" s="1247"/>
      <c r="H16" s="1506" t="s">
        <v>1023</v>
      </c>
      <c r="I16" s="1507" t="s">
        <v>1024</v>
      </c>
      <c r="J16" s="1508" t="n">
        <f aca="false">ROUND(J17+J22+J23+J24,0)</f>
        <v>0</v>
      </c>
      <c r="K16" s="1043" t="s">
        <v>1025</v>
      </c>
      <c r="L16" s="464"/>
      <c r="M16" s="1475"/>
    </row>
    <row r="17" s="1522" customFormat="true" ht="18" hidden="false" customHeight="true" outlineLevel="0" collapsed="false">
      <c r="A17" s="1514" t="s">
        <v>1026</v>
      </c>
      <c r="B17" s="244" t="s">
        <v>1027</v>
      </c>
      <c r="C17" s="478" t="n">
        <f aca="true">ROUND(F17*(F43+INDIRECT("'数据-取费表'!S"&amp;$G$1))/10000,0)</f>
        <v>0</v>
      </c>
      <c r="D17" s="244" t="s">
        <v>1028</v>
      </c>
      <c r="E17" s="244" t="s">
        <v>1029</v>
      </c>
      <c r="F17" s="453" t="n">
        <f aca="false">'数据-取费表'!B35</f>
        <v>120</v>
      </c>
      <c r="G17" s="808"/>
      <c r="H17" s="1516" t="s">
        <v>794</v>
      </c>
      <c r="I17" s="244" t="s">
        <v>1030</v>
      </c>
      <c r="J17" s="1524" t="n">
        <f aca="false">ROUND(IF(AND(项目基本情况!B11="自然人",项目基本情况!B10="北京市"),J6*M17/(1+'数据-取费表'!C42),J18+J19+J20),2)</f>
        <v>0</v>
      </c>
      <c r="K17" s="1081" t="s">
        <v>1031</v>
      </c>
      <c r="L17" s="314" t="s">
        <v>1032</v>
      </c>
      <c r="M17" s="1525" t="n">
        <f aca="false">IF(项目基本情况!B11="企业","",IF('数据-取费表'!B10="住宅",IF(M6*M7*M8/12/(1+'数据-取费表'!F30)&gt;100000,4%,2.5%),IF(M6*M7*M8/12/(1+'数据-取费表'!F30)&gt;100000,12%,7%)))</f>
        <v>0.07</v>
      </c>
      <c r="N17" s="808"/>
      <c r="O17" s="808"/>
      <c r="P17" s="808"/>
      <c r="Q17" s="808"/>
      <c r="R17" s="808"/>
      <c r="S17" s="808"/>
      <c r="T17" s="808"/>
      <c r="U17" s="808"/>
      <c r="V17" s="808"/>
      <c r="W17" s="808"/>
      <c r="X17" s="808"/>
      <c r="Y17" s="808"/>
      <c r="Z17" s="808"/>
      <c r="AA17" s="808"/>
      <c r="AB17" s="808"/>
      <c r="AC17" s="808"/>
      <c r="AD17" s="808"/>
      <c r="AE17" s="808"/>
      <c r="AF17" s="808"/>
      <c r="AG17" s="808"/>
      <c r="AH17" s="808"/>
      <c r="AI17" s="808"/>
      <c r="AJ17" s="808"/>
      <c r="AK17" s="808"/>
    </row>
    <row r="18" s="1522" customFormat="true" ht="18" hidden="false" customHeight="true" outlineLevel="0" collapsed="false">
      <c r="A18" s="1514" t="s">
        <v>1033</v>
      </c>
      <c r="B18" s="244" t="s">
        <v>824</v>
      </c>
      <c r="C18" s="478" t="n">
        <f aca="false">ROUND(C14*F18,0)</f>
        <v>0</v>
      </c>
      <c r="D18" s="244" t="s">
        <v>1021</v>
      </c>
      <c r="E18" s="244" t="s">
        <v>1022</v>
      </c>
      <c r="F18" s="1523" t="n">
        <f aca="false">'数据-取费表'!B36</f>
        <v>0.015</v>
      </c>
      <c r="G18" s="808"/>
      <c r="H18" s="1514" t="s">
        <v>816</v>
      </c>
      <c r="I18" s="244" t="s">
        <v>1034</v>
      </c>
      <c r="J18" s="478" t="n">
        <f aca="false">ROUND(J6*M18/(1+'数据-取费表'!C42),2)</f>
        <v>0</v>
      </c>
      <c r="K18" s="314" t="s">
        <v>1035</v>
      </c>
      <c r="L18" s="244" t="s">
        <v>1022</v>
      </c>
      <c r="M18" s="1523" t="n">
        <f aca="false">'数据-取费表'!B41</f>
        <v>0.055</v>
      </c>
      <c r="N18" s="808"/>
      <c r="O18" s="808"/>
      <c r="P18" s="808"/>
      <c r="Q18" s="808"/>
      <c r="R18" s="808"/>
      <c r="S18" s="808"/>
      <c r="T18" s="808"/>
      <c r="U18" s="808"/>
      <c r="V18" s="808"/>
      <c r="W18" s="808"/>
      <c r="X18" s="808"/>
      <c r="Y18" s="808"/>
      <c r="Z18" s="808"/>
      <c r="AA18" s="808"/>
      <c r="AB18" s="808"/>
      <c r="AC18" s="808"/>
      <c r="AD18" s="808"/>
      <c r="AE18" s="808"/>
      <c r="AF18" s="808"/>
      <c r="AG18" s="808"/>
      <c r="AH18" s="808"/>
      <c r="AI18" s="808"/>
      <c r="AJ18" s="808"/>
      <c r="AK18" s="808"/>
    </row>
    <row r="19" customFormat="false" ht="18" hidden="false" customHeight="true" outlineLevel="0" collapsed="false">
      <c r="A19" s="1516" t="s">
        <v>794</v>
      </c>
      <c r="B19" s="244" t="s">
        <v>843</v>
      </c>
      <c r="C19" s="478" t="n">
        <f aca="false">SUM(C14:C18)</f>
        <v>0</v>
      </c>
      <c r="D19" s="1368" t="s">
        <v>1036</v>
      </c>
      <c r="E19" s="445"/>
      <c r="F19" s="453"/>
      <c r="G19" s="1247"/>
      <c r="H19" s="1514" t="s">
        <v>820</v>
      </c>
      <c r="I19" s="244" t="s">
        <v>1037</v>
      </c>
      <c r="J19" s="478" t="n">
        <f aca="false">IF(K19="按租金收入计税",ROUND(J6*M19/(1+'数据-取费表'!C42),2),ROUND(C29*M19*0.7,2))</f>
        <v>0</v>
      </c>
      <c r="K19" s="1526" t="s">
        <v>1038</v>
      </c>
      <c r="L19" s="244" t="s">
        <v>1022</v>
      </c>
      <c r="M19" s="1523" t="n">
        <f aca="false">IF(K19="按租金收入计税",'数据-取费表'!B51,'数据-取费表'!B50)</f>
        <v>0.12</v>
      </c>
    </row>
    <row r="20" s="1522" customFormat="true" ht="18" hidden="false" customHeight="true" outlineLevel="0" collapsed="false">
      <c r="A20" s="1516" t="s">
        <v>798</v>
      </c>
      <c r="B20" s="244" t="s">
        <v>621</v>
      </c>
      <c r="C20" s="478" t="n">
        <f aca="false">ROUND(C19*F20,0)</f>
        <v>0</v>
      </c>
      <c r="D20" s="292" t="s">
        <v>1039</v>
      </c>
      <c r="E20" s="244" t="s">
        <v>1022</v>
      </c>
      <c r="F20" s="1523" t="n">
        <f aca="false">'数据-取费表'!B37</f>
        <v>0.01</v>
      </c>
      <c r="G20" s="808"/>
      <c r="H20" s="1514" t="s">
        <v>823</v>
      </c>
      <c r="I20" s="1479" t="s">
        <v>1040</v>
      </c>
      <c r="J20" s="471" t="n">
        <f aca="false">ROUND(M20*M21/10000,2)</f>
        <v>0</v>
      </c>
      <c r="K20" s="1054" t="s">
        <v>1041</v>
      </c>
      <c r="L20" s="244" t="s">
        <v>1042</v>
      </c>
      <c r="M20" s="1527" t="n">
        <f aca="false">'数据-取费表'!B52</f>
        <v>0</v>
      </c>
      <c r="N20" s="808"/>
      <c r="O20" s="808"/>
      <c r="P20" s="808"/>
      <c r="Q20" s="808"/>
      <c r="R20" s="808"/>
      <c r="S20" s="808"/>
      <c r="T20" s="808"/>
      <c r="U20" s="808"/>
      <c r="V20" s="808"/>
      <c r="W20" s="808"/>
      <c r="X20" s="808"/>
      <c r="Y20" s="808"/>
      <c r="Z20" s="808"/>
      <c r="AA20" s="808"/>
      <c r="AB20" s="808"/>
      <c r="AC20" s="808"/>
      <c r="AD20" s="808"/>
      <c r="AE20" s="808"/>
      <c r="AF20" s="808"/>
      <c r="AG20" s="808"/>
      <c r="AH20" s="808"/>
      <c r="AI20" s="808"/>
      <c r="AJ20" s="808"/>
      <c r="AK20" s="808"/>
    </row>
    <row r="21" s="1522" customFormat="true" ht="18" hidden="false" customHeight="true" outlineLevel="0" collapsed="false">
      <c r="A21" s="1516" t="s">
        <v>842</v>
      </c>
      <c r="B21" s="244" t="s">
        <v>623</v>
      </c>
      <c r="C21" s="1528" t="s">
        <v>122</v>
      </c>
      <c r="D21" s="292" t="s">
        <v>1043</v>
      </c>
      <c r="E21" s="244" t="s">
        <v>1044</v>
      </c>
      <c r="F21" s="1523" t="n">
        <f aca="false">'数据-取费表'!B38</f>
        <v>0.01</v>
      </c>
      <c r="G21" s="808"/>
      <c r="H21" s="1529"/>
      <c r="I21" s="1530"/>
      <c r="J21" s="470"/>
      <c r="K21" s="321"/>
      <c r="L21" s="244" t="s">
        <v>1045</v>
      </c>
      <c r="M21" s="1480" t="n">
        <f aca="true">INDIRECT("'数据-取费表'!r"&amp;$G$1)</f>
        <v>0</v>
      </c>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row>
    <row r="22" customFormat="false" ht="18" hidden="false" customHeight="true" outlineLevel="0" collapsed="false">
      <c r="A22" s="1516" t="s">
        <v>845</v>
      </c>
      <c r="B22" s="244" t="s">
        <v>912</v>
      </c>
      <c r="C22" s="478"/>
      <c r="D22" s="936" t="str">
        <f aca="false">IF(F23&lt;=1,"单利计息。","复利计息。")&amp;"建造成本、管理费用、销售费用产生的利息。"</f>
        <v>复利计息。建造成本、管理费用、销售费用产生的利息。</v>
      </c>
      <c r="E22" s="445"/>
      <c r="F22" s="453"/>
      <c r="G22" s="1247"/>
      <c r="H22" s="1516" t="s">
        <v>798</v>
      </c>
      <c r="I22" s="244" t="s">
        <v>1046</v>
      </c>
      <c r="J22" s="1528" t="n">
        <f aca="false">ROUND(J14*M22,2)</f>
        <v>0</v>
      </c>
      <c r="K22" s="314" t="s">
        <v>1047</v>
      </c>
      <c r="L22" s="244" t="s">
        <v>1022</v>
      </c>
      <c r="M22" s="1531" t="n">
        <f aca="true">INDIRECT("'数据-取费表'!Ak"&amp;$G$1)</f>
        <v>0</v>
      </c>
    </row>
    <row r="23" s="1522" customFormat="true" ht="18" hidden="false" customHeight="true" outlineLevel="0" collapsed="false">
      <c r="A23" s="1514" t="s">
        <v>816</v>
      </c>
      <c r="B23" s="244" t="s">
        <v>1048</v>
      </c>
      <c r="C23" s="1528" t="n">
        <f aca="false">IF('数据-取费表'!B22&lt;=1,ROUND(C19*F24*F23/2,0)+ROUND(C20*F24*F23/2,0),ROUND(C19*(POWER((1+F24),F23/2)-1),0)+ROUND(C20*(POWER((1+F24),F23/2)-1),0))</f>
        <v>0</v>
      </c>
      <c r="D23" s="378" t="str">
        <f aca="false">IF(F23&lt;=1,"(建造成本+管理费用)×利率×(建设周期÷2)","(建造成本+管理费用)×((1+利率)^(建设周期÷2)-1)")</f>
        <v>(建造成本+管理费用)×((1+利率)^(建设周期÷2)-1)</v>
      </c>
      <c r="E23" s="244" t="s">
        <v>1049</v>
      </c>
      <c r="F23" s="1527" t="n">
        <f aca="false">'数据-取费表'!B20</f>
        <v>2</v>
      </c>
      <c r="G23" s="808"/>
      <c r="H23" s="1516" t="s">
        <v>842</v>
      </c>
      <c r="I23" s="244" t="s">
        <v>1050</v>
      </c>
      <c r="J23" s="1528" t="n">
        <f aca="false">ROUND(J13*M23,2)</f>
        <v>0</v>
      </c>
      <c r="K23" s="314" t="s">
        <v>1051</v>
      </c>
      <c r="L23" s="244" t="s">
        <v>1022</v>
      </c>
      <c r="M23" s="1532" t="n">
        <f aca="true">INDIRECT("'数据-取费表'!Al"&amp;$G$1)</f>
        <v>0</v>
      </c>
      <c r="N23" s="808"/>
      <c r="O23" s="808"/>
      <c r="P23" s="808"/>
      <c r="Q23" s="808"/>
      <c r="R23" s="808"/>
      <c r="S23" s="808"/>
      <c r="T23" s="808"/>
      <c r="U23" s="808"/>
      <c r="V23" s="808"/>
      <c r="W23" s="808"/>
      <c r="X23" s="808"/>
      <c r="Y23" s="808"/>
      <c r="Z23" s="808"/>
      <c r="AA23" s="808"/>
      <c r="AB23" s="808"/>
      <c r="AC23" s="808"/>
      <c r="AD23" s="808"/>
      <c r="AE23" s="808"/>
      <c r="AF23" s="808"/>
      <c r="AG23" s="808"/>
      <c r="AH23" s="808"/>
      <c r="AI23" s="808"/>
      <c r="AJ23" s="808"/>
      <c r="AK23" s="808"/>
    </row>
    <row r="24" s="1522" customFormat="true" ht="18" hidden="false" customHeight="true" outlineLevel="0" collapsed="false">
      <c r="A24" s="1514" t="s">
        <v>820</v>
      </c>
      <c r="B24" s="244" t="s">
        <v>1052</v>
      </c>
      <c r="C24" s="1528" t="n">
        <f aca="false">ROUND(IF('数据-取费表'!B22&lt;=1,F21*F24*F23/2,F21*(POWER((1+F24),F23/2)-1)),4)</f>
        <v>0.0006</v>
      </c>
      <c r="D24" s="378" t="str">
        <f aca="false">IF(F23&lt;=1,"销售费用×利率×(建设周期÷2)","销售费用×((1+利率)^(建设周期÷2)-1)")</f>
        <v>销售费用×((1+利率)^(建设周期÷2)-1)</v>
      </c>
      <c r="E24" s="244" t="s">
        <v>1053</v>
      </c>
      <c r="F24" s="1533" t="n">
        <f aca="false">'数据-取费表'!B40</f>
        <v>0.063</v>
      </c>
      <c r="G24" s="808"/>
      <c r="H24" s="1518" t="s">
        <v>845</v>
      </c>
      <c r="I24" s="247" t="s">
        <v>621</v>
      </c>
      <c r="J24" s="1534" t="n">
        <f aca="false">ROUND(J5*M24,2)</f>
        <v>0</v>
      </c>
      <c r="K24" s="319" t="s">
        <v>1054</v>
      </c>
      <c r="L24" s="247" t="s">
        <v>1022</v>
      </c>
      <c r="M24" s="1503" t="n">
        <f aca="true">INDIRECT("'数据-取费表'!Am"&amp;$G$1)</f>
        <v>0</v>
      </c>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row>
    <row r="25" customFormat="false" ht="24" hidden="false" customHeight="true" outlineLevel="0" collapsed="false">
      <c r="A25" s="1516" t="s">
        <v>849</v>
      </c>
      <c r="B25" s="244" t="s">
        <v>570</v>
      </c>
      <c r="C25" s="478"/>
      <c r="D25" s="1368" t="s">
        <v>1055</v>
      </c>
      <c r="E25" s="445"/>
      <c r="F25" s="453"/>
      <c r="G25" s="1247"/>
      <c r="H25" s="1506" t="s">
        <v>1056</v>
      </c>
      <c r="I25" s="1535" t="s">
        <v>1057</v>
      </c>
      <c r="J25" s="1508" t="n">
        <f aca="false">J5-J16</f>
        <v>0</v>
      </c>
      <c r="K25" s="1536" t="s">
        <v>1058</v>
      </c>
      <c r="L25" s="1537"/>
      <c r="M25" s="1538"/>
    </row>
    <row r="26" customFormat="false" ht="12.75" hidden="false" customHeight="false" outlineLevel="0" collapsed="false">
      <c r="A26" s="1514" t="s">
        <v>816</v>
      </c>
      <c r="B26" s="244" t="s">
        <v>1059</v>
      </c>
      <c r="C26" s="1528" t="n">
        <f aca="false">ROUND((C19+C20)*F26,0)</f>
        <v>0</v>
      </c>
      <c r="D26" s="292" t="s">
        <v>1060</v>
      </c>
      <c r="E26" s="312" t="s">
        <v>1061</v>
      </c>
      <c r="F26" s="1487" t="n">
        <f aca="true">INDIRECT("'数据-取费表'!q"&amp;$G$1)</f>
        <v>0</v>
      </c>
      <c r="G26" s="1247"/>
      <c r="H26" s="1471" t="s">
        <v>1062</v>
      </c>
      <c r="I26" s="1472" t="s">
        <v>1063</v>
      </c>
      <c r="J26" s="1481" t="n">
        <f aca="false">IF(J5&lt;&gt;0,ROUND(J25*(1-((1+M28)/(1+M26))^M27)/(M26-M28),0),0)</f>
        <v>0</v>
      </c>
      <c r="K26" s="1054" t="s">
        <v>1064</v>
      </c>
      <c r="L26" s="244" t="s">
        <v>1065</v>
      </c>
      <c r="M26" s="1487" t="n">
        <f aca="true">INDIRECT("'数据-取费表'!I"&amp;$G$1)</f>
        <v>0</v>
      </c>
    </row>
    <row r="27" customFormat="false" ht="18" hidden="false" customHeight="true" outlineLevel="0" collapsed="false">
      <c r="A27" s="1514" t="s">
        <v>820</v>
      </c>
      <c r="B27" s="244" t="s">
        <v>1066</v>
      </c>
      <c r="C27" s="1528" t="n">
        <f aca="false">ROUND(F21*F26,4)</f>
        <v>0</v>
      </c>
      <c r="D27" s="292" t="s">
        <v>1067</v>
      </c>
      <c r="E27" s="302"/>
      <c r="F27" s="1517"/>
      <c r="G27" s="1247"/>
      <c r="H27" s="1485"/>
      <c r="I27" s="1539"/>
      <c r="J27" s="1486"/>
      <c r="K27" s="1540" t="s">
        <v>1068</v>
      </c>
      <c r="L27" s="244" t="s">
        <v>1069</v>
      </c>
      <c r="M27" s="1541" t="n">
        <f aca="true">INDIRECT("'数据-取费表'!ag"&amp;$G$1)</f>
        <v>0</v>
      </c>
    </row>
    <row r="28" s="1522" customFormat="true" ht="18" hidden="false" customHeight="true" outlineLevel="0" collapsed="false">
      <c r="A28" s="1516" t="s">
        <v>850</v>
      </c>
      <c r="B28" s="244" t="s">
        <v>926</v>
      </c>
      <c r="C28" s="1528" t="n">
        <f aca="false">ROUND(F28/(1+'数据-取费表'!C42),4)</f>
        <v>0.055</v>
      </c>
      <c r="D28" s="292" t="s">
        <v>1070</v>
      </c>
      <c r="E28" s="244" t="s">
        <v>1022</v>
      </c>
      <c r="F28" s="1523" t="n">
        <f aca="false">'数据-取费表'!B41</f>
        <v>0.055</v>
      </c>
      <c r="G28" s="808"/>
      <c r="H28" s="1493"/>
      <c r="I28" s="1542"/>
      <c r="J28" s="1508"/>
      <c r="K28" s="321"/>
      <c r="L28" s="244" t="s">
        <v>1071</v>
      </c>
      <c r="M28" s="1487" t="n">
        <f aca="true">INDIRECT("'数据-取费表'!aa"&amp;$G$1)</f>
        <v>0</v>
      </c>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8"/>
    </row>
    <row r="29" s="1522" customFormat="true" ht="18" hidden="false" customHeight="true" outlineLevel="0" collapsed="false">
      <c r="A29" s="1518" t="s">
        <v>992</v>
      </c>
      <c r="B29" s="247" t="s">
        <v>1072</v>
      </c>
      <c r="C29" s="1534" t="n">
        <f aca="false">ROUND((C19+C20+C23+C26)/(1-F21-C24-C27-C28),0)</f>
        <v>0</v>
      </c>
      <c r="D29" s="319"/>
      <c r="E29" s="247"/>
      <c r="F29" s="1543"/>
      <c r="G29" s="808"/>
      <c r="H29" s="1544" t="s">
        <v>1073</v>
      </c>
      <c r="I29" s="1545" t="s">
        <v>1074</v>
      </c>
      <c r="J29" s="1546" t="n">
        <f aca="false">ROUND(J26/(1+F40)^F41,0)</f>
        <v>0</v>
      </c>
      <c r="K29" s="1547" t="s">
        <v>1075</v>
      </c>
      <c r="L29" s="1548"/>
      <c r="M29" s="1549" t="n">
        <f aca="true">INDIRECT("'数据-取费表'!k"&amp;$G$1)</f>
        <v>0</v>
      </c>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8"/>
    </row>
    <row r="30" customFormat="false" ht="18" hidden="false" customHeight="true" outlineLevel="0" collapsed="false">
      <c r="A30" s="1506" t="s">
        <v>1023</v>
      </c>
      <c r="B30" s="1507" t="s">
        <v>1024</v>
      </c>
      <c r="C30" s="1508" t="n">
        <f aca="false">ROUND(C31+C36+C37+C38,0)</f>
        <v>0</v>
      </c>
      <c r="D30" s="1043" t="s">
        <v>1025</v>
      </c>
      <c r="E30" s="464"/>
      <c r="F30" s="1475"/>
      <c r="G30" s="1247"/>
      <c r="H30" s="1550"/>
      <c r="I30" s="1551"/>
      <c r="J30" s="1552"/>
      <c r="K30" s="348"/>
      <c r="L30" s="1553"/>
      <c r="M30" s="1554"/>
    </row>
    <row r="31" customFormat="false" ht="18" hidden="false" customHeight="true" outlineLevel="0" collapsed="false">
      <c r="A31" s="1516" t="s">
        <v>794</v>
      </c>
      <c r="B31" s="244" t="s">
        <v>1030</v>
      </c>
      <c r="C31" s="1524" t="n">
        <f aca="false">ROUND(IF(AND(项目基本情况!B11="自然人",项目基本情况!B10="北京市"),C6*F31/(1+'数据-取费表'!C42),C32+C33+C34),2)</f>
        <v>0</v>
      </c>
      <c r="D31" s="1081" t="s">
        <v>1031</v>
      </c>
      <c r="E31" s="314" t="s">
        <v>1032</v>
      </c>
      <c r="F31" s="1525" t="n">
        <f aca="false">IF(项目基本情况!B11="企业","——",IF(M47="住宅",IF(F6*F7*F8/12/(1+'数据-取费表'!F30)&gt;100000,4%,2.5%),IF(F6*F7*F8/12/(1+'数据-取费表'!F30)&gt;100000,12%,7%)))</f>
        <v>0.07</v>
      </c>
      <c r="G31" s="1247"/>
      <c r="H31" s="1555" t="s">
        <v>1076</v>
      </c>
      <c r="I31" s="1551"/>
      <c r="J31" s="1552"/>
      <c r="K31" s="348"/>
      <c r="L31" s="1553"/>
      <c r="M31" s="1554"/>
    </row>
    <row r="32" customFormat="false" ht="18" hidden="false" customHeight="true" outlineLevel="0" collapsed="false">
      <c r="A32" s="1514" t="s">
        <v>816</v>
      </c>
      <c r="B32" s="244" t="s">
        <v>1034</v>
      </c>
      <c r="C32" s="1528" t="str">
        <f aca="false">IF(项目基本情况!B11="自然人","——",ROUND(C6*F32/(1+'数据-取费表'!C42),2))</f>
        <v>——</v>
      </c>
      <c r="D32" s="314" t="s">
        <v>1035</v>
      </c>
      <c r="E32" s="244" t="s">
        <v>1022</v>
      </c>
      <c r="F32" s="1533" t="n">
        <f aca="false">'数据-取费表'!B41</f>
        <v>0.055</v>
      </c>
      <c r="G32" s="1247"/>
      <c r="H32" s="1550"/>
      <c r="I32" s="1551"/>
      <c r="J32" s="1552"/>
      <c r="K32" s="348"/>
      <c r="L32" s="1553"/>
      <c r="M32" s="1554"/>
    </row>
    <row r="33" customFormat="false" ht="18" hidden="false" customHeight="true" outlineLevel="0" collapsed="false">
      <c r="A33" s="1514" t="s">
        <v>820</v>
      </c>
      <c r="B33" s="244" t="s">
        <v>1037</v>
      </c>
      <c r="C33" s="1528" t="str">
        <f aca="true">IF(项目基本情况!B11="自然人","——",IF(D33="按租金收入计税",ROUND(C6*F33/(1+'数据-取费表'!C42),2),IF(D33="按房产原值计税",ROUND(C29*F33*0.7,2),INDIRECT("'数据-取费表'!Aj"&amp;$G$1))))</f>
        <v>——</v>
      </c>
      <c r="D33" s="1526" t="s">
        <v>1038</v>
      </c>
      <c r="E33" s="244" t="s">
        <v>1022</v>
      </c>
      <c r="F33" s="1523" t="n">
        <f aca="false">IF(D33="按票据","——",IF(D33="按租金收入计税",'数据-取费表'!B51,'数据-取费表'!B50))</f>
        <v>0.12</v>
      </c>
      <c r="G33" s="1247"/>
      <c r="H33" s="1556"/>
      <c r="I33" s="1551"/>
      <c r="J33" s="1552"/>
      <c r="K33" s="1557"/>
      <c r="L33" s="1556"/>
      <c r="M33" s="1556"/>
    </row>
    <row r="34" customFormat="false" ht="18" hidden="false" customHeight="true" outlineLevel="0" collapsed="false">
      <c r="A34" s="1558" t="s">
        <v>823</v>
      </c>
      <c r="B34" s="1479" t="s">
        <v>1040</v>
      </c>
      <c r="C34" s="471" t="str">
        <f aca="false">IF(项目基本情况!B11="自然人","——",ROUND(F34*F35/10000,2))</f>
        <v>——</v>
      </c>
      <c r="D34" s="1054" t="s">
        <v>1041</v>
      </c>
      <c r="E34" s="244" t="s">
        <v>1042</v>
      </c>
      <c r="F34" s="1527" t="n">
        <f aca="false">'数据-取费表'!B52</f>
        <v>0</v>
      </c>
      <c r="G34" s="1247"/>
      <c r="H34" s="1550"/>
      <c r="I34" s="1551"/>
      <c r="J34" s="1552"/>
      <c r="K34" s="1559"/>
      <c r="L34" s="1560"/>
      <c r="M34" s="1560"/>
    </row>
    <row r="35" customFormat="false" ht="18" hidden="false" customHeight="true" outlineLevel="0" collapsed="false">
      <c r="A35" s="1561"/>
      <c r="B35" s="1562"/>
      <c r="C35" s="470"/>
      <c r="D35" s="321"/>
      <c r="E35" s="244" t="s">
        <v>1045</v>
      </c>
      <c r="F35" s="1480" t="n">
        <f aca="true">INDIRECT("'数据-取费表'!r"&amp;$G$1)</f>
        <v>0</v>
      </c>
      <c r="G35" s="1247"/>
      <c r="H35" s="1550"/>
      <c r="I35" s="1551"/>
      <c r="J35" s="1552"/>
      <c r="K35" s="1557"/>
      <c r="L35" s="1556"/>
      <c r="M35" s="1556"/>
    </row>
    <row r="36" customFormat="false" ht="18" hidden="false" customHeight="true" outlineLevel="0" collapsed="false">
      <c r="A36" s="1563" t="s">
        <v>798</v>
      </c>
      <c r="B36" s="244" t="s">
        <v>1046</v>
      </c>
      <c r="C36" s="1528" t="n">
        <f aca="false">ROUND(C29*F36,2)</f>
        <v>0</v>
      </c>
      <c r="D36" s="314" t="s">
        <v>1077</v>
      </c>
      <c r="E36" s="244" t="s">
        <v>1022</v>
      </c>
      <c r="F36" s="1531" t="n">
        <f aca="true">INDIRECT("'数据-取费表'!Ak"&amp;$G$1)</f>
        <v>0</v>
      </c>
      <c r="G36" s="1247"/>
      <c r="H36" s="1556"/>
      <c r="I36" s="1551"/>
      <c r="J36" s="1552"/>
      <c r="K36" s="1066"/>
      <c r="L36" s="1556"/>
      <c r="M36" s="1556"/>
    </row>
    <row r="37" customFormat="false" ht="18" hidden="false" customHeight="true" outlineLevel="0" collapsed="false">
      <c r="A37" s="1516" t="s">
        <v>842</v>
      </c>
      <c r="B37" s="244" t="s">
        <v>1050</v>
      </c>
      <c r="C37" s="1528" t="n">
        <f aca="false">ROUND(C13*F37,2)</f>
        <v>0</v>
      </c>
      <c r="D37" s="314" t="s">
        <v>1051</v>
      </c>
      <c r="E37" s="244" t="s">
        <v>1022</v>
      </c>
      <c r="F37" s="1532" t="n">
        <f aca="true">INDIRECT("'数据-取费表'!Al"&amp;$G$1)</f>
        <v>0</v>
      </c>
      <c r="G37" s="1247"/>
      <c r="H37" s="1556"/>
      <c r="I37" s="1551"/>
      <c r="J37" s="1552"/>
      <c r="K37" s="1066"/>
      <c r="L37" s="1556"/>
      <c r="M37" s="1556"/>
    </row>
    <row r="38" customFormat="false" ht="18" hidden="false" customHeight="true" outlineLevel="0" collapsed="false">
      <c r="A38" s="1518" t="s">
        <v>845</v>
      </c>
      <c r="B38" s="247" t="s">
        <v>621</v>
      </c>
      <c r="C38" s="1534" t="n">
        <f aca="false">ROUND(C5*F38,2)</f>
        <v>0</v>
      </c>
      <c r="D38" s="319" t="s">
        <v>1054</v>
      </c>
      <c r="E38" s="247" t="s">
        <v>1022</v>
      </c>
      <c r="F38" s="1503" t="n">
        <f aca="true">INDIRECT("'数据-取费表'!Am"&amp;$G$1)</f>
        <v>0</v>
      </c>
      <c r="G38" s="1247"/>
      <c r="H38" s="1556"/>
      <c r="I38" s="1551"/>
      <c r="J38" s="1552"/>
      <c r="K38" s="1564"/>
      <c r="L38" s="1556"/>
      <c r="M38" s="1556"/>
    </row>
    <row r="39" customFormat="false" ht="24.6" hidden="false" customHeight="true" outlineLevel="0" collapsed="false">
      <c r="A39" s="1506" t="s">
        <v>1056</v>
      </c>
      <c r="B39" s="1535" t="s">
        <v>1057</v>
      </c>
      <c r="C39" s="1508" t="n">
        <f aca="false">C5-C30</f>
        <v>0</v>
      </c>
      <c r="D39" s="1536" t="s">
        <v>1058</v>
      </c>
      <c r="E39" s="1537"/>
      <c r="F39" s="1538"/>
      <c r="G39" s="1247"/>
      <c r="H39" s="1556"/>
      <c r="I39" s="1551"/>
      <c r="J39" s="1552"/>
      <c r="K39" s="1564"/>
      <c r="L39" s="1556"/>
      <c r="M39" s="1556"/>
    </row>
    <row r="40" customFormat="false" ht="18" hidden="false" customHeight="true" outlineLevel="0" collapsed="false">
      <c r="A40" s="1471" t="s">
        <v>1062</v>
      </c>
      <c r="B40" s="1472" t="s">
        <v>1078</v>
      </c>
      <c r="C40" s="1481" t="e">
        <f aca="false">ROUND(C39*(1-((1+F42)/(1+F40))^F41)/(F40-F42),0)</f>
        <v>#DIV/0!</v>
      </c>
      <c r="D40" s="1054" t="s">
        <v>1064</v>
      </c>
      <c r="E40" s="244" t="s">
        <v>1065</v>
      </c>
      <c r="F40" s="1487" t="n">
        <f aca="true">INDIRECT("'数据-取费表'!I"&amp;$G$1)</f>
        <v>0</v>
      </c>
      <c r="G40" s="1247"/>
      <c r="H40" s="1565"/>
      <c r="I40" s="1551"/>
      <c r="J40" s="1552"/>
      <c r="K40" s="1564"/>
      <c r="L40" s="1565"/>
      <c r="M40" s="1565"/>
    </row>
    <row r="41" customFormat="false" ht="18" hidden="false" customHeight="true" outlineLevel="0" collapsed="false">
      <c r="A41" s="1485"/>
      <c r="B41" s="1539"/>
      <c r="C41" s="1486"/>
      <c r="D41" s="1540" t="s">
        <v>1068</v>
      </c>
      <c r="E41" s="244" t="s">
        <v>1069</v>
      </c>
      <c r="F41" s="1541" t="n">
        <f aca="true">IF(INDIRECT("'数据-取费表'!af"&amp;$G$1)=0,INDIRECT("'数据-取费表'!ae"&amp;$G$1),INDIRECT("'数据-取费表'!af"&amp;$G$1))</f>
        <v>0</v>
      </c>
      <c r="G41" s="1247"/>
      <c r="H41" s="634"/>
      <c r="I41" s="1551"/>
      <c r="J41" s="1552"/>
      <c r="K41" s="1066"/>
      <c r="L41" s="634"/>
      <c r="M41" s="634"/>
    </row>
    <row r="42" customFormat="false" ht="18" hidden="false" customHeight="true" outlineLevel="0" collapsed="false">
      <c r="A42" s="1493"/>
      <c r="B42" s="1542"/>
      <c r="C42" s="1508"/>
      <c r="D42" s="321"/>
      <c r="E42" s="244" t="s">
        <v>1071</v>
      </c>
      <c r="F42" s="1487" t="n">
        <f aca="true">INDIRECT("'数据-取费表'!v"&amp;$G$1)</f>
        <v>0</v>
      </c>
      <c r="G42" s="1247"/>
      <c r="H42" s="634"/>
      <c r="I42" s="1551"/>
      <c r="J42" s="1552"/>
      <c r="K42" s="1066"/>
      <c r="L42" s="634"/>
      <c r="M42" s="634"/>
    </row>
    <row r="43" customFormat="false" ht="18" hidden="false" customHeight="true" outlineLevel="0" collapsed="false">
      <c r="A43" s="1544" t="s">
        <v>1073</v>
      </c>
      <c r="B43" s="1545" t="s">
        <v>1079</v>
      </c>
      <c r="C43" s="1546" t="e">
        <f aca="false">ROUND(C40*10000/F43,0)</f>
        <v>#DIV/0!</v>
      </c>
      <c r="D43" s="1547" t="s">
        <v>1080</v>
      </c>
      <c r="E43" s="1566" t="s">
        <v>1081</v>
      </c>
      <c r="F43" s="1549" t="n">
        <f aca="true">INDIRECT("'数据-取费表'!k"&amp;$G$1)</f>
        <v>0</v>
      </c>
      <c r="G43" s="1247"/>
      <c r="H43" s="634"/>
      <c r="I43" s="634"/>
      <c r="J43" s="634"/>
      <c r="K43" s="1066"/>
      <c r="L43" s="634"/>
      <c r="M43" s="634"/>
    </row>
    <row r="44" s="1247" customFormat="true" ht="18" hidden="false" customHeight="true" outlineLevel="0" collapsed="false">
      <c r="A44" s="1567"/>
      <c r="B44" s="1567"/>
      <c r="C44" s="1568"/>
      <c r="D44" s="1567"/>
      <c r="E44" s="1567"/>
      <c r="F44" s="1567"/>
      <c r="K44" s="1246"/>
    </row>
    <row r="45" s="1247" customFormat="true" ht="18" hidden="false" customHeight="true" outlineLevel="0" collapsed="false">
      <c r="A45" s="1567"/>
      <c r="B45" s="1567"/>
      <c r="C45" s="1568"/>
      <c r="D45" s="1567"/>
      <c r="E45" s="1567"/>
      <c r="F45" s="1567"/>
      <c r="J45" s="1248"/>
      <c r="O45" s="1569" t="s">
        <v>1082</v>
      </c>
      <c r="P45" s="1565"/>
      <c r="Q45" s="1565"/>
      <c r="R45" s="1565"/>
    </row>
    <row r="46" s="1247" customFormat="true" ht="12.75" hidden="false" customHeight="false" outlineLevel="0" collapsed="false">
      <c r="A46" s="1570" t="s">
        <v>1083</v>
      </c>
      <c r="C46" s="1571" t="e">
        <f aca="false">C68-C40</f>
        <v>#DIV/0!</v>
      </c>
      <c r="D46" s="1572" t="str">
        <f aca="false">C2</f>
        <v>万元</v>
      </c>
      <c r="E46" s="1567"/>
      <c r="F46" s="1567"/>
      <c r="I46" s="1573" t="s">
        <v>1084</v>
      </c>
      <c r="J46" s="1574"/>
      <c r="K46" s="1575"/>
      <c r="L46" s="1576" t="e">
        <f aca="false">IF(M47="住宅",0,IF(L48&gt;J51,L60,J60))</f>
        <v>#DIV/0!</v>
      </c>
      <c r="O46" s="1577" t="s">
        <v>765</v>
      </c>
      <c r="P46" s="1578" t="s">
        <v>527</v>
      </c>
      <c r="Q46" s="1579" t="s">
        <v>1000</v>
      </c>
      <c r="R46" s="1579" t="s">
        <v>1001</v>
      </c>
    </row>
    <row r="47" s="1247" customFormat="true" ht="12.75" hidden="false" customHeight="false" outlineLevel="0" collapsed="false">
      <c r="A47" s="1580" t="s">
        <v>765</v>
      </c>
      <c r="B47" s="1581" t="s">
        <v>527</v>
      </c>
      <c r="C47" s="1582" t="s">
        <v>1000</v>
      </c>
      <c r="D47" s="1581" t="s">
        <v>1001</v>
      </c>
      <c r="E47" s="1583" t="s">
        <v>1002</v>
      </c>
      <c r="F47" s="1584"/>
      <c r="G47" s="1585"/>
      <c r="I47" s="1586" t="s">
        <v>1085</v>
      </c>
      <c r="J47" s="1587"/>
      <c r="K47" s="1588" t="s">
        <v>1086</v>
      </c>
      <c r="L47" s="1589" t="n">
        <f aca="true">INDIRECT("'数据-取费表'!d"&amp;$G$1)</f>
        <v>0</v>
      </c>
      <c r="M47" s="1590" t="str">
        <f aca="false">IF(ISNUMBER(FIND("住宅",C1)),"住宅","非住宅")</f>
        <v>非住宅</v>
      </c>
      <c r="O47" s="1591" t="s">
        <v>887</v>
      </c>
      <c r="P47" s="1592" t="s">
        <v>1087</v>
      </c>
      <c r="Q47" s="1593" t="e">
        <f aca="false">C40+J29</f>
        <v>#DIV/0!</v>
      </c>
      <c r="R47" s="1594" t="s">
        <v>1088</v>
      </c>
    </row>
    <row r="48" s="1247" customFormat="true" ht="27.75" hidden="false" customHeight="false" outlineLevel="0" collapsed="false">
      <c r="A48" s="1595" t="s">
        <v>1089</v>
      </c>
      <c r="B48" s="1472" t="s">
        <v>1003</v>
      </c>
      <c r="C48" s="452" t="n">
        <f aca="false">C49+C53+C55</f>
        <v>0</v>
      </c>
      <c r="D48" s="1596"/>
      <c r="E48" s="1597"/>
      <c r="F48" s="1598"/>
      <c r="G48" s="1585"/>
      <c r="H48" s="1599"/>
      <c r="I48" s="1600" t="s">
        <v>1090</v>
      </c>
      <c r="J48" s="1601"/>
      <c r="K48" s="1602" t="s">
        <v>348</v>
      </c>
      <c r="L48" s="1603" t="n">
        <f aca="true">INDIRECT("'数据-取费表'!f"&amp;$G$1)</f>
        <v>0</v>
      </c>
      <c r="O48" s="1591" t="s">
        <v>888</v>
      </c>
      <c r="P48" s="1592" t="s">
        <v>1091</v>
      </c>
      <c r="Q48" s="1594" t="e">
        <f aca="false">J60</f>
        <v>#DIV/0!</v>
      </c>
      <c r="R48" s="1594" t="s">
        <v>1092</v>
      </c>
    </row>
    <row r="49" s="1247" customFormat="true" ht="12.75" hidden="false" customHeight="false" outlineLevel="0" collapsed="false">
      <c r="A49" s="1604" t="s">
        <v>1093</v>
      </c>
      <c r="B49" s="1605" t="s">
        <v>1094</v>
      </c>
      <c r="C49" s="1606" t="n">
        <f aca="false">ROUND(F49*F51*F50*(1-F52)/10000,0)</f>
        <v>0</v>
      </c>
      <c r="D49" s="1607" t="s">
        <v>1007</v>
      </c>
      <c r="E49" s="1608" t="s">
        <v>1095</v>
      </c>
      <c r="F49" s="1609"/>
      <c r="G49" s="1610"/>
      <c r="H49" s="1599"/>
      <c r="I49" s="1600" t="s">
        <v>1096</v>
      </c>
      <c r="J49" s="1611"/>
      <c r="K49" s="1602" t="s">
        <v>1097</v>
      </c>
      <c r="L49" s="1612"/>
      <c r="O49" s="1613" t="s">
        <v>1098</v>
      </c>
      <c r="P49" s="1592" t="s">
        <v>1099</v>
      </c>
      <c r="Q49" s="1594" t="n">
        <f aca="false">C29</f>
        <v>0</v>
      </c>
      <c r="R49" s="1594" t="s">
        <v>1088</v>
      </c>
    </row>
    <row r="50" s="1247" customFormat="true" ht="12.75" hidden="false" customHeight="false" outlineLevel="0" collapsed="false">
      <c r="A50" s="1614"/>
      <c r="B50" s="1615"/>
      <c r="C50" s="1616"/>
      <c r="D50" s="1617"/>
      <c r="E50" s="1618" t="s">
        <v>1008</v>
      </c>
      <c r="F50" s="1619" t="n">
        <f aca="false">F7</f>
        <v>0</v>
      </c>
      <c r="H50" s="1599"/>
      <c r="I50" s="1600" t="s">
        <v>1100</v>
      </c>
      <c r="J50" s="1620" t="n">
        <f aca="false">SUMPRODUCT((I63:I65=J47)*(J62:L62=J48)*(J63:L65))</f>
        <v>0</v>
      </c>
      <c r="K50" s="1602" t="s">
        <v>1101</v>
      </c>
      <c r="L50" s="1612"/>
      <c r="M50" s="1621"/>
      <c r="O50" s="1613" t="s">
        <v>1102</v>
      </c>
      <c r="P50" s="1592" t="s">
        <v>1103</v>
      </c>
      <c r="Q50" s="1622" t="e">
        <f aca="false">J58</f>
        <v>#DIV/0!</v>
      </c>
      <c r="R50" s="1593"/>
    </row>
    <row r="51" s="1247" customFormat="true" ht="12.75" hidden="false" customHeight="false" outlineLevel="0" collapsed="false">
      <c r="A51" s="1623"/>
      <c r="B51" s="1615"/>
      <c r="C51" s="1624"/>
      <c r="D51" s="1617"/>
      <c r="E51" s="1625" t="s">
        <v>1009</v>
      </c>
      <c r="F51" s="1480" t="n">
        <f aca="false">F8</f>
        <v>0</v>
      </c>
      <c r="I51" s="1626" t="s">
        <v>1104</v>
      </c>
      <c r="J51" s="1627" t="n">
        <f aca="false">IF(J49="",J50,J49+J50-YEAR('数据-取费表'!B2))</f>
        <v>0</v>
      </c>
      <c r="K51" s="1628" t="s">
        <v>1105</v>
      </c>
      <c r="L51" s="1629" t="n">
        <f aca="true">ROUND(-PV(INDIRECT("'数据-取费表'!h"&amp;$G$1),J51,(C39-C13*C76),0),0)</f>
        <v>0</v>
      </c>
      <c r="M51" s="1630"/>
      <c r="O51" s="1613" t="s">
        <v>1106</v>
      </c>
      <c r="P51" s="1592" t="s">
        <v>1107</v>
      </c>
      <c r="Q51" s="1622" t="n">
        <f aca="false">J52</f>
        <v>0</v>
      </c>
      <c r="R51" s="1593"/>
    </row>
    <row r="52" s="1247" customFormat="true" ht="12.75" hidden="false" customHeight="false" outlineLevel="0" collapsed="false">
      <c r="A52" s="1623"/>
      <c r="B52" s="1615"/>
      <c r="C52" s="1624"/>
      <c r="D52" s="1617"/>
      <c r="E52" s="1625" t="s">
        <v>1010</v>
      </c>
      <c r="F52" s="1631"/>
      <c r="I52" s="1632" t="s">
        <v>1108</v>
      </c>
      <c r="J52" s="1633"/>
      <c r="K52" s="1632" t="s">
        <v>1109</v>
      </c>
      <c r="L52" s="1633"/>
      <c r="O52" s="1613" t="s">
        <v>1110</v>
      </c>
      <c r="P52" s="1592" t="s">
        <v>1111</v>
      </c>
      <c r="Q52" s="1594" t="n">
        <f aca="false">J53</f>
        <v>0</v>
      </c>
      <c r="R52" s="1594" t="s">
        <v>1112</v>
      </c>
    </row>
    <row r="53" s="1247" customFormat="true" ht="24" hidden="false" customHeight="true" outlineLevel="0" collapsed="false">
      <c r="A53" s="1634" t="s">
        <v>1113</v>
      </c>
      <c r="B53" s="862" t="s">
        <v>1011</v>
      </c>
      <c r="C53" s="1490" t="n">
        <f aca="false">ROUND(IF(F53="押一",C49/12*F11,IF(F53="押二",C49/12*2*F11,IF(F53="押三",C49/12*3*F11,C54*F11))),0)</f>
        <v>0</v>
      </c>
      <c r="D53" s="1491" t="s">
        <v>1012</v>
      </c>
      <c r="E53" s="312" t="s">
        <v>1013</v>
      </c>
      <c r="F53" s="1492"/>
      <c r="I53" s="1635" t="s">
        <v>1114</v>
      </c>
      <c r="J53" s="1636" t="n">
        <f aca="false">IF(M47="住宅",IF(D1="——",MAX(J51,L48),MAX(J51,L48-'数据-取费表'!B24)),IF(D1="——",MIN(J51,L48),MIN(J51,L48-'数据-取费表'!B24)))</f>
        <v>0</v>
      </c>
      <c r="K53" s="1637" t="s">
        <v>1115</v>
      </c>
      <c r="L53" s="1637"/>
      <c r="O53" s="1591" t="s">
        <v>970</v>
      </c>
      <c r="P53" s="1592" t="s">
        <v>1116</v>
      </c>
      <c r="Q53" s="1594" t="e">
        <f aca="false">Q47+Q48</f>
        <v>#DIV/0!</v>
      </c>
      <c r="R53" s="1593" t="s">
        <v>1117</v>
      </c>
    </row>
    <row r="54" s="1247" customFormat="true" ht="12.75" hidden="false" customHeight="false" outlineLevel="0" collapsed="false">
      <c r="A54" s="1638"/>
      <c r="B54" s="1494" t="s">
        <v>1014</v>
      </c>
      <c r="C54" s="1495"/>
      <c r="D54" s="1491"/>
      <c r="E54" s="1639"/>
      <c r="F54" s="1640"/>
      <c r="I54" s="1641" t="str">
        <f aca="false">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42"/>
      <c r="K54" s="1642"/>
      <c r="L54" s="1642"/>
      <c r="M54" s="1610"/>
      <c r="O54" s="1643" t="s">
        <v>1118</v>
      </c>
      <c r="P54" s="1644"/>
      <c r="Q54" s="1644"/>
      <c r="R54" s="1644"/>
    </row>
    <row r="55" s="1247" customFormat="true" ht="12.75" hidden="false" customHeight="false" outlineLevel="0" collapsed="false">
      <c r="A55" s="1499" t="s">
        <v>842</v>
      </c>
      <c r="B55" s="1500" t="s">
        <v>1015</v>
      </c>
      <c r="C55" s="1501"/>
      <c r="D55" s="1491"/>
      <c r="E55" s="1639"/>
      <c r="F55" s="1640"/>
      <c r="I55" s="1645" t="s">
        <v>1119</v>
      </c>
      <c r="J55" s="1646" t="e">
        <f aca="false">ROUND(IF(J47="钢混",J57/J50,1-(1-2%)*(J50-J57)/J50),3)</f>
        <v>#DIV/0!</v>
      </c>
      <c r="K55" s="1647" t="s">
        <v>1120</v>
      </c>
      <c r="L55" s="1648"/>
      <c r="O55" s="1577" t="s">
        <v>765</v>
      </c>
      <c r="P55" s="1578" t="s">
        <v>527</v>
      </c>
      <c r="Q55" s="1579" t="s">
        <v>1000</v>
      </c>
      <c r="R55" s="1579" t="s">
        <v>1001</v>
      </c>
    </row>
    <row r="56" s="1247" customFormat="true" ht="24" hidden="false" customHeight="false" outlineLevel="0" collapsed="false">
      <c r="A56" s="1649" t="n">
        <v>2</v>
      </c>
      <c r="B56" s="1650" t="s">
        <v>1016</v>
      </c>
      <c r="C56" s="1300" t="n">
        <f aca="false">C13</f>
        <v>0</v>
      </c>
      <c r="D56" s="1651"/>
      <c r="E56" s="1652"/>
      <c r="F56" s="1640"/>
      <c r="I56" s="1653" t="s">
        <v>1121</v>
      </c>
      <c r="J56" s="1654"/>
      <c r="K56" s="1600" t="s">
        <v>1122</v>
      </c>
      <c r="L56" s="1603" t="n">
        <f aca="false">IF(L48&lt;J51,"——",L48-J53)</f>
        <v>0</v>
      </c>
      <c r="O56" s="1591" t="s">
        <v>887</v>
      </c>
      <c r="P56" s="1592" t="s">
        <v>1087</v>
      </c>
      <c r="Q56" s="1594" t="e">
        <f aca="false">C40+J29</f>
        <v>#DIV/0!</v>
      </c>
      <c r="R56" s="1594" t="s">
        <v>1088</v>
      </c>
    </row>
    <row r="57" s="1247" customFormat="true" ht="24" hidden="false" customHeight="false" outlineLevel="0" collapsed="false">
      <c r="A57" s="1655"/>
      <c r="B57" s="1656" t="s">
        <v>1072</v>
      </c>
      <c r="C57" s="1309" t="n">
        <f aca="false">C29</f>
        <v>0</v>
      </c>
      <c r="D57" s="1657"/>
      <c r="E57" s="1658"/>
      <c r="F57" s="1659"/>
      <c r="I57" s="1660" t="s">
        <v>1123</v>
      </c>
      <c r="J57" s="1661" t="n">
        <f aca="false">IF(OR(M47="住宅",J51&lt;L48,J56="是"),"——",J51-L48)</f>
        <v>0</v>
      </c>
      <c r="K57" s="1600" t="s">
        <v>1124</v>
      </c>
      <c r="L57" s="1603" t="n">
        <f aca="false">IF(L48&lt;J51,"——",IF(L55="比较法",L49,IF(L55="基准地价",L50,L51)))</f>
        <v>0</v>
      </c>
      <c r="O57" s="1591" t="s">
        <v>888</v>
      </c>
      <c r="P57" s="1592" t="s">
        <v>1125</v>
      </c>
      <c r="Q57" s="1594" t="e">
        <f aca="false">L60</f>
        <v>#DIV/0!</v>
      </c>
      <c r="R57" s="1593" t="s">
        <v>1126</v>
      </c>
    </row>
    <row r="58" s="1247" customFormat="true" ht="24" hidden="false" customHeight="false" outlineLevel="0" collapsed="false">
      <c r="A58" s="1662" t="s">
        <v>1023</v>
      </c>
      <c r="B58" s="1650" t="s">
        <v>1024</v>
      </c>
      <c r="C58" s="1490" t="n">
        <f aca="false">ROUND(C59+C64+C65+C66,0)</f>
        <v>0</v>
      </c>
      <c r="D58" s="1663" t="s">
        <v>1025</v>
      </c>
      <c r="E58" s="1664"/>
      <c r="F58" s="1598"/>
      <c r="I58" s="1660" t="s">
        <v>1127</v>
      </c>
      <c r="J58" s="1665" t="e">
        <f aca="false">IF(J55&lt;0.4,0.4,J55)</f>
        <v>#DIV/0!</v>
      </c>
      <c r="K58" s="1628" t="s">
        <v>1128</v>
      </c>
      <c r="L58" s="1603" t="e">
        <f aca="false">ROUND(POWER(1+L52,L47-L48)*(POWER(1+L52,L48)-1)/(POWER(1+L52,L47)-1),4)</f>
        <v>#DIV/0!</v>
      </c>
      <c r="O58" s="1613" t="s">
        <v>1098</v>
      </c>
      <c r="P58" s="1592" t="s">
        <v>1129</v>
      </c>
      <c r="Q58" s="1594" t="n">
        <f aca="false">IF(L55="比较法",L49,IF(L55="基准地价",L50,0))</f>
        <v>0</v>
      </c>
      <c r="R58" s="1594" t="s">
        <v>1088</v>
      </c>
    </row>
    <row r="59" s="1247" customFormat="true" ht="24" hidden="false" customHeight="false" outlineLevel="0" collapsed="false">
      <c r="A59" s="1516" t="s">
        <v>794</v>
      </c>
      <c r="B59" s="1656" t="s">
        <v>1030</v>
      </c>
      <c r="C59" s="1524" t="n">
        <f aca="false">ROUND(IF(AND(项目基本情况!B11="自然人",项目基本情况!B10="北京市"),C49*F59/(1+'数据-取费表'!C42),C60+C61+C62),0)</f>
        <v>0</v>
      </c>
      <c r="D59" s="1666" t="s">
        <v>1031</v>
      </c>
      <c r="E59" s="408" t="s">
        <v>1032</v>
      </c>
      <c r="F59" s="1525" t="n">
        <f aca="false">IF(项目基本情况!B11="企业","——",IF('数据-取费表'!B10="住宅",IF(F49*F50*F51/12/(1+'数据-取费表'!F30)&gt;100000,4%,2.5%),IF(F49*F50*F51/12/(1+'数据-取费表'!F30)&gt;100000,12%,7%)))</f>
        <v>0.07</v>
      </c>
      <c r="I59" s="1660" t="s">
        <v>1130</v>
      </c>
      <c r="J59" s="1661" t="e">
        <f aca="false">IF(OR(M47="住宅",J51&lt;L48,J56="是"),"——",ROUND(C29*J58,0))</f>
        <v>#DIV/0!</v>
      </c>
      <c r="K59" s="1600" t="str">
        <f aca="false">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03" t="e">
        <f aca="false">ROUND(IF(D1="在建（套用方法）",M59,IF(D1="土地（套用方法）",N59,POWER(1+L52,L47-J51)*(POWER(1+L52,J51)-1)/(POWER(1+L52,L47)-1))),4)</f>
        <v>#DIV/0!</v>
      </c>
      <c r="M59" s="1590" t="e">
        <f aca="false">ROUND(POWER(1+L52,L47-(J51+'数据-取费表'!B24))*(POWER(1+L52,(J51+'数据-取费表'!B24))-1)/(POWER(1+L52,L47)-1),4)</f>
        <v>#DIV/0!</v>
      </c>
      <c r="N59" s="1590" t="e">
        <f aca="false">ROUND(POWER(1+L52,L47-(J51+'数据-取费表'!B20))*(POWER(1+L52,(J51+'数据-取费表'!B20))-1)/(POWER(1+L52,L47)-1),4)</f>
        <v>#DIV/0!</v>
      </c>
      <c r="O59" s="1613" t="s">
        <v>1102</v>
      </c>
      <c r="P59" s="1592" t="s">
        <v>1131</v>
      </c>
      <c r="Q59" s="1622" t="n">
        <f aca="false">L52</f>
        <v>0</v>
      </c>
      <c r="R59" s="1593"/>
    </row>
    <row r="60" s="1247" customFormat="true" ht="15.75" hidden="false" customHeight="false" outlineLevel="0" collapsed="false">
      <c r="A60" s="1514" t="s">
        <v>816</v>
      </c>
      <c r="B60" s="1656" t="s">
        <v>1034</v>
      </c>
      <c r="C60" s="1528" t="str">
        <f aca="false">IF(项目基本情况!B11="自然人","——",ROUND(C48*F60/(1+'数据-取费表'!C42),2))</f>
        <v>——</v>
      </c>
      <c r="D60" s="408" t="s">
        <v>1035</v>
      </c>
      <c r="E60" s="1656" t="s">
        <v>1022</v>
      </c>
      <c r="F60" s="1533" t="n">
        <f aca="false">F32</f>
        <v>0.055</v>
      </c>
      <c r="I60" s="1667" t="s">
        <v>1132</v>
      </c>
      <c r="J60" s="1668" t="e">
        <f aca="false">IF(OR(M47="住宅",J51&lt;L48,J56="是"),"0",ROUND(J59/(1+J52)^J53,0))</f>
        <v>#DIV/0!</v>
      </c>
      <c r="K60" s="1669" t="s">
        <v>1133</v>
      </c>
      <c r="L60" s="1668" t="e">
        <f aca="false">IF(OR(M47="住宅",L48&lt;J51),0,ROUND(L57*(L58/L59-1),0))</f>
        <v>#DIV/0!</v>
      </c>
      <c r="O60" s="1613" t="s">
        <v>1106</v>
      </c>
      <c r="P60" s="1592" t="s">
        <v>1134</v>
      </c>
      <c r="Q60" s="1594" t="e">
        <f aca="false">L58</f>
        <v>#DIV/0!</v>
      </c>
      <c r="R60" s="1593" t="s">
        <v>1135</v>
      </c>
    </row>
    <row r="61" s="1247" customFormat="true" ht="12.75" hidden="false" customHeight="false" outlineLevel="0" collapsed="false">
      <c r="A61" s="1514" t="s">
        <v>820</v>
      </c>
      <c r="B61" s="1656" t="s">
        <v>1037</v>
      </c>
      <c r="C61" s="1528" t="str">
        <f aca="true">IF(项目基本情况!B11="自然人","——",IF(D61="按租金收入计税",ROUND(C49*F61/(1+'数据-取费表'!C42),2),IF(D61="按房产原值计税",ROUND(C57*F61*0.7,2),INDIRECT("'数据-取费表'!Aj"&amp;$G$1))))</f>
        <v>——</v>
      </c>
      <c r="D61" s="1526" t="s">
        <v>1038</v>
      </c>
      <c r="E61" s="1656" t="s">
        <v>1022</v>
      </c>
      <c r="F61" s="1523" t="n">
        <f aca="false">F33</f>
        <v>0.12</v>
      </c>
      <c r="I61" s="1565"/>
      <c r="J61" s="1565"/>
      <c r="K61" s="1565"/>
      <c r="L61" s="1565"/>
      <c r="O61" s="1613" t="s">
        <v>1110</v>
      </c>
      <c r="P61" s="1592" t="str">
        <f aca="false">K59</f>
        <v>建筑物剩余耐用年限下的土地年期修正系数Kn</v>
      </c>
      <c r="Q61" s="1594" t="e">
        <f aca="false">L59</f>
        <v>#DIV/0!</v>
      </c>
      <c r="R61" s="1593" t="s">
        <v>1136</v>
      </c>
    </row>
    <row r="62" s="1247" customFormat="true" ht="12.75" hidden="false" customHeight="false" outlineLevel="0" collapsed="false">
      <c r="A62" s="1514" t="s">
        <v>823</v>
      </c>
      <c r="B62" s="1670" t="s">
        <v>1040</v>
      </c>
      <c r="C62" s="471" t="str">
        <f aca="false">IF(项目基本情况!B11="自然人","——",ROUND(F62*F63/10000,2))</f>
        <v>——</v>
      </c>
      <c r="D62" s="1671" t="s">
        <v>1041</v>
      </c>
      <c r="E62" s="1656" t="s">
        <v>1042</v>
      </c>
      <c r="F62" s="1527" t="n">
        <f aca="false">F34</f>
        <v>0</v>
      </c>
      <c r="I62" s="1672" t="s">
        <v>1137</v>
      </c>
      <c r="J62" s="1673" t="s">
        <v>1138</v>
      </c>
      <c r="K62" s="1673" t="s">
        <v>1139</v>
      </c>
      <c r="L62" s="1673" t="s">
        <v>1140</v>
      </c>
      <c r="M62" s="1674" t="s">
        <v>1141</v>
      </c>
      <c r="O62" s="1591" t="s">
        <v>970</v>
      </c>
      <c r="P62" s="1592" t="s">
        <v>1116</v>
      </c>
      <c r="Q62" s="1594" t="e">
        <f aca="false">Q56+Q57</f>
        <v>#DIV/0!</v>
      </c>
      <c r="R62" s="1593" t="s">
        <v>1117</v>
      </c>
    </row>
    <row r="63" s="1247" customFormat="true" ht="12.75" hidden="false" customHeight="false" outlineLevel="0" collapsed="false">
      <c r="A63" s="1529"/>
      <c r="B63" s="1675"/>
      <c r="C63" s="470"/>
      <c r="D63" s="1676"/>
      <c r="E63" s="1656" t="s">
        <v>1045</v>
      </c>
      <c r="F63" s="1480" t="n">
        <f aca="false">F35</f>
        <v>0</v>
      </c>
      <c r="I63" s="1672" t="s">
        <v>1142</v>
      </c>
      <c r="J63" s="1673" t="n">
        <v>70</v>
      </c>
      <c r="K63" s="1673" t="n">
        <v>50</v>
      </c>
      <c r="L63" s="1673" t="n">
        <v>80</v>
      </c>
      <c r="M63" s="1677" t="n">
        <v>0.02</v>
      </c>
      <c r="O63" s="1643" t="s">
        <v>1143</v>
      </c>
      <c r="P63" s="1644"/>
      <c r="Q63" s="1644"/>
      <c r="R63" s="1644"/>
    </row>
    <row r="64" s="1247" customFormat="true" ht="12.75" hidden="false" customHeight="false" outlineLevel="0" collapsed="false">
      <c r="A64" s="1516" t="s">
        <v>798</v>
      </c>
      <c r="B64" s="1656" t="s">
        <v>1046</v>
      </c>
      <c r="C64" s="1528" t="n">
        <f aca="false">ROUND(C57*F64,2)</f>
        <v>0</v>
      </c>
      <c r="D64" s="408" t="s">
        <v>1077</v>
      </c>
      <c r="E64" s="1656" t="s">
        <v>1022</v>
      </c>
      <c r="F64" s="1531" t="n">
        <f aca="false">F36</f>
        <v>0</v>
      </c>
      <c r="I64" s="1672" t="s">
        <v>1144</v>
      </c>
      <c r="J64" s="1673" t="n">
        <v>50</v>
      </c>
      <c r="K64" s="1673" t="n">
        <v>35</v>
      </c>
      <c r="L64" s="1673" t="n">
        <v>60</v>
      </c>
      <c r="M64" s="1674" t="n">
        <v>0</v>
      </c>
      <c r="O64" s="1577" t="s">
        <v>765</v>
      </c>
      <c r="P64" s="1578" t="s">
        <v>527</v>
      </c>
      <c r="Q64" s="1579" t="s">
        <v>1000</v>
      </c>
      <c r="R64" s="1579" t="s">
        <v>1001</v>
      </c>
    </row>
    <row r="65" s="1247" customFormat="true" ht="12.75" hidden="false" customHeight="false" outlineLevel="0" collapsed="false">
      <c r="A65" s="1516" t="s">
        <v>842</v>
      </c>
      <c r="B65" s="1656" t="s">
        <v>1050</v>
      </c>
      <c r="C65" s="1528" t="n">
        <f aca="false">ROUND(C56*F65,2)</f>
        <v>0</v>
      </c>
      <c r="D65" s="408" t="s">
        <v>1051</v>
      </c>
      <c r="E65" s="1656" t="s">
        <v>1022</v>
      </c>
      <c r="F65" s="1532" t="n">
        <f aca="false">F37</f>
        <v>0</v>
      </c>
      <c r="I65" s="1672" t="s">
        <v>1145</v>
      </c>
      <c r="J65" s="1673" t="n">
        <v>40</v>
      </c>
      <c r="K65" s="1673" t="n">
        <v>30</v>
      </c>
      <c r="L65" s="1673" t="n">
        <v>50</v>
      </c>
      <c r="M65" s="1677" t="n">
        <v>0.02</v>
      </c>
      <c r="O65" s="1591" t="s">
        <v>887</v>
      </c>
      <c r="P65" s="1592" t="s">
        <v>1087</v>
      </c>
      <c r="Q65" s="1594" t="e">
        <f aca="false">C40+J29</f>
        <v>#DIV/0!</v>
      </c>
      <c r="R65" s="1594" t="s">
        <v>1088</v>
      </c>
    </row>
    <row r="66" s="1247" customFormat="true" ht="15.75" hidden="false" customHeight="false" outlineLevel="0" collapsed="false">
      <c r="A66" s="1516" t="s">
        <v>845</v>
      </c>
      <c r="B66" s="1656" t="s">
        <v>621</v>
      </c>
      <c r="C66" s="1528" t="n">
        <f aca="false">ROUND(C48*F66,2)</f>
        <v>0</v>
      </c>
      <c r="D66" s="408" t="s">
        <v>1054</v>
      </c>
      <c r="E66" s="1656" t="s">
        <v>1022</v>
      </c>
      <c r="F66" s="1487" t="n">
        <f aca="false">F38</f>
        <v>0</v>
      </c>
      <c r="O66" s="1591" t="s">
        <v>888</v>
      </c>
      <c r="P66" s="1592" t="s">
        <v>1125</v>
      </c>
      <c r="Q66" s="1594" t="e">
        <f aca="false">L60</f>
        <v>#DIV/0!</v>
      </c>
      <c r="R66" s="1593" t="s">
        <v>1126</v>
      </c>
    </row>
    <row r="67" s="1247" customFormat="true" ht="15.75" hidden="false" customHeight="false" outlineLevel="0" collapsed="false">
      <c r="A67" s="1649" t="s">
        <v>1056</v>
      </c>
      <c r="B67" s="1678" t="s">
        <v>1057</v>
      </c>
      <c r="C67" s="1490" t="n">
        <f aca="false">C48-C58</f>
        <v>0</v>
      </c>
      <c r="D67" s="1666" t="s">
        <v>1058</v>
      </c>
      <c r="E67" s="1679"/>
      <c r="F67" s="1680"/>
      <c r="O67" s="1613" t="s">
        <v>1098</v>
      </c>
      <c r="P67" s="1592" t="s">
        <v>1129</v>
      </c>
      <c r="Q67" s="1681" t="n">
        <f aca="false">L51</f>
        <v>0</v>
      </c>
      <c r="R67" s="1593" t="s">
        <v>1146</v>
      </c>
    </row>
    <row r="68" s="1247" customFormat="true" ht="15.75" hidden="false" customHeight="false" outlineLevel="0" collapsed="false">
      <c r="A68" s="1682" t="s">
        <v>1062</v>
      </c>
      <c r="B68" s="1683" t="s">
        <v>1078</v>
      </c>
      <c r="C68" s="1481" t="e">
        <f aca="false">ROUND(C67*(1-((1+F70)/(1+F68))^F69)/(F68-F70),0)</f>
        <v>#DIV/0!</v>
      </c>
      <c r="D68" s="1671" t="s">
        <v>1064</v>
      </c>
      <c r="E68" s="1656" t="s">
        <v>1065</v>
      </c>
      <c r="F68" s="1487" t="n">
        <f aca="false">F40</f>
        <v>0</v>
      </c>
      <c r="O68" s="1613" t="s">
        <v>1102</v>
      </c>
      <c r="P68" s="1592" t="s">
        <v>1147</v>
      </c>
      <c r="Q68" s="1594" t="n">
        <f aca="false">ROUND(Q69-Q70*Q71,0)</f>
        <v>0</v>
      </c>
      <c r="R68" s="1593" t="s">
        <v>1148</v>
      </c>
    </row>
    <row r="69" s="1247" customFormat="true" ht="12.75" hidden="false" customHeight="false" outlineLevel="0" collapsed="false">
      <c r="A69" s="1684"/>
      <c r="B69" s="1685"/>
      <c r="C69" s="1486"/>
      <c r="D69" s="1686" t="s">
        <v>1068</v>
      </c>
      <c r="E69" s="1656" t="s">
        <v>1069</v>
      </c>
      <c r="F69" s="1541" t="n">
        <f aca="false">F41</f>
        <v>0</v>
      </c>
      <c r="O69" s="1613" t="s">
        <v>1149</v>
      </c>
      <c r="P69" s="1592" t="s">
        <v>1150</v>
      </c>
      <c r="Q69" s="1594" t="n">
        <f aca="false">C39</f>
        <v>0</v>
      </c>
      <c r="R69" s="1594" t="s">
        <v>1088</v>
      </c>
    </row>
    <row r="70" s="1247" customFormat="true" ht="12.75" hidden="false" customHeight="false" outlineLevel="0" collapsed="false">
      <c r="A70" s="1687"/>
      <c r="B70" s="1688"/>
      <c r="C70" s="1508"/>
      <c r="D70" s="1676"/>
      <c r="E70" s="1656" t="s">
        <v>1071</v>
      </c>
      <c r="F70" s="1631"/>
      <c r="O70" s="1613" t="s">
        <v>1151</v>
      </c>
      <c r="P70" s="1592" t="s">
        <v>1152</v>
      </c>
      <c r="Q70" s="1594" t="n">
        <f aca="false">C13</f>
        <v>0</v>
      </c>
      <c r="R70" s="1594" t="s">
        <v>1088</v>
      </c>
    </row>
    <row r="71" s="1247" customFormat="true" ht="12.75" hidden="false" customHeight="false" outlineLevel="0" collapsed="false">
      <c r="A71" s="1689" t="s">
        <v>1073</v>
      </c>
      <c r="B71" s="1690" t="s">
        <v>1079</v>
      </c>
      <c r="C71" s="1546" t="e">
        <f aca="false">ROUND(C68*10000/F71,0)</f>
        <v>#DIV/0!</v>
      </c>
      <c r="D71" s="1691" t="s">
        <v>1080</v>
      </c>
      <c r="E71" s="1692" t="s">
        <v>1081</v>
      </c>
      <c r="F71" s="1549" t="n">
        <f aca="false">F43</f>
        <v>0</v>
      </c>
      <c r="O71" s="1613" t="s">
        <v>1153</v>
      </c>
      <c r="P71" s="1592" t="s">
        <v>1154</v>
      </c>
      <c r="Q71" s="1622" t="n">
        <f aca="false">C76</f>
        <v>0</v>
      </c>
      <c r="R71" s="1593"/>
    </row>
    <row r="72" s="1247" customFormat="true" ht="12.75" hidden="false" customHeight="false" outlineLevel="0" collapsed="false">
      <c r="B72" s="1248"/>
      <c r="C72" s="1248"/>
      <c r="O72" s="1613" t="s">
        <v>1106</v>
      </c>
      <c r="P72" s="1592" t="s">
        <v>1131</v>
      </c>
      <c r="Q72" s="1622" t="n">
        <f aca="false">L52</f>
        <v>0</v>
      </c>
      <c r="R72" s="1593"/>
    </row>
    <row r="73" customFormat="false" ht="15.75" hidden="false" customHeight="false" outlineLevel="0" collapsed="false">
      <c r="A73" s="1247"/>
      <c r="B73" s="1248"/>
      <c r="C73" s="1248"/>
      <c r="D73" s="1247"/>
      <c r="E73" s="1247"/>
      <c r="F73" s="1247"/>
      <c r="O73" s="1613" t="s">
        <v>1110</v>
      </c>
      <c r="P73" s="1592" t="s">
        <v>1134</v>
      </c>
      <c r="Q73" s="1594" t="e">
        <f aca="false">L58</f>
        <v>#DIV/0!</v>
      </c>
      <c r="R73" s="1593" t="s">
        <v>1135</v>
      </c>
    </row>
    <row r="74" customFormat="false" ht="12.75" hidden="false" customHeight="false" outlineLevel="0" collapsed="false">
      <c r="A74" s="1247"/>
      <c r="B74" s="1343" t="s">
        <v>1155</v>
      </c>
      <c r="C74" s="1693"/>
      <c r="D74" s="1247"/>
      <c r="E74" s="1247"/>
      <c r="F74" s="1247"/>
      <c r="O74" s="1613" t="s">
        <v>1156</v>
      </c>
      <c r="P74" s="1592" t="str">
        <f aca="false">K59</f>
        <v>建筑物剩余耐用年限下的土地年期修正系数Kn</v>
      </c>
      <c r="Q74" s="1594" t="e">
        <f aca="false">L59</f>
        <v>#DIV/0!</v>
      </c>
      <c r="R74" s="1593" t="s">
        <v>1136</v>
      </c>
    </row>
    <row r="75" customFormat="false" ht="12.75" hidden="false" customHeight="false" outlineLevel="0" collapsed="false">
      <c r="A75" s="1247"/>
      <c r="B75" s="1694" t="s">
        <v>1157</v>
      </c>
      <c r="C75" s="1695" t="n">
        <f aca="false">ROUND(C13*C76,0)</f>
        <v>0</v>
      </c>
      <c r="D75" s="1247"/>
      <c r="E75" s="1247"/>
      <c r="F75" s="1247"/>
      <c r="K75" s="1246"/>
      <c r="L75" s="1247"/>
      <c r="O75" s="1591" t="s">
        <v>970</v>
      </c>
      <c r="P75" s="1592" t="s">
        <v>1116</v>
      </c>
      <c r="Q75" s="1594" t="e">
        <f aca="false">Q65+Q66</f>
        <v>#DIV/0!</v>
      </c>
      <c r="R75" s="1593" t="s">
        <v>1117</v>
      </c>
    </row>
    <row r="76" customFormat="false" ht="12.75" hidden="false" customHeight="false" outlineLevel="0" collapsed="false">
      <c r="B76" s="1696" t="s">
        <v>1158</v>
      </c>
      <c r="C76" s="1697" t="n">
        <f aca="true">INDIRECT("'数据-取费表'!j"&amp;$G$1)</f>
        <v>0</v>
      </c>
      <c r="I76" s="1247"/>
      <c r="J76" s="1247"/>
      <c r="K76" s="1246"/>
      <c r="L76" s="1247"/>
    </row>
    <row r="77" customFormat="false" ht="12.75" hidden="false" customHeight="false" outlineLevel="0" collapsed="false">
      <c r="B77" s="1698" t="s">
        <v>1159</v>
      </c>
      <c r="C77" s="1699"/>
      <c r="I77" s="1247"/>
      <c r="J77" s="1247"/>
      <c r="K77" s="1246"/>
      <c r="L77" s="1247"/>
    </row>
    <row r="78" customFormat="false" ht="12.75" hidden="false" customHeight="false" outlineLevel="0" collapsed="false">
      <c r="B78" s="1700" t="s">
        <v>1160</v>
      </c>
      <c r="C78" s="1701"/>
    </row>
    <row r="79" customFormat="false" ht="12.75" hidden="false" customHeight="false" outlineLevel="0" collapsed="false">
      <c r="B79" s="1694" t="s">
        <v>1161</v>
      </c>
      <c r="C79" s="1345" t="e">
        <f aca="false">1-C80</f>
        <v>#DIV/0!</v>
      </c>
    </row>
    <row r="80" customFormat="false" ht="12.75" hidden="false" customHeight="false" outlineLevel="0" collapsed="false">
      <c r="B80" s="1694" t="s">
        <v>1162</v>
      </c>
      <c r="C80" s="1345" t="e">
        <f aca="false">ROUND(C75/C39,3)</f>
        <v>#DIV/0!</v>
      </c>
    </row>
    <row r="81" customFormat="false" ht="12.75" hidden="false" customHeight="false" outlineLevel="0" collapsed="false">
      <c r="B81" s="1700" t="s">
        <v>1163</v>
      </c>
      <c r="C81" s="1309"/>
    </row>
    <row r="82" customFormat="false" ht="12.75" hidden="false" customHeight="false" outlineLevel="0" collapsed="false">
      <c r="B82" s="1343" t="s">
        <v>956</v>
      </c>
      <c r="C82" s="1344" t="e">
        <f aca="false">1-C83</f>
        <v>#DIV/0!</v>
      </c>
    </row>
    <row r="83" customFormat="false" ht="12.75" hidden="false" customHeight="false" outlineLevel="0" collapsed="false">
      <c r="B83" s="1343" t="s">
        <v>957</v>
      </c>
      <c r="C83" s="1345" t="e">
        <f aca="false">ROUND(C13/C40,3)</f>
        <v>#DIV/0!</v>
      </c>
    </row>
  </sheetData>
  <sheetProtection sheet="true" password="cee9" objects="true" scenarios="true" formatCells="false" formatColumns="false" formatRows="false"/>
  <mergeCells count="3">
    <mergeCell ref="B6:B9"/>
    <mergeCell ref="I6:I9"/>
    <mergeCell ref="K53:L53"/>
  </mergeCells>
  <conditionalFormatting sqref="C11">
    <cfRule type="expression" priority="2" aboveAverage="0" equalAverage="0" bottom="0" percent="0" rank="0" text="" dxfId="65">
      <formula>$F$10="自定义"</formula>
    </cfRule>
  </conditionalFormatting>
  <conditionalFormatting sqref="J11">
    <cfRule type="expression" priority="3" aboveAverage="0" equalAverage="0" bottom="0" percent="0" rank="0" text="" dxfId="66">
      <formula>$M$10="自定义"</formula>
    </cfRule>
  </conditionalFormatting>
  <conditionalFormatting sqref="C54">
    <cfRule type="expression" priority="4" aboveAverage="0" equalAverage="0" bottom="0" percent="0" rank="0" text="" dxfId="67">
      <formula>$F$53="自定义"</formula>
    </cfRule>
  </conditionalFormatting>
  <conditionalFormatting sqref="I55 I60">
    <cfRule type="expression" priority="5" aboveAverage="0" equalAverage="0" bottom="0" percent="0" rank="0" text="" dxfId="68">
      <formula>$J$51&gt;$L$48</formula>
    </cfRule>
  </conditionalFormatting>
  <conditionalFormatting sqref="K55 K60">
    <cfRule type="expression" priority="6" aboveAverage="0" equalAverage="0" bottom="0" percent="0" rank="0" text="" dxfId="69">
      <formula>$L$48&gt;$J$51</formula>
    </cfRule>
  </conditionalFormatting>
  <dataValidations count="9">
    <dataValidation allowBlank="true" operator="between" showDropDown="false" showErrorMessage="true" showInputMessage="true" sqref="C1" type="list">
      <formula1>项目类型</formula1>
      <formula2>0</formula2>
    </dataValidation>
    <dataValidation allowBlank="true" operator="between" showDropDown="false" showErrorMessage="true" showInputMessage="true" sqref="K19" type="list">
      <formula1>"按租金收入计税,按房产原值计税"</formula1>
      <formula2>0</formula2>
    </dataValidation>
    <dataValidation allowBlank="true" operator="between" showDropDown="false" showErrorMessage="true" showInputMessage="true" sqref="F10 M10 F53" type="list">
      <formula1>"押一,押二,押三,自定义"</formula1>
      <formula2>0</formula2>
    </dataValidation>
    <dataValidation allowBlank="true" operator="between" showDropDown="false" showErrorMessage="true" showInputMessage="true" sqref="D1" type="list">
      <formula1>"在建（套用方法）,土地（套用方法）,——"</formula1>
      <formula2>0</formula2>
    </dataValidation>
    <dataValidation allowBlank="true" operator="between" showDropDown="false" showErrorMessage="true" showInputMessage="true" sqref="D33 D61" type="list">
      <formula1>"按租金收入计税,按房产原值计税,按票据"</formula1>
      <formula2>0</formula2>
    </dataValidation>
    <dataValidation allowBlank="true" operator="between" showDropDown="false" showErrorMessage="true" showInputMessage="true" sqref="L55" type="list">
      <formula1>"比较法,基准地价,收益还原"</formula1>
      <formula2>0</formula2>
    </dataValidation>
    <dataValidation allowBlank="true" operator="between" showDropDown="false" showErrorMessage="true" showInputMessage="true" sqref="J47" type="list">
      <formula1>"钢,钢混,砖混"</formula1>
      <formula2>0</formula2>
    </dataValidation>
    <dataValidation allowBlank="true" operator="between" showDropDown="false" showErrorMessage="true" showInputMessage="true" sqref="J48" type="list">
      <formula1>"非生产用房,生产用房,受腐蚀的生产用房"</formula1>
      <formula2>0</formula2>
    </dataValidation>
    <dataValidation allowBlank="true" operator="between" showDropDown="false" showErrorMessage="true" showInputMessage="true" sqref="J56" type="list">
      <formula1>估价范围判定</formula1>
      <formula2>0</formula2>
    </dataValidation>
  </dataValidations>
  <printOptions headings="false" gridLines="false" gridLinesSet="true" horizontalCentered="false" verticalCentered="false"/>
  <pageMargins left="0.7" right="0.7" top="0.75" bottom="0.75" header="0.511805555555555" footer="0.511805555555555"/>
  <pageSetup paperSize="9" scale="7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44" man="true" max="16383" min="0"/>
  </rowBreaks>
  <colBreaks count="2" manualBreakCount="2">
    <brk id="6" man="true" max="65535" min="0"/>
    <brk id="13" man="true" max="65535" min="0"/>
  </colBreaks>
  <legacyDrawing r:id="rId2"/>
</worksheet>
</file>

<file path=xl/worksheets/sheet23.xml><?xml version="1.0" encoding="utf-8"?>
<worksheet xmlns="http://schemas.openxmlformats.org/spreadsheetml/2006/main" xmlns:r="http://schemas.openxmlformats.org/officeDocument/2006/relationships">
  <sheetPr filterMode="false">
    <pageSetUpPr fitToPage="false"/>
  </sheetPr>
  <dimension ref="A1:AK83"/>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F39" activeCellId="0" sqref="F39"/>
    </sheetView>
  </sheetViews>
  <sheetFormatPr defaultRowHeight="12.75" zeroHeight="false" outlineLevelRow="0" outlineLevelCol="0"/>
  <cols>
    <col collapsed="false" customWidth="true" hidden="false" outlineLevel="0" max="1" min="1" style="1329" width="9"/>
    <col collapsed="false" customWidth="true" hidden="false" outlineLevel="0" max="2" min="2" style="1440" width="20.62"/>
    <col collapsed="false" customWidth="true" hidden="false" outlineLevel="0" max="3" min="3" style="1440" width="11.88"/>
    <col collapsed="false" customWidth="true" hidden="false" outlineLevel="0" max="4" min="4" style="1329" width="40.49"/>
    <col collapsed="false" customWidth="true" hidden="false" outlineLevel="0" max="5" min="5" style="1329" width="15.76"/>
    <col collapsed="false" customWidth="true" hidden="false" outlineLevel="0" max="6" min="6" style="1329" width="10.62"/>
    <col collapsed="false" customWidth="true" hidden="false" outlineLevel="0" max="7" min="7" style="1329" width="4.87"/>
    <col collapsed="false" customWidth="true" hidden="false" outlineLevel="0" max="8" min="8" style="1329" width="8.5"/>
    <col collapsed="false" customWidth="true" hidden="false" outlineLevel="0" max="9" min="9" style="1329" width="21.25"/>
    <col collapsed="false" customWidth="true" hidden="false" outlineLevel="0" max="10" min="10" style="1329" width="12.26"/>
    <col collapsed="false" customWidth="true" hidden="false" outlineLevel="0" max="11" min="11" style="1441" width="40.12"/>
    <col collapsed="false" customWidth="true" hidden="false" outlineLevel="0" max="12" min="12" style="1329" width="16.38"/>
    <col collapsed="false" customWidth="true" hidden="false" outlineLevel="0" max="13" min="13" style="1329" width="13"/>
    <col collapsed="false" customWidth="true" hidden="false" outlineLevel="0" max="14" min="14" style="1247" width="13.76"/>
    <col collapsed="false" customWidth="true" hidden="false" outlineLevel="0" max="15" min="15" style="1247" width="5.13"/>
    <col collapsed="false" customWidth="true" hidden="false" outlineLevel="0" max="16" min="16" style="1247" width="25.75"/>
    <col collapsed="false" customWidth="true" hidden="false" outlineLevel="0" max="17" min="17" style="1247" width="13.76"/>
    <col collapsed="false" customWidth="true" hidden="false" outlineLevel="0" max="18" min="18" style="1247" width="20.51"/>
    <col collapsed="false" customWidth="true" hidden="false" outlineLevel="0" max="19" min="19" style="1247" width="13.26"/>
    <col collapsed="false" customWidth="true" hidden="false" outlineLevel="0" max="37" min="20" style="1247" width="9"/>
    <col collapsed="false" customWidth="true" hidden="false" outlineLevel="0" max="1025" min="38" style="1329" width="9"/>
  </cols>
  <sheetData>
    <row r="1" s="1453" customFormat="true" ht="21" hidden="false" customHeight="false" outlineLevel="0" collapsed="false">
      <c r="A1" s="1442" t="s">
        <v>996</v>
      </c>
      <c r="B1" s="1443"/>
      <c r="C1" s="1444"/>
      <c r="D1" s="1445" t="s">
        <v>122</v>
      </c>
      <c r="E1" s="1446" t="s">
        <v>997</v>
      </c>
      <c r="F1" s="1447" t="n">
        <f aca="false">J53</f>
        <v>0</v>
      </c>
      <c r="G1" s="1448" t="n">
        <f aca="false">MATCH(C1,'数据-取费表'!A6:A16,0)+5</f>
        <v>7</v>
      </c>
      <c r="H1" s="1449"/>
      <c r="I1" s="1450"/>
      <c r="J1" s="1450"/>
      <c r="K1" s="1451"/>
      <c r="L1" s="1450"/>
      <c r="M1" s="1450"/>
      <c r="N1" s="1452"/>
      <c r="O1" s="1452"/>
      <c r="P1" s="1452"/>
      <c r="Q1" s="1452"/>
      <c r="R1" s="1452"/>
      <c r="S1" s="1452"/>
      <c r="T1" s="1452"/>
      <c r="U1" s="1452"/>
      <c r="V1" s="1452"/>
      <c r="W1" s="1452"/>
      <c r="X1" s="1452"/>
      <c r="Y1" s="1452"/>
      <c r="Z1" s="1452"/>
      <c r="AA1" s="1452"/>
      <c r="AB1" s="1452"/>
      <c r="AC1" s="1452"/>
      <c r="AD1" s="1452"/>
      <c r="AE1" s="1452"/>
      <c r="AF1" s="1452"/>
      <c r="AG1" s="1452"/>
      <c r="AH1" s="1452"/>
      <c r="AI1" s="1452"/>
      <c r="AJ1" s="1452"/>
      <c r="AK1" s="1452"/>
    </row>
    <row r="2" customFormat="false" ht="18" hidden="false" customHeight="true" outlineLevel="0" collapsed="false">
      <c r="A2" s="1454" t="s">
        <v>97</v>
      </c>
      <c r="B2" s="1702" t="e">
        <f aca="false">ROUND(D2/10000,4)</f>
        <v>#DIV/0!</v>
      </c>
      <c r="C2" s="1456" t="s">
        <v>722</v>
      </c>
      <c r="D2" s="1703" t="e">
        <f aca="false">C40+J29+L46</f>
        <v>#DIV/0!</v>
      </c>
      <c r="E2" s="1704" t="s">
        <v>1164</v>
      </c>
      <c r="F2" s="1458"/>
      <c r="G2" s="1459"/>
      <c r="H2" s="1460"/>
      <c r="I2" s="1460"/>
      <c r="J2" s="1460"/>
      <c r="K2" s="1461"/>
      <c r="L2" s="1460"/>
      <c r="M2" s="1460"/>
    </row>
    <row r="3" customFormat="false" ht="18" hidden="false" customHeight="true" outlineLevel="0" collapsed="false">
      <c r="A3" s="1462" t="s">
        <v>110</v>
      </c>
      <c r="B3" s="1463" t="n">
        <f aca="false">IF(ISERROR(D2/F43),0,ROUND(D2/F43,0))</f>
        <v>0</v>
      </c>
      <c r="C3" s="1456" t="s">
        <v>998</v>
      </c>
      <c r="D3" s="1456"/>
      <c r="E3" s="1457"/>
      <c r="F3" s="1458"/>
      <c r="G3" s="1459"/>
      <c r="H3" s="1464" t="s">
        <v>999</v>
      </c>
      <c r="I3" s="1465"/>
      <c r="J3" s="1465"/>
      <c r="K3" s="1466"/>
      <c r="L3" s="1465"/>
      <c r="M3" s="1465"/>
    </row>
    <row r="4" customFormat="false" ht="18" hidden="false" customHeight="true" outlineLevel="0" collapsed="false">
      <c r="A4" s="1467" t="s">
        <v>765</v>
      </c>
      <c r="B4" s="1468" t="s">
        <v>527</v>
      </c>
      <c r="C4" s="1468" t="s">
        <v>1000</v>
      </c>
      <c r="D4" s="1468" t="s">
        <v>1001</v>
      </c>
      <c r="E4" s="1469" t="s">
        <v>1002</v>
      </c>
      <c r="F4" s="1470"/>
      <c r="G4" s="1247"/>
      <c r="H4" s="1467" t="s">
        <v>765</v>
      </c>
      <c r="I4" s="1468" t="s">
        <v>527</v>
      </c>
      <c r="J4" s="1468" t="s">
        <v>1000</v>
      </c>
      <c r="K4" s="1468" t="s">
        <v>1001</v>
      </c>
      <c r="L4" s="1469" t="s">
        <v>1002</v>
      </c>
      <c r="M4" s="1470"/>
    </row>
    <row r="5" customFormat="false" ht="18" hidden="false" customHeight="true" outlineLevel="0" collapsed="false">
      <c r="A5" s="1471" t="n">
        <v>1</v>
      </c>
      <c r="B5" s="1472" t="s">
        <v>1003</v>
      </c>
      <c r="C5" s="450" t="n">
        <f aca="false">C6+C10+C12</f>
        <v>0</v>
      </c>
      <c r="D5" s="1473" t="s">
        <v>1004</v>
      </c>
      <c r="E5" s="1474"/>
      <c r="F5" s="1475"/>
      <c r="G5" s="1247"/>
      <c r="H5" s="1471" t="n">
        <v>1</v>
      </c>
      <c r="I5" s="1472" t="s">
        <v>1003</v>
      </c>
      <c r="J5" s="450" t="n">
        <f aca="false">J6+J10+J12</f>
        <v>0</v>
      </c>
      <c r="K5" s="1473" t="s">
        <v>1004</v>
      </c>
      <c r="L5" s="1474"/>
      <c r="M5" s="1475"/>
    </row>
    <row r="6" customFormat="false" ht="18" hidden="false" customHeight="true" outlineLevel="0" collapsed="false">
      <c r="A6" s="1476" t="s">
        <v>794</v>
      </c>
      <c r="B6" s="1477" t="s">
        <v>1005</v>
      </c>
      <c r="C6" s="1478" t="n">
        <f aca="false">ROUND(F6*F8*F7*(1-F9),0)</f>
        <v>0</v>
      </c>
      <c r="D6" s="1479" t="s">
        <v>1165</v>
      </c>
      <c r="E6" s="244" t="s">
        <v>574</v>
      </c>
      <c r="F6" s="1480" t="n">
        <f aca="true">INDIRECT("'数据-取费表'!u"&amp;$G$1)</f>
        <v>0</v>
      </c>
      <c r="G6" s="1247"/>
      <c r="H6" s="1476" t="s">
        <v>794</v>
      </c>
      <c r="I6" s="1477" t="s">
        <v>1005</v>
      </c>
      <c r="J6" s="1481" t="n">
        <f aca="false">ROUND(M6*M8*M7*(1-M9),0)</f>
        <v>0</v>
      </c>
      <c r="K6" s="1479" t="s">
        <v>1166</v>
      </c>
      <c r="L6" s="244" t="s">
        <v>574</v>
      </c>
      <c r="M6" s="1480" t="n">
        <f aca="true">INDIRECT("'数据-取费表'!z"&amp;$G$1)</f>
        <v>0</v>
      </c>
    </row>
    <row r="7" customFormat="false" ht="18" hidden="false" customHeight="true" outlineLevel="0" collapsed="false">
      <c r="A7" s="1482"/>
      <c r="B7" s="1477"/>
      <c r="C7" s="1483"/>
      <c r="D7" s="322"/>
      <c r="E7" s="1484" t="s">
        <v>1008</v>
      </c>
      <c r="F7" s="1480" t="n">
        <f aca="true">IF(INDIRECT("'数据-取费表'!ah"&amp;$G$1)="",INDIRECT("'数据-取费表'!k"&amp;$G$1),INDIRECT("'数据-取费表'!ah"&amp;$G$1))</f>
        <v>0</v>
      </c>
      <c r="G7" s="1247"/>
      <c r="H7" s="1485"/>
      <c r="I7" s="1477"/>
      <c r="J7" s="1486"/>
      <c r="K7" s="322"/>
      <c r="L7" s="244" t="s">
        <v>1008</v>
      </c>
      <c r="M7" s="1480" t="n">
        <f aca="false">F7</f>
        <v>0</v>
      </c>
    </row>
    <row r="8" customFormat="false" ht="18" hidden="false" customHeight="true" outlineLevel="0" collapsed="false">
      <c r="A8" s="1485"/>
      <c r="B8" s="1477"/>
      <c r="C8" s="1486"/>
      <c r="D8" s="322"/>
      <c r="E8" s="244" t="s">
        <v>1009</v>
      </c>
      <c r="F8" s="1480" t="n">
        <f aca="true">INDIRECT("'数据-取费表'!ai"&amp;$G$1)</f>
        <v>0</v>
      </c>
      <c r="G8" s="1247"/>
      <c r="H8" s="1485"/>
      <c r="I8" s="1477"/>
      <c r="J8" s="1486"/>
      <c r="K8" s="322"/>
      <c r="L8" s="244" t="s">
        <v>1009</v>
      </c>
      <c r="M8" s="1480" t="n">
        <f aca="true">INDIRECT("'数据-取费表'!ai"&amp;$G$1)</f>
        <v>0</v>
      </c>
    </row>
    <row r="9" customFormat="false" ht="18" hidden="false" customHeight="true" outlineLevel="0" collapsed="false">
      <c r="A9" s="1485"/>
      <c r="B9" s="1477"/>
      <c r="C9" s="1486"/>
      <c r="D9" s="322"/>
      <c r="E9" s="244" t="s">
        <v>1010</v>
      </c>
      <c r="F9" s="1487" t="n">
        <f aca="true">INDIRECT("'数据-取费表'!w"&amp;$G$1)</f>
        <v>0</v>
      </c>
      <c r="G9" s="1247"/>
      <c r="H9" s="1485"/>
      <c r="I9" s="1477"/>
      <c r="J9" s="1486"/>
      <c r="K9" s="322"/>
      <c r="L9" s="312" t="s">
        <v>1010</v>
      </c>
      <c r="M9" s="1488" t="n">
        <f aca="true">INDIRECT("'数据-取费表'!ab"&amp;$G$1)</f>
        <v>0</v>
      </c>
    </row>
    <row r="10" customFormat="false" ht="18" hidden="false" customHeight="true" outlineLevel="0" collapsed="false">
      <c r="A10" s="1476" t="s">
        <v>798</v>
      </c>
      <c r="B10" s="1489" t="s">
        <v>1011</v>
      </c>
      <c r="C10" s="1490" t="n">
        <f aca="false">ROUND(IF(F10="押一",C6/12*F11,IF(F10="押二",C6/12*2*F11,IF(F10="押三",C6/12*3*F11,C11*F11))),0)</f>
        <v>0</v>
      </c>
      <c r="D10" s="1491" t="s">
        <v>1012</v>
      </c>
      <c r="E10" s="312" t="s">
        <v>1013</v>
      </c>
      <c r="F10" s="1492"/>
      <c r="G10" s="1247"/>
      <c r="H10" s="1476" t="s">
        <v>798</v>
      </c>
      <c r="I10" s="1489" t="s">
        <v>1011</v>
      </c>
      <c r="J10" s="1481" t="n">
        <f aca="false">ROUND(IF(M10="押一",J6/12*M11,IF(M10="押二",J6/12*2*M11,IF(M10="押三",J6/12*3*M11,J11*M11))),0)</f>
        <v>0</v>
      </c>
      <c r="K10" s="1491" t="s">
        <v>1167</v>
      </c>
      <c r="L10" s="312" t="s">
        <v>1013</v>
      </c>
      <c r="M10" s="1492"/>
    </row>
    <row r="11" customFormat="false" ht="18" hidden="false" customHeight="true" outlineLevel="0" collapsed="false">
      <c r="A11" s="1493"/>
      <c r="B11" s="1494" t="s">
        <v>1168</v>
      </c>
      <c r="C11" s="1495"/>
      <c r="D11" s="322"/>
      <c r="E11" s="312" t="s">
        <v>624</v>
      </c>
      <c r="F11" s="1488" t="n">
        <f aca="false">'数据-取费表'!B39</f>
        <v>0.0252</v>
      </c>
      <c r="G11" s="1247"/>
      <c r="H11" s="1497"/>
      <c r="I11" s="1494" t="s">
        <v>1169</v>
      </c>
      <c r="J11" s="1495"/>
      <c r="K11" s="333"/>
      <c r="L11" s="312" t="s">
        <v>624</v>
      </c>
      <c r="M11" s="1498" t="n">
        <f aca="false">'数据-取费表'!B39</f>
        <v>0.0252</v>
      </c>
    </row>
    <row r="12" customFormat="false" ht="18" hidden="false" customHeight="true" outlineLevel="0" collapsed="false">
      <c r="A12" s="1499" t="s">
        <v>842</v>
      </c>
      <c r="B12" s="1500" t="s">
        <v>1015</v>
      </c>
      <c r="C12" s="1501"/>
      <c r="D12" s="1502"/>
      <c r="E12" s="247"/>
      <c r="F12" s="1503"/>
      <c r="G12" s="1247"/>
      <c r="H12" s="1499" t="s">
        <v>842</v>
      </c>
      <c r="I12" s="1500" t="s">
        <v>1015</v>
      </c>
      <c r="J12" s="1501"/>
      <c r="K12" s="1504"/>
      <c r="L12" s="247"/>
      <c r="M12" s="1505"/>
    </row>
    <row r="13" customFormat="false" ht="18" hidden="false" customHeight="true" outlineLevel="0" collapsed="false">
      <c r="A13" s="1506" t="n">
        <v>2</v>
      </c>
      <c r="B13" s="1507" t="s">
        <v>1016</v>
      </c>
      <c r="C13" s="1508" t="n">
        <f aca="false">ROUND(C29*F13,0)</f>
        <v>0</v>
      </c>
      <c r="D13" s="1509" t="s">
        <v>1017</v>
      </c>
      <c r="E13" s="1509" t="s">
        <v>1018</v>
      </c>
      <c r="F13" s="1510" t="n">
        <f aca="true">INDIRECT("'数据-取费表'!y"&amp;$G$1)</f>
        <v>0</v>
      </c>
      <c r="G13" s="1247"/>
      <c r="H13" s="1506" t="n">
        <v>2</v>
      </c>
      <c r="I13" s="1507" t="s">
        <v>1016</v>
      </c>
      <c r="J13" s="1511" t="n">
        <f aca="false">ROUND(J14*J15,0)</f>
        <v>0</v>
      </c>
      <c r="K13" s="1043" t="s">
        <v>1017</v>
      </c>
      <c r="L13" s="1512"/>
      <c r="M13" s="1513"/>
    </row>
    <row r="14" customFormat="false" ht="18" hidden="false" customHeight="true" outlineLevel="0" collapsed="false">
      <c r="A14" s="1514" t="s">
        <v>816</v>
      </c>
      <c r="B14" s="244" t="s">
        <v>557</v>
      </c>
      <c r="C14" s="452" t="n">
        <f aca="true">ROUND(INDIRECT("'数据-取费表'!l"&amp;$G$1)*F43+'数据-取费表'!L14*INDIRECT("'数据-取费表'!S"&amp;$G$1),0)</f>
        <v>0</v>
      </c>
      <c r="D14" s="1081" t="s">
        <v>1019</v>
      </c>
      <c r="E14" s="1148"/>
      <c r="F14" s="1515"/>
      <c r="G14" s="1247"/>
      <c r="H14" s="1516" t="s">
        <v>794</v>
      </c>
      <c r="I14" s="244" t="s">
        <v>1020</v>
      </c>
      <c r="J14" s="1528" t="n">
        <f aca="false">C29</f>
        <v>0</v>
      </c>
      <c r="K14" s="366"/>
      <c r="L14" s="1392"/>
      <c r="M14" s="953"/>
    </row>
    <row r="15" s="1522" customFormat="true" ht="18" hidden="false" customHeight="true" outlineLevel="0" collapsed="false">
      <c r="A15" s="1514" t="s">
        <v>820</v>
      </c>
      <c r="B15" s="244" t="s">
        <v>612</v>
      </c>
      <c r="C15" s="1528" t="n">
        <f aca="false">ROUND(C14*F15,0)</f>
        <v>0</v>
      </c>
      <c r="D15" s="356" t="s">
        <v>1021</v>
      </c>
      <c r="E15" s="356" t="s">
        <v>1022</v>
      </c>
      <c r="F15" s="1517" t="n">
        <f aca="false">'数据-取费表'!B33</f>
        <v>0.03</v>
      </c>
      <c r="G15" s="808"/>
      <c r="H15" s="1518" t="s">
        <v>798</v>
      </c>
      <c r="I15" s="247" t="s">
        <v>1018</v>
      </c>
      <c r="J15" s="1505" t="n">
        <f aca="true">INDIRECT("'数据-取费表'!ad"&amp;$G$1)</f>
        <v>0</v>
      </c>
      <c r="K15" s="1519"/>
      <c r="L15" s="1520"/>
      <c r="M15" s="1521"/>
      <c r="N15" s="808"/>
      <c r="O15" s="808"/>
      <c r="P15" s="808"/>
      <c r="Q15" s="808"/>
      <c r="R15" s="808"/>
      <c r="S15" s="808"/>
      <c r="T15" s="808"/>
      <c r="U15" s="808"/>
      <c r="V15" s="808"/>
      <c r="W15" s="808"/>
      <c r="X15" s="808"/>
      <c r="Y15" s="808"/>
      <c r="Z15" s="808"/>
      <c r="AA15" s="808"/>
      <c r="AB15" s="808"/>
      <c r="AC15" s="808"/>
      <c r="AD15" s="808"/>
      <c r="AE15" s="808"/>
      <c r="AF15" s="808"/>
      <c r="AG15" s="808"/>
      <c r="AH15" s="808"/>
      <c r="AI15" s="808"/>
      <c r="AJ15" s="808"/>
      <c r="AK15" s="808"/>
    </row>
    <row r="16" customFormat="false" ht="18" hidden="false" customHeight="true" outlineLevel="0" collapsed="false">
      <c r="A16" s="1514" t="s">
        <v>823</v>
      </c>
      <c r="B16" s="244" t="s">
        <v>614</v>
      </c>
      <c r="C16" s="1528" t="n">
        <f aca="true">ROUND(INDIRECT("'数据-取费表'!l"&amp;$G$1)*F43*F16,0)</f>
        <v>0</v>
      </c>
      <c r="D16" s="244" t="s">
        <v>1021</v>
      </c>
      <c r="E16" s="244" t="s">
        <v>1022</v>
      </c>
      <c r="F16" s="1523" t="n">
        <f aca="true">IF(INDIRECT("'数据-取费表'!c"&amp;$G$1)="住宅",'数据-取费表'!B34,0)</f>
        <v>0</v>
      </c>
      <c r="G16" s="1247"/>
      <c r="H16" s="1506" t="s">
        <v>1023</v>
      </c>
      <c r="I16" s="1507" t="s">
        <v>1024</v>
      </c>
      <c r="J16" s="1508" t="n">
        <f aca="false">ROUND(J17+J22+J23+J24,0)</f>
        <v>0</v>
      </c>
      <c r="K16" s="1043" t="s">
        <v>1025</v>
      </c>
      <c r="L16" s="464"/>
      <c r="M16" s="1475"/>
    </row>
    <row r="17" s="1522" customFormat="true" ht="18" hidden="false" customHeight="true" outlineLevel="0" collapsed="false">
      <c r="A17" s="1514" t="s">
        <v>1026</v>
      </c>
      <c r="B17" s="244" t="s">
        <v>1027</v>
      </c>
      <c r="C17" s="1528" t="n">
        <f aca="true">ROUND(F17*(F43+INDIRECT("'数据-取费表'!S"&amp;$G$1)),0)</f>
        <v>0</v>
      </c>
      <c r="D17" s="244" t="s">
        <v>1028</v>
      </c>
      <c r="E17" s="244" t="s">
        <v>1029</v>
      </c>
      <c r="F17" s="453" t="n">
        <f aca="false">'数据-取费表'!B35</f>
        <v>120</v>
      </c>
      <c r="G17" s="808"/>
      <c r="H17" s="1516" t="s">
        <v>794</v>
      </c>
      <c r="I17" s="244" t="s">
        <v>1030</v>
      </c>
      <c r="J17" s="1524" t="n">
        <f aca="false">ROUND(IF(AND(项目基本情况!B11="自然人",项目基本情况!B10="北京市"),J6*M17/(1+'数据-取费表'!C42),J18+J19+J20),0)</f>
        <v>0</v>
      </c>
      <c r="K17" s="1081" t="s">
        <v>1031</v>
      </c>
      <c r="L17" s="314" t="s">
        <v>1032</v>
      </c>
      <c r="M17" s="1525" t="n">
        <f aca="false">IF(项目基本情况!B11="企业","",IF('数据-取费表'!B10="住宅",IF(M6*M7*M8/12/(1+'数据-取费表'!F30)&gt;100000,4%,2.5%),IF(M6*M7*M8/12/(1+'数据-取费表'!F30)&gt;100000,12%,7%)))</f>
        <v>0.07</v>
      </c>
      <c r="N17" s="808"/>
      <c r="O17" s="808"/>
      <c r="P17" s="808"/>
      <c r="Q17" s="808"/>
      <c r="R17" s="808"/>
      <c r="S17" s="808"/>
      <c r="T17" s="808"/>
      <c r="U17" s="808"/>
      <c r="V17" s="808"/>
      <c r="W17" s="808"/>
      <c r="X17" s="808"/>
      <c r="Y17" s="808"/>
      <c r="Z17" s="808"/>
      <c r="AA17" s="808"/>
      <c r="AB17" s="808"/>
      <c r="AC17" s="808"/>
      <c r="AD17" s="808"/>
      <c r="AE17" s="808"/>
      <c r="AF17" s="808"/>
      <c r="AG17" s="808"/>
      <c r="AH17" s="808"/>
      <c r="AI17" s="808"/>
      <c r="AJ17" s="808"/>
      <c r="AK17" s="808"/>
    </row>
    <row r="18" s="1522" customFormat="true" ht="18" hidden="false" customHeight="true" outlineLevel="0" collapsed="false">
      <c r="A18" s="1514" t="s">
        <v>1033</v>
      </c>
      <c r="B18" s="244" t="s">
        <v>824</v>
      </c>
      <c r="C18" s="1528" t="n">
        <f aca="false">ROUND(C14*F18,0)</f>
        <v>0</v>
      </c>
      <c r="D18" s="244" t="s">
        <v>1021</v>
      </c>
      <c r="E18" s="244" t="s">
        <v>1022</v>
      </c>
      <c r="F18" s="1523" t="n">
        <f aca="false">'数据-取费表'!B36</f>
        <v>0.015</v>
      </c>
      <c r="G18" s="808"/>
      <c r="H18" s="1514" t="s">
        <v>816</v>
      </c>
      <c r="I18" s="244" t="s">
        <v>1034</v>
      </c>
      <c r="J18" s="1528" t="n">
        <f aca="false">ROUND(J6*M18/(1+'数据-取费表'!C42),0)</f>
        <v>0</v>
      </c>
      <c r="K18" s="314" t="s">
        <v>1035</v>
      </c>
      <c r="L18" s="244" t="s">
        <v>1022</v>
      </c>
      <c r="M18" s="1523" t="n">
        <f aca="false">'数据-取费表'!B41</f>
        <v>0.055</v>
      </c>
      <c r="N18" s="808"/>
      <c r="O18" s="808"/>
      <c r="P18" s="808"/>
      <c r="Q18" s="808"/>
      <c r="R18" s="808"/>
      <c r="S18" s="808"/>
      <c r="T18" s="808"/>
      <c r="U18" s="808"/>
      <c r="V18" s="808"/>
      <c r="W18" s="808"/>
      <c r="X18" s="808"/>
      <c r="Y18" s="808"/>
      <c r="Z18" s="808"/>
      <c r="AA18" s="808"/>
      <c r="AB18" s="808"/>
      <c r="AC18" s="808"/>
      <c r="AD18" s="808"/>
      <c r="AE18" s="808"/>
      <c r="AF18" s="808"/>
      <c r="AG18" s="808"/>
      <c r="AH18" s="808"/>
      <c r="AI18" s="808"/>
      <c r="AJ18" s="808"/>
      <c r="AK18" s="808"/>
    </row>
    <row r="19" customFormat="false" ht="18" hidden="false" customHeight="true" outlineLevel="0" collapsed="false">
      <c r="A19" s="1516" t="s">
        <v>794</v>
      </c>
      <c r="B19" s="244" t="s">
        <v>843</v>
      </c>
      <c r="C19" s="1528" t="n">
        <f aca="false">SUM(C14:C18)</f>
        <v>0</v>
      </c>
      <c r="D19" s="1368" t="s">
        <v>1036</v>
      </c>
      <c r="E19" s="445"/>
      <c r="F19" s="453"/>
      <c r="G19" s="1247"/>
      <c r="H19" s="1514" t="s">
        <v>820</v>
      </c>
      <c r="I19" s="244" t="s">
        <v>1037</v>
      </c>
      <c r="J19" s="1528" t="n">
        <f aca="false">IF(K19="按租金收入计税",ROUND(J6*M19/(1+'数据-取费表'!C42),0),ROUND(C29*M19*0.7,0))</f>
        <v>0</v>
      </c>
      <c r="K19" s="1526" t="s">
        <v>1038</v>
      </c>
      <c r="L19" s="244" t="s">
        <v>1022</v>
      </c>
      <c r="M19" s="1523" t="n">
        <f aca="false">IF(K19="按租金收入计税",'数据-取费表'!B51,'数据-取费表'!B50)</f>
        <v>0.12</v>
      </c>
    </row>
    <row r="20" s="1522" customFormat="true" ht="18" hidden="false" customHeight="true" outlineLevel="0" collapsed="false">
      <c r="A20" s="1516" t="s">
        <v>798</v>
      </c>
      <c r="B20" s="244" t="s">
        <v>621</v>
      </c>
      <c r="C20" s="1528" t="n">
        <f aca="false">ROUND(C19*F20,0)</f>
        <v>0</v>
      </c>
      <c r="D20" s="292" t="s">
        <v>1039</v>
      </c>
      <c r="E20" s="244" t="s">
        <v>1022</v>
      </c>
      <c r="F20" s="1523" t="n">
        <f aca="false">'数据-取费表'!B37</f>
        <v>0.01</v>
      </c>
      <c r="G20" s="808"/>
      <c r="H20" s="1514" t="s">
        <v>823</v>
      </c>
      <c r="I20" s="1479" t="s">
        <v>1040</v>
      </c>
      <c r="J20" s="471" t="n">
        <f aca="false">ROUND(M20*M21,0)</f>
        <v>0</v>
      </c>
      <c r="K20" s="1054" t="s">
        <v>1041</v>
      </c>
      <c r="L20" s="244" t="s">
        <v>1042</v>
      </c>
      <c r="M20" s="1527" t="n">
        <f aca="false">'数据-取费表'!B52</f>
        <v>0</v>
      </c>
      <c r="N20" s="808"/>
      <c r="O20" s="808"/>
      <c r="P20" s="808"/>
      <c r="Q20" s="808"/>
      <c r="R20" s="808"/>
      <c r="S20" s="808"/>
      <c r="T20" s="808"/>
      <c r="U20" s="808"/>
      <c r="V20" s="808"/>
      <c r="W20" s="808"/>
      <c r="X20" s="808"/>
      <c r="Y20" s="808"/>
      <c r="Z20" s="808"/>
      <c r="AA20" s="808"/>
      <c r="AB20" s="808"/>
      <c r="AC20" s="808"/>
      <c r="AD20" s="808"/>
      <c r="AE20" s="808"/>
      <c r="AF20" s="808"/>
      <c r="AG20" s="808"/>
      <c r="AH20" s="808"/>
      <c r="AI20" s="808"/>
      <c r="AJ20" s="808"/>
      <c r="AK20" s="808"/>
    </row>
    <row r="21" s="1522" customFormat="true" ht="18" hidden="false" customHeight="true" outlineLevel="0" collapsed="false">
      <c r="A21" s="1516" t="s">
        <v>842</v>
      </c>
      <c r="B21" s="244" t="s">
        <v>623</v>
      </c>
      <c r="C21" s="1528" t="s">
        <v>122</v>
      </c>
      <c r="D21" s="292" t="s">
        <v>1043</v>
      </c>
      <c r="E21" s="244" t="s">
        <v>1044</v>
      </c>
      <c r="F21" s="1523" t="n">
        <f aca="false">'数据-取费表'!B38</f>
        <v>0.01</v>
      </c>
      <c r="G21" s="808"/>
      <c r="H21" s="1529"/>
      <c r="I21" s="1530"/>
      <c r="J21" s="470"/>
      <c r="K21" s="321"/>
      <c r="L21" s="244" t="s">
        <v>1045</v>
      </c>
      <c r="M21" s="1480" t="n">
        <f aca="true">INDIRECT("'数据-取费表'!r"&amp;$G$1)</f>
        <v>0</v>
      </c>
      <c r="N21" s="808"/>
      <c r="O21" s="808"/>
      <c r="P21" s="808"/>
      <c r="Q21" s="808"/>
      <c r="R21" s="808"/>
      <c r="S21" s="808"/>
      <c r="T21" s="808"/>
      <c r="U21" s="808"/>
      <c r="V21" s="808"/>
      <c r="W21" s="808"/>
      <c r="X21" s="808"/>
      <c r="Y21" s="808"/>
      <c r="Z21" s="808"/>
      <c r="AA21" s="808"/>
      <c r="AB21" s="808"/>
      <c r="AC21" s="808"/>
      <c r="AD21" s="808"/>
      <c r="AE21" s="808"/>
      <c r="AF21" s="808"/>
      <c r="AG21" s="808"/>
      <c r="AH21" s="808"/>
      <c r="AI21" s="808"/>
      <c r="AJ21" s="808"/>
      <c r="AK21" s="808"/>
    </row>
    <row r="22" customFormat="false" ht="18" hidden="false" customHeight="true" outlineLevel="0" collapsed="false">
      <c r="A22" s="1516" t="s">
        <v>845</v>
      </c>
      <c r="B22" s="244" t="s">
        <v>912</v>
      </c>
      <c r="C22" s="478"/>
      <c r="D22" s="936" t="str">
        <f aca="false">IF(F23&lt;=1,"单利计息。","复利计息。")&amp;"建造成本、管理费用、销售费用产生的利息。"</f>
        <v>复利计息。建造成本、管理费用、销售费用产生的利息。</v>
      </c>
      <c r="E22" s="445"/>
      <c r="F22" s="453"/>
      <c r="G22" s="1247"/>
      <c r="H22" s="1516" t="s">
        <v>798</v>
      </c>
      <c r="I22" s="244" t="s">
        <v>1046</v>
      </c>
      <c r="J22" s="1528" t="n">
        <f aca="false">ROUND(J14*M22,0)</f>
        <v>0</v>
      </c>
      <c r="K22" s="314" t="s">
        <v>1047</v>
      </c>
      <c r="L22" s="244" t="s">
        <v>1022</v>
      </c>
      <c r="M22" s="1531" t="n">
        <f aca="true">INDIRECT("'数据-取费表'!Ak"&amp;$G$1)</f>
        <v>0</v>
      </c>
    </row>
    <row r="23" s="1522" customFormat="true" ht="18" hidden="false" customHeight="true" outlineLevel="0" collapsed="false">
      <c r="A23" s="1514" t="s">
        <v>816</v>
      </c>
      <c r="B23" s="244" t="s">
        <v>1048</v>
      </c>
      <c r="C23" s="1528" t="n">
        <f aca="false">IF('数据-取费表'!B22&lt;=1,ROUND(C19*F24*F23/2,0)+ROUND(C20*F24*F23/2,0),ROUND(C19*(POWER((1+F24),F23/2)-1),0)+ROUND(C20*(POWER((1+F24),F23/2)-1),0))</f>
        <v>0</v>
      </c>
      <c r="D23" s="378" t="str">
        <f aca="false">IF(F23&lt;=1,"(建造成本+管理费用)×利率×(建设周期÷2)","(建造成本+管理费用)×((1+利率)^(建设周期÷2)-1)")</f>
        <v>(建造成本+管理费用)×((1+利率)^(建设周期÷2)-1)</v>
      </c>
      <c r="E23" s="244" t="s">
        <v>1049</v>
      </c>
      <c r="F23" s="1527" t="n">
        <f aca="false">'数据-取费表'!B20</f>
        <v>2</v>
      </c>
      <c r="G23" s="808"/>
      <c r="H23" s="1516" t="s">
        <v>842</v>
      </c>
      <c r="I23" s="244" t="s">
        <v>1050</v>
      </c>
      <c r="J23" s="1528" t="n">
        <f aca="false">ROUND(J13*M23,0)</f>
        <v>0</v>
      </c>
      <c r="K23" s="314" t="s">
        <v>1051</v>
      </c>
      <c r="L23" s="244" t="s">
        <v>1022</v>
      </c>
      <c r="M23" s="1532" t="n">
        <f aca="true">INDIRECT("'数据-取费表'!Al"&amp;$G$1)</f>
        <v>0</v>
      </c>
      <c r="N23" s="808"/>
      <c r="O23" s="808"/>
      <c r="P23" s="808"/>
      <c r="Q23" s="808"/>
      <c r="R23" s="808"/>
      <c r="S23" s="808"/>
      <c r="T23" s="808"/>
      <c r="U23" s="808"/>
      <c r="V23" s="808"/>
      <c r="W23" s="808"/>
      <c r="X23" s="808"/>
      <c r="Y23" s="808"/>
      <c r="Z23" s="808"/>
      <c r="AA23" s="808"/>
      <c r="AB23" s="808"/>
      <c r="AC23" s="808"/>
      <c r="AD23" s="808"/>
      <c r="AE23" s="808"/>
      <c r="AF23" s="808"/>
      <c r="AG23" s="808"/>
      <c r="AH23" s="808"/>
      <c r="AI23" s="808"/>
      <c r="AJ23" s="808"/>
      <c r="AK23" s="808"/>
    </row>
    <row r="24" s="1522" customFormat="true" ht="18" hidden="false" customHeight="true" outlineLevel="0" collapsed="false">
      <c r="A24" s="1514" t="s">
        <v>820</v>
      </c>
      <c r="B24" s="244" t="s">
        <v>1052</v>
      </c>
      <c r="C24" s="1528" t="n">
        <f aca="false">ROUND(IF('数据-取费表'!B22&lt;=1,F21*F24*F23/2,F21*(POWER((1+F24),F23/2)-1)),4)</f>
        <v>0.0006</v>
      </c>
      <c r="D24" s="378" t="str">
        <f aca="false">IF(F23&lt;=1,"销售费用×利率×(建设周期÷2)","销售费用×((1+利率)^(建设周期÷2)-1)")</f>
        <v>销售费用×((1+利率)^(建设周期÷2)-1)</v>
      </c>
      <c r="E24" s="244" t="s">
        <v>1053</v>
      </c>
      <c r="F24" s="1533" t="n">
        <f aca="false">'数据-取费表'!B40</f>
        <v>0.063</v>
      </c>
      <c r="G24" s="808"/>
      <c r="H24" s="1518" t="s">
        <v>845</v>
      </c>
      <c r="I24" s="247" t="s">
        <v>621</v>
      </c>
      <c r="J24" s="1534" t="n">
        <f aca="false">ROUND(J5*M24,0)</f>
        <v>0</v>
      </c>
      <c r="K24" s="319" t="s">
        <v>1054</v>
      </c>
      <c r="L24" s="247" t="s">
        <v>1022</v>
      </c>
      <c r="M24" s="1503" t="n">
        <f aca="true">INDIRECT("'数据-取费表'!Am"&amp;$G$1)</f>
        <v>0</v>
      </c>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row>
    <row r="25" customFormat="false" ht="18" hidden="false" customHeight="true" outlineLevel="0" collapsed="false">
      <c r="A25" s="1516" t="s">
        <v>849</v>
      </c>
      <c r="B25" s="244" t="s">
        <v>570</v>
      </c>
      <c r="C25" s="478"/>
      <c r="D25" s="1368" t="s">
        <v>1055</v>
      </c>
      <c r="E25" s="445"/>
      <c r="F25" s="453"/>
      <c r="G25" s="1247"/>
      <c r="H25" s="1506" t="s">
        <v>1056</v>
      </c>
      <c r="I25" s="1535" t="s">
        <v>1057</v>
      </c>
      <c r="J25" s="1508" t="n">
        <f aca="false">J5-J16</f>
        <v>0</v>
      </c>
      <c r="K25" s="1536" t="s">
        <v>1058</v>
      </c>
      <c r="L25" s="1537"/>
      <c r="M25" s="1538"/>
    </row>
    <row r="26" customFormat="false" ht="18" hidden="false" customHeight="true" outlineLevel="0" collapsed="false">
      <c r="A26" s="1514" t="s">
        <v>816</v>
      </c>
      <c r="B26" s="244" t="s">
        <v>1059</v>
      </c>
      <c r="C26" s="1528" t="n">
        <f aca="false">ROUND((C19+C20)*F26,0)</f>
        <v>0</v>
      </c>
      <c r="D26" s="292" t="s">
        <v>1060</v>
      </c>
      <c r="E26" s="312" t="s">
        <v>1061</v>
      </c>
      <c r="F26" s="1487" t="n">
        <f aca="true">INDIRECT("'数据-取费表'!q"&amp;$G$1)</f>
        <v>0</v>
      </c>
      <c r="G26" s="1247"/>
      <c r="H26" s="1471" t="s">
        <v>1062</v>
      </c>
      <c r="I26" s="1472" t="s">
        <v>1063</v>
      </c>
      <c r="J26" s="1481" t="n">
        <f aca="false">IF(J5&lt;&gt;0,ROUND(J25*(1-((1+M28)/(1+M26))^M27)/(M26-M28),0),0)</f>
        <v>0</v>
      </c>
      <c r="K26" s="1054" t="s">
        <v>1064</v>
      </c>
      <c r="L26" s="244" t="s">
        <v>1065</v>
      </c>
      <c r="M26" s="1487" t="n">
        <f aca="true">INDIRECT("'数据-取费表'!I"&amp;$G$1)</f>
        <v>0</v>
      </c>
    </row>
    <row r="27" customFormat="false" ht="18" hidden="false" customHeight="true" outlineLevel="0" collapsed="false">
      <c r="A27" s="1514" t="s">
        <v>820</v>
      </c>
      <c r="B27" s="244" t="s">
        <v>1066</v>
      </c>
      <c r="C27" s="1528" t="n">
        <f aca="false">ROUND(F21*F26,4)</f>
        <v>0</v>
      </c>
      <c r="D27" s="292" t="s">
        <v>1067</v>
      </c>
      <c r="E27" s="302"/>
      <c r="F27" s="1517"/>
      <c r="G27" s="1247"/>
      <c r="H27" s="1485"/>
      <c r="I27" s="1539"/>
      <c r="J27" s="1486"/>
      <c r="K27" s="1540" t="s">
        <v>1068</v>
      </c>
      <c r="L27" s="244" t="s">
        <v>1069</v>
      </c>
      <c r="M27" s="1541" t="n">
        <f aca="true">INDIRECT("'数据-取费表'!ag"&amp;$G$1)</f>
        <v>0</v>
      </c>
    </row>
    <row r="28" s="1522" customFormat="true" ht="18" hidden="false" customHeight="true" outlineLevel="0" collapsed="false">
      <c r="A28" s="1516" t="s">
        <v>850</v>
      </c>
      <c r="B28" s="244" t="s">
        <v>926</v>
      </c>
      <c r="C28" s="1528" t="n">
        <f aca="false">ROUND(F28/(1+'数据-取费表'!C42),4)</f>
        <v>0.055</v>
      </c>
      <c r="D28" s="292" t="s">
        <v>1070</v>
      </c>
      <c r="E28" s="244" t="s">
        <v>1022</v>
      </c>
      <c r="F28" s="1523" t="n">
        <f aca="false">'数据-取费表'!B41</f>
        <v>0.055</v>
      </c>
      <c r="G28" s="808"/>
      <c r="H28" s="1493"/>
      <c r="I28" s="1542"/>
      <c r="J28" s="1508"/>
      <c r="K28" s="321"/>
      <c r="L28" s="244" t="s">
        <v>1071</v>
      </c>
      <c r="M28" s="1487" t="n">
        <f aca="true">INDIRECT("'数据-取费表'!aa"&amp;$G$1)</f>
        <v>0</v>
      </c>
      <c r="N28" s="808"/>
      <c r="O28" s="808"/>
      <c r="P28" s="808"/>
      <c r="Q28" s="808"/>
      <c r="R28" s="808"/>
      <c r="S28" s="808"/>
      <c r="T28" s="808"/>
      <c r="U28" s="808"/>
      <c r="V28" s="808"/>
      <c r="W28" s="808"/>
      <c r="X28" s="808"/>
      <c r="Y28" s="808"/>
      <c r="Z28" s="808"/>
      <c r="AA28" s="808"/>
      <c r="AB28" s="808"/>
      <c r="AC28" s="808"/>
      <c r="AD28" s="808"/>
      <c r="AE28" s="808"/>
      <c r="AF28" s="808"/>
      <c r="AG28" s="808"/>
      <c r="AH28" s="808"/>
      <c r="AI28" s="808"/>
      <c r="AJ28" s="808"/>
      <c r="AK28" s="808"/>
    </row>
    <row r="29" s="1522" customFormat="true" ht="18" hidden="false" customHeight="true" outlineLevel="0" collapsed="false">
      <c r="A29" s="1518" t="s">
        <v>992</v>
      </c>
      <c r="B29" s="247" t="s">
        <v>1072</v>
      </c>
      <c r="C29" s="1534" t="n">
        <f aca="false">ROUND((C19+C20+C23+C26)/(1-F21-C24-C27-C28),0)</f>
        <v>0</v>
      </c>
      <c r="D29" s="319"/>
      <c r="E29" s="247"/>
      <c r="F29" s="1543"/>
      <c r="G29" s="808"/>
      <c r="H29" s="1544" t="s">
        <v>1073</v>
      </c>
      <c r="I29" s="1545" t="s">
        <v>1074</v>
      </c>
      <c r="J29" s="1546" t="n">
        <f aca="false">ROUND(J26/(1+F40)^F41,0)</f>
        <v>0</v>
      </c>
      <c r="K29" s="1547" t="s">
        <v>1075</v>
      </c>
      <c r="L29" s="1548"/>
      <c r="M29" s="1549" t="n">
        <f aca="true">INDIRECT("'数据-取费表'!k"&amp;$G$1)</f>
        <v>0</v>
      </c>
      <c r="N29" s="808"/>
      <c r="O29" s="808"/>
      <c r="P29" s="808"/>
      <c r="Q29" s="808"/>
      <c r="R29" s="808"/>
      <c r="S29" s="808"/>
      <c r="T29" s="808"/>
      <c r="U29" s="808"/>
      <c r="V29" s="808"/>
      <c r="W29" s="808"/>
      <c r="X29" s="808"/>
      <c r="Y29" s="808"/>
      <c r="Z29" s="808"/>
      <c r="AA29" s="808"/>
      <c r="AB29" s="808"/>
      <c r="AC29" s="808"/>
      <c r="AD29" s="808"/>
      <c r="AE29" s="808"/>
      <c r="AF29" s="808"/>
      <c r="AG29" s="808"/>
      <c r="AH29" s="808"/>
      <c r="AI29" s="808"/>
      <c r="AJ29" s="808"/>
      <c r="AK29" s="808"/>
    </row>
    <row r="30" customFormat="false" ht="18" hidden="false" customHeight="true" outlineLevel="0" collapsed="false">
      <c r="A30" s="1506" t="s">
        <v>1023</v>
      </c>
      <c r="B30" s="1507" t="s">
        <v>1024</v>
      </c>
      <c r="C30" s="1508" t="n">
        <f aca="false">ROUND(C31+C36+C37+C38,0)</f>
        <v>0</v>
      </c>
      <c r="D30" s="1043" t="s">
        <v>1025</v>
      </c>
      <c r="E30" s="464"/>
      <c r="F30" s="1475"/>
      <c r="G30" s="1247"/>
      <c r="H30" s="1550"/>
      <c r="I30" s="1551"/>
      <c r="J30" s="1552"/>
      <c r="K30" s="348"/>
      <c r="L30" s="1553"/>
      <c r="M30" s="1554"/>
    </row>
    <row r="31" customFormat="false" ht="18" hidden="false" customHeight="true" outlineLevel="0" collapsed="false">
      <c r="A31" s="1516" t="s">
        <v>794</v>
      </c>
      <c r="B31" s="244" t="s">
        <v>1030</v>
      </c>
      <c r="C31" s="1524" t="n">
        <f aca="false">ROUND(IF(AND(项目基本情况!B11="自然人",项目基本情况!B10="北京市"),C6*F31/(1+'数据-取费表'!C42),C32+C33+C34),0)</f>
        <v>0</v>
      </c>
      <c r="D31" s="1081" t="s">
        <v>1031</v>
      </c>
      <c r="E31" s="314" t="s">
        <v>1032</v>
      </c>
      <c r="F31" s="1525" t="n">
        <f aca="false">IF(项目基本情况!B11="企业","——",IF(M47="住宅",IF(F6*F7*F8/12/(1+'数据-取费表'!F30)&gt;100000,4%,2.5%),IF(F6*F7*F8/12/(1+'数据-取费表'!F30)&gt;100000,12%,7%)))</f>
        <v>0.07</v>
      </c>
      <c r="G31" s="1247"/>
      <c r="H31" s="1555" t="s">
        <v>1076</v>
      </c>
      <c r="I31" s="1551"/>
      <c r="J31" s="1552"/>
      <c r="K31" s="348"/>
      <c r="L31" s="1553"/>
      <c r="M31" s="1554"/>
    </row>
    <row r="32" customFormat="false" ht="18" hidden="false" customHeight="true" outlineLevel="0" collapsed="false">
      <c r="A32" s="1514" t="s">
        <v>816</v>
      </c>
      <c r="B32" s="244" t="s">
        <v>1034</v>
      </c>
      <c r="C32" s="1528" t="str">
        <f aca="false">IF(项目基本情况!B11="自然人","——",ROUND(C6*F32/(1+'数据-取费表'!C42),0))</f>
        <v>——</v>
      </c>
      <c r="D32" s="314" t="s">
        <v>1035</v>
      </c>
      <c r="E32" s="244" t="s">
        <v>1022</v>
      </c>
      <c r="F32" s="1533" t="n">
        <f aca="false">'数据-取费表'!B41</f>
        <v>0.055</v>
      </c>
      <c r="G32" s="1247"/>
      <c r="H32" s="1550"/>
      <c r="I32" s="1551"/>
      <c r="J32" s="1552"/>
      <c r="K32" s="348"/>
      <c r="L32" s="1553"/>
      <c r="M32" s="1554"/>
    </row>
    <row r="33" customFormat="false" ht="18" hidden="false" customHeight="true" outlineLevel="0" collapsed="false">
      <c r="A33" s="1514" t="s">
        <v>820</v>
      </c>
      <c r="B33" s="244" t="s">
        <v>1037</v>
      </c>
      <c r="C33" s="1528" t="str">
        <f aca="true">IF(项目基本情况!B11="自然人","——",IF(D33="按租金收入计税",ROUND(C6*F33/(1+'数据-取费表'!C42),0),IF(D33="按房产原值计税",ROUND(C29*F33*0.7,0),INDIRECT("'数据-取费表'!Aj"&amp;$G$1))))</f>
        <v>——</v>
      </c>
      <c r="D33" s="1526" t="s">
        <v>1038</v>
      </c>
      <c r="E33" s="244" t="s">
        <v>1022</v>
      </c>
      <c r="F33" s="1523" t="n">
        <f aca="false">IF(D33="按票据","——",IF(D33="按租金收入计税",'数据-取费表'!B51,'数据-取费表'!B50))</f>
        <v>0.12</v>
      </c>
      <c r="G33" s="1247"/>
      <c r="H33" s="1556"/>
      <c r="I33" s="1551"/>
      <c r="J33" s="1552"/>
      <c r="K33" s="1557"/>
      <c r="L33" s="1556"/>
      <c r="M33" s="1556"/>
    </row>
    <row r="34" customFormat="false" ht="18" hidden="false" customHeight="true" outlineLevel="0" collapsed="false">
      <c r="A34" s="1558" t="s">
        <v>823</v>
      </c>
      <c r="B34" s="1479" t="s">
        <v>1040</v>
      </c>
      <c r="C34" s="471" t="str">
        <f aca="false">IF(项目基本情况!B11="自然人","——",ROUND(F34*F35,0))</f>
        <v>——</v>
      </c>
      <c r="D34" s="1054" t="s">
        <v>1041</v>
      </c>
      <c r="E34" s="244" t="s">
        <v>1042</v>
      </c>
      <c r="F34" s="1527" t="n">
        <f aca="false">'数据-取费表'!B52</f>
        <v>0</v>
      </c>
      <c r="G34" s="1247"/>
      <c r="H34" s="1550"/>
      <c r="I34" s="1551"/>
      <c r="J34" s="1552"/>
      <c r="K34" s="1559"/>
      <c r="L34" s="1560"/>
      <c r="M34" s="1560"/>
    </row>
    <row r="35" customFormat="false" ht="18" hidden="false" customHeight="true" outlineLevel="0" collapsed="false">
      <c r="A35" s="1561"/>
      <c r="B35" s="1562"/>
      <c r="C35" s="470"/>
      <c r="D35" s="321"/>
      <c r="E35" s="244" t="s">
        <v>1045</v>
      </c>
      <c r="F35" s="1480" t="n">
        <f aca="true">INDIRECT("'数据-取费表'!r"&amp;$G$1)</f>
        <v>0</v>
      </c>
      <c r="G35" s="1247"/>
      <c r="H35" s="1550"/>
      <c r="I35" s="1551"/>
      <c r="J35" s="1552"/>
      <c r="K35" s="1557"/>
      <c r="L35" s="1556"/>
      <c r="M35" s="1556"/>
    </row>
    <row r="36" customFormat="false" ht="18" hidden="false" customHeight="true" outlineLevel="0" collapsed="false">
      <c r="A36" s="1563" t="s">
        <v>798</v>
      </c>
      <c r="B36" s="244" t="s">
        <v>1046</v>
      </c>
      <c r="C36" s="1528" t="n">
        <f aca="false">ROUND(C29*F36,0)</f>
        <v>0</v>
      </c>
      <c r="D36" s="314" t="s">
        <v>1077</v>
      </c>
      <c r="E36" s="244" t="s">
        <v>1022</v>
      </c>
      <c r="F36" s="1531" t="n">
        <f aca="true">INDIRECT("'数据-取费表'!Ak"&amp;$G$1)</f>
        <v>0</v>
      </c>
      <c r="G36" s="1247"/>
      <c r="H36" s="1556"/>
      <c r="I36" s="1551"/>
      <c r="J36" s="1552"/>
      <c r="K36" s="1066"/>
      <c r="L36" s="1556"/>
      <c r="M36" s="1556"/>
    </row>
    <row r="37" customFormat="false" ht="18" hidden="false" customHeight="true" outlineLevel="0" collapsed="false">
      <c r="A37" s="1516" t="s">
        <v>842</v>
      </c>
      <c r="B37" s="244" t="s">
        <v>1050</v>
      </c>
      <c r="C37" s="1528" t="n">
        <f aca="false">ROUND(C13*F37,0)</f>
        <v>0</v>
      </c>
      <c r="D37" s="314" t="s">
        <v>1051</v>
      </c>
      <c r="E37" s="244" t="s">
        <v>1022</v>
      </c>
      <c r="F37" s="1532" t="n">
        <f aca="true">INDIRECT("'数据-取费表'!Al"&amp;$G$1)</f>
        <v>0</v>
      </c>
      <c r="G37" s="1247"/>
      <c r="H37" s="1556"/>
      <c r="I37" s="1551"/>
      <c r="J37" s="1552"/>
      <c r="K37" s="1066"/>
      <c r="L37" s="1556"/>
      <c r="M37" s="1556"/>
    </row>
    <row r="38" customFormat="false" ht="18" hidden="false" customHeight="true" outlineLevel="0" collapsed="false">
      <c r="A38" s="1518" t="s">
        <v>845</v>
      </c>
      <c r="B38" s="247" t="s">
        <v>621</v>
      </c>
      <c r="C38" s="1534" t="n">
        <f aca="false">ROUND(C5*F38,0)</f>
        <v>0</v>
      </c>
      <c r="D38" s="319" t="s">
        <v>1054</v>
      </c>
      <c r="E38" s="247" t="s">
        <v>1022</v>
      </c>
      <c r="F38" s="1503" t="n">
        <f aca="true">INDIRECT("'数据-取费表'!Am"&amp;$G$1)</f>
        <v>0</v>
      </c>
      <c r="G38" s="1247"/>
      <c r="H38" s="1556"/>
      <c r="I38" s="1551"/>
      <c r="J38" s="1552"/>
      <c r="K38" s="1564"/>
      <c r="L38" s="1556"/>
      <c r="M38" s="1556"/>
    </row>
    <row r="39" customFormat="false" ht="24.6" hidden="false" customHeight="true" outlineLevel="0" collapsed="false">
      <c r="A39" s="1506" t="s">
        <v>1056</v>
      </c>
      <c r="B39" s="1535" t="s">
        <v>1057</v>
      </c>
      <c r="C39" s="1508" t="n">
        <f aca="false">C5-C30</f>
        <v>0</v>
      </c>
      <c r="D39" s="1536" t="s">
        <v>1058</v>
      </c>
      <c r="E39" s="1537"/>
      <c r="F39" s="1538"/>
      <c r="G39" s="1247"/>
      <c r="H39" s="1556"/>
      <c r="I39" s="1551"/>
      <c r="J39" s="1552"/>
      <c r="K39" s="1564"/>
      <c r="L39" s="1556"/>
      <c r="M39" s="1556"/>
    </row>
    <row r="40" customFormat="false" ht="18" hidden="false" customHeight="true" outlineLevel="0" collapsed="false">
      <c r="A40" s="1471" t="s">
        <v>1062</v>
      </c>
      <c r="B40" s="1472" t="s">
        <v>1078</v>
      </c>
      <c r="C40" s="1481" t="e">
        <f aca="false">ROUND(C39*(1-((1+F42)/(1+F40))^F41)/(F40-F42),0)</f>
        <v>#DIV/0!</v>
      </c>
      <c r="D40" s="1054" t="s">
        <v>1064</v>
      </c>
      <c r="E40" s="244" t="s">
        <v>1065</v>
      </c>
      <c r="F40" s="1487" t="n">
        <f aca="true">INDIRECT("'数据-取费表'!I"&amp;$G$1)</f>
        <v>0</v>
      </c>
      <c r="G40" s="1247"/>
      <c r="H40" s="1565"/>
      <c r="I40" s="1551"/>
      <c r="J40" s="1552"/>
      <c r="K40" s="1564"/>
      <c r="L40" s="1565"/>
      <c r="M40" s="1565"/>
    </row>
    <row r="41" customFormat="false" ht="18" hidden="false" customHeight="true" outlineLevel="0" collapsed="false">
      <c r="A41" s="1485"/>
      <c r="B41" s="1539"/>
      <c r="C41" s="1486"/>
      <c r="D41" s="1540" t="s">
        <v>1068</v>
      </c>
      <c r="E41" s="244" t="s">
        <v>1069</v>
      </c>
      <c r="F41" s="1541" t="n">
        <f aca="true">IF(INDIRECT("'数据-取费表'!af"&amp;$G$1)=0,INDIRECT("'数据-取费表'!ae"&amp;$G$1),INDIRECT("'数据-取费表'!af"&amp;$G$1))</f>
        <v>0</v>
      </c>
      <c r="G41" s="1247"/>
      <c r="H41" s="634"/>
      <c r="I41" s="1551"/>
      <c r="J41" s="1552"/>
      <c r="K41" s="1066"/>
      <c r="L41" s="634"/>
      <c r="M41" s="634"/>
    </row>
    <row r="42" customFormat="false" ht="18" hidden="false" customHeight="true" outlineLevel="0" collapsed="false">
      <c r="A42" s="1493"/>
      <c r="B42" s="1542"/>
      <c r="C42" s="1508"/>
      <c r="D42" s="321"/>
      <c r="E42" s="244" t="s">
        <v>1071</v>
      </c>
      <c r="F42" s="1487" t="n">
        <f aca="true">INDIRECT("'数据-取费表'!v"&amp;$G$1)</f>
        <v>0</v>
      </c>
      <c r="G42" s="1247"/>
      <c r="H42" s="634"/>
      <c r="I42" s="1551"/>
      <c r="J42" s="1552"/>
      <c r="K42" s="1066"/>
      <c r="L42" s="634"/>
      <c r="M42" s="634"/>
    </row>
    <row r="43" customFormat="false" ht="18" hidden="false" customHeight="true" outlineLevel="0" collapsed="false">
      <c r="A43" s="1544" t="s">
        <v>1073</v>
      </c>
      <c r="B43" s="1545" t="s">
        <v>1079</v>
      </c>
      <c r="C43" s="1546" t="e">
        <f aca="false">ROUND(C40/F43,0)</f>
        <v>#DIV/0!</v>
      </c>
      <c r="D43" s="1547" t="s">
        <v>1080</v>
      </c>
      <c r="E43" s="1566" t="s">
        <v>1081</v>
      </c>
      <c r="F43" s="1549" t="n">
        <f aca="true">INDIRECT("'数据-取费表'!k"&amp;$G$1)</f>
        <v>0</v>
      </c>
      <c r="G43" s="1247"/>
      <c r="H43" s="634"/>
      <c r="I43" s="634"/>
      <c r="J43" s="634"/>
      <c r="K43" s="1066"/>
      <c r="L43" s="634"/>
      <c r="M43" s="634"/>
    </row>
    <row r="44" s="1247" customFormat="true" ht="18" hidden="false" customHeight="true" outlineLevel="0" collapsed="false">
      <c r="A44" s="1567"/>
      <c r="B44" s="1567"/>
      <c r="C44" s="1568"/>
      <c r="D44" s="1567"/>
      <c r="E44" s="1567"/>
      <c r="F44" s="1567"/>
      <c r="K44" s="1246"/>
    </row>
    <row r="45" s="1247" customFormat="true" ht="18" hidden="false" customHeight="true" outlineLevel="0" collapsed="false">
      <c r="A45" s="1570" t="s">
        <v>1170</v>
      </c>
      <c r="B45" s="1567"/>
      <c r="C45" s="1705" t="e">
        <f aca="false">ROUND((C68-C40)/10000,4)</f>
        <v>#DIV/0!</v>
      </c>
      <c r="D45" s="1706" t="s">
        <v>722</v>
      </c>
      <c r="E45" s="1567"/>
      <c r="F45" s="1567"/>
      <c r="O45" s="1643" t="s">
        <v>1082</v>
      </c>
      <c r="P45" s="1565"/>
      <c r="Q45" s="1565"/>
      <c r="R45" s="1565"/>
    </row>
    <row r="46" s="1247" customFormat="true" ht="12.75" hidden="false" customHeight="false" outlineLevel="0" collapsed="false">
      <c r="A46" s="1570" t="s">
        <v>1083</v>
      </c>
      <c r="C46" s="1571" t="e">
        <f aca="false">ROUND(C45,0)</f>
        <v>#DIV/0!</v>
      </c>
      <c r="D46" s="1572" t="str">
        <f aca="false">C2</f>
        <v>万元</v>
      </c>
      <c r="I46" s="1573" t="s">
        <v>1084</v>
      </c>
      <c r="J46" s="1574"/>
      <c r="K46" s="1575"/>
      <c r="L46" s="1576" t="e">
        <f aca="false">IF(M47="住宅",0,IF(L48&gt;J51,L60,J60))</f>
        <v>#DIV/0!</v>
      </c>
      <c r="O46" s="1577" t="s">
        <v>765</v>
      </c>
      <c r="P46" s="1578" t="s">
        <v>527</v>
      </c>
      <c r="Q46" s="1579" t="s">
        <v>1000</v>
      </c>
      <c r="R46" s="1579" t="s">
        <v>1001</v>
      </c>
    </row>
    <row r="47" s="1247" customFormat="true" ht="12.75" hidden="false" customHeight="false" outlineLevel="0" collapsed="false">
      <c r="A47" s="1580" t="s">
        <v>765</v>
      </c>
      <c r="B47" s="1581" t="s">
        <v>527</v>
      </c>
      <c r="C47" s="1581" t="s">
        <v>1000</v>
      </c>
      <c r="D47" s="1581" t="s">
        <v>1001</v>
      </c>
      <c r="E47" s="1583" t="s">
        <v>1002</v>
      </c>
      <c r="F47" s="1584"/>
      <c r="G47" s="1585"/>
      <c r="I47" s="1586" t="s">
        <v>1085</v>
      </c>
      <c r="J47" s="1587"/>
      <c r="K47" s="1588" t="s">
        <v>1086</v>
      </c>
      <c r="L47" s="1589" t="n">
        <f aca="true">INDIRECT("'数据-取费表'!d"&amp;$G$1)</f>
        <v>0</v>
      </c>
      <c r="M47" s="1590" t="str">
        <f aca="false">IF(ISNUMBER(FIND("住宅",C1)),"住宅","非住宅")</f>
        <v>非住宅</v>
      </c>
      <c r="O47" s="1591" t="s">
        <v>887</v>
      </c>
      <c r="P47" s="1592" t="s">
        <v>1087</v>
      </c>
      <c r="Q47" s="1594" t="e">
        <f aca="false">C40+J29</f>
        <v>#DIV/0!</v>
      </c>
      <c r="R47" s="1594" t="s">
        <v>1088</v>
      </c>
    </row>
    <row r="48" s="1247" customFormat="true" ht="27.75" hidden="false" customHeight="false" outlineLevel="0" collapsed="false">
      <c r="A48" s="1595" t="s">
        <v>1089</v>
      </c>
      <c r="B48" s="1472" t="s">
        <v>1003</v>
      </c>
      <c r="C48" s="452" t="n">
        <f aca="false">C49+C53+C55</f>
        <v>0</v>
      </c>
      <c r="D48" s="1596"/>
      <c r="E48" s="1597"/>
      <c r="F48" s="1598"/>
      <c r="G48" s="1585"/>
      <c r="H48" s="1599"/>
      <c r="I48" s="1600" t="s">
        <v>1090</v>
      </c>
      <c r="J48" s="1601"/>
      <c r="K48" s="1602" t="s">
        <v>348</v>
      </c>
      <c r="L48" s="1603" t="n">
        <f aca="true">INDIRECT("'数据-取费表'!f"&amp;$G$1)</f>
        <v>0</v>
      </c>
      <c r="O48" s="1591" t="s">
        <v>888</v>
      </c>
      <c r="P48" s="1592" t="s">
        <v>1091</v>
      </c>
      <c r="Q48" s="1594" t="e">
        <f aca="false">J60</f>
        <v>#DIV/0!</v>
      </c>
      <c r="R48" s="1594" t="s">
        <v>1092</v>
      </c>
    </row>
    <row r="49" s="1247" customFormat="true" ht="12.75" hidden="false" customHeight="false" outlineLevel="0" collapsed="false">
      <c r="A49" s="1604" t="s">
        <v>1093</v>
      </c>
      <c r="B49" s="1605" t="s">
        <v>1094</v>
      </c>
      <c r="C49" s="1606" t="n">
        <f aca="false">ROUND(F49*F51*F50*(1-F52),0)</f>
        <v>0</v>
      </c>
      <c r="D49" s="1607" t="s">
        <v>1171</v>
      </c>
      <c r="E49" s="1608" t="s">
        <v>1095</v>
      </c>
      <c r="F49" s="1609"/>
      <c r="G49" s="1610"/>
      <c r="H49" s="1599"/>
      <c r="I49" s="1600" t="s">
        <v>1096</v>
      </c>
      <c r="J49" s="1611"/>
      <c r="K49" s="1602" t="s">
        <v>1097</v>
      </c>
      <c r="L49" s="1612"/>
      <c r="O49" s="1613" t="s">
        <v>1098</v>
      </c>
      <c r="P49" s="1592" t="s">
        <v>1099</v>
      </c>
      <c r="Q49" s="1594" t="n">
        <f aca="false">C29</f>
        <v>0</v>
      </c>
      <c r="R49" s="1594" t="s">
        <v>1088</v>
      </c>
    </row>
    <row r="50" s="1247" customFormat="true" ht="12.75" hidden="false" customHeight="false" outlineLevel="0" collapsed="false">
      <c r="A50" s="1614"/>
      <c r="B50" s="1615"/>
      <c r="C50" s="1624"/>
      <c r="D50" s="1617"/>
      <c r="E50" s="1618" t="s">
        <v>1008</v>
      </c>
      <c r="F50" s="1619" t="n">
        <f aca="false">F7</f>
        <v>0</v>
      </c>
      <c r="H50" s="1599"/>
      <c r="I50" s="1600" t="s">
        <v>1100</v>
      </c>
      <c r="J50" s="1620" t="n">
        <f aca="false">SUMPRODUCT((I63:I65=J47)*(J62:L62=J48)*(J63:L65))</f>
        <v>0</v>
      </c>
      <c r="K50" s="1602" t="s">
        <v>1101</v>
      </c>
      <c r="L50" s="1612"/>
      <c r="M50" s="1621"/>
      <c r="O50" s="1613" t="s">
        <v>1102</v>
      </c>
      <c r="P50" s="1592" t="s">
        <v>1103</v>
      </c>
      <c r="Q50" s="1622" t="e">
        <f aca="false">J58</f>
        <v>#DIV/0!</v>
      </c>
      <c r="R50" s="1593"/>
    </row>
    <row r="51" s="1247" customFormat="true" ht="12.75" hidden="false" customHeight="false" outlineLevel="0" collapsed="false">
      <c r="A51" s="1623"/>
      <c r="B51" s="1615"/>
      <c r="C51" s="1624"/>
      <c r="D51" s="1617"/>
      <c r="E51" s="1625" t="s">
        <v>1009</v>
      </c>
      <c r="F51" s="1480" t="n">
        <f aca="false">F8</f>
        <v>0</v>
      </c>
      <c r="I51" s="1626" t="s">
        <v>1104</v>
      </c>
      <c r="J51" s="1627" t="n">
        <f aca="false">IF(J49="",J50,J49+J50-YEAR('数据-取费表'!B2))</f>
        <v>0</v>
      </c>
      <c r="K51" s="1628" t="s">
        <v>1105</v>
      </c>
      <c r="L51" s="1629" t="n">
        <f aca="true">ROUND(-PV(INDIRECT("'数据-取费表'!h"&amp;$G$1),J51,(C39-C13*C76),0),0)</f>
        <v>0</v>
      </c>
      <c r="M51" s="1630"/>
      <c r="O51" s="1613" t="s">
        <v>1106</v>
      </c>
      <c r="P51" s="1592" t="s">
        <v>1107</v>
      </c>
      <c r="Q51" s="1622" t="n">
        <f aca="false">J52</f>
        <v>0</v>
      </c>
      <c r="R51" s="1593"/>
    </row>
    <row r="52" s="1247" customFormat="true" ht="12.75" hidden="false" customHeight="false" outlineLevel="0" collapsed="false">
      <c r="A52" s="1623"/>
      <c r="B52" s="1615"/>
      <c r="C52" s="1624"/>
      <c r="D52" s="1617"/>
      <c r="E52" s="1625" t="s">
        <v>1010</v>
      </c>
      <c r="F52" s="1631"/>
      <c r="I52" s="1632" t="s">
        <v>1108</v>
      </c>
      <c r="J52" s="1633"/>
      <c r="K52" s="1632" t="s">
        <v>1109</v>
      </c>
      <c r="L52" s="1633"/>
      <c r="O52" s="1613" t="s">
        <v>1110</v>
      </c>
      <c r="P52" s="1592" t="s">
        <v>1111</v>
      </c>
      <c r="Q52" s="1594" t="n">
        <f aca="false">J53</f>
        <v>0</v>
      </c>
      <c r="R52" s="1594" t="s">
        <v>1112</v>
      </c>
    </row>
    <row r="53" s="1247" customFormat="true" ht="30.75" hidden="false" customHeight="true" outlineLevel="0" collapsed="false">
      <c r="A53" s="1707" t="s">
        <v>1113</v>
      </c>
      <c r="B53" s="292" t="s">
        <v>1011</v>
      </c>
      <c r="C53" s="1490" t="n">
        <f aca="false">ROUND(IF(F53="押一",C49/12*F11,IF(F53="押二",C49/12*2*F11,IF(F53="押三",C49/12*3*F11,C54*F11))),0)</f>
        <v>0</v>
      </c>
      <c r="D53" s="1491" t="s">
        <v>1172</v>
      </c>
      <c r="E53" s="312" t="s">
        <v>1013</v>
      </c>
      <c r="F53" s="1492"/>
      <c r="I53" s="1635" t="s">
        <v>1114</v>
      </c>
      <c r="J53" s="1636" t="n">
        <f aca="false">IF(M47="住宅",IF(D1="——",MAX(J51,L48),MAX(J51,L48-'数据-取费表'!B24)),IF(D1="——",MIN(J51,L48),MIN(J51,L48-'数据-取费表'!B24)))</f>
        <v>0</v>
      </c>
      <c r="K53" s="1637" t="s">
        <v>1115</v>
      </c>
      <c r="L53" s="1637"/>
      <c r="O53" s="1591" t="s">
        <v>970</v>
      </c>
      <c r="P53" s="1592" t="s">
        <v>1116</v>
      </c>
      <c r="Q53" s="1594" t="e">
        <f aca="false">Q47+Q48</f>
        <v>#DIV/0!</v>
      </c>
      <c r="R53" s="1593" t="s">
        <v>1117</v>
      </c>
    </row>
    <row r="54" s="1247" customFormat="true" ht="12.75" hidden="false" customHeight="false" outlineLevel="0" collapsed="false">
      <c r="A54" s="1604"/>
      <c r="B54" s="1708" t="s">
        <v>1169</v>
      </c>
      <c r="C54" s="1495"/>
      <c r="D54" s="1491"/>
      <c r="E54" s="1639"/>
      <c r="F54" s="1640"/>
      <c r="I54" s="1641" t="str">
        <f aca="false">IF(M47="住宅","估价对象为住宅，收益年期仅考虑建筑物耐用年限",IF(J51&gt;L48,"建筑物剩余经济寿命超过剩余土地使用期限，需查看出让合同对于是否无偿收回的约定","剩余土地使用期限超过建筑物剩余经济寿命，需计算收益期外土地使用权价值"))</f>
        <v>剩余土地使用期限超过建筑物剩余经济寿命，需计算收益期外土地使用权价值</v>
      </c>
      <c r="J54" s="1642"/>
      <c r="K54" s="1642"/>
      <c r="L54" s="1642"/>
      <c r="M54" s="1610"/>
      <c r="O54" s="1643" t="s">
        <v>1118</v>
      </c>
      <c r="P54" s="1644"/>
      <c r="Q54" s="1644"/>
      <c r="R54" s="1644"/>
    </row>
    <row r="55" s="1247" customFormat="true" ht="12.75" hidden="false" customHeight="false" outlineLevel="0" collapsed="false">
      <c r="A55" s="1499" t="s">
        <v>842</v>
      </c>
      <c r="B55" s="1500" t="s">
        <v>1015</v>
      </c>
      <c r="C55" s="1501"/>
      <c r="D55" s="1491"/>
      <c r="E55" s="1639"/>
      <c r="F55" s="1640"/>
      <c r="I55" s="1645" t="s">
        <v>1119</v>
      </c>
      <c r="J55" s="1646" t="e">
        <f aca="false">ROUND(IF(J47="钢混",J57/J50,1-(1-2%)*(J50-J57)/J50),3)</f>
        <v>#DIV/0!</v>
      </c>
      <c r="K55" s="1647" t="s">
        <v>1120</v>
      </c>
      <c r="L55" s="1648"/>
      <c r="O55" s="1577" t="s">
        <v>765</v>
      </c>
      <c r="P55" s="1578" t="s">
        <v>527</v>
      </c>
      <c r="Q55" s="1579" t="s">
        <v>1000</v>
      </c>
      <c r="R55" s="1579" t="s">
        <v>1001</v>
      </c>
    </row>
    <row r="56" s="1247" customFormat="true" ht="36" hidden="false" customHeight="true" outlineLevel="0" collapsed="false">
      <c r="A56" s="1649" t="n">
        <v>2</v>
      </c>
      <c r="B56" s="1650" t="s">
        <v>1016</v>
      </c>
      <c r="C56" s="1300" t="n">
        <f aca="false">C13</f>
        <v>0</v>
      </c>
      <c r="D56" s="1651"/>
      <c r="E56" s="1652"/>
      <c r="F56" s="1640"/>
      <c r="I56" s="1653" t="s">
        <v>1121</v>
      </c>
      <c r="J56" s="1654"/>
      <c r="K56" s="1600" t="s">
        <v>1122</v>
      </c>
      <c r="L56" s="1603" t="n">
        <f aca="false">IF(L48&lt;J51,"——",L48-J51)</f>
        <v>0</v>
      </c>
      <c r="O56" s="1591" t="s">
        <v>887</v>
      </c>
      <c r="P56" s="1592" t="s">
        <v>1087</v>
      </c>
      <c r="Q56" s="1594" t="e">
        <f aca="false">C40+J29</f>
        <v>#DIV/0!</v>
      </c>
      <c r="R56" s="1594" t="s">
        <v>1088</v>
      </c>
    </row>
    <row r="57" s="1247" customFormat="true" ht="24" hidden="false" customHeight="false" outlineLevel="0" collapsed="false">
      <c r="A57" s="1655"/>
      <c r="B57" s="1656" t="s">
        <v>1072</v>
      </c>
      <c r="C57" s="1309" t="n">
        <f aca="false">C29</f>
        <v>0</v>
      </c>
      <c r="D57" s="1657"/>
      <c r="E57" s="1658"/>
      <c r="F57" s="1659"/>
      <c r="I57" s="1660" t="s">
        <v>1123</v>
      </c>
      <c r="J57" s="1661" t="n">
        <f aca="false">IF(OR(M47="住宅",J51&lt;L48,J56="是"),"——",J51-L48)</f>
        <v>0</v>
      </c>
      <c r="K57" s="1600" t="s">
        <v>1173</v>
      </c>
      <c r="L57" s="1603" t="n">
        <f aca="false">IF(L48&lt;J51,"——",IF(L55="比较法",L49,IF(L55="基准地价",L50,L51)))</f>
        <v>0</v>
      </c>
      <c r="O57" s="1591" t="s">
        <v>888</v>
      </c>
      <c r="P57" s="1592" t="s">
        <v>1125</v>
      </c>
      <c r="Q57" s="1594" t="e">
        <f aca="false">L60</f>
        <v>#DIV/0!</v>
      </c>
      <c r="R57" s="1593" t="s">
        <v>1126</v>
      </c>
    </row>
    <row r="58" s="1247" customFormat="true" ht="24" hidden="false" customHeight="false" outlineLevel="0" collapsed="false">
      <c r="A58" s="1662" t="s">
        <v>1023</v>
      </c>
      <c r="B58" s="1650" t="s">
        <v>1024</v>
      </c>
      <c r="C58" s="1490" t="n">
        <f aca="false">ROUND(C59+C64+C65+C66,0)</f>
        <v>0</v>
      </c>
      <c r="D58" s="1663" t="s">
        <v>1025</v>
      </c>
      <c r="E58" s="1664"/>
      <c r="F58" s="1598"/>
      <c r="I58" s="1660" t="s">
        <v>1127</v>
      </c>
      <c r="J58" s="1665" t="e">
        <f aca="false">IF(J55&lt;0.4,0.4,J55)</f>
        <v>#DIV/0!</v>
      </c>
      <c r="K58" s="1628" t="s">
        <v>1174</v>
      </c>
      <c r="L58" s="1603" t="e">
        <f aca="false">ROUND(POWER(1+L52,L47-L48)*(POWER(1+L52,L48)-1)/(POWER(1+L52,L47)-1),4)</f>
        <v>#DIV/0!</v>
      </c>
      <c r="O58" s="1613" t="s">
        <v>1098</v>
      </c>
      <c r="P58" s="1592" t="s">
        <v>1129</v>
      </c>
      <c r="Q58" s="1594" t="n">
        <f aca="false">IF(L55="比较法",L49,IF(L55="基准地价",L50,0))</f>
        <v>0</v>
      </c>
      <c r="R58" s="1594" t="s">
        <v>1088</v>
      </c>
    </row>
    <row r="59" s="1247" customFormat="true" ht="24" hidden="false" customHeight="false" outlineLevel="0" collapsed="false">
      <c r="A59" s="1516" t="s">
        <v>794</v>
      </c>
      <c r="B59" s="1656" t="s">
        <v>1030</v>
      </c>
      <c r="C59" s="1524" t="n">
        <f aca="false">ROUND(IF(AND(项目基本情况!B11="自然人",项目基本情况!B10="北京市"),C49*F59/(1+'数据-取费表'!C42),C60+C61+C62),0)</f>
        <v>0</v>
      </c>
      <c r="D59" s="1666" t="s">
        <v>1031</v>
      </c>
      <c r="E59" s="408" t="s">
        <v>1032</v>
      </c>
      <c r="F59" s="1525" t="n">
        <f aca="false">IF(项目基本情况!B11="企业","——",IF('数据-取费表'!B10="住宅",IF(F49*F50*F51/12/(1+'数据-取费表'!F30)&gt;100000,4%,2.5%),IF(F49*F50*F51/12/(1+'数据-取费表'!F30)&gt;100000,12%,7%)))</f>
        <v>0.07</v>
      </c>
      <c r="I59" s="1660" t="s">
        <v>1130</v>
      </c>
      <c r="J59" s="1661" t="e">
        <f aca="false">IF(OR(M47="住宅",J51&lt;L48,J56="是"),"——",ROUND(C29*J58,0))</f>
        <v>#DIV/0!</v>
      </c>
      <c r="K59" s="1600" t="str">
        <f aca="false">IF(D1="——","建筑物剩余耐用年限下的土地年期修正系数Kn",IF(D1="在建（套用方法）","续建工期及建筑物耐用年限下的土地年期修正系数Kn","建设期及建筑物耐用年限下的土地年期修正系数Kn"))</f>
        <v>建筑物剩余耐用年限下的土地年期修正系数Kn</v>
      </c>
      <c r="L59" s="1603" t="e">
        <f aca="false">ROUND(IF(D1="在建（套用方法）",M59,IF(D1="土地（套用方法）",N59,POWER(1+L52,L47-J51)*(POWER(1+L52,J51)-1)/(POWER(1+L52,L47)-1))),4)</f>
        <v>#DIV/0!</v>
      </c>
      <c r="M59" s="1644" t="e">
        <f aca="false">ROUND(POWER(1+L52,L47-(J51+'数据-取费表'!B24))*(POWER(1+L52,(J51+'数据-取费表'!B24))-1)/(POWER(1+L52,L47)-1),4)</f>
        <v>#DIV/0!</v>
      </c>
      <c r="N59" s="1644" t="e">
        <f aca="false">ROUND(POWER(1+L52,L47-(J51+'数据-取费表'!B20))*(POWER(1+L52,(J51+'数据-取费表'!B20))-1)/(POWER(1+L52,L47)-1),4)</f>
        <v>#DIV/0!</v>
      </c>
      <c r="O59" s="1613" t="s">
        <v>1102</v>
      </c>
      <c r="P59" s="1592" t="s">
        <v>1131</v>
      </c>
      <c r="Q59" s="1622" t="n">
        <f aca="false">L52</f>
        <v>0</v>
      </c>
      <c r="R59" s="1593"/>
    </row>
    <row r="60" s="1247" customFormat="true" ht="15.75" hidden="false" customHeight="false" outlineLevel="0" collapsed="false">
      <c r="A60" s="1514" t="s">
        <v>816</v>
      </c>
      <c r="B60" s="1656" t="s">
        <v>1034</v>
      </c>
      <c r="C60" s="1528" t="str">
        <f aca="false">IF(项目基本情况!B11="自然人","——",ROUND(C48*F60/(1+'数据-取费表'!C42),0))</f>
        <v>——</v>
      </c>
      <c r="D60" s="408" t="s">
        <v>1035</v>
      </c>
      <c r="E60" s="1656" t="s">
        <v>1022</v>
      </c>
      <c r="F60" s="1533" t="n">
        <f aca="false">F32</f>
        <v>0.055</v>
      </c>
      <c r="I60" s="1667" t="s">
        <v>1132</v>
      </c>
      <c r="J60" s="1668" t="e">
        <f aca="false">IF(OR(M47="住宅",J51&lt;L48,J56="是"),"0",ROUND(J59/(1+J52)^J53,0))</f>
        <v>#DIV/0!</v>
      </c>
      <c r="K60" s="1669" t="s">
        <v>1133</v>
      </c>
      <c r="L60" s="1668" t="e">
        <f aca="false">IF(OR(M47="住宅",L48&lt;J51),0,ROUND(L57*(L58/L59-1),0))</f>
        <v>#DIV/0!</v>
      </c>
      <c r="O60" s="1613" t="s">
        <v>1106</v>
      </c>
      <c r="P60" s="1592" t="s">
        <v>1134</v>
      </c>
      <c r="Q60" s="1594" t="e">
        <f aca="false">L58</f>
        <v>#DIV/0!</v>
      </c>
      <c r="R60" s="1593" t="s">
        <v>1135</v>
      </c>
    </row>
    <row r="61" s="1247" customFormat="true" ht="12.75" hidden="false" customHeight="false" outlineLevel="0" collapsed="false">
      <c r="A61" s="1514" t="s">
        <v>820</v>
      </c>
      <c r="B61" s="1656" t="s">
        <v>1037</v>
      </c>
      <c r="C61" s="1528" t="str">
        <f aca="true">IF(项目基本情况!B11="自然人","——",IF(D61="按租金收入计税",ROUND(C49*F61/(1+'数据-取费表'!C42),0),IF(D61="按房产原值计税",ROUND(C57*F61*0.7,0),INDIRECT("'数据-取费表'!Aj"&amp;$G$1))))</f>
        <v>——</v>
      </c>
      <c r="D61" s="1526" t="s">
        <v>1038</v>
      </c>
      <c r="E61" s="1656" t="s">
        <v>1022</v>
      </c>
      <c r="F61" s="1523" t="n">
        <f aca="false">F33</f>
        <v>0.12</v>
      </c>
      <c r="I61" s="1565"/>
      <c r="J61" s="1565"/>
      <c r="K61" s="1565"/>
      <c r="L61" s="1565"/>
      <c r="O61" s="1613" t="s">
        <v>1110</v>
      </c>
      <c r="P61" s="1592" t="str">
        <f aca="false">K59</f>
        <v>建筑物剩余耐用年限下的土地年期修正系数Kn</v>
      </c>
      <c r="Q61" s="1594" t="e">
        <f aca="false">L59</f>
        <v>#DIV/0!</v>
      </c>
      <c r="R61" s="1593" t="s">
        <v>1136</v>
      </c>
    </row>
    <row r="62" s="1247" customFormat="true" ht="12.75" hidden="false" customHeight="false" outlineLevel="0" collapsed="false">
      <c r="A62" s="1514" t="s">
        <v>823</v>
      </c>
      <c r="B62" s="1670" t="s">
        <v>1040</v>
      </c>
      <c r="C62" s="471" t="str">
        <f aca="false">IF(项目基本情况!B11="自然人","——",ROUND(F62*F63,0))</f>
        <v>——</v>
      </c>
      <c r="D62" s="1671" t="s">
        <v>1041</v>
      </c>
      <c r="E62" s="1656" t="s">
        <v>1042</v>
      </c>
      <c r="F62" s="1527" t="n">
        <f aca="false">F34</f>
        <v>0</v>
      </c>
      <c r="I62" s="1672" t="s">
        <v>1137</v>
      </c>
      <c r="J62" s="1673" t="s">
        <v>1138</v>
      </c>
      <c r="K62" s="1673" t="s">
        <v>1139</v>
      </c>
      <c r="L62" s="1673" t="s">
        <v>1140</v>
      </c>
      <c r="M62" s="1674" t="s">
        <v>1141</v>
      </c>
      <c r="O62" s="1591" t="s">
        <v>970</v>
      </c>
      <c r="P62" s="1592" t="s">
        <v>1116</v>
      </c>
      <c r="Q62" s="1594" t="e">
        <f aca="false">Q56+Q57</f>
        <v>#DIV/0!</v>
      </c>
      <c r="R62" s="1593" t="s">
        <v>1117</v>
      </c>
    </row>
    <row r="63" s="1247" customFormat="true" ht="12.75" hidden="false" customHeight="false" outlineLevel="0" collapsed="false">
      <c r="A63" s="1529"/>
      <c r="B63" s="1675"/>
      <c r="C63" s="470"/>
      <c r="D63" s="1676"/>
      <c r="E63" s="1656" t="s">
        <v>1045</v>
      </c>
      <c r="F63" s="1480" t="n">
        <f aca="false">F35</f>
        <v>0</v>
      </c>
      <c r="I63" s="1672" t="s">
        <v>1142</v>
      </c>
      <c r="J63" s="1673" t="n">
        <v>70</v>
      </c>
      <c r="K63" s="1673" t="n">
        <v>50</v>
      </c>
      <c r="L63" s="1673" t="n">
        <v>80</v>
      </c>
      <c r="M63" s="1677" t="n">
        <v>0.02</v>
      </c>
      <c r="O63" s="1643" t="s">
        <v>1143</v>
      </c>
      <c r="P63" s="1644"/>
      <c r="Q63" s="1644"/>
      <c r="R63" s="1644"/>
    </row>
    <row r="64" s="1247" customFormat="true" ht="12.75" hidden="false" customHeight="false" outlineLevel="0" collapsed="false">
      <c r="A64" s="1516" t="s">
        <v>798</v>
      </c>
      <c r="B64" s="1656" t="s">
        <v>1046</v>
      </c>
      <c r="C64" s="1528" t="n">
        <f aca="false">ROUND(C57*F64,0)</f>
        <v>0</v>
      </c>
      <c r="D64" s="408" t="s">
        <v>1077</v>
      </c>
      <c r="E64" s="1656" t="s">
        <v>1022</v>
      </c>
      <c r="F64" s="1531" t="n">
        <f aca="false">F36</f>
        <v>0</v>
      </c>
      <c r="I64" s="1672" t="s">
        <v>1144</v>
      </c>
      <c r="J64" s="1673" t="n">
        <v>50</v>
      </c>
      <c r="K64" s="1673" t="n">
        <v>35</v>
      </c>
      <c r="L64" s="1673" t="n">
        <v>60</v>
      </c>
      <c r="M64" s="1674" t="n">
        <v>0</v>
      </c>
      <c r="O64" s="1577" t="s">
        <v>765</v>
      </c>
      <c r="P64" s="1578" t="s">
        <v>527</v>
      </c>
      <c r="Q64" s="1579" t="s">
        <v>1000</v>
      </c>
      <c r="R64" s="1579" t="s">
        <v>1001</v>
      </c>
    </row>
    <row r="65" s="1247" customFormat="true" ht="12.75" hidden="false" customHeight="false" outlineLevel="0" collapsed="false">
      <c r="A65" s="1516" t="s">
        <v>842</v>
      </c>
      <c r="B65" s="1656" t="s">
        <v>1050</v>
      </c>
      <c r="C65" s="1528" t="n">
        <f aca="false">ROUND(C56*F65,0)</f>
        <v>0</v>
      </c>
      <c r="D65" s="408" t="s">
        <v>1051</v>
      </c>
      <c r="E65" s="1656" t="s">
        <v>1022</v>
      </c>
      <c r="F65" s="1532" t="n">
        <f aca="false">F37</f>
        <v>0</v>
      </c>
      <c r="I65" s="1672" t="s">
        <v>1145</v>
      </c>
      <c r="J65" s="1673" t="n">
        <v>40</v>
      </c>
      <c r="K65" s="1673" t="n">
        <v>30</v>
      </c>
      <c r="L65" s="1673" t="n">
        <v>50</v>
      </c>
      <c r="M65" s="1677" t="n">
        <v>0.02</v>
      </c>
      <c r="O65" s="1591" t="s">
        <v>887</v>
      </c>
      <c r="P65" s="1592" t="s">
        <v>1087</v>
      </c>
      <c r="Q65" s="1594" t="e">
        <f aca="false">C40+J29</f>
        <v>#DIV/0!</v>
      </c>
      <c r="R65" s="1594" t="s">
        <v>1088</v>
      </c>
    </row>
    <row r="66" s="1247" customFormat="true" ht="15.75" hidden="false" customHeight="false" outlineLevel="0" collapsed="false">
      <c r="A66" s="1516" t="s">
        <v>845</v>
      </c>
      <c r="B66" s="1656" t="s">
        <v>621</v>
      </c>
      <c r="C66" s="1528" t="n">
        <f aca="false">ROUND(C48*F66,0)</f>
        <v>0</v>
      </c>
      <c r="D66" s="408" t="s">
        <v>1054</v>
      </c>
      <c r="E66" s="1656" t="s">
        <v>1022</v>
      </c>
      <c r="F66" s="1487" t="n">
        <f aca="false">F38</f>
        <v>0</v>
      </c>
      <c r="O66" s="1591" t="s">
        <v>888</v>
      </c>
      <c r="P66" s="1592" t="s">
        <v>1125</v>
      </c>
      <c r="Q66" s="1594" t="e">
        <f aca="false">L60</f>
        <v>#DIV/0!</v>
      </c>
      <c r="R66" s="1593" t="s">
        <v>1126</v>
      </c>
    </row>
    <row r="67" s="1247" customFormat="true" ht="15.75" hidden="false" customHeight="false" outlineLevel="0" collapsed="false">
      <c r="A67" s="1649" t="s">
        <v>1056</v>
      </c>
      <c r="B67" s="1678" t="s">
        <v>1057</v>
      </c>
      <c r="C67" s="1490" t="n">
        <f aca="false">C48-C58</f>
        <v>0</v>
      </c>
      <c r="D67" s="1666" t="s">
        <v>1058</v>
      </c>
      <c r="E67" s="1679"/>
      <c r="F67" s="1680"/>
      <c r="O67" s="1613" t="s">
        <v>1098</v>
      </c>
      <c r="P67" s="1592" t="s">
        <v>1129</v>
      </c>
      <c r="Q67" s="1681" t="n">
        <f aca="false">L51</f>
        <v>0</v>
      </c>
      <c r="R67" s="1593" t="s">
        <v>1146</v>
      </c>
    </row>
    <row r="68" s="1247" customFormat="true" ht="15.75" hidden="false" customHeight="false" outlineLevel="0" collapsed="false">
      <c r="A68" s="1682" t="s">
        <v>1062</v>
      </c>
      <c r="B68" s="1683" t="s">
        <v>1078</v>
      </c>
      <c r="C68" s="1481" t="e">
        <f aca="false">ROUND(C67*(1-((1+F70)/(1+F68))^F69)/(F68-F70),0)</f>
        <v>#DIV/0!</v>
      </c>
      <c r="D68" s="1671" t="s">
        <v>1064</v>
      </c>
      <c r="E68" s="1656" t="s">
        <v>1065</v>
      </c>
      <c r="F68" s="1487" t="n">
        <f aca="false">F40</f>
        <v>0</v>
      </c>
      <c r="O68" s="1613" t="s">
        <v>1102</v>
      </c>
      <c r="P68" s="1592" t="s">
        <v>1147</v>
      </c>
      <c r="Q68" s="1594" t="n">
        <f aca="false">ROUND(Q69-Q70*Q71,0)</f>
        <v>0</v>
      </c>
      <c r="R68" s="1593" t="s">
        <v>1148</v>
      </c>
    </row>
    <row r="69" s="1247" customFormat="true" ht="12.75" hidden="false" customHeight="false" outlineLevel="0" collapsed="false">
      <c r="A69" s="1684"/>
      <c r="B69" s="1685"/>
      <c r="C69" s="1486"/>
      <c r="D69" s="1686" t="s">
        <v>1068</v>
      </c>
      <c r="E69" s="1656" t="s">
        <v>1069</v>
      </c>
      <c r="F69" s="1541" t="n">
        <f aca="false">F41</f>
        <v>0</v>
      </c>
      <c r="O69" s="1613" t="s">
        <v>1149</v>
      </c>
      <c r="P69" s="1592" t="s">
        <v>1150</v>
      </c>
      <c r="Q69" s="1594" t="n">
        <f aca="false">C39</f>
        <v>0</v>
      </c>
      <c r="R69" s="1594" t="s">
        <v>1088</v>
      </c>
    </row>
    <row r="70" s="1247" customFormat="true" ht="12.75" hidden="false" customHeight="false" outlineLevel="0" collapsed="false">
      <c r="A70" s="1687"/>
      <c r="B70" s="1688"/>
      <c r="C70" s="1508"/>
      <c r="D70" s="1676"/>
      <c r="E70" s="1656" t="s">
        <v>1071</v>
      </c>
      <c r="F70" s="1631"/>
      <c r="O70" s="1613" t="s">
        <v>1151</v>
      </c>
      <c r="P70" s="1592" t="s">
        <v>1152</v>
      </c>
      <c r="Q70" s="1594" t="n">
        <f aca="false">C13</f>
        <v>0</v>
      </c>
      <c r="R70" s="1594" t="s">
        <v>1088</v>
      </c>
    </row>
    <row r="71" s="1247" customFormat="true" ht="12.75" hidden="false" customHeight="false" outlineLevel="0" collapsed="false">
      <c r="A71" s="1689" t="s">
        <v>1073</v>
      </c>
      <c r="B71" s="1690" t="s">
        <v>1079</v>
      </c>
      <c r="C71" s="1546" t="e">
        <f aca="false">ROUND(C68/F71,0)</f>
        <v>#DIV/0!</v>
      </c>
      <c r="D71" s="1691" t="s">
        <v>1080</v>
      </c>
      <c r="E71" s="1692" t="s">
        <v>1081</v>
      </c>
      <c r="F71" s="1549" t="n">
        <f aca="false">F43</f>
        <v>0</v>
      </c>
      <c r="O71" s="1613" t="s">
        <v>1153</v>
      </c>
      <c r="P71" s="1592" t="s">
        <v>1154</v>
      </c>
      <c r="Q71" s="1622" t="n">
        <f aca="false">C76</f>
        <v>0</v>
      </c>
      <c r="R71" s="1593"/>
    </row>
    <row r="72" s="1247" customFormat="true" ht="12.75" hidden="false" customHeight="false" outlineLevel="0" collapsed="false">
      <c r="B72" s="1248"/>
      <c r="C72" s="1248"/>
      <c r="O72" s="1613" t="s">
        <v>1106</v>
      </c>
      <c r="P72" s="1592" t="s">
        <v>1131</v>
      </c>
      <c r="Q72" s="1622" t="n">
        <f aca="false">L52</f>
        <v>0</v>
      </c>
      <c r="R72" s="1593"/>
    </row>
    <row r="73" customFormat="false" ht="15.75" hidden="false" customHeight="false" outlineLevel="0" collapsed="false">
      <c r="A73" s="1247"/>
      <c r="B73" s="1248"/>
      <c r="C73" s="1248"/>
      <c r="D73" s="1247"/>
      <c r="E73" s="1247"/>
      <c r="F73" s="1247"/>
      <c r="O73" s="1613" t="s">
        <v>1110</v>
      </c>
      <c r="P73" s="1592" t="s">
        <v>1134</v>
      </c>
      <c r="Q73" s="1594" t="e">
        <f aca="false">L58</f>
        <v>#DIV/0!</v>
      </c>
      <c r="R73" s="1593" t="s">
        <v>1135</v>
      </c>
    </row>
    <row r="74" customFormat="false" ht="12.75" hidden="false" customHeight="false" outlineLevel="0" collapsed="false">
      <c r="A74" s="1247"/>
      <c r="B74" s="1343" t="s">
        <v>1155</v>
      </c>
      <c r="C74" s="1693"/>
      <c r="D74" s="1247"/>
      <c r="E74" s="1247"/>
      <c r="F74" s="1247"/>
      <c r="O74" s="1613" t="s">
        <v>1156</v>
      </c>
      <c r="P74" s="1592" t="str">
        <f aca="false">K59</f>
        <v>建筑物剩余耐用年限下的土地年期修正系数Kn</v>
      </c>
      <c r="Q74" s="1594" t="e">
        <f aca="false">L59</f>
        <v>#DIV/0!</v>
      </c>
      <c r="R74" s="1593" t="s">
        <v>1136</v>
      </c>
    </row>
    <row r="75" customFormat="false" ht="12.75" hidden="false" customHeight="false" outlineLevel="0" collapsed="false">
      <c r="A75" s="1247"/>
      <c r="B75" s="1694" t="s">
        <v>1157</v>
      </c>
      <c r="C75" s="1695" t="n">
        <f aca="false">ROUND(C13*C76,0)</f>
        <v>0</v>
      </c>
      <c r="D75" s="1247"/>
      <c r="E75" s="1247"/>
      <c r="F75" s="1247"/>
      <c r="K75" s="1246"/>
      <c r="L75" s="1247"/>
      <c r="O75" s="1591" t="s">
        <v>970</v>
      </c>
      <c r="P75" s="1592" t="s">
        <v>1116</v>
      </c>
      <c r="Q75" s="1594" t="e">
        <f aca="false">Q65+Q66</f>
        <v>#DIV/0!</v>
      </c>
      <c r="R75" s="1593" t="s">
        <v>1117</v>
      </c>
    </row>
    <row r="76" customFormat="false" ht="12.75" hidden="false" customHeight="false" outlineLevel="0" collapsed="false">
      <c r="B76" s="1696" t="s">
        <v>1158</v>
      </c>
      <c r="C76" s="1697" t="n">
        <f aca="true">INDIRECT("'数据-取费表'!j"&amp;$G$1)</f>
        <v>0</v>
      </c>
      <c r="I76" s="1247"/>
      <c r="J76" s="1247"/>
      <c r="K76" s="1246"/>
      <c r="L76" s="1247"/>
    </row>
    <row r="77" customFormat="false" ht="12.75" hidden="false" customHeight="false" outlineLevel="0" collapsed="false">
      <c r="B77" s="1698" t="s">
        <v>1159</v>
      </c>
      <c r="C77" s="1699"/>
      <c r="I77" s="1247"/>
      <c r="J77" s="1247"/>
      <c r="K77" s="1246"/>
      <c r="L77" s="1247"/>
    </row>
    <row r="78" customFormat="false" ht="12.75" hidden="false" customHeight="false" outlineLevel="0" collapsed="false">
      <c r="B78" s="1700" t="s">
        <v>1160</v>
      </c>
      <c r="C78" s="1701"/>
    </row>
    <row r="79" customFormat="false" ht="12.75" hidden="false" customHeight="false" outlineLevel="0" collapsed="false">
      <c r="B79" s="1694" t="s">
        <v>1161</v>
      </c>
      <c r="C79" s="1345" t="e">
        <f aca="false">1-C80</f>
        <v>#DIV/0!</v>
      </c>
    </row>
    <row r="80" customFormat="false" ht="12.75" hidden="false" customHeight="false" outlineLevel="0" collapsed="false">
      <c r="B80" s="1694" t="s">
        <v>1162</v>
      </c>
      <c r="C80" s="1345" t="e">
        <f aca="false">ROUND(C75/C39,3)</f>
        <v>#DIV/0!</v>
      </c>
    </row>
    <row r="81" customFormat="false" ht="12.75" hidden="false" customHeight="false" outlineLevel="0" collapsed="false">
      <c r="B81" s="1700" t="s">
        <v>1163</v>
      </c>
      <c r="C81" s="1309"/>
    </row>
    <row r="82" customFormat="false" ht="12.75" hidden="false" customHeight="false" outlineLevel="0" collapsed="false">
      <c r="B82" s="1343" t="s">
        <v>956</v>
      </c>
      <c r="C82" s="1344" t="e">
        <f aca="false">1-C83</f>
        <v>#DIV/0!</v>
      </c>
    </row>
    <row r="83" customFormat="false" ht="12.75" hidden="false" customHeight="false" outlineLevel="0" collapsed="false">
      <c r="B83" s="1343" t="s">
        <v>957</v>
      </c>
      <c r="C83" s="1345" t="e">
        <f aca="false">ROUND(C13/C40,3)</f>
        <v>#DIV/0!</v>
      </c>
    </row>
  </sheetData>
  <sheetProtection sheet="true" password="cee9" objects="true" scenarios="true" formatCells="false" formatColumns="false" formatRows="false"/>
  <mergeCells count="3">
    <mergeCell ref="B6:B9"/>
    <mergeCell ref="I6:I9"/>
    <mergeCell ref="K53:L53"/>
  </mergeCells>
  <conditionalFormatting sqref="C11">
    <cfRule type="expression" priority="2" aboveAverage="0" equalAverage="0" bottom="0" percent="0" rank="0" text="" dxfId="70">
      <formula>$F$10="自定义"</formula>
    </cfRule>
  </conditionalFormatting>
  <conditionalFormatting sqref="J11">
    <cfRule type="expression" priority="3" aboveAverage="0" equalAverage="0" bottom="0" percent="0" rank="0" text="" dxfId="71">
      <formula>$M$10="自定义"</formula>
    </cfRule>
  </conditionalFormatting>
  <conditionalFormatting sqref="C54">
    <cfRule type="expression" priority="4" aboveAverage="0" equalAverage="0" bottom="0" percent="0" rank="0" text="" dxfId="72">
      <formula>$F$53="自定义"</formula>
    </cfRule>
  </conditionalFormatting>
  <conditionalFormatting sqref="I55 I60">
    <cfRule type="expression" priority="5" aboveAverage="0" equalAverage="0" bottom="0" percent="0" rank="0" text="" dxfId="73">
      <formula>$J$51&gt;$L$48</formula>
    </cfRule>
  </conditionalFormatting>
  <conditionalFormatting sqref="K55 K60">
    <cfRule type="expression" priority="6" aboveAverage="0" equalAverage="0" bottom="0" percent="0" rank="0" text="" dxfId="74">
      <formula>$L$48&gt;$J$51</formula>
    </cfRule>
  </conditionalFormatting>
  <dataValidations count="9">
    <dataValidation allowBlank="true" operator="between" showDropDown="false" showErrorMessage="true" showInputMessage="true" sqref="C1" type="list">
      <formula1>项目类型</formula1>
      <formula2>0</formula2>
    </dataValidation>
    <dataValidation allowBlank="true" operator="between" showDropDown="false" showErrorMessage="true" showInputMessage="true" sqref="K19" type="list">
      <formula1>"按租金收入计税,按房产原值计税"</formula1>
      <formula2>0</formula2>
    </dataValidation>
    <dataValidation allowBlank="true" operator="between" showDropDown="false" showErrorMessage="true" showInputMessage="true" sqref="F10 M10 F53" type="list">
      <formula1>"押一,押二,押三,自定义"</formula1>
      <formula2>0</formula2>
    </dataValidation>
    <dataValidation allowBlank="true" operator="between" showDropDown="false" showErrorMessage="true" showInputMessage="true" sqref="D1" type="list">
      <formula1>"在建（套用方法）,土地（套用方法）,——"</formula1>
      <formula2>0</formula2>
    </dataValidation>
    <dataValidation allowBlank="true" operator="between" showDropDown="false" showErrorMessage="true" showInputMessage="true" sqref="D33 D61" type="list">
      <formula1>"按租金收入计税,按房产原值计税,按票据"</formula1>
      <formula2>0</formula2>
    </dataValidation>
    <dataValidation allowBlank="true" operator="between" showDropDown="false" showErrorMessage="true" showInputMessage="true" sqref="L55" type="list">
      <formula1>"比较法,基准地价,收益还原"</formula1>
      <formula2>0</formula2>
    </dataValidation>
    <dataValidation allowBlank="true" operator="between" showDropDown="false" showErrorMessage="true" showInputMessage="true" sqref="J47" type="list">
      <formula1>"钢,钢混,砖混"</formula1>
      <formula2>0</formula2>
    </dataValidation>
    <dataValidation allowBlank="true" operator="between" showDropDown="false" showErrorMessage="true" showInputMessage="true" sqref="J48" type="list">
      <formula1>"非生产用房,生产用房,受腐蚀的生产用房"</formula1>
      <formula2>0</formula2>
    </dataValidation>
    <dataValidation allowBlank="true" operator="between" showDropDown="false" showErrorMessage="true" showInputMessage="true" sqref="J56" type="list">
      <formula1>估价范围判定</formula1>
      <formula2>0</formula2>
    </dataValidation>
  </dataValidations>
  <printOptions headings="false" gridLines="false" gridLinesSet="true" horizontalCentered="false" verticalCentered="false"/>
  <pageMargins left="0.7" right="0.7" top="0.75" bottom="0.75" header="0.511805555555555" footer="0.511805555555555"/>
  <pageSetup paperSize="9" scale="7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rowBreaks count="1" manualBreakCount="1">
    <brk id="44" man="true" max="16383" min="0"/>
  </rowBreaks>
  <colBreaks count="2" manualBreakCount="2">
    <brk id="6" man="true" max="65535" min="0"/>
    <brk id="13" man="true" max="65535" min="0"/>
  </colBreaks>
  <legacyDrawing r:id="rId2"/>
</worksheet>
</file>

<file path=xl/worksheets/sheet24.xml><?xml version="1.0" encoding="utf-8"?>
<worksheet xmlns="http://schemas.openxmlformats.org/spreadsheetml/2006/main" xmlns:r="http://schemas.openxmlformats.org/officeDocument/2006/relationships">
  <sheetPr filterMode="false">
    <pageSetUpPr fitToPage="false"/>
  </sheetPr>
  <dimension ref="A1:V44"/>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E2" activeCellId="0" sqref="E2"/>
    </sheetView>
  </sheetViews>
  <sheetFormatPr defaultRowHeight="13.15" zeroHeight="false" outlineLevelRow="0" outlineLevelCol="0"/>
  <cols>
    <col collapsed="false" customWidth="true" hidden="false" outlineLevel="0" max="1" min="1" style="1709" width="9.5"/>
    <col collapsed="false" customWidth="true" hidden="false" outlineLevel="0" max="2" min="2" style="1709" width="8.88"/>
    <col collapsed="false" customWidth="true" hidden="false" outlineLevel="0" max="5" min="3" style="1709" width="12.88"/>
    <col collapsed="false" customWidth="true" hidden="false" outlineLevel="0" max="6" min="6" style="1709" width="47.5"/>
    <col collapsed="false" customWidth="true" hidden="false" outlineLevel="0" max="7" min="7" style="1710" width="13"/>
    <col collapsed="false" customWidth="true" hidden="false" outlineLevel="0" max="9" min="8" style="1711" width="8.88"/>
    <col collapsed="false" customWidth="true" hidden="false" outlineLevel="0" max="10" min="10" style="1712" width="5.76"/>
    <col collapsed="false" customWidth="true" hidden="false" outlineLevel="0" max="11" min="11" style="1712" width="11.76"/>
    <col collapsed="false" customWidth="true" hidden="false" outlineLevel="0" max="13" min="12" style="1712" width="10.76"/>
    <col collapsed="false" customWidth="true" hidden="false" outlineLevel="0" max="14" min="14" style="1712" width="10"/>
    <col collapsed="false" customWidth="true" hidden="false" outlineLevel="0" max="16" min="15" style="1712" width="10.5"/>
    <col collapsed="false" customWidth="true" hidden="false" outlineLevel="0" max="17" min="17" style="1712" width="10"/>
    <col collapsed="false" customWidth="true" hidden="false" outlineLevel="0" max="18" min="18" style="1712" width="10.12"/>
    <col collapsed="false" customWidth="true" hidden="false" outlineLevel="0" max="19" min="19" style="1712" width="10"/>
    <col collapsed="false" customWidth="true" hidden="false" outlineLevel="0" max="20" min="20" style="1712" width="26.12"/>
    <col collapsed="false" customWidth="true" hidden="false" outlineLevel="0" max="21" min="21" style="1712" width="8.88"/>
    <col collapsed="false" customWidth="true" hidden="false" outlineLevel="0" max="22" min="22" style="1711" width="8.88"/>
    <col collapsed="false" customWidth="true" hidden="false" outlineLevel="0" max="256" min="23" style="1709" width="8.88"/>
    <col collapsed="false" customWidth="true" hidden="false" outlineLevel="0" max="257" min="257" style="1709" width="9.5"/>
    <col collapsed="false" customWidth="true" hidden="false" outlineLevel="0" max="258" min="258" style="1709" width="8.88"/>
    <col collapsed="false" customWidth="true" hidden="false" outlineLevel="0" max="261" min="259" style="1709" width="12.88"/>
    <col collapsed="false" customWidth="true" hidden="false" outlineLevel="0" max="262" min="262" style="1709" width="47.5"/>
    <col collapsed="false" customWidth="true" hidden="false" outlineLevel="0" max="263" min="263" style="1709" width="13"/>
    <col collapsed="false" customWidth="true" hidden="false" outlineLevel="0" max="265" min="264" style="1709" width="8.88"/>
    <col collapsed="false" customWidth="true" hidden="false" outlineLevel="0" max="266" min="266" style="1709" width="5.76"/>
    <col collapsed="false" customWidth="true" hidden="false" outlineLevel="0" max="267" min="267" style="1709" width="11.76"/>
    <col collapsed="false" customWidth="true" hidden="false" outlineLevel="0" max="269" min="268" style="1709" width="10.76"/>
    <col collapsed="false" customWidth="true" hidden="false" outlineLevel="0" max="270" min="270" style="1709" width="10"/>
    <col collapsed="false" customWidth="true" hidden="false" outlineLevel="0" max="272" min="271" style="1709" width="10.5"/>
    <col collapsed="false" customWidth="true" hidden="false" outlineLevel="0" max="273" min="273" style="1709" width="10"/>
    <col collapsed="false" customWidth="true" hidden="false" outlineLevel="0" max="274" min="274" style="1709" width="10.12"/>
    <col collapsed="false" customWidth="true" hidden="false" outlineLevel="0" max="275" min="275" style="1709" width="10"/>
    <col collapsed="false" customWidth="true" hidden="false" outlineLevel="0" max="276" min="276" style="1709" width="26.12"/>
    <col collapsed="false" customWidth="true" hidden="false" outlineLevel="0" max="512" min="277" style="1709" width="8.88"/>
    <col collapsed="false" customWidth="true" hidden="false" outlineLevel="0" max="513" min="513" style="1709" width="9.5"/>
    <col collapsed="false" customWidth="true" hidden="false" outlineLevel="0" max="514" min="514" style="1709" width="8.88"/>
    <col collapsed="false" customWidth="true" hidden="false" outlineLevel="0" max="517" min="515" style="1709" width="12.88"/>
    <col collapsed="false" customWidth="true" hidden="false" outlineLevel="0" max="518" min="518" style="1709" width="47.5"/>
    <col collapsed="false" customWidth="true" hidden="false" outlineLevel="0" max="519" min="519" style="1709" width="13"/>
    <col collapsed="false" customWidth="true" hidden="false" outlineLevel="0" max="521" min="520" style="1709" width="8.88"/>
    <col collapsed="false" customWidth="true" hidden="false" outlineLevel="0" max="522" min="522" style="1709" width="5.76"/>
    <col collapsed="false" customWidth="true" hidden="false" outlineLevel="0" max="523" min="523" style="1709" width="11.76"/>
    <col collapsed="false" customWidth="true" hidden="false" outlineLevel="0" max="525" min="524" style="1709" width="10.76"/>
    <col collapsed="false" customWidth="true" hidden="false" outlineLevel="0" max="526" min="526" style="1709" width="10"/>
    <col collapsed="false" customWidth="true" hidden="false" outlineLevel="0" max="528" min="527" style="1709" width="10.5"/>
    <col collapsed="false" customWidth="true" hidden="false" outlineLevel="0" max="529" min="529" style="1709" width="10"/>
    <col collapsed="false" customWidth="true" hidden="false" outlineLevel="0" max="530" min="530" style="1709" width="10.12"/>
    <col collapsed="false" customWidth="true" hidden="false" outlineLevel="0" max="531" min="531" style="1709" width="10"/>
    <col collapsed="false" customWidth="true" hidden="false" outlineLevel="0" max="532" min="532" style="1709" width="26.12"/>
    <col collapsed="false" customWidth="true" hidden="false" outlineLevel="0" max="768" min="533" style="1709" width="8.88"/>
    <col collapsed="false" customWidth="true" hidden="false" outlineLevel="0" max="769" min="769" style="1709" width="9.5"/>
    <col collapsed="false" customWidth="true" hidden="false" outlineLevel="0" max="770" min="770" style="1709" width="8.88"/>
    <col collapsed="false" customWidth="true" hidden="false" outlineLevel="0" max="773" min="771" style="1709" width="12.88"/>
    <col collapsed="false" customWidth="true" hidden="false" outlineLevel="0" max="774" min="774" style="1709" width="47.5"/>
    <col collapsed="false" customWidth="true" hidden="false" outlineLevel="0" max="775" min="775" style="1709" width="13"/>
    <col collapsed="false" customWidth="true" hidden="false" outlineLevel="0" max="777" min="776" style="1709" width="8.88"/>
    <col collapsed="false" customWidth="true" hidden="false" outlineLevel="0" max="778" min="778" style="1709" width="5.76"/>
    <col collapsed="false" customWidth="true" hidden="false" outlineLevel="0" max="779" min="779" style="1709" width="11.76"/>
    <col collapsed="false" customWidth="true" hidden="false" outlineLevel="0" max="781" min="780" style="1709" width="10.76"/>
    <col collapsed="false" customWidth="true" hidden="false" outlineLevel="0" max="782" min="782" style="1709" width="10"/>
    <col collapsed="false" customWidth="true" hidden="false" outlineLevel="0" max="784" min="783" style="1709" width="10.5"/>
    <col collapsed="false" customWidth="true" hidden="false" outlineLevel="0" max="785" min="785" style="1709" width="10"/>
    <col collapsed="false" customWidth="true" hidden="false" outlineLevel="0" max="786" min="786" style="1709" width="10.12"/>
    <col collapsed="false" customWidth="true" hidden="false" outlineLevel="0" max="787" min="787" style="1709" width="10"/>
    <col collapsed="false" customWidth="true" hidden="false" outlineLevel="0" max="788" min="788" style="1709" width="26.12"/>
    <col collapsed="false" customWidth="true" hidden="false" outlineLevel="0" max="1025" min="789" style="1709" width="8.88"/>
  </cols>
  <sheetData>
    <row r="1" customFormat="false" ht="21" hidden="false" customHeight="true" outlineLevel="0" collapsed="false">
      <c r="A1" s="1713" t="s">
        <v>1175</v>
      </c>
      <c r="B1" s="1714"/>
      <c r="C1" s="1715"/>
      <c r="D1" s="1715"/>
      <c r="E1" s="1716"/>
      <c r="F1" s="1717"/>
      <c r="G1" s="1718"/>
      <c r="J1" s="1719" t="s">
        <v>1176</v>
      </c>
      <c r="K1" s="1720"/>
      <c r="L1" s="1720"/>
      <c r="M1" s="1720"/>
      <c r="N1" s="1720"/>
      <c r="O1" s="1720"/>
      <c r="P1" s="1720"/>
      <c r="Q1" s="1720"/>
      <c r="R1" s="1721"/>
      <c r="S1" s="1722"/>
      <c r="T1" s="1722"/>
      <c r="U1" s="1722"/>
    </row>
    <row r="2" s="1733" customFormat="true" ht="13.15" hidden="false" customHeight="true" outlineLevel="0" collapsed="false">
      <c r="A2" s="1454" t="s">
        <v>97</v>
      </c>
      <c r="B2" s="1723" t="e">
        <f aca="false">IF(D2="——",C40,C40+E2)</f>
        <v>#DIV/0!</v>
      </c>
      <c r="C2" s="1715" t="s">
        <v>722</v>
      </c>
      <c r="D2" s="1724" t="s">
        <v>1177</v>
      </c>
      <c r="E2" s="1725"/>
      <c r="F2" s="1726"/>
      <c r="G2" s="1727"/>
      <c r="H2" s="1728"/>
      <c r="I2" s="1728"/>
      <c r="J2" s="1729" t="s">
        <v>439</v>
      </c>
      <c r="K2" s="1729"/>
      <c r="L2" s="1730" t="s">
        <v>1178</v>
      </c>
      <c r="M2" s="1730" t="s">
        <v>1179</v>
      </c>
      <c r="N2" s="1730" t="s">
        <v>1180</v>
      </c>
      <c r="O2" s="1730" t="s">
        <v>1181</v>
      </c>
      <c r="P2" s="1730" t="s">
        <v>1182</v>
      </c>
      <c r="Q2" s="1731" t="s">
        <v>1183</v>
      </c>
      <c r="R2" s="1732" t="s">
        <v>345</v>
      </c>
      <c r="S2" s="1722"/>
      <c r="T2" s="1722"/>
      <c r="U2" s="1722"/>
      <c r="V2" s="1728"/>
    </row>
    <row r="3" s="1733" customFormat="true" ht="13.15" hidden="false" customHeight="true" outlineLevel="0" collapsed="false">
      <c r="A3" s="1734" t="s">
        <v>110</v>
      </c>
      <c r="B3" s="1735" t="e">
        <f aca="false">ROUND(B2*10000/B4,0)</f>
        <v>#DIV/0!</v>
      </c>
      <c r="C3" s="1715" t="s">
        <v>998</v>
      </c>
      <c r="D3" s="1715"/>
      <c r="E3" s="1736"/>
      <c r="F3" s="1726"/>
      <c r="G3" s="1727"/>
      <c r="H3" s="1728"/>
      <c r="I3" s="1728"/>
      <c r="J3" s="1737" t="s">
        <v>107</v>
      </c>
      <c r="K3" s="1737"/>
      <c r="L3" s="1738"/>
      <c r="M3" s="1738"/>
      <c r="N3" s="1738"/>
      <c r="O3" s="1738"/>
      <c r="P3" s="1738"/>
      <c r="Q3" s="1739"/>
      <c r="R3" s="1740" t="n">
        <f aca="false">SUM(L3:Q3)</f>
        <v>0</v>
      </c>
      <c r="S3" s="1722"/>
      <c r="T3" s="1722"/>
      <c r="U3" s="1722"/>
      <c r="V3" s="1728"/>
    </row>
    <row r="4" s="1733" customFormat="true" ht="13.15" hidden="false" customHeight="true" outlineLevel="0" collapsed="false">
      <c r="A4" s="1741" t="s">
        <v>107</v>
      </c>
      <c r="B4" s="1742"/>
      <c r="C4" s="1715"/>
      <c r="D4" s="1715"/>
      <c r="E4" s="1736"/>
      <c r="F4" s="1726"/>
      <c r="G4" s="1727"/>
      <c r="H4" s="1728"/>
      <c r="I4" s="1728"/>
      <c r="J4" s="1737" t="s">
        <v>443</v>
      </c>
      <c r="K4" s="1737"/>
      <c r="L4" s="1743"/>
      <c r="M4" s="1743"/>
      <c r="N4" s="1743"/>
      <c r="O4" s="1743"/>
      <c r="P4" s="1743"/>
      <c r="Q4" s="1744"/>
      <c r="R4" s="1745" t="n">
        <f aca="false">SUM(L4:Q4)</f>
        <v>0</v>
      </c>
      <c r="S4" s="1722"/>
      <c r="T4" s="1722"/>
      <c r="U4" s="1722"/>
      <c r="V4" s="1728"/>
    </row>
    <row r="5" s="1733" customFormat="true" ht="13.15" hidden="false" customHeight="true" outlineLevel="0" collapsed="false">
      <c r="A5" s="1746" t="s">
        <v>443</v>
      </c>
      <c r="B5" s="1747"/>
      <c r="C5" s="1715"/>
      <c r="D5" s="1748"/>
      <c r="E5" s="1726"/>
      <c r="F5" s="1726"/>
      <c r="G5" s="1727"/>
      <c r="H5" s="1728"/>
      <c r="I5" s="1728"/>
      <c r="J5" s="1749" t="s">
        <v>1184</v>
      </c>
      <c r="K5" s="1750"/>
      <c r="L5" s="1750"/>
      <c r="M5" s="1751"/>
      <c r="N5" s="1751"/>
      <c r="O5" s="1751"/>
      <c r="P5" s="1751"/>
      <c r="Q5" s="1751"/>
      <c r="R5" s="1732" t="n">
        <f aca="false">SUM(R14,R19,R24,R25,R27,R28)</f>
        <v>0</v>
      </c>
      <c r="S5" s="1722"/>
      <c r="T5" s="1722" t="s">
        <v>1185</v>
      </c>
      <c r="U5" s="1722" t="e">
        <f aca="false">ROUND(R5*10000/365/R3,1)</f>
        <v>#DIV/0!</v>
      </c>
      <c r="V5" s="1728"/>
    </row>
    <row r="6" s="1733" customFormat="true" ht="13.15" hidden="false" customHeight="true" outlineLevel="0" collapsed="false">
      <c r="A6" s="1752" t="s">
        <v>1186</v>
      </c>
      <c r="B6" s="1752"/>
      <c r="C6" s="1752"/>
      <c r="D6" s="1753"/>
      <c r="E6" s="1754"/>
      <c r="F6" s="1755"/>
      <c r="G6" s="1756"/>
      <c r="H6" s="1728"/>
      <c r="I6" s="1728"/>
      <c r="J6" s="1757" t="n">
        <v>1</v>
      </c>
      <c r="K6" s="1758" t="s">
        <v>1187</v>
      </c>
      <c r="L6" s="1759" t="s">
        <v>1188</v>
      </c>
      <c r="M6" s="1760" t="s">
        <v>1189</v>
      </c>
      <c r="N6" s="1760" t="s">
        <v>1190</v>
      </c>
      <c r="O6" s="1760" t="s">
        <v>1191</v>
      </c>
      <c r="P6" s="1760" t="s">
        <v>1192</v>
      </c>
      <c r="Q6" s="1760" t="s">
        <v>1193</v>
      </c>
      <c r="R6" s="1761" t="s">
        <v>1194</v>
      </c>
      <c r="S6" s="1722"/>
      <c r="T6" s="1722" t="s">
        <v>1195</v>
      </c>
      <c r="U6" s="1722"/>
      <c r="V6" s="1728"/>
    </row>
    <row r="7" s="1733" customFormat="true" ht="13.15" hidden="false" customHeight="true" outlineLevel="0" collapsed="false">
      <c r="A7" s="1762" t="s">
        <v>1196</v>
      </c>
      <c r="B7" s="1763"/>
      <c r="C7" s="1764"/>
      <c r="D7" s="1765" t="n">
        <f aca="false">SUM(D9,D10,D11,D17,0)</f>
        <v>0</v>
      </c>
      <c r="E7" s="1766" t="e">
        <f aca="false">E9+E10+E11+E17</f>
        <v>#DIV/0!</v>
      </c>
      <c r="F7" s="1767"/>
      <c r="G7" s="1768"/>
      <c r="H7" s="1728"/>
      <c r="I7" s="1728"/>
      <c r="J7" s="1757"/>
      <c r="K7" s="1758"/>
      <c r="L7" s="1769" t="s">
        <v>1197</v>
      </c>
      <c r="M7" s="1770"/>
      <c r="N7" s="1742"/>
      <c r="O7" s="1771"/>
      <c r="P7" s="1771"/>
      <c r="Q7" s="1772" t="n">
        <v>365</v>
      </c>
      <c r="R7" s="1773" t="n">
        <f aca="false">ROUND(M7*N7*O7*P7*Q7/10000,0)</f>
        <v>0</v>
      </c>
      <c r="S7" s="1722"/>
      <c r="T7" s="1722" t="s">
        <v>1198</v>
      </c>
      <c r="U7" s="1722"/>
      <c r="V7" s="1728"/>
    </row>
    <row r="8" s="1733" customFormat="true" ht="13.15" hidden="false" customHeight="true" outlineLevel="0" collapsed="false">
      <c r="A8" s="1774" t="s">
        <v>765</v>
      </c>
      <c r="B8" s="1775" t="s">
        <v>106</v>
      </c>
      <c r="C8" s="1775"/>
      <c r="D8" s="1776" t="s">
        <v>100</v>
      </c>
      <c r="E8" s="1775" t="s">
        <v>969</v>
      </c>
      <c r="F8" s="1777" t="s">
        <v>603</v>
      </c>
      <c r="G8" s="1778"/>
      <c r="H8" s="1728"/>
      <c r="I8" s="1728"/>
      <c r="J8" s="1757"/>
      <c r="K8" s="1758"/>
      <c r="L8" s="1769" t="s">
        <v>1199</v>
      </c>
      <c r="M8" s="1770"/>
      <c r="N8" s="1742"/>
      <c r="O8" s="1771"/>
      <c r="P8" s="1771"/>
      <c r="Q8" s="1772" t="n">
        <v>365</v>
      </c>
      <c r="R8" s="1773" t="n">
        <f aca="false">ROUND(M8*N8*O8*P8*Q8/10000,0)</f>
        <v>0</v>
      </c>
      <c r="S8" s="1722"/>
      <c r="T8" s="1722" t="s">
        <v>1200</v>
      </c>
      <c r="U8" s="1722"/>
      <c r="V8" s="1728"/>
    </row>
    <row r="9" s="1733" customFormat="true" ht="13.15" hidden="false" customHeight="true" outlineLevel="0" collapsed="false">
      <c r="A9" s="1774" t="n">
        <v>1</v>
      </c>
      <c r="B9" s="1775" t="s">
        <v>1201</v>
      </c>
      <c r="C9" s="1775"/>
      <c r="D9" s="1776" t="n">
        <f aca="false">ROUND(D6*E9,0)</f>
        <v>0</v>
      </c>
      <c r="E9" s="1779"/>
      <c r="F9" s="1780" t="s">
        <v>1202</v>
      </c>
      <c r="G9" s="1756"/>
      <c r="H9" s="1728"/>
      <c r="I9" s="1728"/>
      <c r="J9" s="1757"/>
      <c r="K9" s="1758"/>
      <c r="L9" s="1769" t="s">
        <v>1203</v>
      </c>
      <c r="M9" s="1770"/>
      <c r="N9" s="1742"/>
      <c r="O9" s="1771"/>
      <c r="P9" s="1771"/>
      <c r="Q9" s="1772" t="n">
        <v>365</v>
      </c>
      <c r="R9" s="1773" t="n">
        <f aca="false">ROUND(M9*N9*O9*P9*Q9/10000,0)</f>
        <v>0</v>
      </c>
      <c r="S9" s="1722"/>
      <c r="T9" s="1722"/>
      <c r="U9" s="1722"/>
      <c r="V9" s="1728"/>
    </row>
    <row r="10" s="1733" customFormat="true" ht="13.15" hidden="false" customHeight="true" outlineLevel="0" collapsed="false">
      <c r="A10" s="1774" t="n">
        <v>2</v>
      </c>
      <c r="B10" s="1775" t="s">
        <v>1204</v>
      </c>
      <c r="C10" s="1775"/>
      <c r="D10" s="1776" t="n">
        <f aca="false">ROUND(D6*E10,0)</f>
        <v>0</v>
      </c>
      <c r="E10" s="1779"/>
      <c r="F10" s="1780" t="s">
        <v>1205</v>
      </c>
      <c r="G10" s="1756"/>
      <c r="H10" s="1728"/>
      <c r="I10" s="1728"/>
      <c r="J10" s="1757"/>
      <c r="K10" s="1758"/>
      <c r="L10" s="1769" t="s">
        <v>1206</v>
      </c>
      <c r="M10" s="1770"/>
      <c r="N10" s="1742"/>
      <c r="O10" s="1771"/>
      <c r="P10" s="1771"/>
      <c r="Q10" s="1772" t="n">
        <v>365</v>
      </c>
      <c r="R10" s="1773" t="n">
        <f aca="false">ROUND(M10*N10*O10*P10*Q10/10000,0)</f>
        <v>0</v>
      </c>
      <c r="S10" s="1722"/>
      <c r="T10" s="1722"/>
      <c r="U10" s="1722"/>
      <c r="V10" s="1728"/>
    </row>
    <row r="11" s="1733" customFormat="true" ht="13.15" hidden="false" customHeight="true" outlineLevel="0" collapsed="false">
      <c r="A11" s="1774" t="n">
        <v>3</v>
      </c>
      <c r="B11" s="1775" t="s">
        <v>740</v>
      </c>
      <c r="C11" s="1775"/>
      <c r="D11" s="1776" t="n">
        <f aca="false">D12+D14+D15+D16</f>
        <v>0</v>
      </c>
      <c r="E11" s="1781" t="e">
        <f aca="false">D11/D6</f>
        <v>#DIV/0!</v>
      </c>
      <c r="F11" s="1777"/>
      <c r="G11" s="1778"/>
      <c r="H11" s="1728"/>
      <c r="I11" s="1728"/>
      <c r="J11" s="1757"/>
      <c r="K11" s="1758"/>
      <c r="L11" s="1769" t="s">
        <v>1207</v>
      </c>
      <c r="M11" s="1770"/>
      <c r="N11" s="1742"/>
      <c r="O11" s="1771"/>
      <c r="P11" s="1771"/>
      <c r="Q11" s="1772" t="n">
        <v>365</v>
      </c>
      <c r="R11" s="1773" t="n">
        <f aca="false">ROUND(M11*N11*O11*P11*Q11/10000,0)</f>
        <v>0</v>
      </c>
      <c r="S11" s="1722"/>
      <c r="T11" s="1722"/>
      <c r="U11" s="1722"/>
      <c r="V11" s="1728"/>
    </row>
    <row r="12" s="1733" customFormat="true" ht="13.15" hidden="false" customHeight="true" outlineLevel="0" collapsed="false">
      <c r="A12" s="1782" t="s">
        <v>1208</v>
      </c>
      <c r="B12" s="1783" t="s">
        <v>1037</v>
      </c>
      <c r="C12" s="1783"/>
      <c r="D12" s="1784" t="n">
        <f aca="false">ROUND(D13*1.2%*(1-30%),0)</f>
        <v>0</v>
      </c>
      <c r="E12" s="1785" t="n">
        <v>0.012</v>
      </c>
      <c r="F12" s="1777" t="s">
        <v>1209</v>
      </c>
      <c r="G12" s="1778"/>
      <c r="H12" s="1728"/>
      <c r="I12" s="1728"/>
      <c r="J12" s="1757"/>
      <c r="K12" s="1758"/>
      <c r="L12" s="1769" t="s">
        <v>1210</v>
      </c>
      <c r="M12" s="1770"/>
      <c r="N12" s="1742"/>
      <c r="O12" s="1771"/>
      <c r="P12" s="1771"/>
      <c r="Q12" s="1772" t="n">
        <v>365</v>
      </c>
      <c r="R12" s="1773" t="n">
        <f aca="false">ROUND(M12*N12*O12*P12*Q12/10000,0)</f>
        <v>0</v>
      </c>
      <c r="S12" s="1722"/>
      <c r="T12" s="1722"/>
      <c r="U12" s="1722"/>
      <c r="V12" s="1728"/>
    </row>
    <row r="13" s="1733" customFormat="true" ht="13.15" hidden="false" customHeight="true" outlineLevel="0" collapsed="false">
      <c r="A13" s="1782"/>
      <c r="B13" s="1786"/>
      <c r="C13" s="1787" t="s">
        <v>1211</v>
      </c>
      <c r="D13" s="1788"/>
      <c r="E13" s="1789"/>
      <c r="F13" s="1777"/>
      <c r="G13" s="1778"/>
      <c r="H13" s="1728"/>
      <c r="I13" s="1728"/>
      <c r="J13" s="1757"/>
      <c r="K13" s="1758"/>
      <c r="L13" s="1769" t="s">
        <v>1212</v>
      </c>
      <c r="M13" s="1770"/>
      <c r="N13" s="1742"/>
      <c r="O13" s="1771"/>
      <c r="P13" s="1771"/>
      <c r="Q13" s="1772" t="n">
        <v>365</v>
      </c>
      <c r="R13" s="1773" t="n">
        <f aca="false">ROUND(M13*N13*O13*P13*Q13/10000,0)</f>
        <v>0</v>
      </c>
      <c r="S13" s="1722"/>
      <c r="T13" s="1722"/>
      <c r="U13" s="1722"/>
      <c r="V13" s="1728"/>
    </row>
    <row r="14" s="1733" customFormat="true" ht="13.15" hidden="false" customHeight="true" outlineLevel="0" collapsed="false">
      <c r="A14" s="1782" t="s">
        <v>1213</v>
      </c>
      <c r="B14" s="1783" t="s">
        <v>1040</v>
      </c>
      <c r="C14" s="1783"/>
      <c r="D14" s="1784" t="n">
        <f aca="false">ROUND(E14*B5/10000,0)</f>
        <v>0</v>
      </c>
      <c r="E14" s="1772"/>
      <c r="F14" s="1777" t="s">
        <v>1214</v>
      </c>
      <c r="G14" s="1778"/>
      <c r="H14" s="1728"/>
      <c r="I14" s="1728"/>
      <c r="J14" s="1757"/>
      <c r="K14" s="1758"/>
      <c r="L14" s="1790" t="s">
        <v>512</v>
      </c>
      <c r="M14" s="1791" t="n">
        <f aca="false">SUM(M7:M13)</f>
        <v>0</v>
      </c>
      <c r="N14" s="1791" t="e">
        <f aca="false">ROUND((N7*M7+N8*M8+N9*M9+N10*M10+N11*M11+N12*M12+N13*M13)/M14,0)</f>
        <v>#DIV/0!</v>
      </c>
      <c r="O14" s="1792"/>
      <c r="P14" s="1792"/>
      <c r="Q14" s="1793"/>
      <c r="R14" s="1732" t="n">
        <f aca="false">SUM(R7:R13)</f>
        <v>0</v>
      </c>
      <c r="S14" s="1722"/>
      <c r="T14" s="1722"/>
      <c r="U14" s="1722"/>
      <c r="V14" s="1728"/>
    </row>
    <row r="15" s="1733" customFormat="true" ht="13.15" hidden="false" customHeight="true" outlineLevel="0" collapsed="false">
      <c r="A15" s="1782" t="s">
        <v>1215</v>
      </c>
      <c r="B15" s="1783" t="s">
        <v>1216</v>
      </c>
      <c r="C15" s="1783"/>
      <c r="D15" s="1784" t="n">
        <f aca="false">ROUND(D6*E15,0)</f>
        <v>0</v>
      </c>
      <c r="E15" s="1785" t="n">
        <v>0.055</v>
      </c>
      <c r="F15" s="1777" t="s">
        <v>1217</v>
      </c>
      <c r="G15" s="1756"/>
      <c r="H15" s="1728"/>
      <c r="I15" s="1728"/>
      <c r="J15" s="1757" t="n">
        <v>2</v>
      </c>
      <c r="K15" s="1758" t="s">
        <v>1218</v>
      </c>
      <c r="L15" s="1769" t="s">
        <v>1218</v>
      </c>
      <c r="M15" s="1770" t="s">
        <v>1219</v>
      </c>
      <c r="N15" s="1770" t="s">
        <v>1220</v>
      </c>
      <c r="O15" s="1771" t="s">
        <v>1221</v>
      </c>
      <c r="P15" s="1771" t="s">
        <v>1193</v>
      </c>
      <c r="Q15" s="1742" t="s">
        <v>122</v>
      </c>
      <c r="R15" s="1794" t="s">
        <v>1194</v>
      </c>
      <c r="S15" s="1722"/>
      <c r="T15" s="1722"/>
      <c r="U15" s="1722"/>
      <c r="V15" s="1728"/>
    </row>
    <row r="16" s="1733" customFormat="true" ht="13.15" hidden="false" customHeight="true" outlineLevel="0" collapsed="false">
      <c r="A16" s="1782" t="s">
        <v>1222</v>
      </c>
      <c r="B16" s="1783" t="s">
        <v>1223</v>
      </c>
      <c r="C16" s="1783"/>
      <c r="D16" s="1795" t="n">
        <f aca="false">D6*E16</f>
        <v>0</v>
      </c>
      <c r="E16" s="1796"/>
      <c r="F16" s="1780" t="s">
        <v>1224</v>
      </c>
      <c r="G16" s="1756"/>
      <c r="H16" s="1728"/>
      <c r="I16" s="1728"/>
      <c r="J16" s="1757"/>
      <c r="K16" s="1758"/>
      <c r="L16" s="1769" t="s">
        <v>1225</v>
      </c>
      <c r="M16" s="1770"/>
      <c r="N16" s="1770"/>
      <c r="O16" s="1771"/>
      <c r="P16" s="1772" t="n">
        <v>365</v>
      </c>
      <c r="Q16" s="1742"/>
      <c r="R16" s="1794" t="n">
        <f aca="false">ROUND(M16*N16*O16*P16/10000,0)</f>
        <v>0</v>
      </c>
      <c r="S16" s="1722"/>
      <c r="T16" s="1722"/>
      <c r="U16" s="1722"/>
      <c r="V16" s="1728"/>
    </row>
    <row r="17" s="1733" customFormat="true" ht="13.15" hidden="false" customHeight="true" outlineLevel="0" collapsed="false">
      <c r="A17" s="1797" t="n">
        <v>4</v>
      </c>
      <c r="B17" s="1798" t="s">
        <v>1226</v>
      </c>
      <c r="C17" s="1798"/>
      <c r="D17" s="1799" t="n">
        <f aca="false">ROUND(D6*E17,0)</f>
        <v>0</v>
      </c>
      <c r="E17" s="1800"/>
      <c r="F17" s="1801" t="s">
        <v>1227</v>
      </c>
      <c r="G17" s="1756"/>
      <c r="H17" s="1728"/>
      <c r="I17" s="1728"/>
      <c r="J17" s="1757"/>
      <c r="K17" s="1758"/>
      <c r="L17" s="1769" t="s">
        <v>1228</v>
      </c>
      <c r="M17" s="1770"/>
      <c r="N17" s="1770"/>
      <c r="O17" s="1771"/>
      <c r="P17" s="1772" t="n">
        <v>365</v>
      </c>
      <c r="Q17" s="1742"/>
      <c r="R17" s="1794" t="n">
        <f aca="false">ROUND(M17*N17*O17*P17/10000,0)</f>
        <v>0</v>
      </c>
      <c r="S17" s="1722"/>
      <c r="T17" s="1722"/>
      <c r="U17" s="1722"/>
      <c r="V17" s="1728"/>
    </row>
    <row r="18" s="1733" customFormat="true" ht="13.15" hidden="false" customHeight="true" outlineLevel="0" collapsed="false">
      <c r="A18" s="1762" t="s">
        <v>1229</v>
      </c>
      <c r="B18" s="1763"/>
      <c r="C18" s="1763"/>
      <c r="D18" s="1802" t="n">
        <f aca="false">ROUND(D6*E18,0)</f>
        <v>0</v>
      </c>
      <c r="E18" s="1803"/>
      <c r="F18" s="1804" t="s">
        <v>1230</v>
      </c>
      <c r="G18" s="1756"/>
      <c r="H18" s="1728"/>
      <c r="I18" s="1728"/>
      <c r="J18" s="1757"/>
      <c r="K18" s="1758"/>
      <c r="L18" s="1769" t="s">
        <v>738</v>
      </c>
      <c r="M18" s="1770"/>
      <c r="N18" s="1770"/>
      <c r="O18" s="1771"/>
      <c r="P18" s="1772" t="n">
        <v>365</v>
      </c>
      <c r="Q18" s="1742"/>
      <c r="R18" s="1794" t="n">
        <f aca="false">ROUND(M18*N18*O18*P18/10000,0)</f>
        <v>0</v>
      </c>
      <c r="S18" s="1722"/>
      <c r="T18" s="1722"/>
      <c r="U18" s="1722"/>
      <c r="V18" s="1728"/>
    </row>
    <row r="19" s="1733" customFormat="true" ht="13.15" hidden="false" customHeight="true" outlineLevel="0" collapsed="false">
      <c r="A19" s="1805" t="s">
        <v>1231</v>
      </c>
      <c r="B19" s="1754"/>
      <c r="C19" s="1754"/>
      <c r="D19" s="1754"/>
      <c r="E19" s="1754"/>
      <c r="F19" s="1755"/>
      <c r="G19" s="1778"/>
      <c r="H19" s="1728"/>
      <c r="I19" s="1728"/>
      <c r="J19" s="1757"/>
      <c r="K19" s="1758"/>
      <c r="L19" s="1790" t="s">
        <v>512</v>
      </c>
      <c r="M19" s="1791"/>
      <c r="N19" s="1791" t="n">
        <f aca="false">SUM(N16:N18)</f>
        <v>0</v>
      </c>
      <c r="O19" s="1792"/>
      <c r="P19" s="1806" t="s">
        <v>1232</v>
      </c>
      <c r="Q19" s="1771" t="n">
        <v>0</v>
      </c>
      <c r="R19" s="1807" t="n">
        <f aca="false">ROUND(IF(P19="按比例",R14*Q19,SUM(R16:R18)),0)</f>
        <v>0</v>
      </c>
      <c r="S19" s="1722"/>
      <c r="T19" s="1722"/>
      <c r="U19" s="1722"/>
      <c r="V19" s="1728"/>
    </row>
    <row r="20" s="1733" customFormat="true" ht="13.15" hidden="false" customHeight="true" outlineLevel="0" collapsed="false">
      <c r="A20" s="1762"/>
      <c r="B20" s="1763"/>
      <c r="C20" s="1763"/>
      <c r="D20" s="1763"/>
      <c r="E20" s="1763"/>
      <c r="F20" s="1808"/>
      <c r="G20" s="1778"/>
      <c r="H20" s="1728"/>
      <c r="I20" s="1728"/>
      <c r="J20" s="1757" t="n">
        <v>3</v>
      </c>
      <c r="K20" s="1758" t="s">
        <v>1233</v>
      </c>
      <c r="L20" s="1769" t="s">
        <v>1234</v>
      </c>
      <c r="M20" s="1770" t="s">
        <v>1189</v>
      </c>
      <c r="N20" s="1809" t="s">
        <v>1235</v>
      </c>
      <c r="O20" s="1771" t="s">
        <v>1236</v>
      </c>
      <c r="P20" s="1810" t="s">
        <v>1193</v>
      </c>
      <c r="Q20" s="1742" t="s">
        <v>122</v>
      </c>
      <c r="R20" s="1794" t="s">
        <v>1194</v>
      </c>
      <c r="S20" s="1811"/>
      <c r="T20" s="1811"/>
      <c r="U20" s="1811"/>
      <c r="V20" s="1728"/>
    </row>
    <row r="21" s="1733" customFormat="true" ht="13.15" hidden="false" customHeight="true" outlineLevel="0" collapsed="false">
      <c r="A21" s="1762"/>
      <c r="B21" s="1763"/>
      <c r="C21" s="1812" t="s">
        <v>1237</v>
      </c>
      <c r="D21" s="1813" t="s">
        <v>1238</v>
      </c>
      <c r="E21" s="1814" t="s">
        <v>1239</v>
      </c>
      <c r="F21" s="1808"/>
      <c r="G21" s="1778"/>
      <c r="H21" s="1728"/>
      <c r="I21" s="1728"/>
      <c r="J21" s="1757"/>
      <c r="K21" s="1758"/>
      <c r="L21" s="1769" t="s">
        <v>1240</v>
      </c>
      <c r="M21" s="1770"/>
      <c r="N21" s="1770"/>
      <c r="O21" s="1771"/>
      <c r="P21" s="1772" t="n">
        <v>365</v>
      </c>
      <c r="Q21" s="1742"/>
      <c r="R21" s="1815" t="n">
        <f aca="false">ROUND(M21*N21*O21*P21/10000,0)</f>
        <v>0</v>
      </c>
      <c r="S21" s="1811"/>
      <c r="T21" s="1811"/>
      <c r="U21" s="1811"/>
      <c r="V21" s="1728"/>
    </row>
    <row r="22" s="1733" customFormat="true" ht="13.15" hidden="false" customHeight="true" outlineLevel="0" collapsed="false">
      <c r="A22" s="1762"/>
      <c r="B22" s="1763"/>
      <c r="C22" s="1816" t="s">
        <v>1241</v>
      </c>
      <c r="D22" s="1817" t="s">
        <v>1242</v>
      </c>
      <c r="E22" s="1818" t="s">
        <v>1243</v>
      </c>
      <c r="F22" s="1808"/>
      <c r="G22" s="1819"/>
      <c r="H22" s="1728"/>
      <c r="I22" s="1728"/>
      <c r="J22" s="1757"/>
      <c r="K22" s="1758"/>
      <c r="L22" s="1769" t="s">
        <v>1244</v>
      </c>
      <c r="M22" s="1770"/>
      <c r="N22" s="1770"/>
      <c r="O22" s="1771"/>
      <c r="P22" s="1772" t="n">
        <v>365</v>
      </c>
      <c r="Q22" s="1742"/>
      <c r="R22" s="1815" t="n">
        <f aca="false">ROUND(M22*N22*O22*P22/10000,0)</f>
        <v>0</v>
      </c>
      <c r="S22" s="1811"/>
      <c r="T22" s="1811"/>
      <c r="U22" s="1811"/>
      <c r="V22" s="1728"/>
    </row>
    <row r="23" s="1733" customFormat="true" ht="13.15" hidden="false" customHeight="true" outlineLevel="0" collapsed="false">
      <c r="A23" s="1820" t="n">
        <v>1</v>
      </c>
      <c r="B23" s="1783" t="s">
        <v>1245</v>
      </c>
      <c r="C23" s="1821" t="n">
        <f aca="false">D6</f>
        <v>0</v>
      </c>
      <c r="D23" s="1822" t="n">
        <f aca="false">C23*(1+D24)</f>
        <v>0</v>
      </c>
      <c r="E23" s="1823" t="n">
        <f aca="false">D23*(1+E24)</f>
        <v>0</v>
      </c>
      <c r="F23" s="1824"/>
      <c r="G23" s="1825"/>
      <c r="H23" s="1728"/>
      <c r="I23" s="1728"/>
      <c r="J23" s="1757"/>
      <c r="K23" s="1758"/>
      <c r="L23" s="1769" t="s">
        <v>1246</v>
      </c>
      <c r="M23" s="1770"/>
      <c r="N23" s="1770"/>
      <c r="O23" s="1771"/>
      <c r="P23" s="1772" t="n">
        <v>365</v>
      </c>
      <c r="Q23" s="1742"/>
      <c r="R23" s="1815" t="n">
        <f aca="false">ROUND(M23*N23*O23*P23/10000,0)</f>
        <v>0</v>
      </c>
      <c r="S23" s="1722"/>
      <c r="T23" s="1722"/>
      <c r="U23" s="1722"/>
      <c r="V23" s="1728"/>
    </row>
    <row r="24" s="1733" customFormat="true" ht="13.15" hidden="false" customHeight="true" outlineLevel="0" collapsed="false">
      <c r="A24" s="1826"/>
      <c r="B24" s="1827" t="s">
        <v>1247</v>
      </c>
      <c r="C24" s="1828"/>
      <c r="D24" s="1829"/>
      <c r="E24" s="1830"/>
      <c r="F24" s="1831"/>
      <c r="G24" s="1825"/>
      <c r="H24" s="1728"/>
      <c r="I24" s="1728"/>
      <c r="J24" s="1757"/>
      <c r="K24" s="1758"/>
      <c r="L24" s="1790" t="s">
        <v>512</v>
      </c>
      <c r="M24" s="1791" t="n">
        <f aca="false">SUM(M21:M23)</f>
        <v>0</v>
      </c>
      <c r="N24" s="1791"/>
      <c r="O24" s="1792"/>
      <c r="P24" s="1806" t="s">
        <v>1232</v>
      </c>
      <c r="Q24" s="1771" t="n">
        <v>0</v>
      </c>
      <c r="R24" s="1807" t="n">
        <f aca="false">ROUND(IF(P24="按比例",R14*Q24,SUM(R21:R23)),0)</f>
        <v>0</v>
      </c>
      <c r="S24" s="1722"/>
      <c r="T24" s="1722"/>
      <c r="U24" s="1722"/>
      <c r="V24" s="1728"/>
    </row>
    <row r="25" s="1837" customFormat="true" ht="13.15" hidden="false" customHeight="true" outlineLevel="0" collapsed="false">
      <c r="A25" s="1826"/>
      <c r="B25" s="1827"/>
      <c r="C25" s="1828"/>
      <c r="D25" s="1829"/>
      <c r="E25" s="1830"/>
      <c r="F25" s="1831"/>
      <c r="G25" s="1819"/>
      <c r="H25" s="1728"/>
      <c r="I25" s="1728"/>
      <c r="J25" s="1757" t="n">
        <v>4</v>
      </c>
      <c r="K25" s="1832" t="s">
        <v>1015</v>
      </c>
      <c r="L25" s="1833"/>
      <c r="M25" s="1833"/>
      <c r="N25" s="1833"/>
      <c r="O25" s="1833"/>
      <c r="P25" s="1834"/>
      <c r="Q25" s="1835" t="n">
        <v>0</v>
      </c>
      <c r="R25" s="1807" t="n">
        <f aca="false">ROUND(R14*Q25,0)</f>
        <v>0</v>
      </c>
      <c r="S25" s="1722"/>
      <c r="T25" s="1722"/>
      <c r="U25" s="1722"/>
      <c r="V25" s="1836"/>
    </row>
    <row r="26" s="1837" customFormat="true" ht="13.15" hidden="false" customHeight="true" outlineLevel="0" collapsed="false">
      <c r="A26" s="1820" t="n">
        <v>2</v>
      </c>
      <c r="B26" s="1783" t="s">
        <v>1024</v>
      </c>
      <c r="C26" s="1821" t="n">
        <f aca="false">D7</f>
        <v>0</v>
      </c>
      <c r="D26" s="1822" t="n">
        <f aca="false">D23*D27</f>
        <v>0</v>
      </c>
      <c r="E26" s="1823" t="n">
        <f aca="false">E23*E27</f>
        <v>0</v>
      </c>
      <c r="F26" s="1824"/>
      <c r="G26" s="1825"/>
      <c r="H26" s="1728"/>
      <c r="I26" s="1728"/>
      <c r="J26" s="1838" t="n">
        <v>5</v>
      </c>
      <c r="K26" s="1839" t="s">
        <v>1183</v>
      </c>
      <c r="L26" s="1840"/>
      <c r="M26" s="1841"/>
      <c r="N26" s="1842" t="s">
        <v>107</v>
      </c>
      <c r="O26" s="1842" t="s">
        <v>1248</v>
      </c>
      <c r="P26" s="1843" t="s">
        <v>1193</v>
      </c>
      <c r="Q26" s="1843" t="s">
        <v>576</v>
      </c>
      <c r="R26" s="1761" t="s">
        <v>1194</v>
      </c>
      <c r="S26" s="1844"/>
      <c r="T26" s="1844"/>
      <c r="U26" s="1844"/>
      <c r="V26" s="1836"/>
    </row>
    <row r="27" s="1733" customFormat="true" ht="13.15" hidden="false" customHeight="true" outlineLevel="0" collapsed="false">
      <c r="A27" s="1826"/>
      <c r="B27" s="1827" t="s">
        <v>1249</v>
      </c>
      <c r="C27" s="1845" t="e">
        <f aca="false">E7</f>
        <v>#DIV/0!</v>
      </c>
      <c r="D27" s="1829"/>
      <c r="E27" s="1830"/>
      <c r="F27" s="1831"/>
      <c r="G27" s="1825"/>
      <c r="H27" s="1836"/>
      <c r="I27" s="1836"/>
      <c r="J27" s="1838"/>
      <c r="K27" s="1846"/>
      <c r="L27" s="1847"/>
      <c r="M27" s="1848"/>
      <c r="N27" s="1849"/>
      <c r="O27" s="1849"/>
      <c r="P27" s="1849"/>
      <c r="Q27" s="1850"/>
      <c r="R27" s="1807" t="n">
        <f aca="false">ROUND(O27*N27*P27*(1-Q27)/10000,0)</f>
        <v>0</v>
      </c>
      <c r="S27" s="1722"/>
      <c r="T27" s="1722"/>
      <c r="U27" s="1722"/>
      <c r="V27" s="1728"/>
    </row>
    <row r="28" s="1837" customFormat="true" ht="13.15" hidden="false" customHeight="true" outlineLevel="0" collapsed="false">
      <c r="A28" s="1826"/>
      <c r="B28" s="1827"/>
      <c r="C28" s="1845"/>
      <c r="D28" s="1829"/>
      <c r="E28" s="1830" t="s">
        <v>1250</v>
      </c>
      <c r="F28" s="1831"/>
      <c r="G28" s="1819"/>
      <c r="H28" s="1836"/>
      <c r="I28" s="1836"/>
      <c r="J28" s="1851" t="n">
        <v>6</v>
      </c>
      <c r="K28" s="1852" t="s">
        <v>1011</v>
      </c>
      <c r="L28" s="1853" t="s">
        <v>1251</v>
      </c>
      <c r="M28" s="1854"/>
      <c r="N28" s="1853" t="s">
        <v>1013</v>
      </c>
      <c r="O28" s="1855"/>
      <c r="P28" s="1853" t="s">
        <v>985</v>
      </c>
      <c r="Q28" s="1856" t="n">
        <v>0.015</v>
      </c>
      <c r="R28" s="1857"/>
      <c r="S28" s="1811"/>
      <c r="T28" s="1811"/>
      <c r="U28" s="1811"/>
      <c r="V28" s="1836"/>
    </row>
    <row r="29" s="1837" customFormat="true" ht="13.15" hidden="false" customHeight="true" outlineLevel="0" collapsed="false">
      <c r="A29" s="1820" t="n">
        <v>3</v>
      </c>
      <c r="B29" s="1783" t="s">
        <v>1252</v>
      </c>
      <c r="C29" s="1821" t="n">
        <f aca="false">C23*C30</f>
        <v>0</v>
      </c>
      <c r="D29" s="1822" t="n">
        <f aca="false">D23*C30</f>
        <v>0</v>
      </c>
      <c r="E29" s="1823" t="n">
        <f aca="false">E23*C30</f>
        <v>0</v>
      </c>
      <c r="F29" s="1824"/>
      <c r="G29" s="1825"/>
      <c r="H29" s="1728"/>
      <c r="I29" s="1728"/>
      <c r="J29" s="1811"/>
      <c r="K29" s="1811"/>
      <c r="L29" s="1811"/>
      <c r="M29" s="1811"/>
      <c r="N29" s="1811"/>
      <c r="O29" s="1811"/>
      <c r="P29" s="1811"/>
      <c r="Q29" s="1811"/>
      <c r="R29" s="1811"/>
      <c r="S29" s="1811"/>
      <c r="T29" s="1811"/>
      <c r="U29" s="1811"/>
      <c r="V29" s="1836"/>
    </row>
    <row r="30" s="1733" customFormat="true" ht="13.15" hidden="false" customHeight="true" outlineLevel="0" collapsed="false">
      <c r="A30" s="1826"/>
      <c r="B30" s="1827" t="s">
        <v>1249</v>
      </c>
      <c r="C30" s="1845" t="n">
        <f aca="false">E18</f>
        <v>0</v>
      </c>
      <c r="D30" s="1858"/>
      <c r="E30" s="1789"/>
      <c r="F30" s="1831"/>
      <c r="G30" s="1825"/>
      <c r="H30" s="1836"/>
      <c r="I30" s="1836"/>
      <c r="J30" s="1811"/>
      <c r="K30" s="1811"/>
      <c r="L30" s="1811"/>
      <c r="M30" s="1811"/>
      <c r="N30" s="1811"/>
      <c r="O30" s="1811"/>
      <c r="P30" s="1811"/>
      <c r="Q30" s="1811"/>
      <c r="R30" s="1811"/>
      <c r="S30" s="1811"/>
      <c r="T30" s="1811"/>
      <c r="U30" s="1722"/>
      <c r="V30" s="1728"/>
    </row>
    <row r="31" s="1837" customFormat="true" ht="13.15" hidden="false" customHeight="true" outlineLevel="0" collapsed="false">
      <c r="A31" s="1826"/>
      <c r="B31" s="1827"/>
      <c r="C31" s="1859"/>
      <c r="D31" s="1858"/>
      <c r="E31" s="1789"/>
      <c r="F31" s="1831"/>
      <c r="G31" s="1819"/>
      <c r="H31" s="1836"/>
      <c r="I31" s="1836"/>
      <c r="J31" s="1719" t="s">
        <v>1253</v>
      </c>
      <c r="K31" s="1720"/>
      <c r="L31" s="1720"/>
      <c r="M31" s="1720"/>
      <c r="N31" s="1720"/>
      <c r="O31" s="1720"/>
      <c r="P31" s="1720"/>
      <c r="Q31" s="1720"/>
      <c r="R31" s="1721"/>
      <c r="S31" s="1811"/>
      <c r="T31" s="1722"/>
      <c r="U31" s="1722"/>
      <c r="V31" s="1836"/>
    </row>
    <row r="32" s="1837" customFormat="true" ht="13.15" hidden="false" customHeight="true" outlineLevel="0" collapsed="false">
      <c r="A32" s="1820" t="n">
        <v>4</v>
      </c>
      <c r="B32" s="1783" t="s">
        <v>1254</v>
      </c>
      <c r="C32" s="1821" t="n">
        <f aca="false">C23-C26-C29</f>
        <v>0</v>
      </c>
      <c r="D32" s="1822" t="n">
        <f aca="false">D23-D26-D29</f>
        <v>0</v>
      </c>
      <c r="E32" s="1823" t="n">
        <f aca="false">E23-E26-E29</f>
        <v>0</v>
      </c>
      <c r="F32" s="1824"/>
      <c r="G32" s="1819"/>
      <c r="H32" s="1728"/>
      <c r="I32" s="1728"/>
      <c r="J32" s="1729" t="s">
        <v>439</v>
      </c>
      <c r="K32" s="1729"/>
      <c r="L32" s="1730" t="s">
        <v>1178</v>
      </c>
      <c r="M32" s="1730" t="s">
        <v>1179</v>
      </c>
      <c r="N32" s="1730" t="s">
        <v>1180</v>
      </c>
      <c r="O32" s="1730" t="s">
        <v>1181</v>
      </c>
      <c r="P32" s="1730" t="s">
        <v>1182</v>
      </c>
      <c r="Q32" s="1731" t="s">
        <v>1183</v>
      </c>
      <c r="R32" s="1860" t="s">
        <v>345</v>
      </c>
      <c r="S32" s="1811"/>
      <c r="T32" s="1722"/>
      <c r="U32" s="1722"/>
      <c r="V32" s="1836"/>
    </row>
    <row r="33" s="1733" customFormat="true" ht="13.15" hidden="false" customHeight="true" outlineLevel="0" collapsed="false">
      <c r="A33" s="1820"/>
      <c r="B33" s="1783"/>
      <c r="C33" s="1821"/>
      <c r="D33" s="1861"/>
      <c r="E33" s="1862"/>
      <c r="F33" s="1824"/>
      <c r="G33" s="1819"/>
      <c r="H33" s="1836"/>
      <c r="I33" s="1836"/>
      <c r="J33" s="1737" t="s">
        <v>107</v>
      </c>
      <c r="K33" s="1737"/>
      <c r="L33" s="1738"/>
      <c r="M33" s="1738"/>
      <c r="N33" s="1738"/>
      <c r="O33" s="1738"/>
      <c r="P33" s="1738"/>
      <c r="Q33" s="1739"/>
      <c r="R33" s="1863" t="n">
        <f aca="false">SUM(L33:Q33)</f>
        <v>0</v>
      </c>
      <c r="S33" s="1811"/>
      <c r="T33" s="1722"/>
      <c r="U33" s="1722"/>
      <c r="V33" s="1728"/>
    </row>
    <row r="34" s="1733" customFormat="true" ht="13.15" hidden="false" customHeight="true" outlineLevel="0" collapsed="false">
      <c r="A34" s="1820" t="n">
        <v>5</v>
      </c>
      <c r="B34" s="1783" t="s">
        <v>370</v>
      </c>
      <c r="C34" s="1864"/>
      <c r="D34" s="1865"/>
      <c r="E34" s="1866"/>
      <c r="F34" s="1824"/>
      <c r="G34" s="1819"/>
      <c r="H34" s="1836"/>
      <c r="I34" s="1836"/>
      <c r="J34" s="1737" t="s">
        <v>443</v>
      </c>
      <c r="K34" s="1737"/>
      <c r="L34" s="1743"/>
      <c r="M34" s="1743"/>
      <c r="N34" s="1743"/>
      <c r="O34" s="1743"/>
      <c r="P34" s="1743"/>
      <c r="Q34" s="1744"/>
      <c r="R34" s="1867" t="n">
        <f aca="false">SUM(L34:Q34)</f>
        <v>0</v>
      </c>
      <c r="S34" s="1811"/>
      <c r="T34" s="1722"/>
      <c r="U34" s="1722" t="e">
        <f aca="false">ROUND(R35*10000/365/R33,1)</f>
        <v>#DIV/0!</v>
      </c>
      <c r="V34" s="1728"/>
    </row>
    <row r="35" s="1733" customFormat="true" ht="13.15" hidden="false" customHeight="true" outlineLevel="0" collapsed="false">
      <c r="A35" s="1820" t="n">
        <v>6</v>
      </c>
      <c r="B35" s="1783" t="s">
        <v>1255</v>
      </c>
      <c r="C35" s="1868"/>
      <c r="D35" s="1869"/>
      <c r="E35" s="1870"/>
      <c r="F35" s="1824"/>
      <c r="G35" s="1871"/>
      <c r="H35" s="1728"/>
      <c r="I35" s="1836"/>
      <c r="J35" s="1749" t="s">
        <v>1184</v>
      </c>
      <c r="K35" s="1750"/>
      <c r="L35" s="1750"/>
      <c r="M35" s="1751"/>
      <c r="N35" s="1751"/>
      <c r="O35" s="1751"/>
      <c r="P35" s="1751"/>
      <c r="Q35" s="1751"/>
      <c r="R35" s="1872" t="n">
        <f aca="false">R40+R41+R43</f>
        <v>0</v>
      </c>
      <c r="S35" s="1811"/>
      <c r="T35" s="1722" t="s">
        <v>1185</v>
      </c>
      <c r="U35" s="1722"/>
      <c r="V35" s="1728"/>
    </row>
    <row r="36" s="1733" customFormat="true" ht="13.15" hidden="false" customHeight="true" outlineLevel="0" collapsed="false">
      <c r="A36" s="1820" t="n">
        <v>7</v>
      </c>
      <c r="B36" s="1873" t="s">
        <v>1256</v>
      </c>
      <c r="C36" s="1874"/>
      <c r="D36" s="1875"/>
      <c r="E36" s="1876"/>
      <c r="F36" s="1877" t="n">
        <f aca="false">C36+D36+E36</f>
        <v>0</v>
      </c>
      <c r="G36" s="1819"/>
      <c r="H36" s="1728"/>
      <c r="I36" s="1728"/>
      <c r="J36" s="1757" t="n">
        <v>1</v>
      </c>
      <c r="K36" s="1758" t="s">
        <v>1257</v>
      </c>
      <c r="L36" s="1759"/>
      <c r="M36" s="1760"/>
      <c r="N36" s="1760"/>
      <c r="O36" s="1760"/>
      <c r="P36" s="1760"/>
      <c r="Q36" s="1760"/>
      <c r="R36" s="1761" t="s">
        <v>1194</v>
      </c>
      <c r="S36" s="1811"/>
      <c r="T36" s="1722" t="s">
        <v>1195</v>
      </c>
      <c r="U36" s="1722"/>
      <c r="V36" s="1728"/>
    </row>
    <row r="37" s="1733" customFormat="true" ht="13.15" hidden="false" customHeight="true" outlineLevel="0" collapsed="false">
      <c r="A37" s="1820"/>
      <c r="B37" s="1783"/>
      <c r="C37" s="1783"/>
      <c r="D37" s="1783"/>
      <c r="E37" s="1783"/>
      <c r="F37" s="1824"/>
      <c r="G37" s="1819"/>
      <c r="H37" s="1728"/>
      <c r="I37" s="1728"/>
      <c r="J37" s="1757"/>
      <c r="K37" s="1758"/>
      <c r="L37" s="1769"/>
      <c r="M37" s="1770"/>
      <c r="N37" s="1742"/>
      <c r="O37" s="1771"/>
      <c r="P37" s="1771"/>
      <c r="Q37" s="1772"/>
      <c r="R37" s="1773"/>
      <c r="S37" s="1811"/>
      <c r="T37" s="1722" t="s">
        <v>1198</v>
      </c>
      <c r="U37" s="1722"/>
      <c r="V37" s="1728"/>
    </row>
    <row r="38" s="1733" customFormat="true" ht="13.15" hidden="false" customHeight="true" outlineLevel="0" collapsed="false">
      <c r="A38" s="1820" t="n">
        <v>8</v>
      </c>
      <c r="B38" s="1783"/>
      <c r="C38" s="1776" t="e">
        <f aca="false">ROUND(C32*(1-((1+C35)/(1+C34))^C36)/(C34-C35),0)</f>
        <v>#DIV/0!</v>
      </c>
      <c r="D38" s="1776" t="n">
        <f aca="false">IF(D23=0,0,ROUND(D32*(1-((1+D35)/(1+D34))^D36)/(D34-D35),0))</f>
        <v>0</v>
      </c>
      <c r="E38" s="1776" t="n">
        <f aca="false">IF(E23=0,0,ROUND(E32*(1-((1+E35)/(1+E34))^E36)/(E34-E35),0))</f>
        <v>0</v>
      </c>
      <c r="F38" s="1824"/>
      <c r="G38" s="1819"/>
      <c r="H38" s="1728"/>
      <c r="I38" s="1728"/>
      <c r="J38" s="1757"/>
      <c r="K38" s="1758"/>
      <c r="L38" s="1769"/>
      <c r="M38" s="1770"/>
      <c r="N38" s="1742"/>
      <c r="O38" s="1771"/>
      <c r="P38" s="1771"/>
      <c r="Q38" s="1772"/>
      <c r="R38" s="1773"/>
      <c r="S38" s="1811"/>
      <c r="T38" s="1722" t="s">
        <v>1200</v>
      </c>
      <c r="U38" s="1722"/>
      <c r="V38" s="1728"/>
    </row>
    <row r="39" s="1733" customFormat="true" ht="13.15" hidden="false" customHeight="true" outlineLevel="0" collapsed="false">
      <c r="A39" s="1820" t="n">
        <v>9</v>
      </c>
      <c r="B39" s="1783" t="s">
        <v>1258</v>
      </c>
      <c r="C39" s="1784" t="e">
        <f aca="false">C38</f>
        <v>#DIV/0!</v>
      </c>
      <c r="D39" s="1783" t="n">
        <f aca="false">D38/(1+D34)^C36</f>
        <v>0</v>
      </c>
      <c r="E39" s="1783" t="n">
        <f aca="false">E38/(1+E34)^(C36+D36)</f>
        <v>0</v>
      </c>
      <c r="F39" s="1824"/>
      <c r="G39" s="1878"/>
      <c r="H39" s="1728"/>
      <c r="I39" s="1728"/>
      <c r="J39" s="1757"/>
      <c r="K39" s="1758"/>
      <c r="L39" s="1769"/>
      <c r="M39" s="1770"/>
      <c r="N39" s="1742"/>
      <c r="O39" s="1771"/>
      <c r="P39" s="1771"/>
      <c r="Q39" s="1772"/>
      <c r="R39" s="1773"/>
      <c r="S39" s="1811"/>
      <c r="T39" s="1722"/>
      <c r="U39" s="1722"/>
      <c r="V39" s="1728"/>
    </row>
    <row r="40" s="1733" customFormat="true" ht="13.15" hidden="false" customHeight="true" outlineLevel="0" collapsed="false">
      <c r="A40" s="1879" t="n">
        <v>10</v>
      </c>
      <c r="B40" s="1783" t="s">
        <v>1259</v>
      </c>
      <c r="C40" s="1880" t="e">
        <f aca="false">C39+D39+E39</f>
        <v>#DIV/0!</v>
      </c>
      <c r="D40" s="1881"/>
      <c r="E40" s="1881"/>
      <c r="F40" s="1882"/>
      <c r="G40" s="1819"/>
      <c r="H40" s="1728"/>
      <c r="I40" s="1728"/>
      <c r="J40" s="1757"/>
      <c r="K40" s="1758"/>
      <c r="L40" s="1790" t="s">
        <v>512</v>
      </c>
      <c r="M40" s="1791"/>
      <c r="N40" s="1791"/>
      <c r="O40" s="1792"/>
      <c r="P40" s="1792"/>
      <c r="Q40" s="1793"/>
      <c r="R40" s="1732" t="n">
        <f aca="false">SUM(R37:R39)</f>
        <v>0</v>
      </c>
      <c r="S40" s="1811"/>
      <c r="T40" s="1722"/>
      <c r="U40" s="1722"/>
      <c r="V40" s="1728"/>
    </row>
    <row r="41" s="1733" customFormat="true" ht="13.15" hidden="false" customHeight="true" outlineLevel="0" collapsed="false">
      <c r="A41" s="1883" t="n">
        <v>11</v>
      </c>
      <c r="B41" s="1884" t="s">
        <v>110</v>
      </c>
      <c r="C41" s="1884" t="e">
        <f aca="false">ROUND(C40*10000/B4,0)</f>
        <v>#DIV/0!</v>
      </c>
      <c r="D41" s="1885"/>
      <c r="E41" s="1885"/>
      <c r="F41" s="1886"/>
      <c r="G41" s="1887"/>
      <c r="H41" s="1728"/>
      <c r="I41" s="1728"/>
      <c r="J41" s="1757" t="n">
        <v>2</v>
      </c>
      <c r="K41" s="1832" t="s">
        <v>1015</v>
      </c>
      <c r="L41" s="1833"/>
      <c r="M41" s="1833"/>
      <c r="N41" s="1833"/>
      <c r="O41" s="1833"/>
      <c r="P41" s="1834"/>
      <c r="Q41" s="1835"/>
      <c r="R41" s="1807" t="n">
        <f aca="false">ROUND(R40*Q41,0)</f>
        <v>0</v>
      </c>
      <c r="S41" s="1811"/>
      <c r="T41" s="1722"/>
      <c r="U41" s="1844"/>
      <c r="V41" s="1728"/>
    </row>
    <row r="42" s="1733" customFormat="true" ht="13.15" hidden="false" customHeight="true" outlineLevel="0" collapsed="false">
      <c r="G42" s="1887"/>
      <c r="H42" s="1728"/>
      <c r="I42" s="1728"/>
      <c r="J42" s="1838" t="n">
        <v>3</v>
      </c>
      <c r="K42" s="1839" t="s">
        <v>1183</v>
      </c>
      <c r="L42" s="1840"/>
      <c r="M42" s="1841"/>
      <c r="N42" s="1842" t="s">
        <v>107</v>
      </c>
      <c r="O42" s="1842" t="s">
        <v>1248</v>
      </c>
      <c r="P42" s="1843" t="s">
        <v>1193</v>
      </c>
      <c r="Q42" s="1843" t="s">
        <v>576</v>
      </c>
      <c r="R42" s="1761" t="s">
        <v>1194</v>
      </c>
      <c r="S42" s="1844"/>
      <c r="T42" s="1844"/>
      <c r="U42" s="1722"/>
      <c r="V42" s="1728"/>
    </row>
    <row r="43" customFormat="false" ht="13.15" hidden="false" customHeight="true" outlineLevel="0" collapsed="false">
      <c r="A43" s="1733"/>
      <c r="B43" s="1733"/>
      <c r="C43" s="1733"/>
      <c r="D43" s="1733"/>
      <c r="E43" s="1733"/>
      <c r="F43" s="1733"/>
      <c r="J43" s="1838"/>
      <c r="K43" s="1846"/>
      <c r="L43" s="1847"/>
      <c r="M43" s="1848"/>
      <c r="N43" s="1770"/>
      <c r="O43" s="1770"/>
      <c r="P43" s="1770"/>
      <c r="Q43" s="1835"/>
      <c r="R43" s="1807" t="n">
        <f aca="false">ROUND(O43*N43*P43*(1-Q43)/10000,0)</f>
        <v>0</v>
      </c>
      <c r="S43" s="1811"/>
      <c r="T43" s="1722"/>
      <c r="V43" s="1712"/>
    </row>
    <row r="44" customFormat="false" ht="13.15" hidden="false" customHeight="true" outlineLevel="0" collapsed="false">
      <c r="J44" s="1851" t="n">
        <v>6</v>
      </c>
      <c r="K44" s="1852" t="s">
        <v>1011</v>
      </c>
      <c r="L44" s="1888" t="s">
        <v>1251</v>
      </c>
      <c r="M44" s="1854"/>
      <c r="N44" s="1888" t="s">
        <v>1013</v>
      </c>
      <c r="O44" s="1854"/>
      <c r="P44" s="1888" t="s">
        <v>985</v>
      </c>
      <c r="Q44" s="1856" t="n">
        <v>0.015</v>
      </c>
      <c r="R44" s="1857"/>
    </row>
  </sheetData>
  <sheetProtection sheet="true" password="cee9" objects="true" scenarios="true" formatCells="false" formatColumns="false" formatRows="false"/>
  <mergeCells count="26">
    <mergeCell ref="J2:K2"/>
    <mergeCell ref="J3:K3"/>
    <mergeCell ref="J4:K4"/>
    <mergeCell ref="A6:C6"/>
    <mergeCell ref="J6:J14"/>
    <mergeCell ref="K6:K14"/>
    <mergeCell ref="B8:C8"/>
    <mergeCell ref="B9:C9"/>
    <mergeCell ref="B10:C10"/>
    <mergeCell ref="B11:C11"/>
    <mergeCell ref="B12:C12"/>
    <mergeCell ref="B14:C14"/>
    <mergeCell ref="B15:C15"/>
    <mergeCell ref="J15:J19"/>
    <mergeCell ref="K15:K19"/>
    <mergeCell ref="B16:C16"/>
    <mergeCell ref="B17:C17"/>
    <mergeCell ref="J20:J24"/>
    <mergeCell ref="K20:K24"/>
    <mergeCell ref="J26:J27"/>
    <mergeCell ref="J32:K32"/>
    <mergeCell ref="J33:K33"/>
    <mergeCell ref="J34:K34"/>
    <mergeCell ref="J36:J40"/>
    <mergeCell ref="K36:K40"/>
    <mergeCell ref="J42:J43"/>
  </mergeCells>
  <dataValidations count="3">
    <dataValidation allowBlank="true" operator="between" showDropDown="false" showErrorMessage="true" showInputMessage="true" sqref="IZ1 SV1 ACR1" type="list">
      <formula1>"在建（套用方法）,土地（套用方法）,——"</formula1>
      <formula2>0</formula2>
    </dataValidation>
    <dataValidation allowBlank="true" operator="between" showDropDown="false" showErrorMessage="true" showInputMessage="true" sqref="D2" type="list">
      <formula1>"——,需考虑建筑物残值"</formula1>
      <formula2>0</formula2>
    </dataValidation>
    <dataValidation allowBlank="true" operator="between" showDropDown="false" showErrorMessage="true" showInputMessage="true" sqref="P19 JL19 TH19 ADD19 P24 JL24 TH24 ADD24" type="list">
      <formula1>"按明细,按比例"</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5.xml><?xml version="1.0" encoding="utf-8"?>
<worksheet xmlns="http://schemas.openxmlformats.org/spreadsheetml/2006/main" xmlns:r="http://schemas.openxmlformats.org/officeDocument/2006/relationships">
  <sheetPr filterMode="false">
    <pageSetUpPr fitToPage="false"/>
  </sheetPr>
  <dimension ref="A1:V31"/>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24" width="23.62"/>
    <col collapsed="false" customWidth="true" hidden="false" outlineLevel="0" max="2" min="2" style="24" width="12"/>
    <col collapsed="false" customWidth="true" hidden="false" outlineLevel="0" max="3" min="3" style="24" width="9"/>
    <col collapsed="false" customWidth="true" hidden="false" outlineLevel="0" max="4" min="4" style="24" width="14.12"/>
    <col collapsed="false" customWidth="true" hidden="false" outlineLevel="0" max="5" min="5" style="24" width="9"/>
    <col collapsed="false" customWidth="true" hidden="false" outlineLevel="0" max="6" min="6" style="24" width="12.88"/>
    <col collapsed="false" customWidth="true" hidden="false" outlineLevel="0" max="1025" min="7" style="24" width="9"/>
  </cols>
  <sheetData>
    <row r="1" customFormat="false" ht="21" hidden="false" customHeight="false" outlineLevel="0" collapsed="false">
      <c r="A1" s="1889" t="s">
        <v>268</v>
      </c>
      <c r="B1" s="1890"/>
      <c r="C1" s="1890"/>
      <c r="D1" s="1890"/>
      <c r="E1" s="1891"/>
      <c r="F1" s="1892"/>
      <c r="G1" s="37"/>
      <c r="H1" s="37"/>
      <c r="I1" s="37"/>
      <c r="J1" s="37"/>
      <c r="K1" s="37"/>
      <c r="L1" s="37"/>
      <c r="M1" s="37"/>
      <c r="N1" s="37"/>
      <c r="O1" s="37"/>
      <c r="P1" s="37"/>
      <c r="Q1" s="37"/>
      <c r="R1" s="37"/>
      <c r="S1" s="37"/>
    </row>
    <row r="2" customFormat="false" ht="15.75" hidden="false" customHeight="false" outlineLevel="0" collapsed="false">
      <c r="A2" s="1893" t="s">
        <v>97</v>
      </c>
      <c r="B2" s="1894" t="n">
        <f aca="false">SUMIF(B6:B13,"&lt;&gt;#ref!",B6:B13)</f>
        <v>0</v>
      </c>
      <c r="C2" s="1895" t="s">
        <v>722</v>
      </c>
      <c r="D2" s="1896" t="s">
        <v>1260</v>
      </c>
      <c r="E2" s="1208" t="n">
        <f aca="false">SUM(E6:E13)</f>
        <v>0</v>
      </c>
      <c r="F2" s="1892"/>
      <c r="G2" s="37"/>
      <c r="H2" s="37"/>
      <c r="I2" s="37"/>
      <c r="J2" s="37"/>
      <c r="K2" s="37"/>
      <c r="L2" s="37"/>
      <c r="M2" s="37"/>
      <c r="N2" s="37"/>
      <c r="O2" s="37"/>
      <c r="P2" s="37"/>
      <c r="Q2" s="37"/>
      <c r="R2" s="37"/>
      <c r="S2" s="37"/>
    </row>
    <row r="3" customFormat="false" ht="15.75" hidden="false" customHeight="false" outlineLevel="0" collapsed="false">
      <c r="A3" s="1893" t="s">
        <v>110</v>
      </c>
      <c r="B3" s="1897" t="e">
        <f aca="false">ROUND(B2*10000/E2,0)</f>
        <v>#DIV/0!</v>
      </c>
      <c r="C3" s="1895" t="s">
        <v>1261</v>
      </c>
      <c r="D3" s="1898"/>
      <c r="E3" s="1899"/>
      <c r="F3" s="1892"/>
      <c r="G3" s="37"/>
      <c r="H3" s="37"/>
      <c r="I3" s="37"/>
      <c r="J3" s="37"/>
      <c r="K3" s="37"/>
      <c r="L3" s="37"/>
      <c r="M3" s="37"/>
      <c r="N3" s="37"/>
      <c r="O3" s="37"/>
      <c r="P3" s="37"/>
      <c r="Q3" s="37"/>
      <c r="R3" s="37"/>
      <c r="S3" s="37"/>
    </row>
    <row r="4" customFormat="false" ht="15.75" hidden="false" customHeight="false" outlineLevel="0" collapsed="false">
      <c r="A4" s="1900"/>
      <c r="B4" s="1898"/>
      <c r="C4" s="1898"/>
      <c r="D4" s="1898"/>
      <c r="E4" s="1899"/>
      <c r="F4" s="1892"/>
      <c r="G4" s="37"/>
      <c r="H4" s="37"/>
      <c r="I4" s="37"/>
      <c r="J4" s="37"/>
      <c r="K4" s="37"/>
      <c r="L4" s="37"/>
      <c r="M4" s="37"/>
      <c r="N4" s="37"/>
      <c r="O4" s="37"/>
      <c r="P4" s="37"/>
      <c r="Q4" s="37"/>
      <c r="R4" s="37"/>
      <c r="S4" s="37"/>
    </row>
    <row r="5" customFormat="false" ht="15" hidden="false" customHeight="false" outlineLevel="0" collapsed="false">
      <c r="A5" s="1901" t="s">
        <v>1262</v>
      </c>
      <c r="B5" s="1902" t="s">
        <v>853</v>
      </c>
      <c r="C5" s="1902"/>
      <c r="D5" s="1903"/>
      <c r="E5" s="1904" t="s">
        <v>107</v>
      </c>
      <c r="F5" s="1905" t="s">
        <v>1263</v>
      </c>
      <c r="G5" s="37"/>
      <c r="H5" s="37"/>
      <c r="I5" s="37"/>
      <c r="J5" s="37"/>
      <c r="K5" s="37"/>
      <c r="L5" s="37"/>
      <c r="M5" s="37"/>
      <c r="N5" s="37"/>
      <c r="O5" s="37"/>
      <c r="P5" s="37"/>
      <c r="Q5" s="37"/>
      <c r="R5" s="37"/>
      <c r="S5" s="37"/>
    </row>
    <row r="6" customFormat="false" ht="14.25" hidden="false" customHeight="false" outlineLevel="0" collapsed="false">
      <c r="A6" s="1906" t="n">
        <f aca="false">'数据-取费表'!AN6</f>
        <v>0</v>
      </c>
      <c r="B6" s="1907" t="e">
        <f aca="false">IF(F6="是",'数据-取费表'!AO6,0)</f>
        <v>#REF!</v>
      </c>
      <c r="C6" s="1895" t="s">
        <v>722</v>
      </c>
      <c r="D6" s="1898"/>
      <c r="E6" s="1908" t="n">
        <f aca="false">IF(OR(A6=0,F6="否"),0,'数据-取费表'!K6+'数据-取费表'!S6)</f>
        <v>0</v>
      </c>
      <c r="F6" s="1909" t="s">
        <v>227</v>
      </c>
      <c r="G6" s="37"/>
      <c r="H6" s="37"/>
      <c r="I6" s="37"/>
      <c r="J6" s="37"/>
      <c r="K6" s="37"/>
      <c r="L6" s="37"/>
      <c r="M6" s="37"/>
      <c r="N6" s="37"/>
      <c r="O6" s="37"/>
      <c r="P6" s="37"/>
      <c r="Q6" s="37"/>
      <c r="R6" s="37"/>
      <c r="S6" s="37"/>
    </row>
    <row r="7" customFormat="false" ht="14.25" hidden="false" customHeight="false" outlineLevel="0" collapsed="false">
      <c r="A7" s="1906" t="n">
        <f aca="false">'数据-取费表'!AN7</f>
        <v>0</v>
      </c>
      <c r="B7" s="1907" t="e">
        <f aca="false">IF(F7="是",'数据-取费表'!AO7,0)</f>
        <v>#REF!</v>
      </c>
      <c r="C7" s="1895" t="s">
        <v>722</v>
      </c>
      <c r="D7" s="1898"/>
      <c r="E7" s="1908" t="n">
        <f aca="false">IF(OR(A7=0,F7="否"),0,'数据-取费表'!K7+'数据-取费表'!S7)</f>
        <v>0</v>
      </c>
      <c r="F7" s="1909" t="s">
        <v>227</v>
      </c>
      <c r="G7" s="37"/>
      <c r="H7" s="37"/>
      <c r="I7" s="37"/>
      <c r="J7" s="37"/>
      <c r="K7" s="37"/>
      <c r="L7" s="37"/>
      <c r="M7" s="37"/>
      <c r="N7" s="37"/>
      <c r="O7" s="37"/>
      <c r="P7" s="37"/>
      <c r="Q7" s="37"/>
      <c r="R7" s="37"/>
      <c r="S7" s="37"/>
    </row>
    <row r="8" customFormat="false" ht="14.25" hidden="false" customHeight="false" outlineLevel="0" collapsed="false">
      <c r="A8" s="1906" t="n">
        <f aca="false">'数据-取费表'!AN8</f>
        <v>0</v>
      </c>
      <c r="B8" s="1907" t="e">
        <f aca="false">IF(F8="是",'数据-取费表'!AO8,0)</f>
        <v>#REF!</v>
      </c>
      <c r="C8" s="1895" t="s">
        <v>722</v>
      </c>
      <c r="D8" s="1898"/>
      <c r="E8" s="1908" t="n">
        <f aca="false">IF(OR(A8=0,F8="否"),0,'数据-取费表'!K8+'数据-取费表'!S8)</f>
        <v>0</v>
      </c>
      <c r="F8" s="1909" t="s">
        <v>227</v>
      </c>
      <c r="G8" s="37"/>
      <c r="H8" s="37"/>
      <c r="I8" s="37"/>
      <c r="J8" s="37"/>
      <c r="K8" s="37"/>
      <c r="L8" s="37"/>
      <c r="M8" s="37"/>
      <c r="N8" s="37"/>
      <c r="O8" s="37"/>
      <c r="P8" s="37"/>
      <c r="Q8" s="37"/>
      <c r="R8" s="37"/>
      <c r="S8" s="37"/>
    </row>
    <row r="9" customFormat="false" ht="14.25" hidden="false" customHeight="false" outlineLevel="0" collapsed="false">
      <c r="A9" s="1906" t="n">
        <f aca="false">'数据-取费表'!AN9</f>
        <v>0</v>
      </c>
      <c r="B9" s="1907" t="e">
        <f aca="false">IF(F9="是",'数据-取费表'!AO9,0)</f>
        <v>#REF!</v>
      </c>
      <c r="C9" s="1895" t="s">
        <v>722</v>
      </c>
      <c r="D9" s="1898"/>
      <c r="E9" s="1908" t="n">
        <f aca="false">IF(OR(A9=0,F9="否"),0,'数据-取费表'!K9+'数据-取费表'!S9)</f>
        <v>0</v>
      </c>
      <c r="F9" s="1909" t="s">
        <v>227</v>
      </c>
      <c r="G9" s="37"/>
      <c r="H9" s="37"/>
      <c r="I9" s="37"/>
      <c r="J9" s="37"/>
      <c r="K9" s="37"/>
      <c r="L9" s="37"/>
      <c r="M9" s="37"/>
      <c r="N9" s="37"/>
      <c r="O9" s="37"/>
      <c r="P9" s="37"/>
      <c r="Q9" s="37"/>
      <c r="R9" s="37"/>
      <c r="S9" s="37"/>
    </row>
    <row r="10" customFormat="false" ht="14.25" hidden="false" customHeight="false" outlineLevel="0" collapsed="false">
      <c r="A10" s="1906" t="n">
        <f aca="false">'数据-取费表'!AN10</f>
        <v>0</v>
      </c>
      <c r="B10" s="1907" t="e">
        <f aca="false">IF(F10="是",'数据-取费表'!AO10,0)</f>
        <v>#REF!</v>
      </c>
      <c r="C10" s="1895" t="s">
        <v>722</v>
      </c>
      <c r="D10" s="1898"/>
      <c r="E10" s="1908" t="n">
        <f aca="false">IF(OR(A10=0,F10="否"),0,'数据-取费表'!K10+'数据-取费表'!S10)</f>
        <v>0</v>
      </c>
      <c r="F10" s="1909" t="s">
        <v>227</v>
      </c>
      <c r="G10" s="37"/>
      <c r="H10" s="37"/>
      <c r="I10" s="37"/>
      <c r="J10" s="37"/>
      <c r="K10" s="37"/>
      <c r="L10" s="37"/>
      <c r="M10" s="37"/>
      <c r="N10" s="37"/>
      <c r="O10" s="37"/>
      <c r="P10" s="37"/>
      <c r="Q10" s="37"/>
      <c r="R10" s="37"/>
      <c r="S10" s="37"/>
    </row>
    <row r="11" customFormat="false" ht="14.25" hidden="false" customHeight="false" outlineLevel="0" collapsed="false">
      <c r="A11" s="1906" t="n">
        <f aca="false">'数据-取费表'!AN11</f>
        <v>0</v>
      </c>
      <c r="B11" s="1907" t="e">
        <f aca="false">IF(F11="是",'数据-取费表'!AO11,0)</f>
        <v>#REF!</v>
      </c>
      <c r="C11" s="1895" t="s">
        <v>722</v>
      </c>
      <c r="D11" s="1898"/>
      <c r="E11" s="1908" t="n">
        <f aca="false">IF(OR(A11=0,F11="否"),0,'数据-取费表'!K11+'数据-取费表'!S11)</f>
        <v>0</v>
      </c>
      <c r="F11" s="1909" t="s">
        <v>227</v>
      </c>
      <c r="G11" s="37"/>
      <c r="H11" s="37"/>
      <c r="I11" s="37"/>
      <c r="J11" s="37"/>
      <c r="K11" s="37"/>
      <c r="L11" s="37"/>
      <c r="M11" s="37"/>
      <c r="N11" s="37"/>
      <c r="O11" s="37"/>
      <c r="P11" s="37"/>
      <c r="Q11" s="37"/>
      <c r="R11" s="37"/>
      <c r="S11" s="37"/>
    </row>
    <row r="12" customFormat="false" ht="14.25" hidden="false" customHeight="false" outlineLevel="0" collapsed="false">
      <c r="A12" s="1906" t="n">
        <f aca="false">'数据-取费表'!AN12</f>
        <v>0</v>
      </c>
      <c r="B12" s="1907" t="e">
        <f aca="false">IF(F12="是",'数据-取费表'!AO12,0)</f>
        <v>#REF!</v>
      </c>
      <c r="C12" s="1895" t="s">
        <v>722</v>
      </c>
      <c r="D12" s="1898"/>
      <c r="E12" s="1908" t="n">
        <f aca="false">IF(OR(A12=0,F12="否"),0,'数据-取费表'!K12+'数据-取费表'!S12)</f>
        <v>0</v>
      </c>
      <c r="F12" s="1909" t="s">
        <v>227</v>
      </c>
      <c r="G12" s="37"/>
      <c r="H12" s="37"/>
      <c r="I12" s="37"/>
      <c r="J12" s="37"/>
      <c r="K12" s="37"/>
      <c r="L12" s="37"/>
      <c r="M12" s="37"/>
      <c r="N12" s="37"/>
      <c r="O12" s="37"/>
      <c r="P12" s="37"/>
      <c r="Q12" s="37"/>
      <c r="R12" s="37"/>
      <c r="S12" s="37"/>
    </row>
    <row r="13" customFormat="false" ht="14.25" hidden="false" customHeight="false" outlineLevel="0" collapsed="false">
      <c r="A13" s="1910" t="n">
        <f aca="false">'数据-取费表'!AN13</f>
        <v>0</v>
      </c>
      <c r="B13" s="1907" t="e">
        <f aca="false">IF(F13="是",'数据-取费表'!AO13,0)</f>
        <v>#REF!</v>
      </c>
      <c r="C13" s="1911" t="s">
        <v>722</v>
      </c>
      <c r="D13" s="1912"/>
      <c r="E13" s="1908" t="n">
        <f aca="false">IF(OR(A13=0,F13="否"),0,'数据-取费表'!K13+'数据-取费表'!S13)</f>
        <v>0</v>
      </c>
      <c r="F13" s="1909" t="s">
        <v>227</v>
      </c>
      <c r="G13" s="37"/>
      <c r="H13" s="37"/>
      <c r="I13" s="37"/>
      <c r="J13" s="37"/>
      <c r="K13" s="37"/>
      <c r="L13" s="37"/>
      <c r="M13" s="37"/>
      <c r="N13" s="37"/>
      <c r="O13" s="37"/>
      <c r="P13" s="37"/>
      <c r="Q13" s="37"/>
      <c r="R13" s="37"/>
      <c r="S13" s="37"/>
    </row>
    <row r="14" customFormat="false" ht="14.25" hidden="false" customHeight="false" outlineLevel="0" collapsed="false">
      <c r="A14" s="37"/>
      <c r="B14" s="37"/>
      <c r="C14" s="37"/>
      <c r="D14" s="37"/>
      <c r="E14" s="37"/>
      <c r="F14" s="37"/>
      <c r="G14" s="37"/>
      <c r="H14" s="37"/>
      <c r="I14" s="37"/>
      <c r="J14" s="37"/>
      <c r="K14" s="37"/>
      <c r="L14" s="37"/>
      <c r="M14" s="37"/>
      <c r="N14" s="37"/>
      <c r="O14" s="37"/>
      <c r="P14" s="37"/>
      <c r="Q14" s="37"/>
      <c r="R14" s="37"/>
      <c r="S14" s="37"/>
      <c r="T14" s="37"/>
      <c r="U14" s="37"/>
      <c r="V14" s="37"/>
    </row>
    <row r="15" customFormat="false" ht="14.25" hidden="false" customHeight="false" outlineLevel="0" collapsed="false">
      <c r="A15" s="37"/>
      <c r="B15" s="37"/>
      <c r="C15" s="37"/>
      <c r="D15" s="37"/>
      <c r="E15" s="37"/>
      <c r="F15" s="37"/>
      <c r="G15" s="37"/>
      <c r="H15" s="37"/>
      <c r="I15" s="37"/>
      <c r="J15" s="37"/>
      <c r="K15" s="37"/>
      <c r="L15" s="37"/>
      <c r="M15" s="37"/>
      <c r="N15" s="37"/>
      <c r="O15" s="37"/>
      <c r="P15" s="37"/>
      <c r="Q15" s="37"/>
      <c r="R15" s="37"/>
      <c r="S15" s="37"/>
      <c r="T15" s="37"/>
      <c r="U15" s="37"/>
      <c r="V15" s="37"/>
    </row>
    <row r="16" customFormat="false" ht="14.25" hidden="false" customHeight="false" outlineLevel="0" collapsed="false">
      <c r="A16" s="37"/>
      <c r="B16" s="37"/>
      <c r="C16" s="37"/>
      <c r="D16" s="37"/>
      <c r="E16" s="37"/>
      <c r="F16" s="37"/>
      <c r="G16" s="37"/>
      <c r="H16" s="37"/>
      <c r="I16" s="37"/>
      <c r="J16" s="37"/>
      <c r="K16" s="37"/>
      <c r="L16" s="37"/>
      <c r="M16" s="37"/>
      <c r="N16" s="37"/>
      <c r="O16" s="37"/>
      <c r="P16" s="37"/>
      <c r="Q16" s="37"/>
      <c r="R16" s="37"/>
      <c r="S16" s="37"/>
      <c r="T16" s="37"/>
      <c r="U16" s="37"/>
      <c r="V16" s="37"/>
    </row>
    <row r="17" customFormat="false" ht="14.25" hidden="false" customHeight="false" outlineLevel="0" collapsed="false">
      <c r="A17" s="37"/>
      <c r="B17" s="37"/>
      <c r="C17" s="37"/>
      <c r="D17" s="37"/>
      <c r="E17" s="37"/>
      <c r="F17" s="37"/>
      <c r="G17" s="37"/>
      <c r="H17" s="37"/>
      <c r="I17" s="37"/>
      <c r="J17" s="37"/>
      <c r="K17" s="37"/>
      <c r="L17" s="37"/>
      <c r="M17" s="37"/>
      <c r="N17" s="37"/>
      <c r="O17" s="37"/>
      <c r="P17" s="37"/>
      <c r="Q17" s="37"/>
      <c r="R17" s="37"/>
      <c r="S17" s="37"/>
      <c r="T17" s="37"/>
      <c r="U17" s="37"/>
      <c r="V17" s="37"/>
    </row>
    <row r="18" customFormat="false" ht="14.25" hidden="false" customHeight="false" outlineLevel="0" collapsed="false">
      <c r="A18" s="37"/>
      <c r="B18" s="37"/>
      <c r="C18" s="37"/>
      <c r="D18" s="37"/>
      <c r="E18" s="37"/>
      <c r="F18" s="37"/>
      <c r="G18" s="37"/>
      <c r="H18" s="37"/>
      <c r="I18" s="37"/>
      <c r="J18" s="37"/>
      <c r="K18" s="37"/>
      <c r="L18" s="37"/>
      <c r="M18" s="37"/>
      <c r="N18" s="37"/>
      <c r="O18" s="37"/>
      <c r="P18" s="37"/>
      <c r="Q18" s="37"/>
      <c r="R18" s="37"/>
      <c r="S18" s="37"/>
      <c r="T18" s="37"/>
      <c r="U18" s="37"/>
      <c r="V18" s="37"/>
    </row>
    <row r="19" customFormat="false" ht="14.25" hidden="false" customHeight="false" outlineLevel="0" collapsed="false">
      <c r="A19" s="37"/>
      <c r="B19" s="37"/>
      <c r="C19" s="37"/>
      <c r="D19" s="37"/>
      <c r="E19" s="37"/>
      <c r="F19" s="37"/>
      <c r="G19" s="37"/>
      <c r="H19" s="37"/>
      <c r="I19" s="37"/>
      <c r="J19" s="37"/>
      <c r="K19" s="37"/>
      <c r="L19" s="37"/>
      <c r="M19" s="37"/>
      <c r="N19" s="37"/>
      <c r="O19" s="37"/>
      <c r="P19" s="37"/>
      <c r="Q19" s="37"/>
      <c r="R19" s="37"/>
      <c r="S19" s="37"/>
      <c r="T19" s="37"/>
      <c r="U19" s="37"/>
      <c r="V19" s="37"/>
    </row>
    <row r="20" customFormat="false" ht="14.25" hidden="false" customHeight="false" outlineLevel="0" collapsed="false">
      <c r="A20" s="37"/>
      <c r="B20" s="37"/>
      <c r="C20" s="37"/>
      <c r="D20" s="37"/>
      <c r="E20" s="37"/>
      <c r="F20" s="37"/>
      <c r="G20" s="37"/>
      <c r="H20" s="37"/>
      <c r="I20" s="37"/>
      <c r="J20" s="37"/>
      <c r="K20" s="37"/>
      <c r="L20" s="37"/>
      <c r="M20" s="37"/>
      <c r="N20" s="37"/>
      <c r="O20" s="37"/>
      <c r="P20" s="37"/>
      <c r="Q20" s="37"/>
      <c r="R20" s="37"/>
      <c r="S20" s="37"/>
      <c r="T20" s="37"/>
      <c r="U20" s="37"/>
      <c r="V20" s="37"/>
    </row>
    <row r="21" customFormat="false" ht="14.25" hidden="false" customHeight="false" outlineLevel="0" collapsed="false">
      <c r="A21" s="37"/>
      <c r="B21" s="37"/>
      <c r="C21" s="37"/>
      <c r="D21" s="37"/>
      <c r="E21" s="37"/>
      <c r="F21" s="37"/>
      <c r="G21" s="37"/>
      <c r="H21" s="37"/>
      <c r="I21" s="37"/>
      <c r="J21" s="37"/>
      <c r="K21" s="37"/>
      <c r="L21" s="37"/>
      <c r="M21" s="37"/>
      <c r="N21" s="37"/>
      <c r="O21" s="37"/>
      <c r="P21" s="37"/>
      <c r="Q21" s="37"/>
      <c r="R21" s="37"/>
      <c r="S21" s="37"/>
      <c r="T21" s="37"/>
      <c r="U21" s="37"/>
      <c r="V21" s="37"/>
    </row>
    <row r="22" customFormat="false" ht="14.25" hidden="false" customHeight="false" outlineLevel="0" collapsed="false">
      <c r="A22" s="37"/>
      <c r="B22" s="37"/>
      <c r="C22" s="37"/>
      <c r="D22" s="37"/>
      <c r="E22" s="37"/>
      <c r="F22" s="37"/>
      <c r="G22" s="37"/>
      <c r="H22" s="37"/>
      <c r="I22" s="37"/>
      <c r="J22" s="37"/>
      <c r="K22" s="37"/>
      <c r="L22" s="37"/>
      <c r="M22" s="37"/>
      <c r="N22" s="37"/>
      <c r="O22" s="37"/>
      <c r="P22" s="37"/>
      <c r="Q22" s="37"/>
      <c r="R22" s="37"/>
      <c r="S22" s="37"/>
      <c r="T22" s="37"/>
      <c r="U22" s="37"/>
      <c r="V22" s="37"/>
    </row>
    <row r="23" customFormat="false" ht="14.25" hidden="false" customHeight="false" outlineLevel="0" collapsed="false">
      <c r="A23" s="37"/>
      <c r="B23" s="37"/>
      <c r="C23" s="37"/>
      <c r="D23" s="37"/>
      <c r="E23" s="37"/>
      <c r="F23" s="37"/>
      <c r="G23" s="37"/>
      <c r="H23" s="37"/>
      <c r="I23" s="37"/>
      <c r="J23" s="37"/>
      <c r="K23" s="37"/>
      <c r="L23" s="37"/>
      <c r="M23" s="37"/>
      <c r="N23" s="37"/>
      <c r="O23" s="37"/>
      <c r="P23" s="37"/>
      <c r="Q23" s="37"/>
      <c r="R23" s="37"/>
      <c r="S23" s="37"/>
      <c r="T23" s="37"/>
      <c r="U23" s="37"/>
      <c r="V23" s="37"/>
    </row>
    <row r="24" customFormat="false" ht="14.25" hidden="false" customHeight="false" outlineLevel="0" collapsed="false">
      <c r="A24" s="37"/>
      <c r="B24" s="37"/>
      <c r="C24" s="37"/>
      <c r="D24" s="37"/>
      <c r="E24" s="37"/>
      <c r="F24" s="37"/>
      <c r="G24" s="37"/>
      <c r="H24" s="37"/>
      <c r="I24" s="37"/>
      <c r="J24" s="37"/>
      <c r="K24" s="37"/>
      <c r="L24" s="37"/>
      <c r="M24" s="37"/>
      <c r="N24" s="37"/>
      <c r="O24" s="37"/>
      <c r="P24" s="37"/>
      <c r="Q24" s="37"/>
      <c r="R24" s="37"/>
      <c r="S24" s="37"/>
      <c r="T24" s="37"/>
      <c r="U24" s="37"/>
      <c r="V24" s="37"/>
    </row>
    <row r="25" customFormat="false" ht="14.25" hidden="false" customHeight="false" outlineLevel="0" collapsed="false">
      <c r="A25" s="37"/>
      <c r="B25" s="37"/>
      <c r="C25" s="37"/>
      <c r="D25" s="37"/>
      <c r="E25" s="37"/>
      <c r="F25" s="37"/>
      <c r="G25" s="37"/>
      <c r="H25" s="37"/>
      <c r="I25" s="37"/>
      <c r="J25" s="37"/>
      <c r="K25" s="37"/>
      <c r="L25" s="37"/>
      <c r="M25" s="37"/>
      <c r="N25" s="37"/>
      <c r="O25" s="37"/>
      <c r="P25" s="37"/>
      <c r="Q25" s="37"/>
      <c r="R25" s="37"/>
      <c r="S25" s="37"/>
      <c r="T25" s="37"/>
      <c r="U25" s="37"/>
      <c r="V25" s="37"/>
    </row>
    <row r="26" customFormat="false" ht="14.25" hidden="false" customHeight="false" outlineLevel="0" collapsed="false">
      <c r="A26" s="37"/>
      <c r="B26" s="37"/>
      <c r="C26" s="37"/>
      <c r="D26" s="37"/>
      <c r="E26" s="37"/>
      <c r="F26" s="37"/>
      <c r="G26" s="37"/>
      <c r="H26" s="37"/>
      <c r="I26" s="37"/>
      <c r="J26" s="37"/>
      <c r="K26" s="37"/>
      <c r="L26" s="37"/>
      <c r="M26" s="37"/>
      <c r="N26" s="37"/>
      <c r="O26" s="37"/>
      <c r="P26" s="37"/>
      <c r="Q26" s="37"/>
      <c r="R26" s="37"/>
      <c r="S26" s="37"/>
      <c r="T26" s="37"/>
      <c r="U26" s="37"/>
      <c r="V26" s="37"/>
    </row>
    <row r="27" customFormat="false" ht="14.25" hidden="false" customHeight="false" outlineLevel="0" collapsed="false">
      <c r="A27" s="37"/>
      <c r="B27" s="37"/>
      <c r="C27" s="37"/>
      <c r="D27" s="37"/>
      <c r="E27" s="37"/>
      <c r="F27" s="37"/>
      <c r="G27" s="37"/>
      <c r="H27" s="37"/>
      <c r="I27" s="37"/>
      <c r="J27" s="37"/>
      <c r="K27" s="37"/>
      <c r="L27" s="37"/>
      <c r="M27" s="37"/>
      <c r="N27" s="37"/>
      <c r="O27" s="37"/>
      <c r="P27" s="37"/>
      <c r="Q27" s="37"/>
      <c r="R27" s="37"/>
      <c r="S27" s="37"/>
      <c r="T27" s="37"/>
      <c r="U27" s="37"/>
      <c r="V27" s="37"/>
    </row>
    <row r="28" customFormat="false" ht="14.25" hidden="false" customHeight="false" outlineLevel="0" collapsed="false">
      <c r="A28" s="37"/>
      <c r="B28" s="37"/>
      <c r="C28" s="37"/>
      <c r="D28" s="37"/>
      <c r="E28" s="37"/>
      <c r="F28" s="37"/>
      <c r="G28" s="37"/>
      <c r="H28" s="37"/>
      <c r="I28" s="37"/>
      <c r="J28" s="37"/>
      <c r="K28" s="37"/>
      <c r="L28" s="37"/>
      <c r="M28" s="37"/>
      <c r="N28" s="37"/>
      <c r="O28" s="37"/>
      <c r="P28" s="37"/>
      <c r="Q28" s="37"/>
      <c r="R28" s="37"/>
      <c r="S28" s="37"/>
      <c r="T28" s="37"/>
      <c r="U28" s="37"/>
      <c r="V28" s="37"/>
    </row>
    <row r="29" customFormat="false" ht="14.25" hidden="false" customHeight="false" outlineLevel="0" collapsed="false">
      <c r="A29" s="37"/>
      <c r="B29" s="37"/>
      <c r="C29" s="37"/>
      <c r="D29" s="37"/>
      <c r="E29" s="37"/>
      <c r="F29" s="37"/>
      <c r="G29" s="37"/>
      <c r="H29" s="37"/>
      <c r="I29" s="37"/>
      <c r="J29" s="37"/>
      <c r="K29" s="37"/>
      <c r="L29" s="37"/>
      <c r="M29" s="37"/>
      <c r="N29" s="37"/>
      <c r="O29" s="37"/>
      <c r="P29" s="37"/>
      <c r="Q29" s="37"/>
      <c r="R29" s="37"/>
      <c r="S29" s="37"/>
      <c r="T29" s="37"/>
      <c r="U29" s="37"/>
      <c r="V29" s="37"/>
    </row>
    <row r="30" customFormat="false" ht="14.25" hidden="false" customHeight="false" outlineLevel="0" collapsed="false">
      <c r="A30" s="37"/>
      <c r="B30" s="37"/>
      <c r="C30" s="37"/>
      <c r="D30" s="37"/>
      <c r="E30" s="37"/>
      <c r="F30" s="37"/>
      <c r="G30" s="37"/>
      <c r="H30" s="37"/>
      <c r="I30" s="37"/>
      <c r="J30" s="37"/>
      <c r="K30" s="37"/>
      <c r="L30" s="37"/>
      <c r="M30" s="37"/>
      <c r="N30" s="37"/>
      <c r="O30" s="37"/>
      <c r="P30" s="37"/>
      <c r="Q30" s="37"/>
      <c r="R30" s="37"/>
      <c r="S30" s="37"/>
      <c r="T30" s="37"/>
      <c r="U30" s="37"/>
      <c r="V30" s="37"/>
    </row>
    <row r="31" customFormat="false" ht="14.25" hidden="false" customHeight="false" outlineLevel="0" collapsed="false">
      <c r="A31" s="37"/>
      <c r="B31" s="37"/>
      <c r="C31" s="37"/>
      <c r="D31" s="37"/>
      <c r="E31" s="37"/>
      <c r="F31" s="37"/>
      <c r="G31" s="37"/>
      <c r="H31" s="37"/>
      <c r="I31" s="37"/>
      <c r="J31" s="37"/>
      <c r="K31" s="37"/>
      <c r="L31" s="37"/>
      <c r="M31" s="37"/>
      <c r="N31" s="37"/>
      <c r="O31" s="37"/>
      <c r="P31" s="37"/>
      <c r="Q31" s="37"/>
      <c r="R31" s="37"/>
      <c r="S31" s="37"/>
      <c r="T31" s="37"/>
      <c r="U31" s="37"/>
      <c r="V31" s="37"/>
    </row>
  </sheetData>
  <sheetProtection sheet="true" password="cee9" objects="true" scenarios="true" formatCells="false" formatColumns="false" formatRows="false"/>
  <mergeCells count="1">
    <mergeCell ref="B5:C5"/>
  </mergeCells>
  <dataValidations count="1">
    <dataValidation allowBlank="true" operator="between" showDropDown="false" showErrorMessage="true" showInputMessage="true" sqref="F6:F13" type="list">
      <formula1>估价范围判定</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6.xml><?xml version="1.0" encoding="utf-8"?>
<worksheet xmlns="http://schemas.openxmlformats.org/spreadsheetml/2006/main" xmlns:r="http://schemas.openxmlformats.org/officeDocument/2006/relationships">
  <sheetPr filterMode="false">
    <pageSetUpPr fitToPage="true"/>
  </sheetPr>
  <dimension ref="A1:AC148"/>
  <sheetViews>
    <sheetView showFormulas="false" showGridLines="true" showRowColHeaders="true" showZeros="true" rightToLeft="false" tabSelected="false" showOutlineSymbols="true" defaultGridColor="true" view="pageBreakPreview" topLeftCell="B22" colorId="64" zoomScale="100" zoomScaleNormal="85" zoomScalePageLayoutView="100" workbookViewId="0">
      <selection pane="topLeft" activeCell="K34" activeCellId="0" sqref="K34"/>
    </sheetView>
  </sheetViews>
  <sheetFormatPr defaultRowHeight="14.25" zeroHeight="false" outlineLevelRow="0" outlineLevelCol="0"/>
  <cols>
    <col collapsed="false" customWidth="true" hidden="false" outlineLevel="0" max="1" min="1" style="1913" width="10.5"/>
    <col collapsed="false" customWidth="true" hidden="false" outlineLevel="0" max="3" min="2" style="1913" width="15.76"/>
    <col collapsed="false" customWidth="true" hidden="false" outlineLevel="0" max="4" min="4" style="1913" width="12.26"/>
    <col collapsed="false" customWidth="true" hidden="false" outlineLevel="0" max="5" min="5" style="1913" width="17.12"/>
    <col collapsed="false" customWidth="true" hidden="false" outlineLevel="0" max="6" min="6" style="1913" width="12.26"/>
    <col collapsed="false" customWidth="true" hidden="false" outlineLevel="0" max="7" min="7" style="1913" width="16.5"/>
    <col collapsed="false" customWidth="true" hidden="false" outlineLevel="0" max="8" min="8" style="1913" width="12.26"/>
    <col collapsed="false" customWidth="true" hidden="false" outlineLevel="0" max="9" min="9" style="1913" width="15.62"/>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1916"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1930" customFormat="true" ht="28.5" hidden="false" customHeight="true" outlineLevel="0" collapsed="false">
      <c r="A1" s="1917" t="s">
        <v>1264</v>
      </c>
      <c r="B1" s="1918" t="s">
        <v>156</v>
      </c>
      <c r="C1" s="1919" t="s">
        <v>1265</v>
      </c>
      <c r="D1" s="1920" t="s">
        <v>156</v>
      </c>
      <c r="E1" s="1921" t="s">
        <v>1266</v>
      </c>
      <c r="F1" s="1922" t="s">
        <v>1267</v>
      </c>
      <c r="G1" s="1923" t="s">
        <v>1268</v>
      </c>
      <c r="H1" s="1924"/>
      <c r="I1" s="1924"/>
      <c r="J1" s="1924"/>
      <c r="K1" s="1925"/>
      <c r="L1" s="1926"/>
      <c r="M1" s="1919"/>
      <c r="N1" s="1919"/>
      <c r="O1" s="1919"/>
      <c r="P1" s="1927"/>
      <c r="Q1" s="1928"/>
      <c r="R1" s="1928"/>
      <c r="S1" s="1928"/>
      <c r="T1" s="1928"/>
      <c r="U1" s="1928"/>
      <c r="V1" s="1928"/>
      <c r="W1" s="1928"/>
      <c r="X1" s="1928"/>
      <c r="Y1" s="1928"/>
      <c r="Z1" s="1928"/>
      <c r="AA1" s="1928"/>
      <c r="AB1" s="1928"/>
      <c r="AC1" s="1929"/>
    </row>
    <row r="2" s="1944" customFormat="true" ht="28.5" hidden="false" customHeight="true" outlineLevel="0" collapsed="false">
      <c r="A2" s="1931" t="s">
        <v>97</v>
      </c>
      <c r="B2" s="1932" t="n">
        <f aca="false">IF(E1="项目模式",IF(C2="——",ROUND(C49*D3/10000,0),ROUND(C49*D3/10000,0)-D2),IF(E1="单套模式",IF(C2="——",ROUND(C49*D3/10000,4),ROUND(C49*D3/10000,4)-D2)))</f>
        <v>56.038</v>
      </c>
      <c r="C2" s="1933" t="s">
        <v>122</v>
      </c>
      <c r="D2" s="1934" t="e">
        <f aca="true">IF(E1="项目模式",SUMIF(INDIRECT("'"&amp;F2&amp;"'"&amp;"!A:A"),"承租人权益价值",INDIRECT("'"&amp;F2&amp;"'"&amp;"!c:c")),SUMIF(INDIRECT("'"&amp;F2&amp;"'"&amp;"!A:A"),"承租人权益价值（单套）",INDIRECT("'"&amp;F2&amp;"'"&amp;"!c:c")))</f>
        <v>#REF!</v>
      </c>
      <c r="E2" s="1935" t="s">
        <v>722</v>
      </c>
      <c r="F2" s="1936"/>
      <c r="G2" s="1937"/>
      <c r="H2" s="1937"/>
      <c r="I2" s="1937"/>
      <c r="J2" s="1937"/>
      <c r="K2" s="1938"/>
      <c r="L2" s="1939"/>
      <c r="M2" s="1940"/>
      <c r="N2" s="1940"/>
      <c r="O2" s="1940"/>
      <c r="P2" s="1941"/>
      <c r="Q2" s="1942"/>
      <c r="R2" s="1942"/>
      <c r="S2" s="1942"/>
      <c r="T2" s="1942"/>
      <c r="U2" s="1942"/>
      <c r="V2" s="1942"/>
      <c r="W2" s="1942"/>
      <c r="X2" s="1942"/>
      <c r="Y2" s="1942"/>
      <c r="Z2" s="1942"/>
      <c r="AA2" s="1942"/>
      <c r="AB2" s="1942"/>
      <c r="AC2" s="1943"/>
    </row>
    <row r="3" s="1944" customFormat="true" ht="28.5" hidden="false" customHeight="true" outlineLevel="0" collapsed="false">
      <c r="A3" s="1261" t="s">
        <v>110</v>
      </c>
      <c r="B3" s="1945" t="n">
        <f aca="false">IF(C2="——",C49,ROUND(B2*10000/D3,0))</f>
        <v>9612</v>
      </c>
      <c r="C3" s="1946" t="s">
        <v>107</v>
      </c>
      <c r="D3" s="1945" t="n">
        <f aca="false">IF(D1="",'数据-汇总表'!E3,SUMIF('数据-汇总表'!$C19:$C33,D1,'数据-汇总表'!$E19:$E33))</f>
        <v>58.3</v>
      </c>
      <c r="E3" s="1937"/>
      <c r="F3" s="1947"/>
      <c r="G3" s="1937"/>
      <c r="H3" s="1937"/>
      <c r="I3" s="1937"/>
      <c r="J3" s="1937"/>
      <c r="K3" s="1938"/>
      <c r="L3" s="1939"/>
      <c r="M3" s="1940"/>
      <c r="N3" s="1940"/>
      <c r="O3" s="1940"/>
      <c r="P3" s="1941"/>
      <c r="Q3" s="1942"/>
      <c r="R3" s="1942"/>
      <c r="S3" s="1942"/>
      <c r="T3" s="1942"/>
      <c r="U3" s="1942"/>
      <c r="V3" s="1942"/>
      <c r="W3" s="1942"/>
      <c r="X3" s="1942"/>
      <c r="Y3" s="1942"/>
      <c r="Z3" s="1942"/>
      <c r="AA3" s="1942"/>
      <c r="AB3" s="1942"/>
      <c r="AC3" s="1347"/>
    </row>
    <row r="4" customFormat="false" ht="15" hidden="false" customHeight="true" outlineLevel="0" collapsed="false">
      <c r="A4" s="1948" t="s">
        <v>1269</v>
      </c>
      <c r="B4" s="1949"/>
      <c r="C4" s="1950" t="s">
        <v>373</v>
      </c>
      <c r="D4" s="1950"/>
      <c r="E4" s="1951" t="s">
        <v>1270</v>
      </c>
      <c r="F4" s="1951"/>
      <c r="G4" s="1950" t="s">
        <v>1271</v>
      </c>
      <c r="H4" s="1950"/>
      <c r="I4" s="1950" t="s">
        <v>1272</v>
      </c>
      <c r="J4" s="1950"/>
      <c r="K4" s="1952" t="s">
        <v>376</v>
      </c>
      <c r="L4" s="1953"/>
      <c r="M4" s="1954"/>
      <c r="N4" s="1954"/>
      <c r="O4" s="1954"/>
      <c r="P4" s="1955" t="s">
        <v>1269</v>
      </c>
      <c r="Q4" s="1955"/>
      <c r="R4" s="1956" t="s">
        <v>1270</v>
      </c>
      <c r="S4" s="1956"/>
      <c r="T4" s="1957" t="s">
        <v>1271</v>
      </c>
      <c r="U4" s="1957"/>
      <c r="V4" s="1957" t="s">
        <v>1272</v>
      </c>
      <c r="W4" s="1957"/>
      <c r="X4" s="1958"/>
      <c r="Y4" s="1957" t="s">
        <v>1269</v>
      </c>
      <c r="Z4" s="1957"/>
      <c r="AA4" s="1957" t="s">
        <v>1270</v>
      </c>
      <c r="AB4" s="1957" t="s">
        <v>1271</v>
      </c>
      <c r="AC4" s="1957" t="s">
        <v>1272</v>
      </c>
    </row>
    <row r="5" customFormat="false" ht="15" hidden="false" customHeight="true" outlineLevel="0" collapsed="false">
      <c r="A5" s="1959"/>
      <c r="B5" s="1960"/>
      <c r="C5" s="1961" t="s">
        <v>1273</v>
      </c>
      <c r="D5" s="1961"/>
      <c r="E5" s="1962" t="str">
        <f aca="false">三义庙!F8</f>
        <v>双榆树东里</v>
      </c>
      <c r="F5" s="1962"/>
      <c r="G5" s="1962" t="str">
        <f aca="false">三义庙!F13</f>
        <v>双榆树北里</v>
      </c>
      <c r="H5" s="1962"/>
      <c r="I5" s="1961" t="str">
        <f aca="false">三义庙!F14</f>
        <v>双榆树西里</v>
      </c>
      <c r="J5" s="1961"/>
      <c r="K5" s="1963"/>
      <c r="L5" s="1953"/>
      <c r="M5" s="1954"/>
      <c r="N5" s="1954"/>
      <c r="O5" s="1954"/>
      <c r="P5" s="1955"/>
      <c r="Q5" s="1955"/>
      <c r="R5" s="1956"/>
      <c r="S5" s="1956"/>
      <c r="T5" s="1957"/>
      <c r="U5" s="1957"/>
      <c r="V5" s="1957"/>
      <c r="W5" s="1957"/>
      <c r="X5" s="1958"/>
      <c r="Y5" s="1957"/>
      <c r="Z5" s="1957"/>
      <c r="AA5" s="1957"/>
      <c r="AB5" s="1957"/>
      <c r="AC5" s="1957"/>
    </row>
    <row r="6" customFormat="false" ht="15" hidden="false" customHeight="true" outlineLevel="0" collapsed="false">
      <c r="A6" s="1964"/>
      <c r="B6" s="1965"/>
      <c r="C6" s="1966" t="s">
        <v>1274</v>
      </c>
      <c r="D6" s="1966"/>
      <c r="E6" s="1967" t="s">
        <v>1274</v>
      </c>
      <c r="F6" s="1967"/>
      <c r="G6" s="1966" t="s">
        <v>1274</v>
      </c>
      <c r="H6" s="1966"/>
      <c r="I6" s="1966" t="s">
        <v>1274</v>
      </c>
      <c r="J6" s="1966"/>
      <c r="K6" s="1968" t="s">
        <v>1275</v>
      </c>
      <c r="L6" s="1953"/>
      <c r="M6" s="1954"/>
      <c r="N6" s="1954"/>
      <c r="O6" s="1954"/>
      <c r="P6" s="1955"/>
      <c r="Q6" s="1955"/>
      <c r="R6" s="1956"/>
      <c r="S6" s="1956"/>
      <c r="T6" s="1957"/>
      <c r="U6" s="1957"/>
      <c r="V6" s="1957"/>
      <c r="W6" s="1957"/>
      <c r="X6" s="1958"/>
      <c r="Y6" s="1957"/>
      <c r="Z6" s="1957"/>
      <c r="AA6" s="1957"/>
      <c r="AB6" s="1957"/>
      <c r="AC6" s="1957"/>
    </row>
    <row r="7" s="1983" customFormat="true" ht="15" hidden="false" customHeight="false" outlineLevel="0" collapsed="false">
      <c r="A7" s="1969" t="s">
        <v>1276</v>
      </c>
      <c r="B7" s="1970"/>
      <c r="C7" s="1971" t="n">
        <f aca="false">'数据-取费表'!B2</f>
        <v>39031</v>
      </c>
      <c r="D7" s="1972" t="n">
        <v>100</v>
      </c>
      <c r="E7" s="1973" t="n">
        <f aca="false">三义庙!BG8</f>
        <v>38936</v>
      </c>
      <c r="F7" s="1974" t="n">
        <f aca="false">SUMIF(58:58,YEAR(E7)&amp;"-"&amp;MONTH(E7),59:59)</f>
        <v>100</v>
      </c>
      <c r="G7" s="1973" t="n">
        <f aca="false">三义庙!BG13</f>
        <v>39006</v>
      </c>
      <c r="H7" s="1975" t="n">
        <f aca="false">SUMIF(58:58,YEAR(G7)&amp;"-"&amp;MONTH(G7),59:59)</f>
        <v>100</v>
      </c>
      <c r="I7" s="1973" t="n">
        <f aca="false">三义庙!BG14</f>
        <v>39001</v>
      </c>
      <c r="J7" s="1975" t="n">
        <f aca="false">SUMIF(58:58,YEAR(I7)&amp;"-"&amp;MONTH(I7),59:59)</f>
        <v>100</v>
      </c>
      <c r="K7" s="1976"/>
      <c r="L7" s="1977"/>
      <c r="M7" s="1978"/>
      <c r="N7" s="1978"/>
      <c r="O7" s="1978"/>
      <c r="P7" s="1979" t="s">
        <v>1276</v>
      </c>
      <c r="Q7" s="1979"/>
      <c r="R7" s="1980" t="s">
        <v>1277</v>
      </c>
      <c r="S7" s="1981" t="n">
        <f aca="false">F7</f>
        <v>100</v>
      </c>
      <c r="T7" s="1980" t="s">
        <v>1277</v>
      </c>
      <c r="U7" s="1981" t="n">
        <f aca="false">H7</f>
        <v>100</v>
      </c>
      <c r="V7" s="1980" t="s">
        <v>1277</v>
      </c>
      <c r="W7" s="1981" t="n">
        <f aca="false">J7</f>
        <v>100</v>
      </c>
      <c r="X7" s="1982"/>
      <c r="Y7" s="540" t="s">
        <v>1276</v>
      </c>
      <c r="Z7" s="540"/>
      <c r="AA7" s="741" t="n">
        <f aca="false">D7/F7</f>
        <v>1</v>
      </c>
      <c r="AB7" s="741" t="n">
        <f aca="false">D7/H7</f>
        <v>1</v>
      </c>
      <c r="AC7" s="741" t="n">
        <f aca="false">D7/J7</f>
        <v>1</v>
      </c>
    </row>
    <row r="8" s="1983" customFormat="true" ht="15" hidden="false" customHeight="false" outlineLevel="0" collapsed="false">
      <c r="A8" s="1969" t="s">
        <v>1278</v>
      </c>
      <c r="B8" s="1970"/>
      <c r="C8" s="1984" t="s">
        <v>1279</v>
      </c>
      <c r="D8" s="1972" t="n">
        <v>100</v>
      </c>
      <c r="E8" s="1985" t="s">
        <v>1279</v>
      </c>
      <c r="F8" s="1974" t="n">
        <f aca="false">SUMIF(61:61,E8,62:62)-SUMIF(61:61,C8,62:62)+100</f>
        <v>100</v>
      </c>
      <c r="G8" s="1984" t="s">
        <v>1279</v>
      </c>
      <c r="H8" s="1975" t="n">
        <f aca="false">SUMIF(61:61,G8,62:62)-SUMIF(61:61,C8,62:62)+100</f>
        <v>100</v>
      </c>
      <c r="I8" s="1985" t="s">
        <v>1279</v>
      </c>
      <c r="J8" s="1975" t="n">
        <f aca="false">SUMIF(61:61,I8,62:62)-SUMIF(61:61,C8,62:62)+100</f>
        <v>100</v>
      </c>
      <c r="K8" s="1976"/>
      <c r="L8" s="1977"/>
      <c r="M8" s="1978"/>
      <c r="N8" s="1978"/>
      <c r="O8" s="1978"/>
      <c r="P8" s="540" t="s">
        <v>1278</v>
      </c>
      <c r="Q8" s="540"/>
      <c r="R8" s="1980" t="s">
        <v>1277</v>
      </c>
      <c r="S8" s="1981" t="n">
        <f aca="false">F8</f>
        <v>100</v>
      </c>
      <c r="T8" s="1980" t="s">
        <v>1277</v>
      </c>
      <c r="U8" s="1981" t="n">
        <f aca="false">H8</f>
        <v>100</v>
      </c>
      <c r="V8" s="1980" t="s">
        <v>1277</v>
      </c>
      <c r="W8" s="1981" t="n">
        <f aca="false">J8</f>
        <v>100</v>
      </c>
      <c r="X8" s="1982"/>
      <c r="Y8" s="540" t="s">
        <v>1278</v>
      </c>
      <c r="Z8" s="540"/>
      <c r="AA8" s="741" t="n">
        <f aca="false">D8/F8</f>
        <v>1</v>
      </c>
      <c r="AB8" s="741" t="n">
        <f aca="false">D8/H8</f>
        <v>1</v>
      </c>
      <c r="AC8" s="741" t="n">
        <f aca="false">D8/J8</f>
        <v>1</v>
      </c>
    </row>
    <row r="9" s="1983" customFormat="true" ht="14.25" hidden="false" customHeight="true" outlineLevel="0" collapsed="false">
      <c r="A9" s="1986" t="s">
        <v>1280</v>
      </c>
      <c r="B9" s="678" t="s">
        <v>399</v>
      </c>
      <c r="C9" s="1987" t="s">
        <v>156</v>
      </c>
      <c r="D9" s="1988" t="n">
        <v>100</v>
      </c>
      <c r="E9" s="1989" t="s">
        <v>156</v>
      </c>
      <c r="F9" s="1990" t="n">
        <f aca="false">SUMIF(63:63,E9,64:64)-SUMIF(63:63,C9,64:64)+100</f>
        <v>100</v>
      </c>
      <c r="G9" s="1991" t="s">
        <v>156</v>
      </c>
      <c r="H9" s="1992" t="n">
        <f aca="false">SUMIF(63:63,G9,64:64)-SUMIF(63:63,C9,64:64)+100</f>
        <v>100</v>
      </c>
      <c r="I9" s="1991" t="s">
        <v>156</v>
      </c>
      <c r="J9" s="1992" t="n">
        <f aca="false">SUMIF(63:63,I9,64:64)-SUMIF(63:63,C9,64:64)+100</f>
        <v>100</v>
      </c>
      <c r="K9" s="1976"/>
      <c r="L9" s="1977"/>
      <c r="M9" s="1978"/>
      <c r="N9" s="1978"/>
      <c r="O9" s="1978"/>
      <c r="P9" s="1993"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715" t="str">
        <f aca="false">Q9</f>
        <v>用途</v>
      </c>
      <c r="AA9" s="741" t="n">
        <f aca="false">D9/F9</f>
        <v>1</v>
      </c>
      <c r="AB9" s="741" t="n">
        <f aca="false">D9/H9</f>
        <v>1</v>
      </c>
      <c r="AC9" s="741" t="n">
        <f aca="false">D9/J9</f>
        <v>1</v>
      </c>
    </row>
    <row r="10" s="2004" customFormat="true" ht="27" hidden="false" customHeight="false" outlineLevel="0" collapsed="false">
      <c r="A10" s="1995"/>
      <c r="B10" s="1996" t="s">
        <v>1281</v>
      </c>
      <c r="C10" s="1997"/>
      <c r="D10" s="1998" t="n">
        <v>100</v>
      </c>
      <c r="E10" s="1999"/>
      <c r="F10" s="2000" t="n">
        <f aca="false">SUMIF(65:65,E10,66:66)-SUMIF(65:65,C10,66:66)+100</f>
        <v>100</v>
      </c>
      <c r="G10" s="1997"/>
      <c r="H10" s="2001" t="n">
        <f aca="false">SUMIF(65:65,G10,66:66)-SUMIF(65:65,C10,66:66)+100</f>
        <v>100</v>
      </c>
      <c r="I10" s="1997"/>
      <c r="J10" s="2001" t="n">
        <f aca="false">SUMIF(65:65,I10,66:66)-SUMIF(65:65,C10,66:66)+100</f>
        <v>100</v>
      </c>
      <c r="K10" s="1976"/>
      <c r="L10" s="2002"/>
      <c r="M10" s="2003"/>
      <c r="N10" s="2003"/>
      <c r="O10" s="2003"/>
      <c r="P10" s="1993"/>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715" t="str">
        <f aca="false">Q10</f>
        <v>土地使用年限（年）</v>
      </c>
      <c r="AA10" s="741" t="n">
        <f aca="false">D10/F10</f>
        <v>1</v>
      </c>
      <c r="AB10" s="741" t="n">
        <f aca="false">D10/H10</f>
        <v>1</v>
      </c>
      <c r="AC10" s="741" t="n">
        <f aca="false">D10/J10</f>
        <v>1</v>
      </c>
    </row>
    <row r="11" customFormat="false" ht="15" hidden="false" customHeight="false" outlineLevel="0" collapsed="false">
      <c r="A11" s="2005"/>
      <c r="B11" s="1996" t="s">
        <v>524</v>
      </c>
      <c r="C11" s="2006" t="n">
        <v>2</v>
      </c>
      <c r="D11" s="1998" t="n">
        <v>100</v>
      </c>
      <c r="E11" s="2007" t="n">
        <v>2</v>
      </c>
      <c r="F11" s="2000" t="n">
        <f aca="false">LOOKUP(E11,68:68,69:69)-LOOKUP(C11,68:68,69:69)+100</f>
        <v>100</v>
      </c>
      <c r="G11" s="2006" t="n">
        <v>2</v>
      </c>
      <c r="H11" s="2001" t="n">
        <f aca="false">LOOKUP(G11,68:68,69:69)-LOOKUP(C11,68:68,69:69)+100</f>
        <v>100</v>
      </c>
      <c r="I11" s="2006" t="n">
        <v>2</v>
      </c>
      <c r="J11" s="2001" t="n">
        <f aca="false">LOOKUP(I11,68:68,69:69)-LOOKUP(C11,68:68,69:69)+100</f>
        <v>100</v>
      </c>
      <c r="K11" s="2008" t="n">
        <v>0</v>
      </c>
      <c r="L11" s="2009"/>
      <c r="M11" s="1954"/>
      <c r="N11" s="1954"/>
      <c r="O11" s="1954"/>
      <c r="P11" s="1993"/>
      <c r="Q11" s="510" t="str">
        <f aca="false">B11</f>
        <v>容积率</v>
      </c>
      <c r="R11" s="1980" t="s">
        <v>1277</v>
      </c>
      <c r="S11" s="1981" t="n">
        <f aca="false">F11</f>
        <v>100</v>
      </c>
      <c r="T11" s="1980" t="s">
        <v>1277</v>
      </c>
      <c r="U11" s="1981" t="n">
        <f aca="false">H11</f>
        <v>100</v>
      </c>
      <c r="V11" s="1980" t="s">
        <v>1277</v>
      </c>
      <c r="W11" s="1981" t="n">
        <f aca="false">J11</f>
        <v>100</v>
      </c>
      <c r="X11" s="1982"/>
      <c r="Y11" s="1994"/>
      <c r="Z11" s="715" t="str">
        <f aca="false">Q11</f>
        <v>容积率</v>
      </c>
      <c r="AA11" s="741" t="n">
        <f aca="false">D11/F11</f>
        <v>1</v>
      </c>
      <c r="AB11" s="741" t="n">
        <f aca="false">D11/H11</f>
        <v>1</v>
      </c>
      <c r="AC11" s="741" t="n">
        <f aca="false">D11/J11</f>
        <v>1</v>
      </c>
    </row>
    <row r="12" s="1983" customFormat="true" ht="15" hidden="false" customHeight="false" outlineLevel="0" collapsed="false">
      <c r="A12" s="2010"/>
      <c r="B12" s="2011" t="n">
        <v>111</v>
      </c>
      <c r="C12" s="2012"/>
      <c r="D12" s="2013" t="n">
        <v>100</v>
      </c>
      <c r="E12" s="2012"/>
      <c r="F12" s="2000" t="n">
        <f aca="false">SUMIF(70:70,E12,71:71)-SUMIF(70:70,C12,71:71)+100</f>
        <v>100</v>
      </c>
      <c r="G12" s="2012"/>
      <c r="H12" s="2001" t="n">
        <f aca="false">SUMIF(70:70,G12,71:71)-SUMIF(70:70,C12,71:71)+100</f>
        <v>100</v>
      </c>
      <c r="I12" s="2012"/>
      <c r="J12" s="2001" t="n">
        <f aca="false">SUMIF(70:70,I12,71:71)-SUMIF(70:70,C12,71:71)+100</f>
        <v>100</v>
      </c>
      <c r="K12" s="2014"/>
      <c r="L12" s="1977"/>
      <c r="M12" s="1978"/>
      <c r="N12" s="1978"/>
      <c r="O12" s="1978"/>
      <c r="P12" s="1993"/>
      <c r="Q12" s="510" t="n">
        <f aca="false">B12</f>
        <v>111</v>
      </c>
      <c r="R12" s="1980" t="s">
        <v>1277</v>
      </c>
      <c r="S12" s="1981" t="n">
        <f aca="false">F12</f>
        <v>100</v>
      </c>
      <c r="T12" s="1980" t="s">
        <v>1277</v>
      </c>
      <c r="U12" s="1981" t="n">
        <f aca="false">H12</f>
        <v>100</v>
      </c>
      <c r="V12" s="1980" t="s">
        <v>1277</v>
      </c>
      <c r="W12" s="1981" t="n">
        <f aca="false">J12</f>
        <v>100</v>
      </c>
      <c r="X12" s="1982"/>
      <c r="Y12" s="1994"/>
      <c r="Z12" s="715" t="n">
        <f aca="false">Q12</f>
        <v>111</v>
      </c>
      <c r="AA12" s="741" t="n">
        <f aca="false">D12/F12</f>
        <v>1</v>
      </c>
      <c r="AB12" s="741" t="n">
        <f aca="false">D12/H12</f>
        <v>1</v>
      </c>
      <c r="AC12" s="741" t="n">
        <f aca="false">D12/J12</f>
        <v>1</v>
      </c>
    </row>
    <row r="13" customFormat="false" ht="15" hidden="false" customHeight="false" outlineLevel="0" collapsed="false">
      <c r="A13" s="2005"/>
      <c r="B13" s="2011" t="n">
        <v>111</v>
      </c>
      <c r="C13" s="2015"/>
      <c r="D13" s="2016" t="n">
        <v>100</v>
      </c>
      <c r="E13" s="2015"/>
      <c r="F13" s="2000" t="n">
        <f aca="false">SUMIF(72:72,E13,73:73)-SUMIF(72:72,C13,73:73)+100</f>
        <v>100</v>
      </c>
      <c r="G13" s="2015"/>
      <c r="H13" s="2017" t="n">
        <f aca="false">SUMIF(72:72,G13,73:73)-SUMIF(72:72,C13,73:73)+100</f>
        <v>100</v>
      </c>
      <c r="I13" s="2015"/>
      <c r="J13" s="2017" t="n">
        <f aca="false">SUMIF(72:72,I13,73:73)-SUMIF(72:72,C13,73:73)+100</f>
        <v>100</v>
      </c>
      <c r="K13" s="2014"/>
      <c r="L13" s="2018"/>
      <c r="M13" s="1954"/>
      <c r="N13" s="1954"/>
      <c r="O13" s="1954"/>
      <c r="P13" s="1993"/>
      <c r="Q13" s="510" t="n">
        <f aca="false">B13</f>
        <v>111</v>
      </c>
      <c r="R13" s="1980" t="s">
        <v>1277</v>
      </c>
      <c r="S13" s="1981" t="n">
        <f aca="false">F13</f>
        <v>100</v>
      </c>
      <c r="T13" s="1980" t="s">
        <v>1277</v>
      </c>
      <c r="U13" s="1981" t="n">
        <f aca="false">H13</f>
        <v>100</v>
      </c>
      <c r="V13" s="1980" t="s">
        <v>1277</v>
      </c>
      <c r="W13" s="1981" t="n">
        <f aca="false">J13</f>
        <v>100</v>
      </c>
      <c r="X13" s="1982"/>
      <c r="Y13" s="1994"/>
      <c r="Z13" s="715" t="n">
        <f aca="false">Q13</f>
        <v>111</v>
      </c>
      <c r="AA13" s="741" t="n">
        <f aca="false">D13/F13</f>
        <v>1</v>
      </c>
      <c r="AB13" s="741" t="n">
        <f aca="false">D13/H13</f>
        <v>1</v>
      </c>
      <c r="AC13" s="741" t="n">
        <f aca="false">D13/J13</f>
        <v>1</v>
      </c>
    </row>
    <row r="14" customFormat="false" ht="15" hidden="false" customHeight="false" outlineLevel="0" collapsed="false">
      <c r="A14" s="2019"/>
      <c r="B14" s="2020" t="n">
        <v>111</v>
      </c>
      <c r="C14" s="2021"/>
      <c r="D14" s="2022" t="n">
        <v>100</v>
      </c>
      <c r="E14" s="2021"/>
      <c r="F14" s="2023" t="n">
        <f aca="false">SUMIF(74:74,E14,75:75)-SUMIF(74:74,C14,75:75)+100</f>
        <v>100</v>
      </c>
      <c r="G14" s="2021"/>
      <c r="H14" s="2024" t="n">
        <f aca="false">SUMIF(74:74,G14,75:75)-SUMIF(74:74,C14,75:75)+100</f>
        <v>100</v>
      </c>
      <c r="I14" s="2021"/>
      <c r="J14" s="2024" t="n">
        <f aca="false">SUMIF(74:74,I14,75:75)-SUMIF(74:74,C14,75:75)+100</f>
        <v>100</v>
      </c>
      <c r="K14" s="2014"/>
      <c r="L14" s="2018"/>
      <c r="M14" s="1954"/>
      <c r="N14" s="1954"/>
      <c r="O14" s="1954"/>
      <c r="P14" s="1993"/>
      <c r="Q14" s="510" t="n">
        <f aca="false">B14</f>
        <v>111</v>
      </c>
      <c r="R14" s="1980" t="s">
        <v>1277</v>
      </c>
      <c r="S14" s="1981" t="n">
        <f aca="false">F14</f>
        <v>100</v>
      </c>
      <c r="T14" s="1980" t="s">
        <v>1277</v>
      </c>
      <c r="U14" s="1981" t="n">
        <f aca="false">H14</f>
        <v>100</v>
      </c>
      <c r="V14" s="1980" t="s">
        <v>1277</v>
      </c>
      <c r="W14" s="1981" t="n">
        <f aca="false">J14</f>
        <v>100</v>
      </c>
      <c r="X14" s="1982"/>
      <c r="Y14" s="1994"/>
      <c r="Z14" s="715" t="n">
        <f aca="false">Q14</f>
        <v>111</v>
      </c>
      <c r="AA14" s="741" t="n">
        <f aca="false">D14/F14</f>
        <v>1</v>
      </c>
      <c r="AB14" s="741" t="n">
        <f aca="false">D14/H14</f>
        <v>1</v>
      </c>
      <c r="AC14" s="741" t="n">
        <f aca="false">D14/J14</f>
        <v>1</v>
      </c>
    </row>
    <row r="15" customFormat="false" ht="85.5" hidden="false" customHeight="true" outlineLevel="0" collapsed="false">
      <c r="A15" s="2025" t="s">
        <v>648</v>
      </c>
      <c r="B15" s="671" t="s">
        <v>212</v>
      </c>
      <c r="C15" s="2026" t="str">
        <f aca="false">估价对象房地状况!C3</f>
        <v>估价对象周边居住用地比例、居住小区规模和社区发展完善程度，综合评价居住社区成熟度一般</v>
      </c>
      <c r="D15" s="2027" t="n">
        <v>100</v>
      </c>
      <c r="E15" s="2028"/>
      <c r="F15" s="2029" t="n">
        <f aca="false">SUMIF(76:76,E16,77:77)-SUMIF(76:76,C16,77:77)+100</f>
        <v>100</v>
      </c>
      <c r="G15" s="2030"/>
      <c r="H15" s="2029" t="n">
        <f aca="false">SUMIF(76:76,G16,77:77)-SUMIF(76:76,C16,77:77)+100</f>
        <v>100</v>
      </c>
      <c r="I15" s="2030"/>
      <c r="J15" s="2029" t="n">
        <f aca="false">SUMIF(76:76,I16,77:77)-SUMIF(76:76,C16,77:77)+100</f>
        <v>100</v>
      </c>
      <c r="K15" s="2031"/>
      <c r="L15" s="2018"/>
      <c r="M15" s="1954"/>
      <c r="N15" s="1954"/>
      <c r="O15" s="1954"/>
      <c r="P15" s="2032" t="s">
        <v>648</v>
      </c>
      <c r="Q15" s="2033" t="str">
        <f aca="false">B15</f>
        <v>居住社区成熟度</v>
      </c>
      <c r="R15" s="2034" t="s">
        <v>1277</v>
      </c>
      <c r="S15" s="2035" t="n">
        <f aca="false">F15</f>
        <v>100</v>
      </c>
      <c r="T15" s="2034" t="s">
        <v>1277</v>
      </c>
      <c r="U15" s="2035" t="n">
        <f aca="false">H15</f>
        <v>100</v>
      </c>
      <c r="V15" s="2034" t="s">
        <v>1277</v>
      </c>
      <c r="W15" s="2035" t="n">
        <f aca="false">J15</f>
        <v>100</v>
      </c>
      <c r="X15" s="1958"/>
      <c r="Y15" s="2036" t="s">
        <v>648</v>
      </c>
      <c r="Z15" s="2037" t="str">
        <f aca="false">Q15</f>
        <v>居住社区成熟度</v>
      </c>
      <c r="AA15" s="2038" t="n">
        <f aca="false">D15/F15</f>
        <v>1</v>
      </c>
      <c r="AB15" s="2038" t="n">
        <f aca="false">D15/H15</f>
        <v>1</v>
      </c>
      <c r="AC15" s="2038" t="n">
        <f aca="false">D15/J15</f>
        <v>1</v>
      </c>
    </row>
    <row r="16" customFormat="false" ht="15" hidden="false" customHeight="false" outlineLevel="0" collapsed="false">
      <c r="A16" s="2005"/>
      <c r="B16" s="2039"/>
      <c r="C16" s="2040" t="s">
        <v>241</v>
      </c>
      <c r="D16" s="2041"/>
      <c r="E16" s="2042" t="s">
        <v>241</v>
      </c>
      <c r="F16" s="2041"/>
      <c r="G16" s="2043" t="s">
        <v>241</v>
      </c>
      <c r="H16" s="2044"/>
      <c r="I16" s="2043" t="s">
        <v>241</v>
      </c>
      <c r="J16" s="2041"/>
      <c r="K16" s="2045"/>
      <c r="L16" s="2018"/>
      <c r="M16" s="1954"/>
      <c r="N16" s="1954"/>
      <c r="O16" s="1954"/>
      <c r="P16" s="2032"/>
      <c r="Q16" s="2033"/>
      <c r="R16" s="2034"/>
      <c r="S16" s="2035"/>
      <c r="T16" s="2034"/>
      <c r="U16" s="2035"/>
      <c r="V16" s="2034"/>
      <c r="W16" s="2035"/>
      <c r="X16" s="1958"/>
      <c r="Y16" s="2036"/>
      <c r="Z16" s="2037"/>
      <c r="AA16" s="2038" t="n">
        <v>1</v>
      </c>
      <c r="AB16" s="2038" t="n">
        <v>1</v>
      </c>
      <c r="AC16" s="2038" t="n">
        <v>1</v>
      </c>
    </row>
    <row r="17" customFormat="false" ht="68.65" hidden="false" customHeight="false" outlineLevel="0" collapsed="false">
      <c r="A17" s="2005"/>
      <c r="B17" s="2046" t="s">
        <v>216</v>
      </c>
      <c r="C17" s="2047" t="str">
        <f aca="false">估价对象房地状况!C6</f>
        <v>估价对象周边道路状况、公共交通通达情况、停车便捷程度，综合评价交通便捷度较好</v>
      </c>
      <c r="D17" s="2048" t="n">
        <v>100</v>
      </c>
      <c r="E17" s="2049"/>
      <c r="F17" s="2044" t="n">
        <f aca="false">SUMIF(78:78,E18,79:79)-SUMIF(78:78,C18,79:79)+100</f>
        <v>100.5</v>
      </c>
      <c r="G17" s="2050"/>
      <c r="H17" s="2051" t="n">
        <f aca="false">SUMIF(78:78,G18,79:79)-SUMIF(78:78,C18,79:79)+100</f>
        <v>100.5</v>
      </c>
      <c r="I17" s="2050"/>
      <c r="J17" s="2051" t="n">
        <f aca="false">SUMIF(78:78,I18,79:79)-SUMIF(78:78,C18,79:79)+100</f>
        <v>100.5</v>
      </c>
      <c r="K17" s="2031" t="n">
        <v>0.5</v>
      </c>
      <c r="L17" s="2018"/>
      <c r="M17" s="1954"/>
      <c r="N17" s="1954"/>
      <c r="O17" s="1954"/>
      <c r="P17" s="2032"/>
      <c r="Q17" s="2033" t="str">
        <f aca="false">B17</f>
        <v>交通便捷度</v>
      </c>
      <c r="R17" s="2034" t="s">
        <v>1277</v>
      </c>
      <c r="S17" s="2035" t="n">
        <f aca="false">F17</f>
        <v>100.5</v>
      </c>
      <c r="T17" s="2034" t="s">
        <v>1277</v>
      </c>
      <c r="U17" s="2035" t="n">
        <f aca="false">H17</f>
        <v>100.5</v>
      </c>
      <c r="V17" s="2034" t="s">
        <v>1277</v>
      </c>
      <c r="W17" s="2035" t="n">
        <f aca="false">J17</f>
        <v>100.5</v>
      </c>
      <c r="X17" s="1958"/>
      <c r="Y17" s="2036"/>
      <c r="Z17" s="2037" t="str">
        <f aca="false">Q17</f>
        <v>交通便捷度</v>
      </c>
      <c r="AA17" s="2038" t="n">
        <f aca="false">D17/F17</f>
        <v>0.99502487562189</v>
      </c>
      <c r="AB17" s="2038" t="n">
        <f aca="false">D17/H17</f>
        <v>0.99502487562189</v>
      </c>
      <c r="AC17" s="2038" t="n">
        <f aca="false">D17/J17</f>
        <v>0.99502487562189</v>
      </c>
    </row>
    <row r="18" customFormat="false" ht="15" hidden="false" customHeight="false" outlineLevel="0" collapsed="false">
      <c r="A18" s="2005"/>
      <c r="B18" s="2052"/>
      <c r="C18" s="2053" t="s">
        <v>250</v>
      </c>
      <c r="D18" s="2048"/>
      <c r="E18" s="2054" t="s">
        <v>241</v>
      </c>
      <c r="F18" s="2044"/>
      <c r="G18" s="2055" t="s">
        <v>241</v>
      </c>
      <c r="H18" s="2041"/>
      <c r="I18" s="2055" t="s">
        <v>241</v>
      </c>
      <c r="J18" s="2041"/>
      <c r="K18" s="2045"/>
      <c r="L18" s="2018"/>
      <c r="M18" s="1954"/>
      <c r="N18" s="1954"/>
      <c r="O18" s="1954"/>
      <c r="P18" s="2032"/>
      <c r="Q18" s="2033"/>
      <c r="R18" s="2034"/>
      <c r="S18" s="2035"/>
      <c r="T18" s="2034"/>
      <c r="U18" s="2035"/>
      <c r="V18" s="2034"/>
      <c r="W18" s="2035"/>
      <c r="X18" s="1958"/>
      <c r="Y18" s="2036"/>
      <c r="Z18" s="2037"/>
      <c r="AA18" s="2038" t="n">
        <v>1</v>
      </c>
      <c r="AB18" s="2038" t="n">
        <v>1</v>
      </c>
      <c r="AC18" s="2038" t="n">
        <v>1</v>
      </c>
    </row>
    <row r="19" customFormat="false" ht="42.75" hidden="false" customHeight="false" outlineLevel="0" collapsed="false">
      <c r="A19" s="2005"/>
      <c r="B19" s="2046" t="s">
        <v>218</v>
      </c>
      <c r="C19" s="2047" t="str">
        <f aca="false">估价对象房地状况!C7</f>
        <v>估价对象所在区域公共配套设施齐备情况</v>
      </c>
      <c r="D19" s="2056" t="n">
        <v>100</v>
      </c>
      <c r="E19" s="2057"/>
      <c r="F19" s="2051" t="n">
        <f aca="false">SUMIF(80:80,E20,81:81)-SUMIF(80:80,C20,81:81)+100</f>
        <v>100</v>
      </c>
      <c r="G19" s="2058"/>
      <c r="H19" s="2044" t="n">
        <f aca="false">SUMIF(80:80,G20,81:81)-SUMIF(80:80,C20,81:81)+100</f>
        <v>100</v>
      </c>
      <c r="I19" s="2058"/>
      <c r="J19" s="2044" t="n">
        <f aca="false">SUMIF(80:80,I20,81:81)-SUMIF(80:80,C20,81:81)+100</f>
        <v>100</v>
      </c>
      <c r="K19" s="2031" t="n">
        <v>2</v>
      </c>
      <c r="L19" s="2018"/>
      <c r="M19" s="1954"/>
      <c r="N19" s="1954"/>
      <c r="O19" s="1954"/>
      <c r="P19" s="2032"/>
      <c r="Q19" s="2033" t="str">
        <f aca="false">B19</f>
        <v>公共配套设施</v>
      </c>
      <c r="R19" s="2034" t="s">
        <v>1277</v>
      </c>
      <c r="S19" s="2035" t="n">
        <f aca="false">F19</f>
        <v>100</v>
      </c>
      <c r="T19" s="2034" t="s">
        <v>1277</v>
      </c>
      <c r="U19" s="2035" t="n">
        <f aca="false">H19</f>
        <v>100</v>
      </c>
      <c r="V19" s="2034" t="s">
        <v>1277</v>
      </c>
      <c r="W19" s="2035" t="n">
        <f aca="false">J19</f>
        <v>100</v>
      </c>
      <c r="X19" s="1958"/>
      <c r="Y19" s="2036"/>
      <c r="Z19" s="2037" t="str">
        <f aca="false">Q19</f>
        <v>公共配套设施</v>
      </c>
      <c r="AA19" s="2038" t="n">
        <f aca="false">D19/F19</f>
        <v>1</v>
      </c>
      <c r="AB19" s="2038" t="n">
        <f aca="false">D19/H19</f>
        <v>1</v>
      </c>
      <c r="AC19" s="2038" t="n">
        <f aca="false">D19/J19</f>
        <v>1</v>
      </c>
    </row>
    <row r="20" customFormat="false" ht="15" hidden="false" customHeight="false" outlineLevel="0" collapsed="false">
      <c r="A20" s="2005"/>
      <c r="B20" s="2052"/>
      <c r="C20" s="2040" t="s">
        <v>241</v>
      </c>
      <c r="D20" s="2041"/>
      <c r="E20" s="2042" t="s">
        <v>241</v>
      </c>
      <c r="F20" s="2041"/>
      <c r="G20" s="2043" t="s">
        <v>241</v>
      </c>
      <c r="H20" s="2041"/>
      <c r="I20" s="2043" t="s">
        <v>241</v>
      </c>
      <c r="J20" s="2041"/>
      <c r="K20" s="2045"/>
      <c r="L20" s="2018"/>
      <c r="M20" s="1954"/>
      <c r="N20" s="1954"/>
      <c r="O20" s="1954"/>
      <c r="P20" s="2032"/>
      <c r="Q20" s="2033"/>
      <c r="R20" s="2034"/>
      <c r="S20" s="2035"/>
      <c r="T20" s="2034"/>
      <c r="U20" s="2035"/>
      <c r="V20" s="2034"/>
      <c r="W20" s="2035"/>
      <c r="X20" s="1958"/>
      <c r="Y20" s="2036"/>
      <c r="Z20" s="2037"/>
      <c r="AA20" s="2038" t="n">
        <v>1</v>
      </c>
      <c r="AB20" s="2038" t="n">
        <v>1</v>
      </c>
      <c r="AC20" s="2038" t="n">
        <v>1</v>
      </c>
    </row>
    <row r="21" customFormat="false" ht="28.5" hidden="false" customHeight="false" outlineLevel="0" collapsed="false">
      <c r="A21" s="2005"/>
      <c r="B21" s="2059" t="s">
        <v>219</v>
      </c>
      <c r="C21" s="2047" t="str">
        <f aca="false">估价对象房地状况!C8</f>
        <v>估价对象所在区域基础设施水平</v>
      </c>
      <c r="D21" s="2048" t="n">
        <v>100</v>
      </c>
      <c r="E21" s="2057"/>
      <c r="F21" s="2051" t="n">
        <f aca="false">SUMIF(82:82,E22,83:83)-SUMIF(82:82,C22,83:83)+100</f>
        <v>100</v>
      </c>
      <c r="G21" s="2058"/>
      <c r="H21" s="2044" t="n">
        <f aca="false">SUMIF(82:82,G22,83:83)-SUMIF(82:82,C22,83:83)+100</f>
        <v>100</v>
      </c>
      <c r="I21" s="2058"/>
      <c r="J21" s="2044" t="n">
        <f aca="false">SUMIF(82:82,I22,83:83)-SUMIF(82:82,C22,83:83)+100</f>
        <v>100</v>
      </c>
      <c r="K21" s="2031" t="n">
        <v>1</v>
      </c>
      <c r="L21" s="2018"/>
      <c r="M21" s="1954"/>
      <c r="N21" s="1954"/>
      <c r="O21" s="1954"/>
      <c r="P21" s="2032"/>
      <c r="Q21" s="2033" t="str">
        <f aca="false">B21</f>
        <v>基础设施水平</v>
      </c>
      <c r="R21" s="2034" t="s">
        <v>1277</v>
      </c>
      <c r="S21" s="2035" t="n">
        <f aca="false">F21</f>
        <v>100</v>
      </c>
      <c r="T21" s="2034" t="s">
        <v>1277</v>
      </c>
      <c r="U21" s="2035" t="n">
        <f aca="false">H21</f>
        <v>100</v>
      </c>
      <c r="V21" s="2034" t="s">
        <v>1277</v>
      </c>
      <c r="W21" s="2035" t="n">
        <f aca="false">J21</f>
        <v>100</v>
      </c>
      <c r="X21" s="1958"/>
      <c r="Y21" s="2036"/>
      <c r="Z21" s="2037" t="str">
        <f aca="false">Q21</f>
        <v>基础设施水平</v>
      </c>
      <c r="AA21" s="2038" t="n">
        <f aca="false">D21/F21</f>
        <v>1</v>
      </c>
      <c r="AB21" s="2038" t="n">
        <f aca="false">D21/H21</f>
        <v>1</v>
      </c>
      <c r="AC21" s="2038" t="n">
        <f aca="false">D21/J21</f>
        <v>1</v>
      </c>
    </row>
    <row r="22" customFormat="false" ht="15" hidden="false" customHeight="false" outlineLevel="0" collapsed="false">
      <c r="A22" s="2005"/>
      <c r="B22" s="2059"/>
      <c r="C22" s="2053" t="s">
        <v>232</v>
      </c>
      <c r="D22" s="2041"/>
      <c r="E22" s="2040" t="s">
        <v>232</v>
      </c>
      <c r="F22" s="2041"/>
      <c r="G22" s="2060" t="s">
        <v>232</v>
      </c>
      <c r="H22" s="2041"/>
      <c r="I22" s="2040" t="s">
        <v>232</v>
      </c>
      <c r="J22" s="2041"/>
      <c r="K22" s="2061"/>
      <c r="L22" s="2018"/>
      <c r="M22" s="1954"/>
      <c r="N22" s="1954"/>
      <c r="O22" s="1954"/>
      <c r="P22" s="2032"/>
      <c r="Q22" s="2033"/>
      <c r="R22" s="2034"/>
      <c r="S22" s="2035"/>
      <c r="T22" s="2034"/>
      <c r="U22" s="2035"/>
      <c r="V22" s="2034"/>
      <c r="W22" s="2035"/>
      <c r="X22" s="1958"/>
      <c r="Y22" s="2036"/>
      <c r="Z22" s="2037"/>
      <c r="AA22" s="2038" t="n">
        <v>1</v>
      </c>
      <c r="AB22" s="2038" t="n">
        <v>1</v>
      </c>
      <c r="AC22" s="2038" t="n">
        <v>1</v>
      </c>
    </row>
    <row r="23" customFormat="false" ht="42.75" hidden="false" customHeight="false" outlineLevel="0" collapsed="false">
      <c r="A23" s="2005"/>
      <c r="B23" s="2046" t="s">
        <v>658</v>
      </c>
      <c r="C23" s="2047" t="str">
        <f aca="false">估价对象房地状况!C9</f>
        <v>区域自然环境：；人文环境；综合评价环境状况一般</v>
      </c>
      <c r="D23" s="2048" t="n">
        <v>100</v>
      </c>
      <c r="E23" s="2049"/>
      <c r="F23" s="2044" t="n">
        <f aca="false">SUMIF(84:84,E24,85:85)-SUMIF(84:84,C24,85:85)+100</f>
        <v>100</v>
      </c>
      <c r="G23" s="2050"/>
      <c r="H23" s="2044" t="n">
        <f aca="false">SUMIF(84:84,G24,85:85)-SUMIF(84:84,C24,85:85)+100</f>
        <v>100</v>
      </c>
      <c r="I23" s="2050"/>
      <c r="J23" s="2044" t="n">
        <f aca="false">SUMIF(84:84,I24,85:85)-SUMIF(84:84,C24,85:85)+100</f>
        <v>100</v>
      </c>
      <c r="K23" s="2031" t="n">
        <v>1</v>
      </c>
      <c r="L23" s="2018"/>
      <c r="M23" s="1954"/>
      <c r="N23" s="1954"/>
      <c r="O23" s="1954"/>
      <c r="P23" s="2032"/>
      <c r="Q23" s="2033" t="str">
        <f aca="false">B23</f>
        <v>自然及人文环境</v>
      </c>
      <c r="R23" s="2034" t="s">
        <v>1277</v>
      </c>
      <c r="S23" s="2035" t="n">
        <f aca="false">F23</f>
        <v>100</v>
      </c>
      <c r="T23" s="2034" t="s">
        <v>1277</v>
      </c>
      <c r="U23" s="2035" t="n">
        <f aca="false">H23</f>
        <v>100</v>
      </c>
      <c r="V23" s="2034" t="s">
        <v>1277</v>
      </c>
      <c r="W23" s="2035" t="n">
        <f aca="false">J23</f>
        <v>100</v>
      </c>
      <c r="X23" s="1958"/>
      <c r="Y23" s="2036"/>
      <c r="Z23" s="2037" t="str">
        <f aca="false">Q23</f>
        <v>自然及人文环境</v>
      </c>
      <c r="AA23" s="2038" t="n">
        <f aca="false">D23/F23</f>
        <v>1</v>
      </c>
      <c r="AB23" s="2038" t="n">
        <f aca="false">D23/H23</f>
        <v>1</v>
      </c>
      <c r="AC23" s="2038" t="n">
        <f aca="false">D23/J23</f>
        <v>1</v>
      </c>
    </row>
    <row r="24" customFormat="false" ht="15" hidden="false" customHeight="false" outlineLevel="0" collapsed="false">
      <c r="A24" s="2005"/>
      <c r="B24" s="2052"/>
      <c r="C24" s="2040" t="s">
        <v>241</v>
      </c>
      <c r="D24" s="2041"/>
      <c r="E24" s="2042" t="s">
        <v>241</v>
      </c>
      <c r="F24" s="2041"/>
      <c r="G24" s="2043" t="s">
        <v>241</v>
      </c>
      <c r="H24" s="2041"/>
      <c r="I24" s="2043" t="s">
        <v>241</v>
      </c>
      <c r="J24" s="2041"/>
      <c r="K24" s="2045"/>
      <c r="L24" s="2018"/>
      <c r="M24" s="1954"/>
      <c r="N24" s="1954"/>
      <c r="O24" s="1954"/>
      <c r="P24" s="2032"/>
      <c r="Q24" s="2033"/>
      <c r="R24" s="2034"/>
      <c r="S24" s="2035"/>
      <c r="T24" s="2034"/>
      <c r="U24" s="2035"/>
      <c r="V24" s="2034"/>
      <c r="W24" s="2035"/>
      <c r="X24" s="1958"/>
      <c r="Y24" s="2036"/>
      <c r="Z24" s="2037"/>
      <c r="AA24" s="2038" t="n">
        <v>1</v>
      </c>
      <c r="AB24" s="2038" t="n">
        <v>1</v>
      </c>
      <c r="AC24" s="2038" t="n">
        <v>1</v>
      </c>
    </row>
    <row r="25" customFormat="false" ht="15" hidden="false" customHeight="false" outlineLevel="0" collapsed="false">
      <c r="A25" s="2005"/>
      <c r="B25" s="1996" t="s">
        <v>1282</v>
      </c>
      <c r="C25" s="2062"/>
      <c r="D25" s="2016" t="n">
        <v>100</v>
      </c>
      <c r="E25" s="2063"/>
      <c r="F25" s="2017" t="n">
        <f aca="false">SUMIF(86:86,E25,87:87)-SUMIF(86:86,C25,87:87)+100</f>
        <v>100</v>
      </c>
      <c r="G25" s="2064"/>
      <c r="H25" s="2017" t="n">
        <f aca="false">SUMIF(86:86,G25,87:87)-SUMIF(86:86,C25,87:87)+100</f>
        <v>100</v>
      </c>
      <c r="I25" s="2064"/>
      <c r="J25" s="2017" t="n">
        <f aca="false">SUMIF(86:86,I25,87:87)-SUMIF(86:86,C25,87:87)+100</f>
        <v>100</v>
      </c>
      <c r="K25" s="2008"/>
      <c r="L25" s="2018"/>
      <c r="M25" s="1954"/>
      <c r="N25" s="1954"/>
      <c r="O25" s="1954"/>
      <c r="P25" s="2032"/>
      <c r="Q25" s="2033" t="str">
        <f aca="false">B25</f>
        <v>楼层-1</v>
      </c>
      <c r="R25" s="2034" t="s">
        <v>1277</v>
      </c>
      <c r="S25" s="2035" t="n">
        <f aca="false">F25</f>
        <v>100</v>
      </c>
      <c r="T25" s="2034" t="s">
        <v>1277</v>
      </c>
      <c r="U25" s="2035" t="n">
        <f aca="false">H25</f>
        <v>100</v>
      </c>
      <c r="V25" s="2034" t="s">
        <v>1277</v>
      </c>
      <c r="W25" s="2035" t="n">
        <f aca="false">J25</f>
        <v>100</v>
      </c>
      <c r="X25" s="1958"/>
      <c r="Y25" s="2036"/>
      <c r="Z25" s="2037" t="str">
        <f aca="false">Q25</f>
        <v>楼层-1</v>
      </c>
      <c r="AA25" s="2038" t="n">
        <f aca="false">D25/F25</f>
        <v>1</v>
      </c>
      <c r="AB25" s="2038" t="n">
        <f aca="false">D25/H25</f>
        <v>1</v>
      </c>
      <c r="AC25" s="2038" t="n">
        <f aca="false">D25/J25</f>
        <v>1</v>
      </c>
    </row>
    <row r="26" customFormat="false" ht="15" hidden="false" customHeight="false" outlineLevel="0" collapsed="false">
      <c r="A26" s="2005"/>
      <c r="B26" s="1996" t="s">
        <v>1283</v>
      </c>
      <c r="C26" s="2062" t="s">
        <v>1284</v>
      </c>
      <c r="D26" s="2016" t="n">
        <v>100</v>
      </c>
      <c r="E26" s="2063" t="s">
        <v>1285</v>
      </c>
      <c r="F26" s="2017" t="n">
        <f aca="false">SUMIF(88:88,E26,89:89)-SUMIF(88:88,C26,89:89)+100</f>
        <v>99.5</v>
      </c>
      <c r="G26" s="2064" t="s">
        <v>1284</v>
      </c>
      <c r="H26" s="2017" t="n">
        <f aca="false">SUMIF(88:88,G26,89:89)-SUMIF(88:88,C26,89:89)+100</f>
        <v>100</v>
      </c>
      <c r="I26" s="2064" t="s">
        <v>1286</v>
      </c>
      <c r="J26" s="2017" t="n">
        <f aca="false">SUMIF(88:88,I26,89:89)-SUMIF(88:88,C26,89:89)+100</f>
        <v>96</v>
      </c>
      <c r="K26" s="2008" t="n">
        <v>0.5</v>
      </c>
      <c r="L26" s="2018"/>
      <c r="M26" s="1954"/>
      <c r="N26" s="1954"/>
      <c r="O26" s="1954"/>
      <c r="P26" s="2032"/>
      <c r="Q26" s="2033" t="str">
        <f aca="false">B26</f>
        <v>朝向</v>
      </c>
      <c r="R26" s="2034" t="s">
        <v>1277</v>
      </c>
      <c r="S26" s="2035" t="n">
        <f aca="false">F26</f>
        <v>99.5</v>
      </c>
      <c r="T26" s="2034" t="s">
        <v>1277</v>
      </c>
      <c r="U26" s="2035" t="n">
        <f aca="false">H26</f>
        <v>100</v>
      </c>
      <c r="V26" s="2034" t="s">
        <v>1277</v>
      </c>
      <c r="W26" s="2035" t="n">
        <f aca="false">J26</f>
        <v>96</v>
      </c>
      <c r="X26" s="1958"/>
      <c r="Y26" s="2036"/>
      <c r="Z26" s="2037" t="str">
        <f aca="false">Q26</f>
        <v>朝向</v>
      </c>
      <c r="AA26" s="2038" t="n">
        <f aca="false">D26/F26</f>
        <v>1.00502512562814</v>
      </c>
      <c r="AB26" s="2038" t="n">
        <f aca="false">D26/H26</f>
        <v>1</v>
      </c>
      <c r="AC26" s="2038" t="n">
        <f aca="false">D26/J26</f>
        <v>1.04166666666667</v>
      </c>
    </row>
    <row r="27" s="1983" customFormat="true" ht="15" hidden="false" customHeight="false" outlineLevel="0" collapsed="false">
      <c r="A27" s="2010"/>
      <c r="B27" s="2065" t="s">
        <v>1287</v>
      </c>
      <c r="C27" s="2066" t="s">
        <v>1288</v>
      </c>
      <c r="D27" s="2067" t="n">
        <v>100</v>
      </c>
      <c r="E27" s="2066" t="s">
        <v>1289</v>
      </c>
      <c r="F27" s="2068" t="n">
        <f aca="false">SUMIF(90:90,E27,91:91)-SUMIF(90:90,C27,91:91)+100</f>
        <v>102.5</v>
      </c>
      <c r="G27" s="2069" t="s">
        <v>1290</v>
      </c>
      <c r="H27" s="2068" t="n">
        <f aca="false">SUMIF(90:90,G27,91:91)-SUMIF(90:90,C27,91:91)+100</f>
        <v>101.5</v>
      </c>
      <c r="I27" s="2069" t="s">
        <v>1291</v>
      </c>
      <c r="J27" s="2068" t="n">
        <f aca="false">SUMIF(90:90,I27,91:91)-SUMIF(90:90,C27,91:91)+100</f>
        <v>101</v>
      </c>
      <c r="K27" s="2014"/>
      <c r="L27" s="1977"/>
      <c r="M27" s="1978"/>
      <c r="N27" s="1978"/>
      <c r="O27" s="1978"/>
      <c r="P27" s="2032"/>
      <c r="Q27" s="510" t="str">
        <f aca="false">B27</f>
        <v>楼层</v>
      </c>
      <c r="R27" s="1980" t="s">
        <v>1277</v>
      </c>
      <c r="S27" s="1981" t="n">
        <f aca="false">F27</f>
        <v>102.5</v>
      </c>
      <c r="T27" s="1980" t="s">
        <v>1277</v>
      </c>
      <c r="U27" s="1981" t="n">
        <f aca="false">H27</f>
        <v>101.5</v>
      </c>
      <c r="V27" s="1980" t="s">
        <v>1277</v>
      </c>
      <c r="W27" s="1981" t="n">
        <f aca="false">J27</f>
        <v>101</v>
      </c>
      <c r="X27" s="1982"/>
      <c r="Y27" s="2036"/>
      <c r="Z27" s="715" t="str">
        <f aca="false">Q27</f>
        <v>楼层</v>
      </c>
      <c r="AA27" s="2038" t="n">
        <f aca="false">D27/F27</f>
        <v>0.975609756097561</v>
      </c>
      <c r="AB27" s="2038" t="n">
        <f aca="false">D27/H27</f>
        <v>0.985221674876847</v>
      </c>
      <c r="AC27" s="2038" t="n">
        <f aca="false">D27/J27</f>
        <v>0.99009900990099</v>
      </c>
    </row>
    <row r="28" customFormat="false" ht="15" hidden="false" customHeight="false" outlineLevel="0" collapsed="false">
      <c r="A28" s="2005"/>
      <c r="B28" s="2070" t="n">
        <v>111</v>
      </c>
      <c r="C28" s="2015"/>
      <c r="D28" s="2016" t="n">
        <v>100</v>
      </c>
      <c r="E28" s="2015"/>
      <c r="F28" s="2017" t="n">
        <f aca="false">SUMIF(92:92,E28,93:93)-SUMIF(92:92,C28,93:93)+100</f>
        <v>100</v>
      </c>
      <c r="G28" s="2071"/>
      <c r="H28" s="2017" t="n">
        <f aca="false">SUMIF(92:92,G28,93:93)-SUMIF(92:92,C28,93:93)+100</f>
        <v>100</v>
      </c>
      <c r="I28" s="2015"/>
      <c r="J28" s="2017" t="n">
        <f aca="false">SUMIF(92:92,I28,93:93)-SUMIF(92:92,C28,93:93)+100</f>
        <v>100</v>
      </c>
      <c r="K28" s="2014"/>
      <c r="L28" s="2018"/>
      <c r="M28" s="1954"/>
      <c r="N28" s="1954"/>
      <c r="O28" s="1954"/>
      <c r="P28" s="2032"/>
      <c r="Q28" s="2033" t="n">
        <f aca="false">B28</f>
        <v>111</v>
      </c>
      <c r="R28" s="2034" t="s">
        <v>1277</v>
      </c>
      <c r="S28" s="2035" t="n">
        <f aca="false">F28</f>
        <v>100</v>
      </c>
      <c r="T28" s="2034" t="s">
        <v>1277</v>
      </c>
      <c r="U28" s="2035" t="n">
        <f aca="false">H28</f>
        <v>100</v>
      </c>
      <c r="V28" s="2034" t="s">
        <v>1277</v>
      </c>
      <c r="W28" s="2035" t="n">
        <f aca="false">J28</f>
        <v>100</v>
      </c>
      <c r="X28" s="1958"/>
      <c r="Y28" s="2036"/>
      <c r="Z28" s="2037" t="n">
        <f aca="false">Q28</f>
        <v>111</v>
      </c>
      <c r="AA28" s="2038" t="n">
        <f aca="false">D28/F28</f>
        <v>1</v>
      </c>
      <c r="AB28" s="2038" t="n">
        <f aca="false">D28/H28</f>
        <v>1</v>
      </c>
      <c r="AC28" s="2038" t="n">
        <f aca="false">D28/J28</f>
        <v>1</v>
      </c>
    </row>
    <row r="29" customFormat="false" ht="15" hidden="false" customHeight="false" outlineLevel="0" collapsed="false">
      <c r="A29" s="2005"/>
      <c r="B29" s="2070" t="n">
        <v>111</v>
      </c>
      <c r="C29" s="2015"/>
      <c r="D29" s="2016" t="n">
        <v>100</v>
      </c>
      <c r="E29" s="2015"/>
      <c r="F29" s="2017" t="n">
        <f aca="false">SUMIF(94:94,E29,95:95)-SUMIF(94:94,C29,95:95)+100</f>
        <v>100</v>
      </c>
      <c r="G29" s="2071"/>
      <c r="H29" s="2017" t="n">
        <f aca="false">SUMIF(94:94,G29,95:95)-SUMIF(94:94,C29,95:95)+100</f>
        <v>100</v>
      </c>
      <c r="I29" s="2015"/>
      <c r="J29" s="2017" t="n">
        <f aca="false">SUMIF(94:94,I29,95:95)-SUMIF(94:94,C29,95:95)+100</f>
        <v>100</v>
      </c>
      <c r="K29" s="2014"/>
      <c r="L29" s="2018"/>
      <c r="M29" s="1954"/>
      <c r="N29" s="1954"/>
      <c r="O29" s="1954"/>
      <c r="P29" s="2032"/>
      <c r="Q29" s="2033" t="n">
        <f aca="false">B29</f>
        <v>111</v>
      </c>
      <c r="R29" s="2034" t="s">
        <v>1277</v>
      </c>
      <c r="S29" s="2035" t="n">
        <f aca="false">F29</f>
        <v>100</v>
      </c>
      <c r="T29" s="2034" t="s">
        <v>1277</v>
      </c>
      <c r="U29" s="2035" t="n">
        <f aca="false">H29</f>
        <v>100</v>
      </c>
      <c r="V29" s="2034" t="s">
        <v>1277</v>
      </c>
      <c r="W29" s="2035" t="n">
        <f aca="false">J29</f>
        <v>100</v>
      </c>
      <c r="X29" s="1958"/>
      <c r="Y29" s="2036"/>
      <c r="Z29" s="2037" t="n">
        <f aca="false">Q29</f>
        <v>111</v>
      </c>
      <c r="AA29" s="2038" t="n">
        <f aca="false">D29/F29</f>
        <v>1</v>
      </c>
      <c r="AB29" s="2038" t="n">
        <f aca="false">D29/H29</f>
        <v>1</v>
      </c>
      <c r="AC29" s="2038" t="n">
        <f aca="false">D29/J29</f>
        <v>1</v>
      </c>
    </row>
    <row r="30" customFormat="false" ht="15" hidden="false" customHeight="false" outlineLevel="0" collapsed="false">
      <c r="A30" s="2005"/>
      <c r="B30" s="2070" t="n">
        <v>111</v>
      </c>
      <c r="C30" s="2015"/>
      <c r="D30" s="2016" t="n">
        <v>100</v>
      </c>
      <c r="E30" s="2015"/>
      <c r="F30" s="2017" t="n">
        <f aca="false">SUMIF(96:96,E30,97:97)-SUMIF(96:96,C30,97:97)+100</f>
        <v>100</v>
      </c>
      <c r="G30" s="2071"/>
      <c r="H30" s="2017" t="n">
        <f aca="false">SUMIF(96:96,G30,97:97)-SUMIF(96:96,C30,97:97)+100</f>
        <v>100</v>
      </c>
      <c r="I30" s="2015"/>
      <c r="J30" s="2017" t="n">
        <f aca="false">SUMIF(96:96,I30,97:97)-SUMIF(96:96,C30,97:97)+100</f>
        <v>100</v>
      </c>
      <c r="K30" s="2014"/>
      <c r="L30" s="2018"/>
      <c r="M30" s="1954"/>
      <c r="N30" s="1954"/>
      <c r="O30" s="1954"/>
      <c r="P30" s="2032"/>
      <c r="Q30" s="2033" t="n">
        <f aca="false">B30</f>
        <v>111</v>
      </c>
      <c r="R30" s="2034" t="s">
        <v>1277</v>
      </c>
      <c r="S30" s="2035" t="n">
        <f aca="false">F30</f>
        <v>100</v>
      </c>
      <c r="T30" s="2034" t="s">
        <v>1277</v>
      </c>
      <c r="U30" s="2035" t="n">
        <f aca="false">H30</f>
        <v>100</v>
      </c>
      <c r="V30" s="2034" t="s">
        <v>1277</v>
      </c>
      <c r="W30" s="2035" t="n">
        <f aca="false">J30</f>
        <v>100</v>
      </c>
      <c r="X30" s="1958"/>
      <c r="Y30" s="2036"/>
      <c r="Z30" s="2037" t="n">
        <f aca="false">Q30</f>
        <v>111</v>
      </c>
      <c r="AA30" s="2038" t="n">
        <f aca="false">D30/F30</f>
        <v>1</v>
      </c>
      <c r="AB30" s="2038" t="n">
        <f aca="false">D30/H30</f>
        <v>1</v>
      </c>
      <c r="AC30" s="2038" t="n">
        <f aca="false">D30/J30</f>
        <v>1</v>
      </c>
    </row>
    <row r="31" customFormat="false" ht="15" hidden="false" customHeight="false" outlineLevel="0" collapsed="false">
      <c r="A31" s="2019"/>
      <c r="B31" s="2070" t="n">
        <v>111</v>
      </c>
      <c r="C31" s="2021"/>
      <c r="D31" s="2022" t="n">
        <v>100</v>
      </c>
      <c r="E31" s="2021"/>
      <c r="F31" s="2024" t="n">
        <f aca="false">SUMIF(98:98,E31,99:99)-SUMIF(98:98,C31,99:99)+100</f>
        <v>100</v>
      </c>
      <c r="G31" s="2072"/>
      <c r="H31" s="2024" t="n">
        <f aca="false">SUMIF(98:98,G31,99:99)-SUMIF(98:98,C31,99:99)+100</f>
        <v>100</v>
      </c>
      <c r="I31" s="2021"/>
      <c r="J31" s="2024" t="n">
        <f aca="false">SUMIF(98:98,I31,99:99)-SUMIF(98:98,C31,99:99)+100</f>
        <v>100</v>
      </c>
      <c r="K31" s="2014"/>
      <c r="L31" s="2018"/>
      <c r="M31" s="1954"/>
      <c r="N31" s="1954"/>
      <c r="O31" s="1954"/>
      <c r="P31" s="2032"/>
      <c r="Q31" s="2033" t="n">
        <f aca="false">B31</f>
        <v>111</v>
      </c>
      <c r="R31" s="2034" t="s">
        <v>1277</v>
      </c>
      <c r="S31" s="2035" t="n">
        <f aca="false">F31</f>
        <v>100</v>
      </c>
      <c r="T31" s="2034" t="s">
        <v>1277</v>
      </c>
      <c r="U31" s="2035" t="n">
        <f aca="false">H31</f>
        <v>100</v>
      </c>
      <c r="V31" s="2034" t="s">
        <v>1277</v>
      </c>
      <c r="W31" s="2035" t="n">
        <f aca="false">J31</f>
        <v>100</v>
      </c>
      <c r="X31" s="1958"/>
      <c r="Y31" s="2036"/>
      <c r="Z31" s="2037" t="n">
        <f aca="false">Q31</f>
        <v>111</v>
      </c>
      <c r="AA31" s="2038" t="n">
        <f aca="false">D31/F31</f>
        <v>1</v>
      </c>
      <c r="AB31" s="2038" t="n">
        <f aca="false">D31/H31</f>
        <v>1</v>
      </c>
      <c r="AC31" s="2038" t="n">
        <f aca="false">D31/J31</f>
        <v>1</v>
      </c>
    </row>
    <row r="32" customFormat="false" ht="15" hidden="false" customHeight="true" outlineLevel="0" collapsed="false">
      <c r="A32" s="2025" t="s">
        <v>1292</v>
      </c>
      <c r="B32" s="678" t="s">
        <v>1293</v>
      </c>
      <c r="C32" s="2073" t="s">
        <v>1294</v>
      </c>
      <c r="D32" s="2074" t="n">
        <v>100</v>
      </c>
      <c r="E32" s="2075" t="s">
        <v>1294</v>
      </c>
      <c r="F32" s="2076" t="n">
        <f aca="false">SUMIF(100:100,E32,101:101)-SUMIF(100:100,C32,101:101)+100</f>
        <v>100</v>
      </c>
      <c r="G32" s="2073" t="s">
        <v>1294</v>
      </c>
      <c r="H32" s="2077" t="n">
        <f aca="false">SUMIF(100:100,G32,101:101)-SUMIF(100:100,C32,101:101)+100</f>
        <v>100</v>
      </c>
      <c r="I32" s="2075" t="s">
        <v>1295</v>
      </c>
      <c r="J32" s="2017" t="n">
        <f aca="false">SUMIF(100:100,I32,101:101)-SUMIF(100:100,C32,101:101)+100</f>
        <v>98</v>
      </c>
      <c r="K32" s="2008" t="n">
        <v>2</v>
      </c>
      <c r="L32" s="2018"/>
      <c r="M32" s="1954"/>
      <c r="N32" s="1954"/>
      <c r="O32" s="1954"/>
      <c r="P32" s="2078" t="s">
        <v>1292</v>
      </c>
      <c r="Q32" s="2033" t="str">
        <f aca="false">B32</f>
        <v>建筑类型</v>
      </c>
      <c r="R32" s="2034" t="s">
        <v>1277</v>
      </c>
      <c r="S32" s="2035" t="n">
        <f aca="false">F32</f>
        <v>100</v>
      </c>
      <c r="T32" s="2034" t="s">
        <v>1277</v>
      </c>
      <c r="U32" s="2035" t="n">
        <f aca="false">H32</f>
        <v>100</v>
      </c>
      <c r="V32" s="2034" t="s">
        <v>1277</v>
      </c>
      <c r="W32" s="2035" t="n">
        <f aca="false">J32</f>
        <v>98</v>
      </c>
      <c r="X32" s="1958"/>
      <c r="Y32" s="2079" t="s">
        <v>1292</v>
      </c>
      <c r="Z32" s="2037" t="str">
        <f aca="false">Q32</f>
        <v>建筑类型</v>
      </c>
      <c r="AA32" s="2038" t="n">
        <f aca="false">D32/F32</f>
        <v>1</v>
      </c>
      <c r="AB32" s="2038" t="n">
        <f aca="false">D32/H32</f>
        <v>1</v>
      </c>
      <c r="AC32" s="2038" t="n">
        <f aca="false">D32/J32</f>
        <v>1.02040816326531</v>
      </c>
    </row>
    <row r="33" s="2088" customFormat="true" ht="15" hidden="false" customHeight="false" outlineLevel="0" collapsed="false">
      <c r="A33" s="2080"/>
      <c r="B33" s="1996" t="s">
        <v>1296</v>
      </c>
      <c r="C33" s="2081" t="n">
        <v>58.3</v>
      </c>
      <c r="D33" s="1998" t="n">
        <v>100</v>
      </c>
      <c r="E33" s="2007" t="n">
        <f aca="false">三义庙!L8</f>
        <v>53.1</v>
      </c>
      <c r="F33" s="2000" t="n">
        <f aca="false">LOOKUP(E33,103:103,104:104)-LOOKUP(C33,103:103,104:104)+100</f>
        <v>100</v>
      </c>
      <c r="G33" s="2006" t="n">
        <f aca="false">三义庙!L13</f>
        <v>57.1</v>
      </c>
      <c r="H33" s="2001" t="n">
        <f aca="false">LOOKUP(G33,103:103,104:104)-LOOKUP(C33,103:103,104:104)+100</f>
        <v>100</v>
      </c>
      <c r="I33" s="2007" t="n">
        <f aca="false">三义庙!L14</f>
        <v>70.23</v>
      </c>
      <c r="J33" s="2001" t="n">
        <f aca="false">LOOKUP(I33,103:103,104:104)-LOOKUP(C33,103:103,104:104)+100</f>
        <v>100</v>
      </c>
      <c r="K33" s="2014"/>
      <c r="L33" s="2009"/>
      <c r="M33" s="2082"/>
      <c r="N33" s="2082"/>
      <c r="O33" s="2082"/>
      <c r="P33" s="2078"/>
      <c r="Q33" s="2083" t="str">
        <f aca="false">B33</f>
        <v>项目建筑规模</v>
      </c>
      <c r="R33" s="2084" t="s">
        <v>1277</v>
      </c>
      <c r="S33" s="2085" t="n">
        <f aca="false">F33</f>
        <v>100</v>
      </c>
      <c r="T33" s="2084" t="s">
        <v>1277</v>
      </c>
      <c r="U33" s="2085" t="n">
        <f aca="false">H33</f>
        <v>100</v>
      </c>
      <c r="V33" s="2084" t="s">
        <v>1277</v>
      </c>
      <c r="W33" s="2085" t="n">
        <f aca="false">J33</f>
        <v>100</v>
      </c>
      <c r="X33" s="2086"/>
      <c r="Y33" s="2079"/>
      <c r="Z33" s="2087" t="str">
        <f aca="false">Q33</f>
        <v>项目建筑规模</v>
      </c>
      <c r="AA33" s="2038" t="n">
        <f aca="false">D33/F33</f>
        <v>1</v>
      </c>
      <c r="AB33" s="2038" t="n">
        <f aca="false">D33/H33</f>
        <v>1</v>
      </c>
      <c r="AC33" s="2038" t="n">
        <f aca="false">D33/J33</f>
        <v>1</v>
      </c>
    </row>
    <row r="34" customFormat="false" ht="15" hidden="false" customHeight="false" outlineLevel="0" collapsed="false">
      <c r="A34" s="2089"/>
      <c r="B34" s="1996" t="s">
        <v>1297</v>
      </c>
      <c r="C34" s="2090" t="s">
        <v>1298</v>
      </c>
      <c r="D34" s="2016" t="n">
        <v>100</v>
      </c>
      <c r="E34" s="2091" t="s">
        <v>1298</v>
      </c>
      <c r="F34" s="2076" t="n">
        <f aca="false">SUMIF(105:105,E34,106:106)-SUMIF(105:105,C34,106:106)+100</f>
        <v>100</v>
      </c>
      <c r="G34" s="2090" t="s">
        <v>1298</v>
      </c>
      <c r="H34" s="2017" t="n">
        <f aca="false">SUMIF(105:105,G34,106:106)-SUMIF(105:105,C34,106:106)+100</f>
        <v>100</v>
      </c>
      <c r="I34" s="2091" t="s">
        <v>1144</v>
      </c>
      <c r="J34" s="2017" t="n">
        <f aca="false">SUMIF(105:105,I34,106:106)-SUMIF(105:105,C34,106:106)+100</f>
        <v>102</v>
      </c>
      <c r="K34" s="2008" t="n">
        <v>2</v>
      </c>
      <c r="L34" s="2018"/>
      <c r="M34" s="1954"/>
      <c r="N34" s="1954"/>
      <c r="O34" s="1954"/>
      <c r="P34" s="2078"/>
      <c r="Q34" s="2033" t="str">
        <f aca="false">B34</f>
        <v>建筑结构</v>
      </c>
      <c r="R34" s="2034" t="s">
        <v>1277</v>
      </c>
      <c r="S34" s="2035" t="n">
        <f aca="false">F34</f>
        <v>100</v>
      </c>
      <c r="T34" s="2034" t="s">
        <v>1277</v>
      </c>
      <c r="U34" s="2035" t="n">
        <f aca="false">H34</f>
        <v>100</v>
      </c>
      <c r="V34" s="2034" t="s">
        <v>1277</v>
      </c>
      <c r="W34" s="2035" t="n">
        <f aca="false">J34</f>
        <v>102</v>
      </c>
      <c r="X34" s="1958"/>
      <c r="Y34" s="2079"/>
      <c r="Z34" s="2037" t="str">
        <f aca="false">Q34</f>
        <v>建筑结构</v>
      </c>
      <c r="AA34" s="2038" t="n">
        <f aca="false">D34/F34</f>
        <v>1</v>
      </c>
      <c r="AB34" s="2038" t="n">
        <f aca="false">D34/H34</f>
        <v>1</v>
      </c>
      <c r="AC34" s="2038" t="n">
        <f aca="false">D34/J34</f>
        <v>0.980392156862745</v>
      </c>
    </row>
    <row r="35" customFormat="false" ht="15" hidden="false" customHeight="false" outlineLevel="0" collapsed="false">
      <c r="A35" s="2089"/>
      <c r="B35" s="1996" t="s">
        <v>1299</v>
      </c>
      <c r="C35" s="2063" t="s">
        <v>250</v>
      </c>
      <c r="D35" s="2016" t="n">
        <v>100</v>
      </c>
      <c r="E35" s="2064" t="s">
        <v>250</v>
      </c>
      <c r="F35" s="2076" t="n">
        <f aca="false">SUMIF(107:107,E35,108:108)-SUMIF(107:107,C35,108:108)+100</f>
        <v>100</v>
      </c>
      <c r="G35" s="2063" t="s">
        <v>250</v>
      </c>
      <c r="H35" s="2017" t="n">
        <f aca="false">SUMIF(107:107,G35,108:108)-SUMIF(107:107,C35,108:108)+100</f>
        <v>100</v>
      </c>
      <c r="I35" s="2064" t="s">
        <v>250</v>
      </c>
      <c r="J35" s="2017" t="n">
        <f aca="false">SUMIF(107:107,I35,108:108)-SUMIF(107:107,C35,108:108)+100</f>
        <v>100</v>
      </c>
      <c r="K35" s="2008" t="n">
        <v>3</v>
      </c>
      <c r="L35" s="2018"/>
      <c r="M35" s="1954"/>
      <c r="N35" s="1954"/>
      <c r="O35" s="1954"/>
      <c r="P35" s="2078"/>
      <c r="Q35" s="2033" t="str">
        <f aca="false">B35</f>
        <v>建筑品质</v>
      </c>
      <c r="R35" s="2034" t="s">
        <v>1277</v>
      </c>
      <c r="S35" s="2035" t="n">
        <f aca="false">F35</f>
        <v>100</v>
      </c>
      <c r="T35" s="2034" t="s">
        <v>1277</v>
      </c>
      <c r="U35" s="2035" t="n">
        <f aca="false">H35</f>
        <v>100</v>
      </c>
      <c r="V35" s="2034" t="s">
        <v>1277</v>
      </c>
      <c r="W35" s="2035" t="n">
        <f aca="false">J35</f>
        <v>100</v>
      </c>
      <c r="X35" s="1958"/>
      <c r="Y35" s="2079"/>
      <c r="Z35" s="2037" t="str">
        <f aca="false">Q35</f>
        <v>建筑品质</v>
      </c>
      <c r="AA35" s="2038" t="n">
        <f aca="false">D35/F35</f>
        <v>1</v>
      </c>
      <c r="AB35" s="2038" t="n">
        <f aca="false">D35/H35</f>
        <v>1</v>
      </c>
      <c r="AC35" s="2038" t="n">
        <f aca="false">D35/J35</f>
        <v>1</v>
      </c>
    </row>
    <row r="36" customFormat="false" ht="15" hidden="false" customHeight="false" outlineLevel="0" collapsed="false">
      <c r="A36" s="2089"/>
      <c r="B36" s="1996" t="s">
        <v>1300</v>
      </c>
      <c r="C36" s="2063" t="s">
        <v>1301</v>
      </c>
      <c r="D36" s="2016" t="n">
        <v>100</v>
      </c>
      <c r="E36" s="2064" t="s">
        <v>1301</v>
      </c>
      <c r="F36" s="2076" t="n">
        <f aca="false">SUMIF(109:109,E36,110:110)-SUMIF(109:109,C36,110:110)+100</f>
        <v>100</v>
      </c>
      <c r="G36" s="2063" t="s">
        <v>1301</v>
      </c>
      <c r="H36" s="2017" t="n">
        <f aca="false">SUMIF(109:109,G36,110:110)-SUMIF(109:109,C36,110:110)+100</f>
        <v>100</v>
      </c>
      <c r="I36" s="2064" t="s">
        <v>1301</v>
      </c>
      <c r="J36" s="2017" t="n">
        <f aca="false">SUMIF(109:109,I36,110:110)-SUMIF(109:109,C36,110:110)+100</f>
        <v>100</v>
      </c>
      <c r="K36" s="2008" t="n">
        <v>3</v>
      </c>
      <c r="L36" s="2018"/>
      <c r="M36" s="1954"/>
      <c r="N36" s="1954"/>
      <c r="O36" s="1954"/>
      <c r="P36" s="2078"/>
      <c r="Q36" s="2033" t="str">
        <f aca="false">B36</f>
        <v>公共部分装修</v>
      </c>
      <c r="R36" s="2034" t="s">
        <v>1277</v>
      </c>
      <c r="S36" s="2035" t="n">
        <f aca="false">F36</f>
        <v>100</v>
      </c>
      <c r="T36" s="2034" t="s">
        <v>1277</v>
      </c>
      <c r="U36" s="2035" t="n">
        <f aca="false">H36</f>
        <v>100</v>
      </c>
      <c r="V36" s="2034" t="s">
        <v>1277</v>
      </c>
      <c r="W36" s="2035" t="n">
        <f aca="false">J36</f>
        <v>100</v>
      </c>
      <c r="X36" s="1958"/>
      <c r="Y36" s="2079"/>
      <c r="Z36" s="2037" t="str">
        <f aca="false">Q36</f>
        <v>公共部分装修</v>
      </c>
      <c r="AA36" s="2038" t="n">
        <f aca="false">D36/F36</f>
        <v>1</v>
      </c>
      <c r="AB36" s="2038" t="n">
        <f aca="false">D36/H36</f>
        <v>1</v>
      </c>
      <c r="AC36" s="2038" t="n">
        <f aca="false">D36/J36</f>
        <v>1</v>
      </c>
    </row>
    <row r="37" s="1983" customFormat="true" ht="15" hidden="false" customHeight="false" outlineLevel="0" collapsed="false">
      <c r="A37" s="2092"/>
      <c r="B37" s="1996" t="s">
        <v>567</v>
      </c>
      <c r="C37" s="2093" t="n">
        <v>1</v>
      </c>
      <c r="D37" s="1998" t="n">
        <v>100</v>
      </c>
      <c r="E37" s="2093" t="n">
        <v>1</v>
      </c>
      <c r="F37" s="2000" t="n">
        <f aca="false">LOOKUP(E37,112:112,113:113)-LOOKUP(C37,112:112,113:113)+100</f>
        <v>100</v>
      </c>
      <c r="G37" s="2094" t="n">
        <v>1</v>
      </c>
      <c r="H37" s="2001" t="n">
        <f aca="false">LOOKUP(G37,112:112,113:113)-LOOKUP(C37,112:112,113:113)+100</f>
        <v>100</v>
      </c>
      <c r="I37" s="2095" t="n">
        <v>1</v>
      </c>
      <c r="J37" s="2001" t="n">
        <f aca="false">LOOKUP(I37,112:112,113:113)-LOOKUP(C37,112:112,113:113)+100</f>
        <v>100</v>
      </c>
      <c r="K37" s="2008" t="n">
        <v>2</v>
      </c>
      <c r="L37" s="1977"/>
      <c r="M37" s="1978"/>
      <c r="N37" s="1978"/>
      <c r="O37" s="1978"/>
      <c r="P37" s="2078"/>
      <c r="Q37" s="510" t="str">
        <f aca="false">B37</f>
        <v>成新度</v>
      </c>
      <c r="R37" s="1980" t="s">
        <v>1277</v>
      </c>
      <c r="S37" s="1981" t="n">
        <f aca="false">F37</f>
        <v>100</v>
      </c>
      <c r="T37" s="1980" t="s">
        <v>1277</v>
      </c>
      <c r="U37" s="1981" t="n">
        <f aca="false">H37</f>
        <v>100</v>
      </c>
      <c r="V37" s="1980" t="s">
        <v>1277</v>
      </c>
      <c r="W37" s="1981" t="n">
        <f aca="false">J37</f>
        <v>100</v>
      </c>
      <c r="X37" s="1982"/>
      <c r="Y37" s="2079"/>
      <c r="Z37" s="715" t="str">
        <f aca="false">Q37</f>
        <v>成新度</v>
      </c>
      <c r="AA37" s="741" t="n">
        <f aca="false">D37/F37</f>
        <v>1</v>
      </c>
      <c r="AB37" s="741" t="n">
        <f aca="false">D37/H37</f>
        <v>1</v>
      </c>
      <c r="AC37" s="741" t="n">
        <f aca="false">D37/J37</f>
        <v>1</v>
      </c>
    </row>
    <row r="38" customFormat="false" ht="15" hidden="false" customHeight="false" outlineLevel="0" collapsed="false">
      <c r="A38" s="2089"/>
      <c r="B38" s="1996" t="s">
        <v>1302</v>
      </c>
      <c r="C38" s="2063" t="s">
        <v>1303</v>
      </c>
      <c r="D38" s="2016" t="n">
        <v>100</v>
      </c>
      <c r="E38" s="2064" t="s">
        <v>1303</v>
      </c>
      <c r="F38" s="2076" t="n">
        <f aca="false">SUMIF(114:114,E38,115:115)-SUMIF(114:114,C38,115:115)+100</f>
        <v>100</v>
      </c>
      <c r="G38" s="2063" t="s">
        <v>1303</v>
      </c>
      <c r="H38" s="2017" t="n">
        <f aca="false">SUMIF(114:114,G38,115:115)-SUMIF(114:114,C38,115:115)+100</f>
        <v>100</v>
      </c>
      <c r="I38" s="2064" t="s">
        <v>1303</v>
      </c>
      <c r="J38" s="2017" t="n">
        <f aca="false">SUMIF(114:114,I38,115:115)-SUMIF(114:114,C38,115:115)+100</f>
        <v>100</v>
      </c>
      <c r="K38" s="2008" t="n">
        <v>1</v>
      </c>
      <c r="L38" s="2018"/>
      <c r="M38" s="1954"/>
      <c r="N38" s="1954"/>
      <c r="O38" s="1954"/>
      <c r="P38" s="2078" t="s">
        <v>1292</v>
      </c>
      <c r="Q38" s="2033" t="str">
        <f aca="false">B38</f>
        <v>物业管理</v>
      </c>
      <c r="R38" s="2034" t="s">
        <v>1277</v>
      </c>
      <c r="S38" s="2035" t="n">
        <f aca="false">F38</f>
        <v>100</v>
      </c>
      <c r="T38" s="2034" t="s">
        <v>1277</v>
      </c>
      <c r="U38" s="2035" t="n">
        <f aca="false">H38</f>
        <v>100</v>
      </c>
      <c r="V38" s="2034" t="s">
        <v>1277</v>
      </c>
      <c r="W38" s="2035" t="n">
        <f aca="false">J38</f>
        <v>100</v>
      </c>
      <c r="X38" s="1958"/>
      <c r="Y38" s="2079" t="s">
        <v>1292</v>
      </c>
      <c r="Z38" s="2037" t="str">
        <f aca="false">Q38</f>
        <v>物业管理</v>
      </c>
      <c r="AA38" s="2038" t="n">
        <f aca="false">D38/F38</f>
        <v>1</v>
      </c>
      <c r="AB38" s="2038" t="n">
        <f aca="false">D38/H38</f>
        <v>1</v>
      </c>
      <c r="AC38" s="2038" t="n">
        <f aca="false">D38/J38</f>
        <v>1</v>
      </c>
    </row>
    <row r="39" customFormat="false" ht="15" hidden="false" customHeight="false" outlineLevel="0" collapsed="false">
      <c r="A39" s="2089"/>
      <c r="B39" s="1996" t="s">
        <v>1304</v>
      </c>
      <c r="C39" s="2063" t="s">
        <v>232</v>
      </c>
      <c r="D39" s="2016" t="n">
        <v>100</v>
      </c>
      <c r="E39" s="2064" t="s">
        <v>232</v>
      </c>
      <c r="F39" s="2076" t="n">
        <f aca="false">SUMIF(116:116,E39,117:117)-SUMIF(116:116,C39,117:117)+100</f>
        <v>100</v>
      </c>
      <c r="G39" s="2063" t="s">
        <v>232</v>
      </c>
      <c r="H39" s="2017" t="n">
        <f aca="false">SUMIF(116:116,G39,117:117)-SUMIF(116:116,C39,117:117)+100</f>
        <v>100</v>
      </c>
      <c r="I39" s="2064" t="s">
        <v>232</v>
      </c>
      <c r="J39" s="2017" t="n">
        <f aca="false">SUMIF(116:116,I39,117:117)-SUMIF(116:116,C39,117:117)+100</f>
        <v>100</v>
      </c>
      <c r="K39" s="2008"/>
      <c r="L39" s="2018"/>
      <c r="M39" s="1954"/>
      <c r="N39" s="1954"/>
      <c r="O39" s="1954"/>
      <c r="P39" s="2078"/>
      <c r="Q39" s="2033" t="str">
        <f aca="false">B39</f>
        <v>市政基础设施</v>
      </c>
      <c r="R39" s="2034" t="s">
        <v>1277</v>
      </c>
      <c r="S39" s="2035" t="n">
        <f aca="false">F39</f>
        <v>100</v>
      </c>
      <c r="T39" s="2034" t="s">
        <v>1277</v>
      </c>
      <c r="U39" s="2035" t="n">
        <f aca="false">H39</f>
        <v>100</v>
      </c>
      <c r="V39" s="2034" t="s">
        <v>1277</v>
      </c>
      <c r="W39" s="2035" t="n">
        <f aca="false">J39</f>
        <v>100</v>
      </c>
      <c r="X39" s="1958"/>
      <c r="Y39" s="2079"/>
      <c r="Z39" s="2037" t="str">
        <f aca="false">Q39</f>
        <v>市政基础设施</v>
      </c>
      <c r="AA39" s="2038" t="n">
        <f aca="false">D39/F39</f>
        <v>1</v>
      </c>
      <c r="AB39" s="2038" t="n">
        <f aca="false">D39/H39</f>
        <v>1</v>
      </c>
      <c r="AC39" s="2038" t="n">
        <f aca="false">D39/J39</f>
        <v>1</v>
      </c>
    </row>
    <row r="40" customFormat="false" ht="15" hidden="false" customHeight="false" outlineLevel="0" collapsed="false">
      <c r="A40" s="2089"/>
      <c r="B40" s="1996" t="s">
        <v>1188</v>
      </c>
      <c r="C40" s="2063"/>
      <c r="D40" s="2016" t="n">
        <v>100</v>
      </c>
      <c r="E40" s="2064"/>
      <c r="F40" s="2076" t="n">
        <f aca="false">SUMIF(118:118,E40,119:119)-SUMIF(118:118,C40,119:119)+100</f>
        <v>100</v>
      </c>
      <c r="G40" s="2063"/>
      <c r="H40" s="2017" t="n">
        <f aca="false">SUMIF(118:118,G40,119:119)-SUMIF(118:118,C40,119:119)+100</f>
        <v>100</v>
      </c>
      <c r="I40" s="2064"/>
      <c r="J40" s="2017" t="n">
        <f aca="false">SUMIF(118:118,I40,119:119)-SUMIF(118:118,C40,119:119)+100</f>
        <v>100</v>
      </c>
      <c r="K40" s="2008"/>
      <c r="L40" s="2018"/>
      <c r="M40" s="1954"/>
      <c r="N40" s="1954"/>
      <c r="O40" s="1954"/>
      <c r="P40" s="2078"/>
      <c r="Q40" s="2033" t="str">
        <f aca="false">B40</f>
        <v>房型</v>
      </c>
      <c r="R40" s="2034" t="s">
        <v>1277</v>
      </c>
      <c r="S40" s="2035" t="n">
        <f aca="false">F40</f>
        <v>100</v>
      </c>
      <c r="T40" s="2034" t="s">
        <v>1277</v>
      </c>
      <c r="U40" s="2035" t="n">
        <f aca="false">H40</f>
        <v>100</v>
      </c>
      <c r="V40" s="2034" t="s">
        <v>1277</v>
      </c>
      <c r="W40" s="2035" t="n">
        <f aca="false">J40</f>
        <v>100</v>
      </c>
      <c r="X40" s="1958"/>
      <c r="Y40" s="2079"/>
      <c r="Z40" s="2037" t="str">
        <f aca="false">Q40</f>
        <v>房型</v>
      </c>
      <c r="AA40" s="2038" t="n">
        <f aca="false">D40/F40</f>
        <v>1</v>
      </c>
      <c r="AB40" s="2038" t="n">
        <f aca="false">D40/H40</f>
        <v>1</v>
      </c>
      <c r="AC40" s="2038" t="n">
        <f aca="false">D40/J40</f>
        <v>1</v>
      </c>
    </row>
    <row r="41" s="2088" customFormat="true" ht="28.5" hidden="false" customHeight="false" outlineLevel="0" collapsed="false">
      <c r="A41" s="2080"/>
      <c r="B41" s="1996" t="s">
        <v>1305</v>
      </c>
      <c r="C41" s="2081"/>
      <c r="D41" s="1998" t="n">
        <v>100</v>
      </c>
      <c r="E41" s="2007"/>
      <c r="F41" s="2000" t="n">
        <f aca="false">SUMIF(120:120,E41,121:121)-SUMIF(120:120,C41,121:121)+100</f>
        <v>100</v>
      </c>
      <c r="G41" s="2006"/>
      <c r="H41" s="2001" t="n">
        <f aca="false">SUMIF(120:120,G41,121:121)-SUMIF(120:120,C41,121:121)+100</f>
        <v>100</v>
      </c>
      <c r="I41" s="2096"/>
      <c r="J41" s="2017" t="n">
        <f aca="false">SUMIF(120:120,I41,121:121)-SUMIF(120:120,C41,121:121)+100</f>
        <v>100</v>
      </c>
      <c r="K41" s="2014"/>
      <c r="L41" s="2009"/>
      <c r="M41" s="2082"/>
      <c r="N41" s="2082"/>
      <c r="O41" s="2082"/>
      <c r="P41" s="2078"/>
      <c r="Q41" s="2083" t="str">
        <f aca="false">B41</f>
        <v>单套/主力户型建筑面积</v>
      </c>
      <c r="R41" s="2084" t="s">
        <v>1277</v>
      </c>
      <c r="S41" s="2085" t="n">
        <f aca="false">F41</f>
        <v>100</v>
      </c>
      <c r="T41" s="2084" t="s">
        <v>1277</v>
      </c>
      <c r="U41" s="2085" t="n">
        <f aca="false">H41</f>
        <v>100</v>
      </c>
      <c r="V41" s="2084" t="s">
        <v>1277</v>
      </c>
      <c r="W41" s="2085" t="n">
        <f aca="false">J41</f>
        <v>100</v>
      </c>
      <c r="X41" s="2086"/>
      <c r="Y41" s="2079"/>
      <c r="Z41" s="2087" t="str">
        <f aca="false">Q41</f>
        <v>单套/主力户型建筑面积</v>
      </c>
      <c r="AA41" s="2038" t="n">
        <f aca="false">D41/F41</f>
        <v>1</v>
      </c>
      <c r="AB41" s="2038" t="n">
        <f aca="false">D41/H41</f>
        <v>1</v>
      </c>
      <c r="AC41" s="2038" t="n">
        <f aca="false">D41/J41</f>
        <v>1</v>
      </c>
    </row>
    <row r="42" customFormat="false" ht="15" hidden="false" customHeight="false" outlineLevel="0" collapsed="false">
      <c r="A42" s="2089"/>
      <c r="B42" s="1996" t="s">
        <v>1306</v>
      </c>
      <c r="C42" s="2063" t="s">
        <v>1301</v>
      </c>
      <c r="D42" s="2016" t="n">
        <v>100</v>
      </c>
      <c r="E42" s="2064" t="s">
        <v>1301</v>
      </c>
      <c r="F42" s="2076" t="n">
        <f aca="false">SUMIF(122:122,E42,123:123)-SUMIF(122:122,C42,123:123)+100</f>
        <v>100</v>
      </c>
      <c r="G42" s="2063" t="s">
        <v>1301</v>
      </c>
      <c r="H42" s="2017" t="n">
        <f aca="false">SUMIF(122:122,G42,123:123)-SUMIF(122:122,C42,123:123)+100</f>
        <v>100</v>
      </c>
      <c r="I42" s="2064" t="s">
        <v>1301</v>
      </c>
      <c r="J42" s="2017" t="n">
        <f aca="false">SUMIF(122:122,I42,123:123)-SUMIF(122:122,C42,123:123)+100</f>
        <v>100</v>
      </c>
      <c r="K42" s="2008" t="n">
        <v>2</v>
      </c>
      <c r="L42" s="2018"/>
      <c r="M42" s="1954"/>
      <c r="N42" s="1954"/>
      <c r="O42" s="1954"/>
      <c r="P42" s="2078"/>
      <c r="Q42" s="2033" t="str">
        <f aca="false">B42</f>
        <v>内部装修</v>
      </c>
      <c r="R42" s="2034" t="s">
        <v>1277</v>
      </c>
      <c r="S42" s="2035" t="n">
        <f aca="false">F42</f>
        <v>100</v>
      </c>
      <c r="T42" s="2034" t="s">
        <v>1277</v>
      </c>
      <c r="U42" s="2035" t="n">
        <f aca="false">H42</f>
        <v>100</v>
      </c>
      <c r="V42" s="2034" t="s">
        <v>1277</v>
      </c>
      <c r="W42" s="2035" t="n">
        <f aca="false">J42</f>
        <v>100</v>
      </c>
      <c r="X42" s="1958"/>
      <c r="Y42" s="2079"/>
      <c r="Z42" s="2037" t="str">
        <f aca="false">Q42</f>
        <v>内部装修</v>
      </c>
      <c r="AA42" s="2038" t="n">
        <f aca="false">D42/F42</f>
        <v>1</v>
      </c>
      <c r="AB42" s="2038" t="n">
        <f aca="false">D42/H42</f>
        <v>1</v>
      </c>
      <c r="AC42" s="2038" t="n">
        <f aca="false">D42/J42</f>
        <v>1</v>
      </c>
    </row>
    <row r="43" customFormat="false" ht="15" hidden="false" customHeight="false" outlineLevel="0" collapsed="false">
      <c r="A43" s="2089"/>
      <c r="B43" s="1996" t="s">
        <v>222</v>
      </c>
      <c r="C43" s="2063"/>
      <c r="D43" s="2016" t="n">
        <v>100</v>
      </c>
      <c r="E43" s="2064"/>
      <c r="F43" s="2076" t="n">
        <f aca="false">SUMIF(124:124,E43,125:125)-SUMIF(124:124,C43,125:125)+100</f>
        <v>100</v>
      </c>
      <c r="G43" s="2063"/>
      <c r="H43" s="2017" t="n">
        <f aca="false">SUMIF(124:124,G43,125:125)-SUMIF(124:124,C43,125:125)+100</f>
        <v>100</v>
      </c>
      <c r="I43" s="2064"/>
      <c r="J43" s="2017" t="n">
        <f aca="false">SUMIF(124:124,I43,125:125)-SUMIF(124:124,C43,125:125)+100</f>
        <v>100</v>
      </c>
      <c r="K43" s="2008"/>
      <c r="L43" s="2018"/>
      <c r="M43" s="1954"/>
      <c r="N43" s="1954"/>
      <c r="O43" s="1954"/>
      <c r="P43" s="2078"/>
      <c r="Q43" s="2033" t="str">
        <f aca="false">B43</f>
        <v>内部装修维护情况</v>
      </c>
      <c r="R43" s="2034" t="s">
        <v>1277</v>
      </c>
      <c r="S43" s="2035" t="n">
        <f aca="false">F43</f>
        <v>100</v>
      </c>
      <c r="T43" s="2034" t="s">
        <v>1277</v>
      </c>
      <c r="U43" s="2035" t="n">
        <f aca="false">H43</f>
        <v>100</v>
      </c>
      <c r="V43" s="2034" t="s">
        <v>1277</v>
      </c>
      <c r="W43" s="2035" t="n">
        <f aca="false">J43</f>
        <v>100</v>
      </c>
      <c r="X43" s="1958"/>
      <c r="Y43" s="2079"/>
      <c r="Z43" s="2037" t="str">
        <f aca="false">Q43</f>
        <v>内部装修维护情况</v>
      </c>
      <c r="AA43" s="2038" t="n">
        <f aca="false">D43/F43</f>
        <v>1</v>
      </c>
      <c r="AB43" s="2038" t="n">
        <f aca="false">D43/H43</f>
        <v>1</v>
      </c>
      <c r="AC43" s="2038" t="n">
        <f aca="false">D43/J43</f>
        <v>1</v>
      </c>
    </row>
    <row r="44" s="1983" customFormat="true" ht="15" hidden="false" customHeight="false" outlineLevel="0" collapsed="false">
      <c r="A44" s="2092"/>
      <c r="B44" s="2065" t="s">
        <v>1096</v>
      </c>
      <c r="C44" s="2097" t="n">
        <v>1982</v>
      </c>
      <c r="D44" s="1998" t="n">
        <v>100</v>
      </c>
      <c r="E44" s="2097" t="n">
        <v>1985</v>
      </c>
      <c r="F44" s="2000" t="n">
        <f aca="false">SUMIF(126:126,E44,127:127)-SUMIF(126:126,C44,127:127)+100</f>
        <v>101.5</v>
      </c>
      <c r="G44" s="2097" t="n">
        <v>1988</v>
      </c>
      <c r="H44" s="2001" t="n">
        <f aca="false">SUMIF(126:126,G44,127:127)-SUMIF(126:126,C44,127:127)+100</f>
        <v>103</v>
      </c>
      <c r="I44" s="2097" t="n">
        <v>1988</v>
      </c>
      <c r="J44" s="2001" t="n">
        <f aca="false">SUMIF(126:126,I44,127:127)-SUMIF(126:126,C44,127:127)+100</f>
        <v>103</v>
      </c>
      <c r="K44" s="2014"/>
      <c r="L44" s="1977"/>
      <c r="M44" s="1978"/>
      <c r="N44" s="1978"/>
      <c r="O44" s="1978"/>
      <c r="P44" s="2078"/>
      <c r="Q44" s="510" t="str">
        <f aca="false">B44</f>
        <v>建成年代</v>
      </c>
      <c r="R44" s="1980" t="s">
        <v>1277</v>
      </c>
      <c r="S44" s="1981" t="n">
        <f aca="false">F44</f>
        <v>101.5</v>
      </c>
      <c r="T44" s="1980" t="s">
        <v>1277</v>
      </c>
      <c r="U44" s="1981" t="n">
        <f aca="false">H44</f>
        <v>103</v>
      </c>
      <c r="V44" s="1980" t="s">
        <v>1277</v>
      </c>
      <c r="W44" s="1981" t="n">
        <f aca="false">J44</f>
        <v>103</v>
      </c>
      <c r="X44" s="1982"/>
      <c r="Y44" s="2079"/>
      <c r="Z44" s="715" t="str">
        <f aca="false">Q44</f>
        <v>建成年代</v>
      </c>
      <c r="AA44" s="741" t="n">
        <f aca="false">D44/F44</f>
        <v>0.985221674876847</v>
      </c>
      <c r="AB44" s="741" t="n">
        <f aca="false">D44/H44</f>
        <v>0.970873786407767</v>
      </c>
      <c r="AC44" s="741" t="n">
        <f aca="false">D44/J44</f>
        <v>0.970873786407767</v>
      </c>
    </row>
    <row r="45" customFormat="false" ht="15" hidden="false" customHeight="false" outlineLevel="0" collapsed="false">
      <c r="A45" s="2089"/>
      <c r="B45" s="2065" t="s">
        <v>1307</v>
      </c>
      <c r="C45" s="2098" t="s">
        <v>238</v>
      </c>
      <c r="D45" s="2016" t="n">
        <v>100</v>
      </c>
      <c r="E45" s="2098" t="s">
        <v>238</v>
      </c>
      <c r="F45" s="2076" t="n">
        <f aca="false">SUMIF(128:128,E45,129:129)-SUMIF(128:128,C45,129:129)+100</f>
        <v>100</v>
      </c>
      <c r="G45" s="2098" t="s">
        <v>238</v>
      </c>
      <c r="H45" s="2017" t="n">
        <f aca="false">SUMIF(128:128,G45,129:129)-SUMIF(128:128,C45,129:129)+100</f>
        <v>100</v>
      </c>
      <c r="I45" s="2098" t="s">
        <v>227</v>
      </c>
      <c r="J45" s="2017" t="n">
        <f aca="false">SUMIF(128:128,I45,129:129)-SUMIF(128:128,C45,129:129)+100</f>
        <v>102</v>
      </c>
      <c r="K45" s="2014"/>
      <c r="L45" s="2018"/>
      <c r="M45" s="1954"/>
      <c r="N45" s="1954"/>
      <c r="O45" s="1954"/>
      <c r="P45" s="2078"/>
      <c r="Q45" s="2033" t="str">
        <f aca="false">B45</f>
        <v>电梯</v>
      </c>
      <c r="R45" s="2034" t="s">
        <v>1277</v>
      </c>
      <c r="S45" s="2035" t="n">
        <f aca="false">F45</f>
        <v>100</v>
      </c>
      <c r="T45" s="2034" t="s">
        <v>1277</v>
      </c>
      <c r="U45" s="2035" t="n">
        <f aca="false">H45</f>
        <v>100</v>
      </c>
      <c r="V45" s="2034" t="s">
        <v>1277</v>
      </c>
      <c r="W45" s="2035" t="n">
        <f aca="false">J45</f>
        <v>102</v>
      </c>
      <c r="X45" s="1958"/>
      <c r="Y45" s="2079"/>
      <c r="Z45" s="2037" t="str">
        <f aca="false">Q45</f>
        <v>电梯</v>
      </c>
      <c r="AA45" s="2038" t="n">
        <f aca="false">D45/F45</f>
        <v>1</v>
      </c>
      <c r="AB45" s="2038" t="n">
        <f aca="false">D45/H45</f>
        <v>1</v>
      </c>
      <c r="AC45" s="2038" t="n">
        <f aca="false">D45/J45</f>
        <v>0.980392156862745</v>
      </c>
    </row>
    <row r="46" customFormat="false" ht="15" hidden="false" customHeight="false" outlineLevel="0" collapsed="false">
      <c r="A46" s="2099"/>
      <c r="B46" s="2020" t="n">
        <v>111</v>
      </c>
      <c r="C46" s="2021"/>
      <c r="D46" s="2022" t="n">
        <v>100</v>
      </c>
      <c r="E46" s="2021"/>
      <c r="F46" s="2023" t="n">
        <f aca="false">SUMIF(130:130,E46,131:131)-SUMIF(130:130,C46,131:131)+100</f>
        <v>100</v>
      </c>
      <c r="G46" s="2021"/>
      <c r="H46" s="2024" t="n">
        <f aca="false">SUMIF(130:130,G46,131:131)-SUMIF(130:130,C46,131:131)+100</f>
        <v>100</v>
      </c>
      <c r="I46" s="2021"/>
      <c r="J46" s="2024" t="n">
        <f aca="false">SUMIF(130:130,I46,131:131)-SUMIF(130:130,C46,131:131)+100</f>
        <v>100</v>
      </c>
      <c r="K46" s="2014"/>
      <c r="L46" s="2018"/>
      <c r="M46" s="1954"/>
      <c r="N46" s="1954"/>
      <c r="O46" s="1954"/>
      <c r="P46" s="2078"/>
      <c r="Q46" s="2033" t="n">
        <f aca="false">B46</f>
        <v>111</v>
      </c>
      <c r="R46" s="2034" t="s">
        <v>1277</v>
      </c>
      <c r="S46" s="2035" t="n">
        <f aca="false">F46</f>
        <v>100</v>
      </c>
      <c r="T46" s="2034" t="s">
        <v>1277</v>
      </c>
      <c r="U46" s="2035" t="n">
        <f aca="false">H46</f>
        <v>100</v>
      </c>
      <c r="V46" s="2034" t="s">
        <v>1277</v>
      </c>
      <c r="W46" s="2035" t="n">
        <f aca="false">J46</f>
        <v>100</v>
      </c>
      <c r="X46" s="1958"/>
      <c r="Y46" s="2079"/>
      <c r="Z46" s="2037" t="n">
        <f aca="false">Q46</f>
        <v>111</v>
      </c>
      <c r="AA46" s="2038" t="n">
        <f aca="false">D46/F46</f>
        <v>1</v>
      </c>
      <c r="AB46" s="2038" t="n">
        <f aca="false">D46/H46</f>
        <v>1</v>
      </c>
      <c r="AC46" s="2038" t="n">
        <f aca="false">D46/J46</f>
        <v>1</v>
      </c>
    </row>
    <row r="47" customFormat="false" ht="15" hidden="false" customHeight="false" outlineLevel="0" collapsed="false">
      <c r="A47" s="2100" t="s">
        <v>1308</v>
      </c>
      <c r="B47" s="2101"/>
      <c r="C47" s="2102" t="s">
        <v>122</v>
      </c>
      <c r="D47" s="2103"/>
      <c r="E47" s="2104" t="n">
        <f aca="false">三义庙!R8</f>
        <v>9981</v>
      </c>
      <c r="F47" s="2105"/>
      <c r="G47" s="2106" t="n">
        <f aca="false">三义庙!R13</f>
        <v>9982</v>
      </c>
      <c r="H47" s="2107"/>
      <c r="I47" s="2104" t="n">
        <f aca="false">三义庙!R14</f>
        <v>9967</v>
      </c>
      <c r="J47" s="2107"/>
      <c r="K47" s="2108"/>
      <c r="L47" s="2109"/>
      <c r="M47" s="2110"/>
      <c r="N47" s="1954"/>
      <c r="O47" s="2110"/>
      <c r="P47" s="2033" t="str">
        <f aca="false">A47</f>
        <v>成交单价（元/平方米）</v>
      </c>
      <c r="Q47" s="2033"/>
      <c r="R47" s="2038" t="n">
        <f aca="false">E47</f>
        <v>9981</v>
      </c>
      <c r="S47" s="2038"/>
      <c r="T47" s="2038" t="n">
        <f aca="false">G47</f>
        <v>9982</v>
      </c>
      <c r="U47" s="2038"/>
      <c r="V47" s="2038" t="n">
        <f aca="false">I47</f>
        <v>9967</v>
      </c>
      <c r="W47" s="2038"/>
      <c r="X47" s="2111"/>
      <c r="Y47" s="2112"/>
      <c r="Z47" s="2111"/>
      <c r="AA47" s="2111"/>
      <c r="AB47" s="2111"/>
      <c r="AC47" s="2111"/>
    </row>
    <row r="48" customFormat="false" ht="15" hidden="false" customHeight="false" outlineLevel="0" collapsed="false">
      <c r="A48" s="2113" t="s">
        <v>1309</v>
      </c>
      <c r="B48" s="2114"/>
      <c r="C48" s="2115" t="n">
        <f aca="false">R49</f>
        <v>9612</v>
      </c>
      <c r="D48" s="2116" t="s">
        <v>1310</v>
      </c>
      <c r="E48" s="2117" t="n">
        <f aca="false">R48</f>
        <v>9594</v>
      </c>
      <c r="F48" s="2118"/>
      <c r="G48" s="2115" t="n">
        <f aca="false">T48</f>
        <v>9501</v>
      </c>
      <c r="H48" s="2118"/>
      <c r="I48" s="2117" t="n">
        <f aca="false">V48</f>
        <v>9740</v>
      </c>
      <c r="J48" s="2118"/>
      <c r="K48" s="2119" t="n">
        <f aca="false">F48+H48+J48</f>
        <v>0</v>
      </c>
      <c r="L48" s="2109"/>
      <c r="M48" s="2110"/>
      <c r="N48" s="2110"/>
      <c r="O48" s="2110"/>
      <c r="P48" s="2033" t="str">
        <f aca="false">A48</f>
        <v>比较价值（元/平方米）</v>
      </c>
      <c r="Q48" s="2033"/>
      <c r="R48" s="2038" t="n">
        <f aca="false">IF(F1="售价",ROUND(PRODUCT(R47,AA7:AA46),0),ROUND(PRODUCT(R47,AA7:AA46),1))</f>
        <v>9594</v>
      </c>
      <c r="S48" s="2038"/>
      <c r="T48" s="2038" t="n">
        <f aca="false">IF(F1="售价",ROUND(PRODUCT(T47,AB7:AB46),0),ROUND(PRODUCT(T47,AB7:AB46),1))</f>
        <v>9501</v>
      </c>
      <c r="U48" s="2038"/>
      <c r="V48" s="2038" t="n">
        <f aca="false">IF(F1="售价",ROUND(PRODUCT(V47,AC7:AC46),0),ROUND(PRODUCT(V47,AC7:AC46),1))</f>
        <v>9740</v>
      </c>
      <c r="W48" s="2038"/>
      <c r="X48" s="2111"/>
      <c r="Y48" s="2111"/>
      <c r="Z48" s="2111"/>
      <c r="AA48" s="2111"/>
      <c r="AB48" s="2111"/>
      <c r="AC48" s="2111"/>
    </row>
    <row r="49" customFormat="false" ht="15" hidden="false" customHeight="false" outlineLevel="0" collapsed="false">
      <c r="A49" s="2120" t="s">
        <v>1311</v>
      </c>
      <c r="B49" s="2121"/>
      <c r="C49" s="2122" t="n">
        <f aca="false">R49</f>
        <v>9612</v>
      </c>
      <c r="D49" s="2123"/>
      <c r="E49" s="2123"/>
      <c r="F49" s="2123"/>
      <c r="G49" s="2123"/>
      <c r="H49" s="2123"/>
      <c r="I49" s="2123"/>
      <c r="J49" s="2123"/>
      <c r="K49" s="2124"/>
      <c r="L49" s="2109"/>
      <c r="M49" s="2110"/>
      <c r="N49" s="2110"/>
      <c r="O49" s="2110"/>
      <c r="P49" s="2033" t="str">
        <f aca="false">A49</f>
        <v>估价对象XX用房的比较价值（楼面单价，元/平方米）</v>
      </c>
      <c r="Q49" s="2033"/>
      <c r="R49" s="2125" t="n">
        <f aca="false">IF(F1="售价",ROUND(IF(D48="简单平均",AVERAGE(R48:V48),R48*F48+T48*H48+V48*J48),0),ROUND(IF(D48="简单平均",AVERAGE(R48:V48),R48*F48+T48*H48+V48*J48),1))</f>
        <v>9612</v>
      </c>
      <c r="S49" s="2125"/>
      <c r="T49" s="2125"/>
      <c r="U49" s="2125"/>
      <c r="V49" s="2125"/>
      <c r="W49" s="2125"/>
      <c r="X49" s="2111"/>
      <c r="Y49" s="2111"/>
      <c r="Z49" s="2111"/>
      <c r="AA49" s="2111"/>
      <c r="AB49" s="2111"/>
      <c r="AC49" s="2111"/>
    </row>
    <row r="50" customFormat="false" ht="14.25" hidden="false" customHeight="false" outlineLevel="0" collapsed="false">
      <c r="A50" s="2110"/>
      <c r="B50" s="2110"/>
      <c r="C50" s="2110"/>
      <c r="D50" s="2110"/>
      <c r="E50" s="2110"/>
      <c r="F50" s="2110"/>
      <c r="G50" s="2126"/>
      <c r="H50" s="2110"/>
      <c r="I50" s="2110"/>
      <c r="J50" s="2110"/>
      <c r="K50" s="2127"/>
      <c r="L50" s="2128"/>
      <c r="M50" s="2110"/>
      <c r="N50" s="2110"/>
      <c r="O50" s="2110"/>
    </row>
    <row r="51" customFormat="false" ht="14.25" hidden="false" customHeight="false" outlineLevel="0" collapsed="false">
      <c r="A51" s="2110"/>
      <c r="B51" s="2110"/>
      <c r="C51" s="2110"/>
      <c r="D51" s="2110"/>
      <c r="E51" s="2110"/>
      <c r="F51" s="2110"/>
      <c r="G51" s="2110"/>
      <c r="H51" s="2110"/>
      <c r="I51" s="2110"/>
      <c r="J51" s="2110"/>
      <c r="K51" s="2127"/>
      <c r="L51" s="2128"/>
      <c r="M51" s="2110"/>
      <c r="N51" s="2110"/>
      <c r="O51" s="2110"/>
    </row>
    <row r="52" customFormat="false" ht="13.5" hidden="false" customHeight="true" outlineLevel="0" collapsed="false">
      <c r="A52" s="2110"/>
      <c r="B52" s="2110"/>
      <c r="C52" s="2129" t="s">
        <v>1312</v>
      </c>
      <c r="D52" s="2130"/>
      <c r="E52" s="2131" t="n">
        <f aca="false">IF(E47&lt;E48,E48/E47-1,E47/E48-1)</f>
        <v>0.0403377110694183</v>
      </c>
      <c r="F52" s="2132" t="str">
        <f aca="false">IF(OR(E52&gt;=0.3,E52&lt;=-0.3),"超过30%","")</f>
        <v/>
      </c>
      <c r="G52" s="2131" t="n">
        <f aca="false">IF(G47&lt;G48,G48/G47-1,G47/G48-1)</f>
        <v>0.0506262498684349</v>
      </c>
      <c r="H52" s="2132" t="str">
        <f aca="false">IF(OR(G52&gt;=0.3,G52&lt;=-0.3),"超过30%","")</f>
        <v/>
      </c>
      <c r="I52" s="2131" t="n">
        <f aca="false">IF(I47&lt;I48,I48/I47-1,I47/I48-1)</f>
        <v>0.0233059548254619</v>
      </c>
      <c r="J52" s="2132" t="str">
        <f aca="false">IF(OR(I52&gt;=0.3,I52&lt;=-0.3),"超过30%","")</f>
        <v/>
      </c>
      <c r="K52" s="2127"/>
      <c r="L52" s="2128"/>
      <c r="M52" s="2110"/>
      <c r="N52" s="2110"/>
      <c r="O52" s="2110"/>
    </row>
    <row r="53" customFormat="false" ht="13.5" hidden="false" customHeight="true" outlineLevel="0" collapsed="false">
      <c r="A53" s="2110"/>
      <c r="B53" s="2110"/>
      <c r="C53" s="2129" t="s">
        <v>1313</v>
      </c>
      <c r="D53" s="2133"/>
      <c r="E53" s="2131" t="n">
        <f aca="false">IF(E48&lt;G48,G48/E48-1,E48/G48-1)</f>
        <v>0.00978844332175566</v>
      </c>
      <c r="F53" s="2132" t="str">
        <f aca="false">IF(OR(E53&gt;=0.2,E53&lt;=-0.2),"超过20%","")</f>
        <v/>
      </c>
      <c r="G53" s="2131" t="n">
        <f aca="false">IF(G48&lt;I48,I48/G48-1,G48/I48-1)</f>
        <v>0.0251552468161247</v>
      </c>
      <c r="H53" s="2132" t="str">
        <f aca="false">IF(OR(G53&gt;=0.2,G53&lt;=-0.2),"超过20%","")</f>
        <v/>
      </c>
      <c r="I53" s="2131" t="n">
        <f aca="false">IF(I48&lt;E48,E48/I48-1,I48/E48-1)</f>
        <v>0.0152178444861373</v>
      </c>
      <c r="J53" s="2132" t="str">
        <f aca="false">IF(OR(I53&gt;=0.2,I53&lt;=-0.2),"超过20%","")</f>
        <v/>
      </c>
      <c r="K53" s="2127"/>
      <c r="L53" s="2128"/>
      <c r="M53" s="2110"/>
      <c r="N53" s="2110"/>
      <c r="O53" s="2110"/>
    </row>
    <row r="54" s="2138" customFormat="true" ht="13.5" hidden="false" customHeight="true" outlineLevel="0" collapsed="false">
      <c r="A54" s="2134"/>
      <c r="B54" s="2134"/>
      <c r="C54" s="2129" t="s">
        <v>1314</v>
      </c>
      <c r="D54" s="2133"/>
      <c r="E54" s="2131" t="n">
        <f aca="false">IF(E47&lt;G47,G47/E47-1,E47/G47-1)</f>
        <v>0.000100190361687291</v>
      </c>
      <c r="F54" s="2132" t="str">
        <f aca="false">IF(OR(E54&gt;=0.3,E54&lt;=-0.3),"超过30%","")</f>
        <v/>
      </c>
      <c r="G54" s="2131" t="n">
        <f aca="false">IF(G47&lt;I47,I47/G47-1,G47/I47-1)</f>
        <v>0.00150496638908404</v>
      </c>
      <c r="H54" s="2132" t="str">
        <f aca="false">IF(OR(G54&gt;=0.3,G54&lt;=-0.3),"超过30%","")</f>
        <v/>
      </c>
      <c r="I54" s="2131" t="n">
        <f aca="false">IF(I47&lt;E47,E47/I47-1,I47/E47-1)</f>
        <v>0.00140463529647827</v>
      </c>
      <c r="J54" s="2132" t="str">
        <f aca="false">IF(OR(I54&gt;=0.3,I54&lt;=-0.3),"超过30%","")</f>
        <v/>
      </c>
      <c r="K54" s="2135"/>
      <c r="L54" s="2136"/>
      <c r="M54" s="2134"/>
      <c r="N54" s="2134"/>
      <c r="O54" s="2134"/>
      <c r="P54" s="2137"/>
    </row>
    <row r="55" s="2138" customFormat="true" ht="14.25" hidden="false" customHeight="false" outlineLevel="0" collapsed="false">
      <c r="A55" s="2134"/>
      <c r="B55" s="2139"/>
      <c r="C55" s="2140"/>
      <c r="D55" s="2134"/>
      <c r="E55" s="2134"/>
      <c r="F55" s="2134"/>
      <c r="G55" s="2134"/>
      <c r="H55" s="2134"/>
      <c r="I55" s="2134"/>
      <c r="J55" s="2134"/>
      <c r="K55" s="2135"/>
      <c r="L55" s="2136"/>
      <c r="M55" s="2134"/>
      <c r="N55" s="2134"/>
      <c r="O55" s="2134"/>
      <c r="P55" s="2137"/>
    </row>
    <row r="56" customFormat="false" ht="14.25" hidden="false" customHeight="false" outlineLevel="0" collapsed="false">
      <c r="A56" s="2110"/>
      <c r="B56" s="2139"/>
      <c r="C56" s="2140"/>
      <c r="D56" s="2110"/>
      <c r="E56" s="2110"/>
      <c r="F56" s="2110"/>
      <c r="G56" s="2110"/>
      <c r="H56" s="2110"/>
      <c r="I56" s="2110"/>
      <c r="J56" s="2110"/>
      <c r="K56" s="2127"/>
      <c r="L56" s="2128"/>
      <c r="M56" s="2110"/>
      <c r="N56" s="2110"/>
      <c r="O56" s="2110"/>
    </row>
    <row r="57" customFormat="false" ht="21" hidden="false" customHeight="false" outlineLevel="0" collapsed="false">
      <c r="A57" s="2141" t="s">
        <v>1315</v>
      </c>
      <c r="B57" s="2111"/>
      <c r="C57" s="2142"/>
      <c r="D57" s="2142"/>
      <c r="E57" s="2142"/>
      <c r="F57" s="2143"/>
      <c r="G57" s="2143"/>
      <c r="H57" s="2142"/>
      <c r="I57" s="2142"/>
      <c r="J57" s="2142"/>
      <c r="K57" s="2144"/>
      <c r="L57" s="2145"/>
      <c r="M57" s="2146"/>
      <c r="N57" s="2146"/>
      <c r="O57" s="2146"/>
      <c r="P57" s="2147"/>
      <c r="Q57" s="2148"/>
    </row>
    <row r="58" s="2154" customFormat="true" ht="15" hidden="false" customHeight="false" outlineLevel="0" collapsed="false">
      <c r="A58" s="2149" t="s">
        <v>1276</v>
      </c>
      <c r="B58" s="2150"/>
      <c r="C58" s="2151" t="str">
        <f aca="false">YEAR(C7)&amp;"-"&amp;MONTH(C7)</f>
        <v>2006-11</v>
      </c>
      <c r="D58" s="2152" t="n">
        <f aca="false">EDATE(C58,-1)</f>
        <v>38991</v>
      </c>
      <c r="E58" s="2152" t="n">
        <f aca="false">EDATE(D58,-1)</f>
        <v>38961</v>
      </c>
      <c r="F58" s="2152" t="n">
        <f aca="false">EDATE(E58,-1)</f>
        <v>38930</v>
      </c>
      <c r="G58" s="2152" t="n">
        <f aca="false">EDATE(F58,-1)</f>
        <v>38899</v>
      </c>
      <c r="H58" s="2152" t="n">
        <f aca="false">EDATE(G58,-1)</f>
        <v>38869</v>
      </c>
      <c r="I58" s="2152" t="n">
        <f aca="false">EDATE(H58,-1)</f>
        <v>38838</v>
      </c>
      <c r="J58" s="2152" t="n">
        <f aca="false">EDATE(I58,-1)</f>
        <v>38808</v>
      </c>
      <c r="K58" s="2152" t="n">
        <f aca="false">EDATE(J58,-1)</f>
        <v>38777</v>
      </c>
      <c r="L58" s="2152" t="n">
        <f aca="false">EDATE(K58,-1)</f>
        <v>38749</v>
      </c>
      <c r="M58" s="2152" t="n">
        <f aca="false">EDATE(L58,-1)</f>
        <v>38718</v>
      </c>
      <c r="N58" s="2152" t="n">
        <f aca="false">EDATE(M58,-1)</f>
        <v>38687</v>
      </c>
      <c r="O58" s="2152" t="n">
        <f aca="false">EDATE(N58,-1)</f>
        <v>38657</v>
      </c>
      <c r="P58" s="2153"/>
    </row>
    <row r="59" s="1983" customFormat="true" ht="15" hidden="false" customHeight="false" outlineLevel="0" collapsed="false">
      <c r="A59" s="2155"/>
      <c r="B59" s="2156"/>
      <c r="C59" s="2157" t="n">
        <v>100</v>
      </c>
      <c r="D59" s="2158" t="n">
        <v>100</v>
      </c>
      <c r="E59" s="2159" t="n">
        <v>100</v>
      </c>
      <c r="F59" s="2158" t="n">
        <v>100</v>
      </c>
      <c r="G59" s="2159" t="n">
        <v>100</v>
      </c>
      <c r="H59" s="2158" t="n">
        <v>100</v>
      </c>
      <c r="I59" s="2159" t="n">
        <v>100</v>
      </c>
      <c r="J59" s="2158" t="n">
        <v>100</v>
      </c>
      <c r="K59" s="2159" t="n">
        <v>100</v>
      </c>
      <c r="L59" s="2158" t="n">
        <v>100</v>
      </c>
      <c r="M59" s="2159" t="n">
        <v>100</v>
      </c>
      <c r="N59" s="2158" t="n">
        <v>100</v>
      </c>
      <c r="O59" s="2159" t="n">
        <v>100</v>
      </c>
      <c r="P59" s="2160"/>
    </row>
    <row r="60" s="1983" customFormat="true" ht="15" hidden="false" customHeight="false" outlineLevel="0" collapsed="false">
      <c r="A60" s="2161" t="s">
        <v>1316</v>
      </c>
      <c r="B60" s="2162"/>
      <c r="C60" s="2163"/>
      <c r="D60" s="2164"/>
      <c r="E60" s="2164"/>
      <c r="F60" s="2164"/>
      <c r="G60" s="2164"/>
      <c r="H60" s="2164"/>
      <c r="I60" s="2164"/>
      <c r="J60" s="2164"/>
      <c r="K60" s="2164"/>
      <c r="L60" s="2164"/>
      <c r="M60" s="2165"/>
      <c r="N60" s="2164"/>
      <c r="O60" s="2165"/>
      <c r="P60" s="2160"/>
      <c r="Q60" s="2148"/>
    </row>
    <row r="61" s="1983" customFormat="true" ht="15" hidden="false" customHeight="false" outlineLevel="0" collapsed="false">
      <c r="A61" s="2166" t="s">
        <v>1278</v>
      </c>
      <c r="B61" s="2167"/>
      <c r="C61" s="2168" t="s">
        <v>1279</v>
      </c>
      <c r="D61" s="2169"/>
      <c r="E61" s="2169"/>
      <c r="F61" s="2169"/>
      <c r="G61" s="2169"/>
      <c r="H61" s="2169"/>
      <c r="I61" s="2169"/>
      <c r="J61" s="2169"/>
      <c r="K61" s="2169"/>
      <c r="L61" s="2170"/>
      <c r="M61" s="2171"/>
      <c r="N61" s="2172"/>
      <c r="O61" s="2172"/>
      <c r="P61" s="2173"/>
      <c r="Q61" s="2148"/>
    </row>
    <row r="62" s="1983" customFormat="true" ht="15" hidden="false" customHeight="false" outlineLevel="0" collapsed="false">
      <c r="A62" s="2166"/>
      <c r="B62" s="2167"/>
      <c r="C62" s="2158" t="n">
        <v>100</v>
      </c>
      <c r="D62" s="2159"/>
      <c r="E62" s="2159"/>
      <c r="F62" s="2159"/>
      <c r="G62" s="2159"/>
      <c r="H62" s="2159"/>
      <c r="I62" s="2159"/>
      <c r="J62" s="2159"/>
      <c r="K62" s="2159"/>
      <c r="L62" s="2159"/>
      <c r="M62" s="2174"/>
      <c r="N62" s="2172"/>
      <c r="O62" s="2172"/>
      <c r="P62" s="2160"/>
      <c r="Q62" s="2148"/>
    </row>
    <row r="63" customFormat="false" ht="14.25" hidden="false" customHeight="false" outlineLevel="0" collapsed="false">
      <c r="A63" s="2175" t="s">
        <v>1280</v>
      </c>
      <c r="B63" s="2176" t="s">
        <v>399</v>
      </c>
      <c r="C63" s="2177" t="str">
        <f aca="false">C9</f>
        <v>住宅</v>
      </c>
      <c r="D63" s="2178"/>
      <c r="E63" s="2178"/>
      <c r="F63" s="2178"/>
      <c r="G63" s="2178"/>
      <c r="H63" s="2178"/>
      <c r="I63" s="2178"/>
      <c r="J63" s="2178"/>
      <c r="K63" s="2179"/>
      <c r="L63" s="2180"/>
      <c r="M63" s="2181"/>
      <c r="N63" s="2182"/>
      <c r="O63" s="2182"/>
      <c r="P63" s="2183"/>
      <c r="Q63" s="2148"/>
    </row>
    <row r="64" customFormat="false" ht="15" hidden="false" customHeight="false" outlineLevel="0" collapsed="false">
      <c r="A64" s="2184"/>
      <c r="B64" s="2185"/>
      <c r="C64" s="2186" t="n">
        <v>100</v>
      </c>
      <c r="D64" s="2186"/>
      <c r="E64" s="2186"/>
      <c r="F64" s="2186"/>
      <c r="G64" s="2186"/>
      <c r="H64" s="2186"/>
      <c r="I64" s="2186"/>
      <c r="J64" s="2186"/>
      <c r="K64" s="2186"/>
      <c r="L64" s="2186"/>
      <c r="M64" s="2187"/>
      <c r="N64" s="2188"/>
      <c r="O64" s="2188"/>
      <c r="P64" s="2183"/>
      <c r="Q64" s="2148"/>
    </row>
    <row r="65" customFormat="false" ht="27" hidden="false" customHeight="false" outlineLevel="0" collapsed="false">
      <c r="A65" s="2184"/>
      <c r="B65" s="2189" t="s">
        <v>1281</v>
      </c>
      <c r="C65" s="2190"/>
      <c r="D65" s="2190"/>
      <c r="E65" s="2190"/>
      <c r="F65" s="2190"/>
      <c r="G65" s="2190"/>
      <c r="H65" s="2190"/>
      <c r="I65" s="2190"/>
      <c r="J65" s="2190"/>
      <c r="K65" s="2190"/>
      <c r="L65" s="2190"/>
      <c r="M65" s="2190"/>
      <c r="N65" s="2188"/>
      <c r="O65" s="2188"/>
      <c r="P65" s="2183"/>
      <c r="Q65" s="2148"/>
    </row>
    <row r="66" customFormat="false" ht="15" hidden="false" customHeight="false" outlineLevel="0" collapsed="false">
      <c r="A66" s="2184"/>
      <c r="B66" s="2191"/>
      <c r="C66" s="2186"/>
      <c r="D66" s="2186"/>
      <c r="E66" s="2186"/>
      <c r="F66" s="2186"/>
      <c r="G66" s="2186"/>
      <c r="H66" s="2186"/>
      <c r="I66" s="2186"/>
      <c r="J66" s="2186"/>
      <c r="K66" s="2186"/>
      <c r="L66" s="2186"/>
      <c r="M66" s="2187"/>
      <c r="N66" s="2188"/>
      <c r="O66" s="2188"/>
      <c r="P66" s="2183"/>
      <c r="Q66" s="2148"/>
    </row>
    <row r="67" customFormat="false" ht="15" hidden="false" customHeight="false" outlineLevel="0" collapsed="false">
      <c r="A67" s="2184"/>
      <c r="B67" s="2192" t="s">
        <v>524</v>
      </c>
      <c r="C67" s="2193" t="str">
        <f aca="false">C68&amp;"（含）"&amp;"-"&amp;D68</f>
        <v>0（含）-1</v>
      </c>
      <c r="D67" s="2193" t="str">
        <f aca="false">D68&amp;"（含）"&amp;"-"&amp;E68</f>
        <v>1（含）-2</v>
      </c>
      <c r="E67" s="2193" t="str">
        <f aca="false">E68&amp;"（含）"&amp;"-"&amp;F68</f>
        <v>2（含）-</v>
      </c>
      <c r="F67" s="2193" t="str">
        <f aca="false">F68&amp;"（含）"&amp;"-"&amp;G68</f>
        <v>（含）-</v>
      </c>
      <c r="G67" s="2193" t="str">
        <f aca="false">G68&amp;"（含）"&amp;"-"&amp;H68</f>
        <v>（含）-</v>
      </c>
      <c r="H67" s="2193" t="str">
        <f aca="false">H68&amp;"（含）"&amp;"-"&amp;I68</f>
        <v>（含）-</v>
      </c>
      <c r="I67" s="2193" t="str">
        <f aca="false">I68&amp;"（含）"&amp;"-"&amp;J68</f>
        <v>（含）-</v>
      </c>
      <c r="J67" s="2193" t="str">
        <f aca="false">J68&amp;"（含）"&amp;"-"&amp;K68</f>
        <v>（含）-</v>
      </c>
      <c r="K67" s="2193" t="str">
        <f aca="false">K68&amp;"（含）"&amp;"-"&amp;L68</f>
        <v>（含）-</v>
      </c>
      <c r="L67" s="2193" t="str">
        <f aca="false">L68&amp;"（含）"&amp;"-"&amp;M68</f>
        <v>（含）-</v>
      </c>
      <c r="M67" s="2041" t="str">
        <f aca="false">M68&amp;"（含）"&amp;"-"&amp;P68</f>
        <v>（含）-</v>
      </c>
      <c r="N67" s="2188"/>
      <c r="O67" s="2188"/>
      <c r="P67" s="2183"/>
      <c r="Q67" s="2148"/>
    </row>
    <row r="68" customFormat="false" ht="15" hidden="false" customHeight="false" outlineLevel="0" collapsed="false">
      <c r="A68" s="2184"/>
      <c r="B68" s="2194"/>
      <c r="C68" s="2195" t="n">
        <v>0</v>
      </c>
      <c r="D68" s="2195" t="n">
        <v>1</v>
      </c>
      <c r="E68" s="2195" t="n">
        <v>2</v>
      </c>
      <c r="F68" s="2195"/>
      <c r="G68" s="2195"/>
      <c r="H68" s="2195"/>
      <c r="I68" s="2195"/>
      <c r="J68" s="2195"/>
      <c r="K68" s="2196"/>
      <c r="L68" s="2197"/>
      <c r="M68" s="2198"/>
      <c r="N68" s="2182"/>
      <c r="O68" s="2182"/>
      <c r="P68" s="2183"/>
      <c r="Q68" s="2148"/>
    </row>
    <row r="69" customFormat="false" ht="15" hidden="false" customHeight="false" outlineLevel="0" collapsed="false">
      <c r="A69" s="2184"/>
      <c r="B69" s="2185"/>
      <c r="C69" s="2199" t="n">
        <v>100</v>
      </c>
      <c r="D69" s="2199" t="n">
        <f aca="false">C69-$K11</f>
        <v>100</v>
      </c>
      <c r="E69" s="2199" t="n">
        <f aca="false">D69-$K11</f>
        <v>100</v>
      </c>
      <c r="F69" s="2199" t="n">
        <f aca="false">E69-$K11</f>
        <v>100</v>
      </c>
      <c r="G69" s="2199" t="n">
        <f aca="false">F69-$K11</f>
        <v>100</v>
      </c>
      <c r="H69" s="2199" t="n">
        <f aca="false">G69-$K11</f>
        <v>100</v>
      </c>
      <c r="I69" s="2199" t="n">
        <f aca="false">H69-$K11</f>
        <v>100</v>
      </c>
      <c r="J69" s="2199" t="n">
        <f aca="false">I69-$K11</f>
        <v>100</v>
      </c>
      <c r="K69" s="2199" t="n">
        <f aca="false">J69-$K11</f>
        <v>100</v>
      </c>
      <c r="L69" s="2199" t="n">
        <f aca="false">K69-$K11</f>
        <v>100</v>
      </c>
      <c r="M69" s="2200" t="n">
        <f aca="false">L69-$K11</f>
        <v>100</v>
      </c>
      <c r="N69" s="2188"/>
      <c r="O69" s="2188"/>
      <c r="P69" s="2183"/>
      <c r="Q69" s="2148"/>
    </row>
    <row r="70" s="2088" customFormat="true" ht="15" hidden="false" customHeight="false" outlineLevel="0" collapsed="false">
      <c r="A70" s="2201"/>
      <c r="B70" s="2189" t="n">
        <f aca="false">B12</f>
        <v>111</v>
      </c>
      <c r="C70" s="2202"/>
      <c r="D70" s="2202"/>
      <c r="E70" s="2202"/>
      <c r="F70" s="2202"/>
      <c r="G70" s="2202"/>
      <c r="H70" s="2203"/>
      <c r="I70" s="2203"/>
      <c r="J70" s="2203"/>
      <c r="K70" s="2203"/>
      <c r="L70" s="2204"/>
      <c r="M70" s="2205"/>
      <c r="N70" s="2206"/>
      <c r="O70" s="2206"/>
      <c r="P70" s="2207"/>
      <c r="Q70" s="2208"/>
    </row>
    <row r="71" s="2088" customFormat="true" ht="15" hidden="false" customHeight="false" outlineLevel="0" collapsed="false">
      <c r="A71" s="2201"/>
      <c r="B71" s="2191"/>
      <c r="C71" s="2209"/>
      <c r="D71" s="2186"/>
      <c r="E71" s="2186"/>
      <c r="F71" s="2186"/>
      <c r="G71" s="2186"/>
      <c r="H71" s="2186"/>
      <c r="I71" s="2186"/>
      <c r="J71" s="2186"/>
      <c r="K71" s="2186"/>
      <c r="L71" s="2186"/>
      <c r="M71" s="2187"/>
      <c r="N71" s="2188"/>
      <c r="O71" s="2188"/>
      <c r="P71" s="2207"/>
      <c r="Q71" s="2208"/>
    </row>
    <row r="72" s="2088" customFormat="true" ht="15" hidden="false" customHeight="false" outlineLevel="0" collapsed="false">
      <c r="A72" s="2201"/>
      <c r="B72" s="2189" t="n">
        <f aca="false">B13</f>
        <v>111</v>
      </c>
      <c r="C72" s="2202"/>
      <c r="D72" s="2202"/>
      <c r="E72" s="2202"/>
      <c r="F72" s="2202"/>
      <c r="G72" s="2202"/>
      <c r="H72" s="2203"/>
      <c r="I72" s="2203"/>
      <c r="J72" s="2203"/>
      <c r="K72" s="2203"/>
      <c r="L72" s="2204"/>
      <c r="M72" s="2205"/>
      <c r="N72" s="2206"/>
      <c r="O72" s="2206"/>
      <c r="P72" s="2210"/>
      <c r="Q72" s="2211"/>
    </row>
    <row r="73" s="2088" customFormat="true" ht="15" hidden="false" customHeight="false" outlineLevel="0" collapsed="false">
      <c r="A73" s="2201"/>
      <c r="B73" s="2191"/>
      <c r="C73" s="2209"/>
      <c r="D73" s="2209"/>
      <c r="E73" s="2209"/>
      <c r="F73" s="2209"/>
      <c r="G73" s="2209"/>
      <c r="H73" s="2212"/>
      <c r="I73" s="2212"/>
      <c r="J73" s="2212"/>
      <c r="K73" s="2212"/>
      <c r="L73" s="2212"/>
      <c r="M73" s="2213"/>
      <c r="N73" s="2206"/>
      <c r="O73" s="2206"/>
      <c r="P73" s="2207"/>
      <c r="Q73" s="2208"/>
    </row>
    <row r="74" s="2088" customFormat="true" ht="15" hidden="false" customHeight="false" outlineLevel="0" collapsed="false">
      <c r="A74" s="2201"/>
      <c r="B74" s="2192" t="n">
        <f aca="false">B14</f>
        <v>111</v>
      </c>
      <c r="C74" s="2202"/>
      <c r="D74" s="2202"/>
      <c r="E74" s="2202"/>
      <c r="F74" s="2202"/>
      <c r="G74" s="2169"/>
      <c r="H74" s="2214"/>
      <c r="I74" s="2214"/>
      <c r="J74" s="2214"/>
      <c r="K74" s="2214"/>
      <c r="L74" s="2215"/>
      <c r="M74" s="2216"/>
      <c r="N74" s="2206"/>
      <c r="O74" s="2206"/>
      <c r="P74" s="2217"/>
      <c r="Q74" s="2208"/>
    </row>
    <row r="75" s="2088" customFormat="true" ht="15" hidden="false" customHeight="false" outlineLevel="0" collapsed="false">
      <c r="A75" s="2218"/>
      <c r="B75" s="2219"/>
      <c r="C75" s="2220"/>
      <c r="D75" s="2220"/>
      <c r="E75" s="2220"/>
      <c r="F75" s="2220"/>
      <c r="G75" s="2220"/>
      <c r="H75" s="2221"/>
      <c r="I75" s="2221"/>
      <c r="J75" s="2221"/>
      <c r="K75" s="2221"/>
      <c r="L75" s="2221"/>
      <c r="M75" s="2222"/>
      <c r="N75" s="2206"/>
      <c r="O75" s="2206"/>
      <c r="P75" s="2207"/>
      <c r="Q75" s="2208"/>
    </row>
    <row r="76" customFormat="false" ht="14.25" hidden="false" customHeight="false" outlineLevel="0" collapsed="false">
      <c r="A76" s="2175" t="s">
        <v>648</v>
      </c>
      <c r="B76" s="2176" t="s">
        <v>212</v>
      </c>
      <c r="C76" s="2223" t="s">
        <v>231</v>
      </c>
      <c r="D76" s="2223" t="s">
        <v>241</v>
      </c>
      <c r="E76" s="2223" t="s">
        <v>250</v>
      </c>
      <c r="F76" s="2223" t="s">
        <v>258</v>
      </c>
      <c r="G76" s="2223" t="s">
        <v>265</v>
      </c>
      <c r="H76" s="2177"/>
      <c r="I76" s="2177"/>
      <c r="J76" s="2177"/>
      <c r="K76" s="2224"/>
      <c r="L76" s="2225"/>
      <c r="M76" s="2226"/>
      <c r="N76" s="2182"/>
      <c r="O76" s="2182"/>
      <c r="P76" s="2227"/>
      <c r="Q76" s="2148"/>
    </row>
    <row r="77" customFormat="false" ht="15" hidden="false" customHeight="false" outlineLevel="0" collapsed="false">
      <c r="A77" s="2184"/>
      <c r="B77" s="2191"/>
      <c r="C77" s="2199" t="n">
        <v>100</v>
      </c>
      <c r="D77" s="2199" t="n">
        <f aca="false">C77-$K15</f>
        <v>100</v>
      </c>
      <c r="E77" s="2199" t="n">
        <f aca="false">D77-$K15</f>
        <v>100</v>
      </c>
      <c r="F77" s="2199" t="n">
        <f aca="false">E77-$K15</f>
        <v>100</v>
      </c>
      <c r="G77" s="2199" t="n">
        <f aca="false">F77-$K15</f>
        <v>100</v>
      </c>
      <c r="H77" s="2199"/>
      <c r="I77" s="2199"/>
      <c r="J77" s="2199"/>
      <c r="K77" s="2199"/>
      <c r="L77" s="2199"/>
      <c r="M77" s="2200"/>
      <c r="N77" s="2188"/>
      <c r="O77" s="2188"/>
      <c r="P77" s="2183"/>
      <c r="Q77" s="2148"/>
    </row>
    <row r="78" customFormat="false" ht="15" hidden="false" customHeight="false" outlineLevel="0" collapsed="false">
      <c r="A78" s="2184"/>
      <c r="B78" s="2189" t="s">
        <v>216</v>
      </c>
      <c r="C78" s="2228" t="s">
        <v>231</v>
      </c>
      <c r="D78" s="2228" t="s">
        <v>241</v>
      </c>
      <c r="E78" s="2228" t="s">
        <v>250</v>
      </c>
      <c r="F78" s="2228" t="s">
        <v>258</v>
      </c>
      <c r="G78" s="2228" t="s">
        <v>265</v>
      </c>
      <c r="H78" s="2229"/>
      <c r="I78" s="2229"/>
      <c r="J78" s="2229"/>
      <c r="K78" s="2230"/>
      <c r="L78" s="2231"/>
      <c r="M78" s="2232"/>
      <c r="N78" s="2182"/>
      <c r="O78" s="2182"/>
      <c r="P78" s="2183"/>
      <c r="Q78" s="2148"/>
    </row>
    <row r="79" customFormat="false" ht="15" hidden="false" customHeight="false" outlineLevel="0" collapsed="false">
      <c r="A79" s="2184"/>
      <c r="B79" s="2191"/>
      <c r="C79" s="2199" t="n">
        <v>100</v>
      </c>
      <c r="D79" s="2199" t="n">
        <f aca="false">C79-$K17</f>
        <v>99.5</v>
      </c>
      <c r="E79" s="2199" t="n">
        <f aca="false">D79-$K17</f>
        <v>99</v>
      </c>
      <c r="F79" s="2199" t="n">
        <f aca="false">E79-$K17</f>
        <v>98.5</v>
      </c>
      <c r="G79" s="2199" t="n">
        <f aca="false">F79-$K17</f>
        <v>98</v>
      </c>
      <c r="H79" s="2199"/>
      <c r="I79" s="2199"/>
      <c r="J79" s="2199"/>
      <c r="K79" s="2199"/>
      <c r="L79" s="2199"/>
      <c r="M79" s="2200"/>
      <c r="N79" s="2188"/>
      <c r="O79" s="2188"/>
      <c r="P79" s="2183"/>
      <c r="Q79" s="2148"/>
    </row>
    <row r="80" customFormat="false" ht="15" hidden="false" customHeight="false" outlineLevel="0" collapsed="false">
      <c r="A80" s="2184"/>
      <c r="B80" s="2189" t="s">
        <v>218</v>
      </c>
      <c r="C80" s="2228" t="s">
        <v>231</v>
      </c>
      <c r="D80" s="2228" t="s">
        <v>241</v>
      </c>
      <c r="E80" s="2228" t="s">
        <v>250</v>
      </c>
      <c r="F80" s="2228" t="s">
        <v>258</v>
      </c>
      <c r="G80" s="2228" t="s">
        <v>265</v>
      </c>
      <c r="H80" s="2229"/>
      <c r="I80" s="2229"/>
      <c r="J80" s="2229"/>
      <c r="K80" s="2230"/>
      <c r="L80" s="2231"/>
      <c r="M80" s="2232"/>
      <c r="N80" s="2182"/>
      <c r="O80" s="2182"/>
      <c r="P80" s="2183"/>
      <c r="Q80" s="2148"/>
    </row>
    <row r="81" customFormat="false" ht="15" hidden="false" customHeight="false" outlineLevel="0" collapsed="false">
      <c r="A81" s="2184"/>
      <c r="B81" s="2191"/>
      <c r="C81" s="2199" t="n">
        <v>100</v>
      </c>
      <c r="D81" s="2199" t="n">
        <f aca="false">C81-$K19</f>
        <v>98</v>
      </c>
      <c r="E81" s="2199" t="n">
        <f aca="false">D81-$K19</f>
        <v>96</v>
      </c>
      <c r="F81" s="2199" t="n">
        <f aca="false">E81-$K19</f>
        <v>94</v>
      </c>
      <c r="G81" s="2199" t="n">
        <f aca="false">F81-$K19</f>
        <v>92</v>
      </c>
      <c r="H81" s="2199"/>
      <c r="I81" s="2199"/>
      <c r="J81" s="2199"/>
      <c r="K81" s="2199"/>
      <c r="L81" s="2199"/>
      <c r="M81" s="2200"/>
      <c r="N81" s="2188"/>
      <c r="O81" s="2188"/>
      <c r="P81" s="2183"/>
      <c r="Q81" s="2148"/>
    </row>
    <row r="82" customFormat="false" ht="15" hidden="false" customHeight="false" outlineLevel="0" collapsed="false">
      <c r="A82" s="2184"/>
      <c r="B82" s="2192" t="s">
        <v>219</v>
      </c>
      <c r="C82" s="2233" t="s">
        <v>232</v>
      </c>
      <c r="D82" s="2233" t="s">
        <v>242</v>
      </c>
      <c r="E82" s="2233" t="s">
        <v>251</v>
      </c>
      <c r="F82" s="2233" t="s">
        <v>259</v>
      </c>
      <c r="G82" s="2233" t="s">
        <v>266</v>
      </c>
      <c r="H82" s="2229"/>
      <c r="I82" s="2229"/>
      <c r="J82" s="2229"/>
      <c r="K82" s="2229"/>
      <c r="L82" s="2229"/>
      <c r="M82" s="2234"/>
      <c r="N82" s="2188"/>
      <c r="O82" s="2188"/>
      <c r="P82" s="2183"/>
      <c r="Q82" s="2148"/>
    </row>
    <row r="83" customFormat="false" ht="15" hidden="false" customHeight="false" outlineLevel="0" collapsed="false">
      <c r="A83" s="2184"/>
      <c r="B83" s="2192"/>
      <c r="C83" s="2235" t="n">
        <v>100</v>
      </c>
      <c r="D83" s="2235" t="n">
        <f aca="false">C83-$K21</f>
        <v>99</v>
      </c>
      <c r="E83" s="2235" t="n">
        <f aca="false">D83-$K21</f>
        <v>98</v>
      </c>
      <c r="F83" s="2235" t="n">
        <f aca="false">E83-$K21</f>
        <v>97</v>
      </c>
      <c r="G83" s="2235" t="n">
        <f aca="false">F83-$K21</f>
        <v>96</v>
      </c>
      <c r="H83" s="2235"/>
      <c r="I83" s="2235"/>
      <c r="J83" s="2235"/>
      <c r="K83" s="2235"/>
      <c r="L83" s="2235"/>
      <c r="M83" s="2048"/>
      <c r="N83" s="2188"/>
      <c r="O83" s="2188"/>
      <c r="P83" s="2183"/>
      <c r="Q83" s="2148"/>
    </row>
    <row r="84" customFormat="false" ht="15" hidden="false" customHeight="false" outlineLevel="0" collapsed="false">
      <c r="A84" s="2184"/>
      <c r="B84" s="2189" t="s">
        <v>658</v>
      </c>
      <c r="C84" s="2228" t="s">
        <v>231</v>
      </c>
      <c r="D84" s="2228" t="s">
        <v>241</v>
      </c>
      <c r="E84" s="2228" t="s">
        <v>250</v>
      </c>
      <c r="F84" s="2228" t="s">
        <v>258</v>
      </c>
      <c r="G84" s="2228" t="s">
        <v>265</v>
      </c>
      <c r="H84" s="2229"/>
      <c r="I84" s="2229"/>
      <c r="J84" s="2229"/>
      <c r="K84" s="2230"/>
      <c r="L84" s="2231"/>
      <c r="M84" s="2232"/>
      <c r="N84" s="2182"/>
      <c r="O84" s="2182"/>
      <c r="P84" s="2183"/>
      <c r="Q84" s="2148"/>
    </row>
    <row r="85" customFormat="false" ht="15" hidden="false" customHeight="false" outlineLevel="0" collapsed="false">
      <c r="A85" s="2184"/>
      <c r="B85" s="2191"/>
      <c r="C85" s="2199" t="n">
        <v>100</v>
      </c>
      <c r="D85" s="2199" t="n">
        <f aca="false">C85-$K23</f>
        <v>99</v>
      </c>
      <c r="E85" s="2199" t="n">
        <f aca="false">D85-$K23</f>
        <v>98</v>
      </c>
      <c r="F85" s="2199" t="n">
        <f aca="false">E85-$K23</f>
        <v>97</v>
      </c>
      <c r="G85" s="2199" t="n">
        <f aca="false">F85-$K23</f>
        <v>96</v>
      </c>
      <c r="H85" s="2199"/>
      <c r="I85" s="2199"/>
      <c r="J85" s="2199"/>
      <c r="K85" s="2199"/>
      <c r="L85" s="2199"/>
      <c r="M85" s="2200"/>
      <c r="N85" s="2188"/>
      <c r="O85" s="2188"/>
      <c r="P85" s="2183"/>
      <c r="Q85" s="2148"/>
    </row>
    <row r="86" s="1983" customFormat="true" ht="15" hidden="false" customHeight="false" outlineLevel="0" collapsed="false">
      <c r="A86" s="2236"/>
      <c r="B86" s="2189" t="s">
        <v>1282</v>
      </c>
      <c r="C86" s="2202"/>
      <c r="D86" s="2202"/>
      <c r="E86" s="2202"/>
      <c r="F86" s="2202"/>
      <c r="G86" s="2202"/>
      <c r="H86" s="2202"/>
      <c r="I86" s="2202"/>
      <c r="J86" s="2202"/>
      <c r="K86" s="2202"/>
      <c r="L86" s="2237"/>
      <c r="M86" s="2238"/>
      <c r="N86" s="2172"/>
      <c r="O86" s="2172"/>
      <c r="P86" s="2183"/>
      <c r="Q86" s="2148"/>
    </row>
    <row r="87" s="1983" customFormat="true" ht="15" hidden="false" customHeight="false" outlineLevel="0" collapsed="false">
      <c r="A87" s="2236"/>
      <c r="B87" s="2191"/>
      <c r="C87" s="2239" t="n">
        <v>100</v>
      </c>
      <c r="D87" s="2199" t="n">
        <f aca="false">$C$87-($C$86-D86)*$K$25</f>
        <v>100</v>
      </c>
      <c r="E87" s="2199" t="n">
        <f aca="false">$C$87-($C$86-E86)*$K$25</f>
        <v>100</v>
      </c>
      <c r="F87" s="2199" t="n">
        <f aca="false">$C$87-($C$86-F86)*$K$25</f>
        <v>100</v>
      </c>
      <c r="G87" s="2199" t="n">
        <f aca="false">$C$87-($C$86-G86)*$K$25</f>
        <v>100</v>
      </c>
      <c r="H87" s="2199" t="n">
        <f aca="false">$C$87-($C$86-H86)*$K$25</f>
        <v>100</v>
      </c>
      <c r="I87" s="2199" t="n">
        <f aca="false">$C$87-($C$86-I86)*$K$25</f>
        <v>100</v>
      </c>
      <c r="J87" s="2199" t="n">
        <f aca="false">$C$87-($C$86-J86)*$K$25</f>
        <v>100</v>
      </c>
      <c r="K87" s="2199" t="n">
        <f aca="false">$C$87-($C$86-K86)*$K$25</f>
        <v>100</v>
      </c>
      <c r="L87" s="2199" t="n">
        <f aca="false">$C$87-($C$86-L86)*$K$25</f>
        <v>100</v>
      </c>
      <c r="M87" s="2199" t="n">
        <f aca="false">$C$87-($C$86-M86)*$K$25</f>
        <v>100</v>
      </c>
      <c r="N87" s="2188"/>
      <c r="O87" s="2188"/>
      <c r="P87" s="2183"/>
      <c r="Q87" s="2148"/>
    </row>
    <row r="88" s="1983" customFormat="true" ht="15" hidden="false" customHeight="false" outlineLevel="0" collapsed="false">
      <c r="A88" s="2236"/>
      <c r="B88" s="2189" t="s">
        <v>1283</v>
      </c>
      <c r="C88" s="2240" t="s">
        <v>1284</v>
      </c>
      <c r="D88" s="2240" t="s">
        <v>1285</v>
      </c>
      <c r="E88" s="2240" t="s">
        <v>1317</v>
      </c>
      <c r="F88" s="2241" t="s">
        <v>1318</v>
      </c>
      <c r="G88" s="2240" t="s">
        <v>1319</v>
      </c>
      <c r="H88" s="2240" t="s">
        <v>1320</v>
      </c>
      <c r="I88" s="2240" t="s">
        <v>1321</v>
      </c>
      <c r="J88" s="2240" t="s">
        <v>1322</v>
      </c>
      <c r="K88" s="2240" t="s">
        <v>1286</v>
      </c>
      <c r="L88" s="2240" t="s">
        <v>1323</v>
      </c>
      <c r="M88" s="2238"/>
      <c r="N88" s="2172"/>
      <c r="O88" s="2172"/>
      <c r="P88" s="2183"/>
      <c r="Q88" s="2148"/>
    </row>
    <row r="89" s="1983" customFormat="true" ht="15" hidden="false" customHeight="false" outlineLevel="0" collapsed="false">
      <c r="A89" s="2236"/>
      <c r="B89" s="2191"/>
      <c r="C89" s="2239" t="n">
        <v>100</v>
      </c>
      <c r="D89" s="2199" t="n">
        <f aca="false">C89-$K26</f>
        <v>99.5</v>
      </c>
      <c r="E89" s="2199" t="n">
        <f aca="false">D89-$K26</f>
        <v>99</v>
      </c>
      <c r="F89" s="2199" t="n">
        <f aca="false">E89-$K26</f>
        <v>98.5</v>
      </c>
      <c r="G89" s="2199" t="n">
        <f aca="false">F89-$K26</f>
        <v>98</v>
      </c>
      <c r="H89" s="2199" t="n">
        <f aca="false">G89-$K26</f>
        <v>97.5</v>
      </c>
      <c r="I89" s="2199" t="n">
        <f aca="false">H89-$K26</f>
        <v>97</v>
      </c>
      <c r="J89" s="2199" t="n">
        <f aca="false">I89-$K26</f>
        <v>96.5</v>
      </c>
      <c r="K89" s="2199" t="n">
        <f aca="false">J89-$K26</f>
        <v>96</v>
      </c>
      <c r="L89" s="2199" t="n">
        <f aca="false">K89-$K26</f>
        <v>95.5</v>
      </c>
      <c r="M89" s="2199" t="n">
        <f aca="false">L89-$K26</f>
        <v>95</v>
      </c>
      <c r="N89" s="2188"/>
      <c r="O89" s="2188"/>
      <c r="P89" s="2183"/>
      <c r="Q89" s="2148"/>
    </row>
    <row r="90" s="2088" customFormat="true" ht="15" hidden="false" customHeight="false" outlineLevel="0" collapsed="false">
      <c r="A90" s="2201"/>
      <c r="B90" s="2189" t="str">
        <f aca="false">B27</f>
        <v>楼层</v>
      </c>
      <c r="C90" s="2242" t="str">
        <f aca="false">C27</f>
        <v>5/6</v>
      </c>
      <c r="D90" s="2242" t="str">
        <f aca="false">E27</f>
        <v>4/6</v>
      </c>
      <c r="E90" s="2242" t="str">
        <f aca="false">G27</f>
        <v>2/6</v>
      </c>
      <c r="F90" s="2242" t="str">
        <f aca="false">I27</f>
        <v>3/16</v>
      </c>
      <c r="G90" s="2242"/>
      <c r="H90" s="2243"/>
      <c r="I90" s="2243"/>
      <c r="J90" s="2243"/>
      <c r="K90" s="2243"/>
      <c r="L90" s="2244"/>
      <c r="M90" s="2245"/>
      <c r="N90" s="2206"/>
      <c r="O90" s="2206"/>
      <c r="P90" s="2207"/>
      <c r="Q90" s="2208"/>
    </row>
    <row r="91" s="2088" customFormat="true" ht="14.15" hidden="false" customHeight="false" outlineLevel="0" collapsed="false">
      <c r="A91" s="2201"/>
      <c r="B91" s="2191"/>
      <c r="C91" s="2209" t="n">
        <v>100</v>
      </c>
      <c r="D91" s="2209" t="n">
        <v>102.5</v>
      </c>
      <c r="E91" s="2209" t="n">
        <v>101.5</v>
      </c>
      <c r="F91" s="2209" t="n">
        <v>101</v>
      </c>
      <c r="G91" s="2209"/>
      <c r="H91" s="2212"/>
      <c r="I91" s="2212"/>
      <c r="J91" s="2212"/>
      <c r="K91" s="2212"/>
      <c r="L91" s="2212"/>
      <c r="M91" s="2213"/>
      <c r="N91" s="2206"/>
      <c r="O91" s="2206"/>
      <c r="P91" s="2207"/>
      <c r="Q91" s="2208"/>
    </row>
    <row r="92" customFormat="false" ht="15" hidden="false" customHeight="false" outlineLevel="0" collapsed="false">
      <c r="A92" s="2184"/>
      <c r="B92" s="2189" t="n">
        <f aca="false">B28</f>
        <v>111</v>
      </c>
      <c r="C92" s="2202"/>
      <c r="D92" s="2202"/>
      <c r="E92" s="2202"/>
      <c r="F92" s="2202"/>
      <c r="G92" s="2190"/>
      <c r="H92" s="2190"/>
      <c r="I92" s="2190"/>
      <c r="J92" s="2190"/>
      <c r="K92" s="2246"/>
      <c r="L92" s="2247"/>
      <c r="M92" s="2248"/>
      <c r="N92" s="2182"/>
      <c r="O92" s="2182"/>
      <c r="P92" s="2183"/>
      <c r="Q92" s="2148"/>
    </row>
    <row r="93" customFormat="false" ht="15" hidden="false" customHeight="false" outlineLevel="0" collapsed="false">
      <c r="A93" s="2184"/>
      <c r="B93" s="2191"/>
      <c r="C93" s="2209"/>
      <c r="D93" s="2186"/>
      <c r="E93" s="2186"/>
      <c r="F93" s="2186"/>
      <c r="G93" s="2186"/>
      <c r="H93" s="2186"/>
      <c r="I93" s="2186"/>
      <c r="J93" s="2186"/>
      <c r="K93" s="2186"/>
      <c r="L93" s="2186"/>
      <c r="M93" s="2187"/>
      <c r="N93" s="2188"/>
      <c r="O93" s="2188"/>
      <c r="P93" s="2183"/>
      <c r="Q93" s="2148"/>
    </row>
    <row r="94" customFormat="false" ht="15" hidden="false" customHeight="false" outlineLevel="0" collapsed="false">
      <c r="A94" s="2184"/>
      <c r="B94" s="2189" t="n">
        <f aca="false">B29</f>
        <v>111</v>
      </c>
      <c r="C94" s="2202"/>
      <c r="D94" s="2202"/>
      <c r="E94" s="2202"/>
      <c r="F94" s="2202"/>
      <c r="G94" s="2190"/>
      <c r="H94" s="2190"/>
      <c r="I94" s="2190"/>
      <c r="J94" s="2190"/>
      <c r="K94" s="2246"/>
      <c r="L94" s="2247"/>
      <c r="M94" s="2248"/>
      <c r="N94" s="2182"/>
      <c r="O94" s="2182"/>
      <c r="P94" s="2183"/>
      <c r="Q94" s="2148"/>
    </row>
    <row r="95" customFormat="false" ht="15" hidden="false" customHeight="false" outlineLevel="0" collapsed="false">
      <c r="A95" s="2184"/>
      <c r="B95" s="2191"/>
      <c r="C95" s="2209"/>
      <c r="D95" s="2209"/>
      <c r="E95" s="2209"/>
      <c r="F95" s="2209"/>
      <c r="G95" s="2186"/>
      <c r="H95" s="2186"/>
      <c r="I95" s="2186"/>
      <c r="J95" s="2186"/>
      <c r="K95" s="2186"/>
      <c r="L95" s="2186"/>
      <c r="M95" s="2187"/>
      <c r="N95" s="2188"/>
      <c r="O95" s="2188"/>
      <c r="P95" s="2183"/>
      <c r="Q95" s="2148"/>
    </row>
    <row r="96" customFormat="false" ht="15" hidden="false" customHeight="false" outlineLevel="0" collapsed="false">
      <c r="A96" s="2184"/>
      <c r="B96" s="2189" t="n">
        <f aca="false">B30</f>
        <v>111</v>
      </c>
      <c r="C96" s="2202"/>
      <c r="D96" s="2202"/>
      <c r="E96" s="2202"/>
      <c r="F96" s="2202"/>
      <c r="G96" s="2190"/>
      <c r="H96" s="2190"/>
      <c r="I96" s="2190"/>
      <c r="J96" s="2190"/>
      <c r="K96" s="2246"/>
      <c r="L96" s="2247"/>
      <c r="M96" s="2248"/>
      <c r="N96" s="2182"/>
      <c r="O96" s="2182"/>
      <c r="P96" s="2183"/>
      <c r="Q96" s="2148"/>
    </row>
    <row r="97" customFormat="false" ht="15" hidden="false" customHeight="false" outlineLevel="0" collapsed="false">
      <c r="A97" s="2184"/>
      <c r="B97" s="2191"/>
      <c r="C97" s="2220"/>
      <c r="D97" s="2220"/>
      <c r="E97" s="2220"/>
      <c r="F97" s="2220"/>
      <c r="G97" s="2186"/>
      <c r="H97" s="2186"/>
      <c r="I97" s="2186"/>
      <c r="J97" s="2186"/>
      <c r="K97" s="2186"/>
      <c r="L97" s="2186"/>
      <c r="M97" s="2187"/>
      <c r="N97" s="2188"/>
      <c r="O97" s="2188"/>
      <c r="P97" s="2183"/>
      <c r="Q97" s="2148"/>
    </row>
    <row r="98" customFormat="false" ht="15" hidden="false" customHeight="false" outlineLevel="0" collapsed="false">
      <c r="A98" s="2184"/>
      <c r="B98" s="2192" t="n">
        <f aca="false">B31</f>
        <v>111</v>
      </c>
      <c r="C98" s="2249"/>
      <c r="D98" s="2249"/>
      <c r="E98" s="2249"/>
      <c r="F98" s="2249"/>
      <c r="G98" s="2249"/>
      <c r="H98" s="2249"/>
      <c r="I98" s="2249"/>
      <c r="J98" s="2249"/>
      <c r="K98" s="2250"/>
      <c r="L98" s="2251"/>
      <c r="M98" s="2252"/>
      <c r="N98" s="2182"/>
      <c r="O98" s="2182"/>
      <c r="P98" s="2183"/>
      <c r="Q98" s="2148"/>
    </row>
    <row r="99" customFormat="false" ht="15" hidden="false" customHeight="false" outlineLevel="0" collapsed="false">
      <c r="A99" s="2253"/>
      <c r="B99" s="2219"/>
      <c r="C99" s="2254"/>
      <c r="D99" s="2254"/>
      <c r="E99" s="2254"/>
      <c r="F99" s="2254"/>
      <c r="G99" s="2254"/>
      <c r="H99" s="2254"/>
      <c r="I99" s="2254"/>
      <c r="J99" s="2254"/>
      <c r="K99" s="2254"/>
      <c r="L99" s="2254"/>
      <c r="M99" s="2255"/>
      <c r="N99" s="2188"/>
      <c r="O99" s="2188"/>
      <c r="P99" s="2183"/>
      <c r="Q99" s="2148"/>
    </row>
    <row r="100" customFormat="false" ht="14.25" hidden="false" customHeight="false" outlineLevel="0" collapsed="false">
      <c r="A100" s="2175" t="s">
        <v>1292</v>
      </c>
      <c r="B100" s="2176" t="s">
        <v>1293</v>
      </c>
      <c r="C100" s="2256" t="s">
        <v>1294</v>
      </c>
      <c r="D100" s="2256" t="s">
        <v>1295</v>
      </c>
      <c r="E100" s="2256"/>
      <c r="F100" s="2256"/>
      <c r="G100" s="2256"/>
      <c r="H100" s="2178"/>
      <c r="I100" s="2178"/>
      <c r="J100" s="2178"/>
      <c r="K100" s="2179"/>
      <c r="L100" s="2180"/>
      <c r="M100" s="2181"/>
      <c r="N100" s="2182"/>
      <c r="O100" s="2182"/>
      <c r="P100" s="2183"/>
      <c r="Q100" s="2148"/>
    </row>
    <row r="101" customFormat="false" ht="15" hidden="false" customHeight="false" outlineLevel="0" collapsed="false">
      <c r="A101" s="2184"/>
      <c r="B101" s="2191"/>
      <c r="C101" s="2199" t="n">
        <v>100</v>
      </c>
      <c r="D101" s="2199" t="n">
        <f aca="false">C101-$K32</f>
        <v>98</v>
      </c>
      <c r="E101" s="2199" t="n">
        <f aca="false">D101-$K32</f>
        <v>96</v>
      </c>
      <c r="F101" s="2199" t="n">
        <f aca="false">E101-$K32</f>
        <v>94</v>
      </c>
      <c r="G101" s="2199" t="n">
        <f aca="false">F101-$K32</f>
        <v>92</v>
      </c>
      <c r="H101" s="2199" t="n">
        <f aca="false">G101-$K32</f>
        <v>90</v>
      </c>
      <c r="I101" s="2199" t="n">
        <f aca="false">H101-$K32</f>
        <v>88</v>
      </c>
      <c r="J101" s="2199" t="n">
        <f aca="false">I101-$K32</f>
        <v>86</v>
      </c>
      <c r="K101" s="2199" t="n">
        <f aca="false">J101-$K32</f>
        <v>84</v>
      </c>
      <c r="L101" s="2199" t="n">
        <f aca="false">K101-$K32</f>
        <v>82</v>
      </c>
      <c r="M101" s="2199" t="n">
        <f aca="false">L101-$K32</f>
        <v>80</v>
      </c>
      <c r="N101" s="2188"/>
      <c r="O101" s="2188"/>
      <c r="P101" s="2183"/>
      <c r="Q101" s="2148"/>
    </row>
    <row r="102" customFormat="false" ht="15" hidden="false" customHeight="false" outlineLevel="0" collapsed="false">
      <c r="A102" s="2184"/>
      <c r="B102" s="2189" t="s">
        <v>1296</v>
      </c>
      <c r="C102" s="2228" t="str">
        <f aca="false">C103&amp;"(含)"&amp;"-"&amp;D103</f>
        <v>0(含)-50</v>
      </c>
      <c r="D102" s="2228" t="str">
        <f aca="false">D103&amp;"(含)"&amp;"-"&amp;E103</f>
        <v>50(含)-75</v>
      </c>
      <c r="E102" s="2228" t="str">
        <f aca="false">E103&amp;"(含)"&amp;"-"&amp;F103</f>
        <v>75(含)-95</v>
      </c>
      <c r="F102" s="2228" t="str">
        <f aca="false">F103&amp;"(含)"&amp;"-"&amp;G103</f>
        <v>95(含)-120</v>
      </c>
      <c r="G102" s="2228" t="str">
        <f aca="false">G103&amp;"(含)"&amp;"-"&amp;H103</f>
        <v>120(含)-</v>
      </c>
      <c r="H102" s="2228" t="str">
        <f aca="false">H103&amp;"(含)"&amp;"-"&amp;I103</f>
        <v>(含)-</v>
      </c>
      <c r="I102" s="2228" t="str">
        <f aca="false">I103&amp;"(含)"&amp;"-"&amp;J103</f>
        <v>(含)-</v>
      </c>
      <c r="J102" s="2228" t="str">
        <f aca="false">J103&amp;"(含)"&amp;"-"&amp;K103</f>
        <v>(含)-</v>
      </c>
      <c r="K102" s="2228" t="str">
        <f aca="false">K103&amp;"(含)"&amp;"-"&amp;L103</f>
        <v>(含)-</v>
      </c>
      <c r="L102" s="2228" t="str">
        <f aca="false">L103&amp;"(含)"&amp;"-"&amp;M103</f>
        <v>(含)-</v>
      </c>
      <c r="M102" s="2228" t="str">
        <f aca="false">M103&amp;"(含)"&amp;"-"&amp;P103</f>
        <v>(含)-</v>
      </c>
      <c r="N102" s="2172"/>
      <c r="O102" s="2172"/>
      <c r="P102" s="2183"/>
      <c r="Q102" s="2148"/>
    </row>
    <row r="103" s="2088" customFormat="true" ht="14.25" hidden="false" customHeight="false" outlineLevel="0" collapsed="false">
      <c r="A103" s="2257"/>
      <c r="B103" s="2258"/>
      <c r="C103" s="2259" t="n">
        <v>0</v>
      </c>
      <c r="D103" s="2259" t="n">
        <v>50</v>
      </c>
      <c r="E103" s="2259" t="n">
        <v>75</v>
      </c>
      <c r="F103" s="2259" t="n">
        <v>95</v>
      </c>
      <c r="G103" s="2259" t="n">
        <v>120</v>
      </c>
      <c r="H103" s="2259"/>
      <c r="I103" s="2259"/>
      <c r="J103" s="2260"/>
      <c r="K103" s="2260"/>
      <c r="L103" s="2261"/>
      <c r="M103" s="2262"/>
      <c r="N103" s="2206"/>
      <c r="O103" s="2206"/>
      <c r="P103" s="2207"/>
      <c r="Q103" s="2208"/>
    </row>
    <row r="104" s="2088" customFormat="true" ht="15" hidden="false" customHeight="false" outlineLevel="0" collapsed="false">
      <c r="A104" s="2201"/>
      <c r="B104" s="2191"/>
      <c r="C104" s="2209" t="n">
        <v>100</v>
      </c>
      <c r="D104" s="2186" t="n">
        <v>99</v>
      </c>
      <c r="E104" s="2186" t="n">
        <v>98</v>
      </c>
      <c r="F104" s="2186" t="n">
        <v>97</v>
      </c>
      <c r="G104" s="2186" t="n">
        <v>96</v>
      </c>
      <c r="H104" s="2186"/>
      <c r="I104" s="2186"/>
      <c r="J104" s="2186"/>
      <c r="K104" s="2186"/>
      <c r="L104" s="2186"/>
      <c r="M104" s="2186"/>
      <c r="N104" s="2188"/>
      <c r="O104" s="2188"/>
      <c r="P104" s="2207"/>
      <c r="Q104" s="2208"/>
    </row>
    <row r="105" customFormat="false" ht="14.25" hidden="false" customHeight="false" outlineLevel="0" collapsed="false">
      <c r="A105" s="2263"/>
      <c r="B105" s="2189" t="s">
        <v>1297</v>
      </c>
      <c r="C105" s="2240" t="s">
        <v>1144</v>
      </c>
      <c r="D105" s="2240" t="s">
        <v>1298</v>
      </c>
      <c r="E105" s="2190"/>
      <c r="F105" s="2190"/>
      <c r="G105" s="2190"/>
      <c r="H105" s="2190"/>
      <c r="I105" s="2190"/>
      <c r="J105" s="2190"/>
      <c r="K105" s="2246"/>
      <c r="L105" s="2247"/>
      <c r="M105" s="2248"/>
      <c r="N105" s="2182"/>
      <c r="O105" s="2182"/>
      <c r="P105" s="2183"/>
      <c r="Q105" s="2148"/>
    </row>
    <row r="106" customFormat="false" ht="15" hidden="false" customHeight="false" outlineLevel="0" collapsed="false">
      <c r="A106" s="2184"/>
      <c r="B106" s="2191"/>
      <c r="C106" s="2199" t="n">
        <v>100</v>
      </c>
      <c r="D106" s="2199" t="n">
        <f aca="false">C106-$K34</f>
        <v>98</v>
      </c>
      <c r="E106" s="2199" t="n">
        <f aca="false">D106-$K34</f>
        <v>96</v>
      </c>
      <c r="F106" s="2199" t="n">
        <f aca="false">E106-$K34</f>
        <v>94</v>
      </c>
      <c r="G106" s="2199" t="n">
        <f aca="false">F106-$K34</f>
        <v>92</v>
      </c>
      <c r="H106" s="2199" t="n">
        <f aca="false">G106-$K34</f>
        <v>90</v>
      </c>
      <c r="I106" s="2199" t="n">
        <f aca="false">H106-$K34</f>
        <v>88</v>
      </c>
      <c r="J106" s="2199" t="n">
        <f aca="false">I106-$K34</f>
        <v>86</v>
      </c>
      <c r="K106" s="2199" t="n">
        <f aca="false">J106-$K34</f>
        <v>84</v>
      </c>
      <c r="L106" s="2199" t="n">
        <f aca="false">K106-$K34</f>
        <v>82</v>
      </c>
      <c r="M106" s="2199" t="n">
        <f aca="false">L106-$K34</f>
        <v>80</v>
      </c>
      <c r="N106" s="2188"/>
      <c r="O106" s="2188"/>
      <c r="P106" s="2183"/>
      <c r="Q106" s="2148"/>
    </row>
    <row r="107" customFormat="false" ht="14.25" hidden="false" customHeight="false" outlineLevel="0" collapsed="false">
      <c r="A107" s="2263"/>
      <c r="B107" s="2189" t="s">
        <v>1299</v>
      </c>
      <c r="C107" s="2264" t="s">
        <v>231</v>
      </c>
      <c r="D107" s="2264" t="s">
        <v>241</v>
      </c>
      <c r="E107" s="2264" t="s">
        <v>250</v>
      </c>
      <c r="F107" s="2190"/>
      <c r="G107" s="2190"/>
      <c r="H107" s="2190"/>
      <c r="I107" s="2190"/>
      <c r="J107" s="2190"/>
      <c r="K107" s="2246"/>
      <c r="L107" s="2247"/>
      <c r="M107" s="2248"/>
      <c r="N107" s="2182"/>
      <c r="O107" s="2182"/>
      <c r="P107" s="2183"/>
      <c r="Q107" s="2148"/>
    </row>
    <row r="108" customFormat="false" ht="15" hidden="false" customHeight="false" outlineLevel="0" collapsed="false">
      <c r="A108" s="2184"/>
      <c r="B108" s="2191"/>
      <c r="C108" s="2199" t="n">
        <v>100</v>
      </c>
      <c r="D108" s="2199" t="n">
        <f aca="false">C108-$K35</f>
        <v>97</v>
      </c>
      <c r="E108" s="2199" t="n">
        <f aca="false">D108-$K35</f>
        <v>94</v>
      </c>
      <c r="F108" s="2199" t="n">
        <f aca="false">E108-$K35</f>
        <v>91</v>
      </c>
      <c r="G108" s="2199" t="n">
        <f aca="false">F108-$K35</f>
        <v>88</v>
      </c>
      <c r="H108" s="2199" t="n">
        <f aca="false">G108-$K35</f>
        <v>85</v>
      </c>
      <c r="I108" s="2199" t="n">
        <f aca="false">H108-$K35</f>
        <v>82</v>
      </c>
      <c r="J108" s="2199" t="n">
        <f aca="false">I108-$K35</f>
        <v>79</v>
      </c>
      <c r="K108" s="2199" t="n">
        <f aca="false">J108-$K35</f>
        <v>76</v>
      </c>
      <c r="L108" s="2199" t="n">
        <f aca="false">K108-$K35</f>
        <v>73</v>
      </c>
      <c r="M108" s="2199" t="n">
        <f aca="false">L108-$K35</f>
        <v>70</v>
      </c>
      <c r="N108" s="2188"/>
      <c r="O108" s="2188"/>
      <c r="P108" s="2183"/>
      <c r="Q108" s="2148"/>
    </row>
    <row r="109" customFormat="false" ht="14.25" hidden="false" customHeight="false" outlineLevel="0" collapsed="false">
      <c r="A109" s="2263"/>
      <c r="B109" s="2189" t="s">
        <v>1300</v>
      </c>
      <c r="C109" s="2240" t="s">
        <v>1324</v>
      </c>
      <c r="D109" s="2240" t="s">
        <v>1325</v>
      </c>
      <c r="E109" s="2240" t="s">
        <v>1301</v>
      </c>
      <c r="F109" s="2190"/>
      <c r="G109" s="2190"/>
      <c r="H109" s="2190"/>
      <c r="I109" s="2190"/>
      <c r="J109" s="2190"/>
      <c r="K109" s="2246"/>
      <c r="L109" s="2247"/>
      <c r="M109" s="2248"/>
      <c r="N109" s="2182"/>
      <c r="O109" s="2182"/>
      <c r="P109" s="2183"/>
      <c r="Q109" s="2148"/>
    </row>
    <row r="110" customFormat="false" ht="15" hidden="false" customHeight="false" outlineLevel="0" collapsed="false">
      <c r="A110" s="2184"/>
      <c r="B110" s="2191"/>
      <c r="C110" s="2199" t="n">
        <v>100</v>
      </c>
      <c r="D110" s="2199" t="n">
        <f aca="false">C110-$K36</f>
        <v>97</v>
      </c>
      <c r="E110" s="2199" t="n">
        <f aca="false">D110-$K36</f>
        <v>94</v>
      </c>
      <c r="F110" s="2199" t="n">
        <f aca="false">E110-$K36</f>
        <v>91</v>
      </c>
      <c r="G110" s="2199" t="n">
        <f aca="false">F110-$K36</f>
        <v>88</v>
      </c>
      <c r="H110" s="2199" t="n">
        <f aca="false">G110-$K36</f>
        <v>85</v>
      </c>
      <c r="I110" s="2199" t="n">
        <f aca="false">H110-$K36</f>
        <v>82</v>
      </c>
      <c r="J110" s="2199" t="n">
        <f aca="false">I110-$K36</f>
        <v>79</v>
      </c>
      <c r="K110" s="2199" t="n">
        <f aca="false">J110-$K36</f>
        <v>76</v>
      </c>
      <c r="L110" s="2199" t="n">
        <f aca="false">K110-$K36</f>
        <v>73</v>
      </c>
      <c r="M110" s="2199" t="n">
        <f aca="false">L110-$K36</f>
        <v>70</v>
      </c>
      <c r="N110" s="2188"/>
      <c r="O110" s="2188"/>
      <c r="P110" s="2183"/>
      <c r="Q110" s="2148"/>
    </row>
    <row r="111" s="2088" customFormat="true" ht="14.25" hidden="false" customHeight="false" outlineLevel="0" collapsed="false">
      <c r="A111" s="2257"/>
      <c r="B111" s="2189" t="s">
        <v>567</v>
      </c>
      <c r="C111" s="2228" t="str">
        <f aca="false">C112&amp;"(含)"&amp;"-"&amp;D112</f>
        <v>0.5(含)-0.6</v>
      </c>
      <c r="D111" s="2228" t="str">
        <f aca="false">D112&amp;"(含)"&amp;"-"&amp;E112</f>
        <v>0.6(含)-0.7</v>
      </c>
      <c r="E111" s="2228" t="str">
        <f aca="false">E112&amp;"(含)"&amp;"-"&amp;F112</f>
        <v>0.7(含)-0.8</v>
      </c>
      <c r="F111" s="2228" t="str">
        <f aca="false">F112&amp;"(含)"&amp;"-"&amp;G112</f>
        <v>0.8(含)-0.9</v>
      </c>
      <c r="G111" s="2228" t="str">
        <f aca="false">G112&amp;"(含)"&amp;"-"&amp;ROUND(H112,0)&amp;"(含)"</f>
        <v>0.9(含)-1(含)</v>
      </c>
      <c r="H111" s="2228" t="str">
        <f aca="false">ROUND(H112,0)&amp;"(含)"&amp;"-"&amp;I112</f>
        <v>1(含)-</v>
      </c>
      <c r="I111" s="2228"/>
      <c r="J111" s="2265"/>
      <c r="K111" s="2265"/>
      <c r="L111" s="2266"/>
      <c r="M111" s="2267"/>
      <c r="N111" s="2206"/>
      <c r="O111" s="2206"/>
      <c r="P111" s="2207"/>
      <c r="Q111" s="2208"/>
    </row>
    <row r="112" s="2088" customFormat="true" ht="14.25" hidden="false" customHeight="false" outlineLevel="0" collapsed="false">
      <c r="A112" s="2257"/>
      <c r="B112" s="2192"/>
      <c r="C112" s="2268" t="n">
        <v>0.5</v>
      </c>
      <c r="D112" s="2268" t="n">
        <v>0.6</v>
      </c>
      <c r="E112" s="2268" t="n">
        <v>0.7</v>
      </c>
      <c r="F112" s="2268" t="n">
        <v>0.8</v>
      </c>
      <c r="G112" s="2268" t="n">
        <v>0.9</v>
      </c>
      <c r="H112" s="2268" t="n">
        <v>1.0001</v>
      </c>
      <c r="I112" s="2268"/>
      <c r="J112" s="2269"/>
      <c r="K112" s="2269"/>
      <c r="L112" s="2270"/>
      <c r="M112" s="2271"/>
      <c r="N112" s="2206"/>
      <c r="O112" s="2206"/>
      <c r="P112" s="2207"/>
      <c r="Q112" s="2208"/>
    </row>
    <row r="113" s="2088" customFormat="true" ht="15" hidden="false" customHeight="false" outlineLevel="0" collapsed="false">
      <c r="A113" s="2201"/>
      <c r="B113" s="2191"/>
      <c r="C113" s="2239" t="n">
        <v>100</v>
      </c>
      <c r="D113" s="2199" t="n">
        <f aca="false">C113+$K37</f>
        <v>102</v>
      </c>
      <c r="E113" s="2199" t="n">
        <f aca="false">D113+$K37</f>
        <v>104</v>
      </c>
      <c r="F113" s="2199" t="n">
        <f aca="false">E113+$K37</f>
        <v>106</v>
      </c>
      <c r="G113" s="2199" t="n">
        <f aca="false">F113+$K37</f>
        <v>108</v>
      </c>
      <c r="H113" s="2199" t="n">
        <f aca="false">G113+$K37</f>
        <v>110</v>
      </c>
      <c r="I113" s="2239"/>
      <c r="J113" s="2272"/>
      <c r="K113" s="2272"/>
      <c r="L113" s="2272"/>
      <c r="M113" s="2273"/>
      <c r="N113" s="2206"/>
      <c r="O113" s="2206"/>
      <c r="P113" s="2207"/>
      <c r="Q113" s="2208"/>
    </row>
    <row r="114" customFormat="false" ht="14.25" hidden="false" customHeight="false" outlineLevel="0" collapsed="false">
      <c r="A114" s="2263"/>
      <c r="B114" s="2189" t="s">
        <v>1302</v>
      </c>
      <c r="C114" s="2240" t="s">
        <v>1303</v>
      </c>
      <c r="D114" s="2240" t="s">
        <v>1326</v>
      </c>
      <c r="E114" s="2190"/>
      <c r="F114" s="2190"/>
      <c r="G114" s="2190"/>
      <c r="H114" s="2190"/>
      <c r="I114" s="2190"/>
      <c r="J114" s="2190"/>
      <c r="K114" s="2246"/>
      <c r="L114" s="2247"/>
      <c r="M114" s="2248"/>
      <c r="N114" s="2182"/>
      <c r="O114" s="2182"/>
      <c r="P114" s="2183"/>
      <c r="Q114" s="2148"/>
    </row>
    <row r="115" customFormat="false" ht="15" hidden="false" customHeight="false" outlineLevel="0" collapsed="false">
      <c r="A115" s="2184"/>
      <c r="B115" s="2191"/>
      <c r="C115" s="2199" t="n">
        <v>100</v>
      </c>
      <c r="D115" s="2199" t="n">
        <f aca="false">C115-$K38</f>
        <v>99</v>
      </c>
      <c r="E115" s="2199" t="n">
        <f aca="false">D115-$K38</f>
        <v>98</v>
      </c>
      <c r="F115" s="2199" t="n">
        <f aca="false">E115-$K38</f>
        <v>97</v>
      </c>
      <c r="G115" s="2199" t="n">
        <f aca="false">F115-$K38</f>
        <v>96</v>
      </c>
      <c r="H115" s="2199" t="n">
        <f aca="false">G115-$K38</f>
        <v>95</v>
      </c>
      <c r="I115" s="2199" t="n">
        <f aca="false">H115-$K38</f>
        <v>94</v>
      </c>
      <c r="J115" s="2199" t="n">
        <f aca="false">I115-$K38</f>
        <v>93</v>
      </c>
      <c r="K115" s="2199" t="n">
        <f aca="false">J115-$K38</f>
        <v>92</v>
      </c>
      <c r="L115" s="2199" t="n">
        <f aca="false">K115-$K38</f>
        <v>91</v>
      </c>
      <c r="M115" s="2199" t="n">
        <f aca="false">L115-$K38</f>
        <v>90</v>
      </c>
      <c r="N115" s="2188"/>
      <c r="O115" s="2188"/>
      <c r="P115" s="2183"/>
      <c r="Q115" s="2148"/>
    </row>
    <row r="116" customFormat="false" ht="14.25" hidden="false" customHeight="false" outlineLevel="0" collapsed="false">
      <c r="A116" s="2263"/>
      <c r="B116" s="2189" t="s">
        <v>1304</v>
      </c>
      <c r="C116" s="2240" t="s">
        <v>232</v>
      </c>
      <c r="D116" s="2202"/>
      <c r="E116" s="2202"/>
      <c r="F116" s="2202"/>
      <c r="G116" s="2202"/>
      <c r="H116" s="2190"/>
      <c r="I116" s="2190"/>
      <c r="J116" s="2190"/>
      <c r="K116" s="2246"/>
      <c r="L116" s="2247"/>
      <c r="M116" s="2248"/>
      <c r="N116" s="2182"/>
      <c r="O116" s="2182"/>
      <c r="P116" s="2183"/>
      <c r="Q116" s="2148"/>
    </row>
    <row r="117" customFormat="false" ht="15" hidden="false" customHeight="false" outlineLevel="0" collapsed="false">
      <c r="A117" s="2184"/>
      <c r="B117" s="2191"/>
      <c r="C117" s="2199" t="n">
        <v>100</v>
      </c>
      <c r="D117" s="2199" t="n">
        <f aca="false">C117-$K39</f>
        <v>100</v>
      </c>
      <c r="E117" s="2199" t="n">
        <f aca="false">D117-$K39</f>
        <v>100</v>
      </c>
      <c r="F117" s="2199" t="n">
        <f aca="false">E117-$K39</f>
        <v>100</v>
      </c>
      <c r="G117" s="2199" t="n">
        <f aca="false">F117-$K39</f>
        <v>100</v>
      </c>
      <c r="H117" s="2199"/>
      <c r="I117" s="2199"/>
      <c r="J117" s="2199"/>
      <c r="K117" s="2199"/>
      <c r="L117" s="2199"/>
      <c r="M117" s="2200"/>
      <c r="N117" s="2188"/>
      <c r="O117" s="2188"/>
      <c r="P117" s="2183"/>
      <c r="Q117" s="2148"/>
    </row>
    <row r="118" customFormat="false" ht="14.25" hidden="false" customHeight="false" outlineLevel="0" collapsed="false">
      <c r="A118" s="2263"/>
      <c r="B118" s="2189" t="s">
        <v>1188</v>
      </c>
      <c r="C118" s="2190"/>
      <c r="D118" s="2190"/>
      <c r="E118" s="2190"/>
      <c r="F118" s="2190"/>
      <c r="G118" s="2190"/>
      <c r="H118" s="2190"/>
      <c r="I118" s="2190"/>
      <c r="J118" s="2190"/>
      <c r="K118" s="2246"/>
      <c r="L118" s="2247"/>
      <c r="M118" s="2248"/>
      <c r="N118" s="2182"/>
      <c r="O118" s="2182"/>
      <c r="P118" s="2183"/>
      <c r="Q118" s="2148"/>
    </row>
    <row r="119" customFormat="false" ht="15" hidden="false" customHeight="false" outlineLevel="0" collapsed="false">
      <c r="A119" s="2184"/>
      <c r="B119" s="2191"/>
      <c r="C119" s="2199" t="n">
        <v>100</v>
      </c>
      <c r="D119" s="2199" t="n">
        <f aca="false">C119-$K40</f>
        <v>100</v>
      </c>
      <c r="E119" s="2199" t="n">
        <f aca="false">D119-$K40</f>
        <v>100</v>
      </c>
      <c r="F119" s="2199" t="n">
        <f aca="false">E119-$K40</f>
        <v>100</v>
      </c>
      <c r="G119" s="2199" t="n">
        <f aca="false">F119-$K40</f>
        <v>100</v>
      </c>
      <c r="H119" s="2199" t="n">
        <f aca="false">G119-$K40</f>
        <v>100</v>
      </c>
      <c r="I119" s="2199" t="n">
        <f aca="false">H119-$K40</f>
        <v>100</v>
      </c>
      <c r="J119" s="2199" t="n">
        <f aca="false">I119-$K40</f>
        <v>100</v>
      </c>
      <c r="K119" s="2199" t="n">
        <f aca="false">J119-$K40</f>
        <v>100</v>
      </c>
      <c r="L119" s="2199" t="n">
        <f aca="false">K119-$K40</f>
        <v>100</v>
      </c>
      <c r="M119" s="2199" t="n">
        <f aca="false">L119-$K40</f>
        <v>100</v>
      </c>
      <c r="N119" s="2188"/>
      <c r="O119" s="2188"/>
      <c r="P119" s="2183"/>
      <c r="Q119" s="2148"/>
    </row>
    <row r="120" s="2088" customFormat="true" ht="27.75" hidden="false" customHeight="false" outlineLevel="0" collapsed="false">
      <c r="A120" s="2257"/>
      <c r="B120" s="2189" t="s">
        <v>1305</v>
      </c>
      <c r="C120" s="2202"/>
      <c r="D120" s="2202"/>
      <c r="E120" s="2202"/>
      <c r="F120" s="2202"/>
      <c r="G120" s="2202"/>
      <c r="H120" s="2202"/>
      <c r="I120" s="2202"/>
      <c r="J120" s="2202"/>
      <c r="K120" s="2202"/>
      <c r="L120" s="2237"/>
      <c r="M120" s="2238"/>
      <c r="N120" s="2206"/>
      <c r="O120" s="2206"/>
      <c r="P120" s="2207"/>
      <c r="Q120" s="2208"/>
    </row>
    <row r="121" s="2088" customFormat="true" ht="15" hidden="false" customHeight="false" outlineLevel="0" collapsed="false">
      <c r="A121" s="2201"/>
      <c r="B121" s="2185"/>
      <c r="C121" s="2209"/>
      <c r="D121" s="2186"/>
      <c r="E121" s="2186"/>
      <c r="F121" s="2186"/>
      <c r="G121" s="2186"/>
      <c r="H121" s="2186"/>
      <c r="I121" s="2186"/>
      <c r="J121" s="2186"/>
      <c r="K121" s="2186"/>
      <c r="L121" s="2186"/>
      <c r="M121" s="2186"/>
      <c r="N121" s="2206"/>
      <c r="O121" s="2206"/>
      <c r="P121" s="2207"/>
      <c r="Q121" s="2208"/>
    </row>
    <row r="122" customFormat="false" ht="14.25" hidden="false" customHeight="false" outlineLevel="0" collapsed="false">
      <c r="A122" s="2263"/>
      <c r="B122" s="2189" t="s">
        <v>1306</v>
      </c>
      <c r="C122" s="2240" t="s">
        <v>1324</v>
      </c>
      <c r="D122" s="2240" t="s">
        <v>1325</v>
      </c>
      <c r="E122" s="2240" t="s">
        <v>1301</v>
      </c>
      <c r="F122" s="2264" t="s">
        <v>1327</v>
      </c>
      <c r="G122" s="2190"/>
      <c r="H122" s="2190"/>
      <c r="I122" s="2190"/>
      <c r="J122" s="2190"/>
      <c r="K122" s="2246"/>
      <c r="L122" s="2247"/>
      <c r="M122" s="2248"/>
      <c r="N122" s="2182"/>
      <c r="O122" s="2182"/>
      <c r="P122" s="2183"/>
      <c r="Q122" s="2148"/>
    </row>
    <row r="123" customFormat="false" ht="15" hidden="false" customHeight="false" outlineLevel="0" collapsed="false">
      <c r="A123" s="2184"/>
      <c r="B123" s="2191"/>
      <c r="C123" s="2199" t="n">
        <v>100</v>
      </c>
      <c r="D123" s="2199" t="n">
        <f aca="false">C123-$K42</f>
        <v>98</v>
      </c>
      <c r="E123" s="2199" t="n">
        <f aca="false">D123-$K42</f>
        <v>96</v>
      </c>
      <c r="F123" s="2199" t="n">
        <f aca="false">E123-$K42</f>
        <v>94</v>
      </c>
      <c r="G123" s="2199" t="n">
        <f aca="false">F123-$K42</f>
        <v>92</v>
      </c>
      <c r="H123" s="2199" t="n">
        <f aca="false">G123-$K42</f>
        <v>90</v>
      </c>
      <c r="I123" s="2199" t="n">
        <f aca="false">H123-$K42</f>
        <v>88</v>
      </c>
      <c r="J123" s="2199" t="n">
        <f aca="false">I123-$K42</f>
        <v>86</v>
      </c>
      <c r="K123" s="2199" t="n">
        <f aca="false">J123-$K42</f>
        <v>84</v>
      </c>
      <c r="L123" s="2199" t="n">
        <f aca="false">K123-$K42</f>
        <v>82</v>
      </c>
      <c r="M123" s="2199" t="n">
        <f aca="false">L123-$K42</f>
        <v>80</v>
      </c>
      <c r="N123" s="2188"/>
      <c r="O123" s="2188"/>
      <c r="P123" s="2183"/>
      <c r="Q123" s="2148"/>
    </row>
    <row r="124" customFormat="false" ht="14.25" hidden="false" customHeight="false" outlineLevel="0" collapsed="false">
      <c r="A124" s="2263"/>
      <c r="B124" s="2189" t="s">
        <v>222</v>
      </c>
      <c r="C124" s="2228" t="s">
        <v>231</v>
      </c>
      <c r="D124" s="2228" t="s">
        <v>241</v>
      </c>
      <c r="E124" s="2228" t="s">
        <v>250</v>
      </c>
      <c r="F124" s="2228" t="s">
        <v>258</v>
      </c>
      <c r="G124" s="2228" t="s">
        <v>265</v>
      </c>
      <c r="H124" s="2229"/>
      <c r="I124" s="2229"/>
      <c r="J124" s="2229"/>
      <c r="K124" s="2230"/>
      <c r="L124" s="2231"/>
      <c r="M124" s="2232"/>
      <c r="N124" s="2182"/>
      <c r="O124" s="2182"/>
      <c r="P124" s="2207"/>
      <c r="Q124" s="2148"/>
    </row>
    <row r="125" customFormat="false" ht="15" hidden="false" customHeight="false" outlineLevel="0" collapsed="false">
      <c r="A125" s="2184"/>
      <c r="B125" s="2191"/>
      <c r="C125" s="2199" t="n">
        <v>100</v>
      </c>
      <c r="D125" s="2199" t="n">
        <f aca="false">C125-$K43</f>
        <v>100</v>
      </c>
      <c r="E125" s="2199" t="n">
        <f aca="false">D125-$K43</f>
        <v>100</v>
      </c>
      <c r="F125" s="2199" t="n">
        <f aca="false">E125-$K43</f>
        <v>100</v>
      </c>
      <c r="G125" s="2199" t="n">
        <f aca="false">F125-$K43</f>
        <v>100</v>
      </c>
      <c r="H125" s="2199"/>
      <c r="I125" s="2199"/>
      <c r="J125" s="2199"/>
      <c r="K125" s="2199"/>
      <c r="L125" s="2199"/>
      <c r="M125" s="2200"/>
      <c r="N125" s="2188"/>
      <c r="O125" s="2188"/>
      <c r="P125" s="2183"/>
      <c r="Q125" s="2148"/>
    </row>
    <row r="126" s="2088" customFormat="true" ht="14.25" hidden="false" customHeight="false" outlineLevel="0" collapsed="false">
      <c r="A126" s="2257"/>
      <c r="B126" s="2189" t="str">
        <f aca="false">B44</f>
        <v>建成年代</v>
      </c>
      <c r="C126" s="2240" t="n">
        <v>1982</v>
      </c>
      <c r="D126" s="2240" t="n">
        <v>1985</v>
      </c>
      <c r="E126" s="2202" t="n">
        <v>1988</v>
      </c>
      <c r="F126" s="2202"/>
      <c r="G126" s="2202"/>
      <c r="H126" s="2203"/>
      <c r="I126" s="2203"/>
      <c r="J126" s="2203"/>
      <c r="K126" s="2203"/>
      <c r="L126" s="2204"/>
      <c r="M126" s="2205"/>
      <c r="N126" s="2206"/>
      <c r="O126" s="2206"/>
      <c r="P126" s="2207"/>
      <c r="Q126" s="2208"/>
    </row>
    <row r="127" s="2088" customFormat="true" ht="15" hidden="false" customHeight="false" outlineLevel="0" collapsed="false">
      <c r="A127" s="2201"/>
      <c r="B127" s="2191"/>
      <c r="C127" s="2209" t="n">
        <v>100</v>
      </c>
      <c r="D127" s="2186" t="n">
        <v>101.5</v>
      </c>
      <c r="E127" s="2186" t="n">
        <v>103</v>
      </c>
      <c r="F127" s="2186"/>
      <c r="G127" s="2209"/>
      <c r="H127" s="2212"/>
      <c r="I127" s="2212"/>
      <c r="J127" s="2212"/>
      <c r="K127" s="2212"/>
      <c r="L127" s="2212"/>
      <c r="M127" s="2213"/>
      <c r="N127" s="2206"/>
      <c r="O127" s="2206"/>
      <c r="P127" s="2207"/>
      <c r="Q127" s="2208"/>
    </row>
    <row r="128" customFormat="false" ht="14.25" hidden="false" customHeight="false" outlineLevel="0" collapsed="false">
      <c r="A128" s="2263"/>
      <c r="B128" s="2189" t="str">
        <f aca="false">B45</f>
        <v>电梯</v>
      </c>
      <c r="C128" s="2240" t="s">
        <v>227</v>
      </c>
      <c r="D128" s="2240" t="s">
        <v>238</v>
      </c>
      <c r="E128" s="2202"/>
      <c r="F128" s="2202"/>
      <c r="G128" s="2190"/>
      <c r="H128" s="2190"/>
      <c r="I128" s="2190"/>
      <c r="J128" s="2190"/>
      <c r="K128" s="2246"/>
      <c r="L128" s="2247"/>
      <c r="M128" s="2248"/>
      <c r="N128" s="2182"/>
      <c r="O128" s="2182"/>
      <c r="P128" s="2183"/>
      <c r="Q128" s="2148"/>
    </row>
    <row r="129" customFormat="false" ht="15" hidden="false" customHeight="false" outlineLevel="0" collapsed="false">
      <c r="A129" s="2184"/>
      <c r="B129" s="2191"/>
      <c r="C129" s="2209" t="n">
        <v>100</v>
      </c>
      <c r="D129" s="2209" t="n">
        <v>98</v>
      </c>
      <c r="E129" s="2209"/>
      <c r="F129" s="2209"/>
      <c r="G129" s="2186"/>
      <c r="H129" s="2186"/>
      <c r="I129" s="2186"/>
      <c r="J129" s="2186"/>
      <c r="K129" s="2186"/>
      <c r="L129" s="2186"/>
      <c r="M129" s="2187"/>
      <c r="N129" s="2188"/>
      <c r="O129" s="2188"/>
      <c r="P129" s="2183"/>
      <c r="Q129" s="2148"/>
    </row>
    <row r="130" customFormat="false" ht="14.25" hidden="false" customHeight="false" outlineLevel="0" collapsed="false">
      <c r="A130" s="2263"/>
      <c r="B130" s="2192" t="n">
        <f aca="false">B46</f>
        <v>111</v>
      </c>
      <c r="C130" s="2202"/>
      <c r="D130" s="2202"/>
      <c r="E130" s="2202"/>
      <c r="F130" s="2202"/>
      <c r="G130" s="2249"/>
      <c r="H130" s="2249"/>
      <c r="I130" s="2249"/>
      <c r="J130" s="2249"/>
      <c r="K130" s="2169"/>
      <c r="L130" s="2170"/>
      <c r="M130" s="2252"/>
      <c r="N130" s="2182"/>
      <c r="O130" s="2182"/>
      <c r="P130" s="2183"/>
      <c r="Q130" s="2148"/>
    </row>
    <row r="131" customFormat="false" ht="15" hidden="false" customHeight="false" outlineLevel="0" collapsed="false">
      <c r="A131" s="2253"/>
      <c r="B131" s="2219"/>
      <c r="C131" s="2220"/>
      <c r="D131" s="2220"/>
      <c r="E131" s="2220"/>
      <c r="F131" s="2220"/>
      <c r="G131" s="2254"/>
      <c r="H131" s="2254"/>
      <c r="I131" s="2254"/>
      <c r="J131" s="2254"/>
      <c r="K131" s="2254"/>
      <c r="L131" s="2254"/>
      <c r="M131" s="2255"/>
      <c r="N131" s="2188"/>
      <c r="O131" s="2188"/>
      <c r="P131" s="2183"/>
      <c r="Q131" s="2148"/>
    </row>
    <row r="136" customFormat="false" ht="14.25" hidden="false" customHeight="false" outlineLevel="0" collapsed="false">
      <c r="B136" s="2274" t="s">
        <v>1328</v>
      </c>
    </row>
    <row r="137" customFormat="false" ht="15" hidden="false" customHeight="false" outlineLevel="0" collapsed="false">
      <c r="B137" s="2275" t="s">
        <v>1329</v>
      </c>
      <c r="C137" s="2276"/>
      <c r="D137" s="2276"/>
      <c r="E137" s="2276"/>
      <c r="F137" s="2276"/>
      <c r="G137" s="2277"/>
      <c r="H137" s="2278"/>
      <c r="I137" s="2279" t="s">
        <v>1330</v>
      </c>
      <c r="J137" s="2276"/>
      <c r="K137" s="2280"/>
    </row>
    <row r="138" customFormat="false" ht="15" hidden="false" customHeight="false" outlineLevel="0" collapsed="false">
      <c r="B138" s="2281"/>
      <c r="C138" s="540" t="s">
        <v>1331</v>
      </c>
      <c r="D138" s="540" t="s">
        <v>1332</v>
      </c>
      <c r="E138" s="1979" t="s">
        <v>789</v>
      </c>
      <c r="F138" s="2282" t="s">
        <v>1333</v>
      </c>
      <c r="G138" s="540" t="s">
        <v>1332</v>
      </c>
      <c r="H138" s="584" t="s">
        <v>789</v>
      </c>
      <c r="I138" s="2283"/>
      <c r="J138" s="540" t="s">
        <v>1334</v>
      </c>
      <c r="K138" s="584" t="s">
        <v>1335</v>
      </c>
    </row>
    <row r="139" customFormat="false" ht="15" hidden="false" customHeight="false" outlineLevel="0" collapsed="false">
      <c r="B139" s="2284" t="n">
        <v>6</v>
      </c>
      <c r="C139" s="2285" t="n">
        <v>96</v>
      </c>
      <c r="D139" s="2286" t="s">
        <v>1336</v>
      </c>
      <c r="E139" s="2287" t="n">
        <v>100</v>
      </c>
      <c r="F139" s="2288" t="n">
        <v>102.5</v>
      </c>
      <c r="G139" s="2286" t="s">
        <v>1336</v>
      </c>
      <c r="H139" s="2289" t="n">
        <v>105</v>
      </c>
      <c r="I139" s="579" t="s">
        <v>1337</v>
      </c>
      <c r="J139" s="2285" t="n">
        <v>20</v>
      </c>
      <c r="K139" s="2290" t="n">
        <f aca="false">C145/(J139-2)</f>
        <v>0.00405555555555556</v>
      </c>
    </row>
    <row r="140" customFormat="false" ht="15" hidden="false" customHeight="false" outlineLevel="0" collapsed="false">
      <c r="B140" s="2291" t="n">
        <v>5</v>
      </c>
      <c r="C140" s="2292" t="n">
        <v>100</v>
      </c>
      <c r="D140" s="2292"/>
      <c r="E140" s="2293"/>
      <c r="F140" s="2294" t="n">
        <v>102</v>
      </c>
      <c r="G140" s="2292"/>
      <c r="H140" s="2295"/>
      <c r="I140" s="2296" t="s">
        <v>1338</v>
      </c>
      <c r="J140" s="1342" t="n">
        <f aca="false">ROUNDUP((J139-1)/2,0)</f>
        <v>10</v>
      </c>
      <c r="K140" s="2297" t="n">
        <v>100</v>
      </c>
    </row>
    <row r="141" customFormat="false" ht="15" hidden="false" customHeight="false" outlineLevel="0" collapsed="false">
      <c r="B141" s="2291" t="n">
        <v>4</v>
      </c>
      <c r="C141" s="2292" t="n">
        <v>102</v>
      </c>
      <c r="D141" s="2292"/>
      <c r="E141" s="2293"/>
      <c r="F141" s="2294" t="n">
        <v>101.5</v>
      </c>
      <c r="G141" s="2292"/>
      <c r="H141" s="2295"/>
      <c r="I141" s="2296" t="s">
        <v>1339</v>
      </c>
      <c r="J141" s="1342" t="n">
        <v>1</v>
      </c>
      <c r="K141" s="2298" t="n">
        <f aca="false">ROUND(100+(J141-J140)*K139*100,1)</f>
        <v>96.4</v>
      </c>
    </row>
    <row r="142" customFormat="false" ht="15" hidden="false" customHeight="false" outlineLevel="0" collapsed="false">
      <c r="B142" s="2291" t="n">
        <v>3</v>
      </c>
      <c r="C142" s="2292" t="n">
        <v>103</v>
      </c>
      <c r="D142" s="2292"/>
      <c r="E142" s="2293"/>
      <c r="F142" s="2294" t="n">
        <v>101</v>
      </c>
      <c r="G142" s="2292"/>
      <c r="H142" s="2295"/>
      <c r="I142" s="2296" t="s">
        <v>1340</v>
      </c>
      <c r="J142" s="1342" t="n">
        <f aca="false">J139</f>
        <v>20</v>
      </c>
      <c r="K142" s="2299" t="n">
        <v>95</v>
      </c>
    </row>
    <row r="143" customFormat="false" ht="15" hidden="false" customHeight="false" outlineLevel="0" collapsed="false">
      <c r="B143" s="2291" t="n">
        <v>2</v>
      </c>
      <c r="C143" s="2292" t="n">
        <v>100</v>
      </c>
      <c r="D143" s="2292"/>
      <c r="E143" s="2293"/>
      <c r="F143" s="2294" t="n">
        <v>100.5</v>
      </c>
      <c r="G143" s="2292"/>
      <c r="H143" s="2295"/>
      <c r="I143" s="2296" t="s">
        <v>1341</v>
      </c>
      <c r="J143" s="2292" t="n">
        <v>15</v>
      </c>
      <c r="K143" s="2298" t="n">
        <f aca="false">ROUND(100+(J143-J140)*K139*100,1)</f>
        <v>102</v>
      </c>
    </row>
    <row r="144" customFormat="false" ht="15" hidden="false" customHeight="false" outlineLevel="0" collapsed="false">
      <c r="B144" s="2291" t="n">
        <v>1</v>
      </c>
      <c r="C144" s="2292" t="n">
        <v>98</v>
      </c>
      <c r="D144" s="2300" t="s">
        <v>1342</v>
      </c>
      <c r="E144" s="2293" t="n">
        <v>102</v>
      </c>
      <c r="F144" s="2301" t="n">
        <v>100</v>
      </c>
      <c r="G144" s="2300" t="s">
        <v>1342</v>
      </c>
      <c r="H144" s="2295" t="n">
        <v>105</v>
      </c>
      <c r="I144" s="2296" t="s">
        <v>1341</v>
      </c>
      <c r="J144" s="2292" t="n">
        <v>18</v>
      </c>
      <c r="K144" s="2298" t="n">
        <f aca="false">ROUND(100+(J144-J140)*K139*100,1)</f>
        <v>103.2</v>
      </c>
    </row>
    <row r="145" customFormat="false" ht="15" hidden="false" customHeight="false" outlineLevel="0" collapsed="false">
      <c r="B145" s="2302" t="s">
        <v>1343</v>
      </c>
      <c r="C145" s="2303" t="n">
        <f aca="false">ROUND(MAX(C139:C144)/MIN(C139:C144)-1,3)</f>
        <v>0.073</v>
      </c>
      <c r="D145" s="2304"/>
      <c r="E145" s="2304"/>
      <c r="F145" s="2305" t="s">
        <v>1344</v>
      </c>
      <c r="G145" s="2306"/>
      <c r="H145" s="2307"/>
      <c r="I145" s="2308" t="s">
        <v>1341</v>
      </c>
      <c r="J145" s="2309" t="n">
        <v>8</v>
      </c>
      <c r="K145" s="2310" t="n">
        <f aca="false">ROUND(100+(J145-J140)*K139*100,1)</f>
        <v>99.2</v>
      </c>
    </row>
    <row r="147" customFormat="false" ht="14.25" hidden="false" customHeight="false" outlineLevel="0" collapsed="false">
      <c r="B147" s="2274" t="s">
        <v>1345</v>
      </c>
    </row>
    <row r="148" customFormat="false" ht="14.25" hidden="false" customHeight="false" outlineLevel="0" collapsed="false">
      <c r="B148" s="2274" t="s">
        <v>1346</v>
      </c>
    </row>
  </sheetData>
  <sheetProtection sheet="true" password="cee9" objects="true" scenarios="true" formatCells="false" formatColumns="false" formatRows="false"/>
  <mergeCells count="40">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4"/>
    <mergeCell ref="Y9:Y14"/>
    <mergeCell ref="P15:P31"/>
    <mergeCell ref="Y15:Y31"/>
    <mergeCell ref="P32:P46"/>
    <mergeCell ref="Y32:Y46"/>
    <mergeCell ref="P47:Q47"/>
    <mergeCell ref="R47:S47"/>
    <mergeCell ref="T47:U47"/>
    <mergeCell ref="V47:W47"/>
    <mergeCell ref="P48:Q48"/>
    <mergeCell ref="R48:S48"/>
    <mergeCell ref="T48:U48"/>
    <mergeCell ref="V48:W48"/>
    <mergeCell ref="P49:Q49"/>
    <mergeCell ref="R49:W49"/>
  </mergeCells>
  <conditionalFormatting sqref="F48">
    <cfRule type="expression" priority="2" aboveAverage="0" equalAverage="0" bottom="0" percent="0" rank="0" text="" dxfId="75">
      <formula>$D$48="简单平均"</formula>
    </cfRule>
  </conditionalFormatting>
  <conditionalFormatting sqref="H48">
    <cfRule type="expression" priority="3" aboveAverage="0" equalAverage="0" bottom="0" percent="0" rank="0" text="" dxfId="76">
      <formula>$D$48="简单平均"</formula>
    </cfRule>
  </conditionalFormatting>
  <conditionalFormatting sqref="J48">
    <cfRule type="expression" priority="4" aboveAverage="0" equalAverage="0" bottom="0" percent="0" rank="0" text="" dxfId="77">
      <formula>$D$48="简单平均"</formula>
    </cfRule>
  </conditionalFormatting>
  <conditionalFormatting sqref="E52">
    <cfRule type="expression" priority="5" aboveAverage="0" equalAverage="0" bottom="0" percent="0" rank="0" text="" dxfId="78">
      <formula>$F$52="超过30%"</formula>
    </cfRule>
  </conditionalFormatting>
  <conditionalFormatting sqref="G52">
    <cfRule type="expression" priority="6" aboveAverage="0" equalAverage="0" bottom="0" percent="0" rank="0" text="" dxfId="79">
      <formula>$H$52="超过30%"</formula>
    </cfRule>
  </conditionalFormatting>
  <conditionalFormatting sqref="I52">
    <cfRule type="expression" priority="7" aboveAverage="0" equalAverage="0" bottom="0" percent="0" rank="0" text="" dxfId="80">
      <formula>$J$52="超过30%"</formula>
    </cfRule>
  </conditionalFormatting>
  <conditionalFormatting sqref="E53">
    <cfRule type="expression" priority="8" aboveAverage="0" equalAverage="0" bottom="0" percent="0" rank="0" text="" dxfId="81">
      <formula>$F$53="超过20%"</formula>
    </cfRule>
  </conditionalFormatting>
  <conditionalFormatting sqref="G53">
    <cfRule type="expression" priority="9" aboveAverage="0" equalAverage="0" bottom="0" percent="0" rank="0" text="" dxfId="82">
      <formula>$H$53="超过20%"</formula>
    </cfRule>
  </conditionalFormatting>
  <conditionalFormatting sqref="I53">
    <cfRule type="expression" priority="10" aboveAverage="0" equalAverage="0" bottom="0" percent="0" rank="0" text="" dxfId="83">
      <formula>$J$53="超过20%"</formula>
    </cfRule>
  </conditionalFormatting>
  <conditionalFormatting sqref="E54">
    <cfRule type="expression" priority="11" aboveAverage="0" equalAverage="0" bottom="0" percent="0" rank="0" text="" dxfId="84">
      <formula>$F$54="超过30%"</formula>
    </cfRule>
  </conditionalFormatting>
  <conditionalFormatting sqref="F54">
    <cfRule type="containsText" priority="12" operator="containsText" aboveAverage="0" equalAverage="0" bottom="0" percent="0" rank="0" text="超过" dxfId="85">
      <formula>NOT(ISERROR(SEARCH("超过",F54)))</formula>
    </cfRule>
  </conditionalFormatting>
  <conditionalFormatting sqref="G54">
    <cfRule type="expression" priority="13" aboveAverage="0" equalAverage="0" bottom="0" percent="0" rank="0" text="" dxfId="86">
      <formula>$H$54="超过30%"</formula>
    </cfRule>
  </conditionalFormatting>
  <conditionalFormatting sqref="H54">
    <cfRule type="containsText" priority="14" operator="containsText" aboveAverage="0" equalAverage="0" bottom="0" percent="0" rank="0" text="超过" dxfId="87">
      <formula>NOT(ISERROR(SEARCH("超过",H54)))</formula>
    </cfRule>
  </conditionalFormatting>
  <conditionalFormatting sqref="I54">
    <cfRule type="expression" priority="15" aboveAverage="0" equalAverage="0" bottom="0" percent="0" rank="0" text="" dxfId="88">
      <formula>$J$54="超过30%"</formula>
    </cfRule>
  </conditionalFormatting>
  <conditionalFormatting sqref="J54">
    <cfRule type="containsText" priority="16" operator="containsText" aboveAverage="0" equalAverage="0" bottom="0" percent="0" rank="0" text="超过" dxfId="89">
      <formula>NOT(ISERROR(SEARCH("超过",J54)))</formula>
    </cfRule>
  </conditionalFormatting>
  <conditionalFormatting sqref="F7:F46 H7:H46 J7:J46">
    <cfRule type="cellIs" priority="17" operator="notEqual" aboveAverage="0" equalAverage="0" bottom="0" percent="0" rank="0" text="" dxfId="90">
      <formula>100</formula>
    </cfRule>
  </conditionalFormatting>
  <conditionalFormatting sqref="F52 H52 J52">
    <cfRule type="containsText" priority="18" operator="containsText" aboveAverage="0" equalAverage="0" bottom="0" percent="0" rank="0" text="超过" dxfId="91">
      <formula>NOT(ISERROR(SEARCH("超过",F52)))</formula>
    </cfRule>
  </conditionalFormatting>
  <conditionalFormatting sqref="F53 H53 J53">
    <cfRule type="containsText" priority="19" operator="containsText" aboveAverage="0" equalAverage="0" bottom="0" percent="0" rank="0" text="超过" dxfId="92">
      <formula>NOT(ISERROR(SEARCH("超过",F53)))</formula>
    </cfRule>
  </conditionalFormatting>
  <dataValidations count="24">
    <dataValidation allowBlank="true" operator="between" showDropDown="false" showErrorMessage="true" showInputMessage="true" sqref="E9 G9 I9" type="list">
      <formula1>住宅用途</formula1>
      <formula2>0</formula2>
    </dataValidation>
    <dataValidation allowBlank="true" operator="between" showDropDown="false" showErrorMessage="true" showInputMessage="true" sqref="E1" type="list">
      <formula1>"项目模式,单套模式"</formula1>
      <formula2>0</formula2>
    </dataValidation>
    <dataValidation allowBlank="true" operator="between" showDropDown="false" showErrorMessage="true" showInputMessage="true" sqref="C8 E8 G8 I8" type="list">
      <formula1>住宅交易情况</formula1>
      <formula2>0</formula2>
    </dataValidation>
    <dataValidation allowBlank="true" operator="between" showDropDown="false" showErrorMessage="true" showInputMessage="true" sqref="D1" type="list">
      <formula1>项目类型</formula1>
      <formula2>0</formula2>
    </dataValidation>
    <dataValidation allowBlank="true" operator="between" showDropDown="false" showErrorMessage="true" showInputMessage="true" sqref="C16 E16 G16 I16" type="list">
      <formula1>居住社区成熟度</formula1>
      <formula2>0</formula2>
    </dataValidation>
    <dataValidation allowBlank="true" operator="between" showDropDown="false" showErrorMessage="true" showInputMessage="true" sqref="C25 E25 G25 I25" type="list">
      <formula1>住宅楼层</formula1>
      <formula2>0</formula2>
    </dataValidation>
    <dataValidation allowBlank="true" operator="between" showDropDown="false" showErrorMessage="true" showInputMessage="true" sqref="F1" type="list">
      <formula1>"售价,租金"</formula1>
      <formula2>0</formula2>
    </dataValidation>
    <dataValidation allowBlank="true" operator="between" showDropDown="false" showErrorMessage="true" showInputMessage="true" sqref="C40 E40 G40 I40" type="list">
      <formula1>住宅房型</formula1>
      <formula2>0</formula2>
    </dataValidation>
    <dataValidation allowBlank="true" operator="between" showDropDown="false" showErrorMessage="true" showInputMessage="true" sqref="F2" type="list">
      <formula1>估价方法</formula1>
      <formula2>0</formula2>
    </dataValidation>
    <dataValidation allowBlank="true" operator="between" showDropDown="false" showErrorMessage="true" showInputMessage="true" sqref="C2" type="list">
      <formula1>"需扣减承租人权益,——"</formula1>
      <formula2>0</formula2>
    </dataValidation>
    <dataValidation allowBlank="true" operator="between" showDropDown="false" showErrorMessage="true" showInputMessage="true" sqref="C18 E18 G18 I18" type="list">
      <formula1>交通便捷度</formula1>
      <formula2>0</formula2>
    </dataValidation>
    <dataValidation allowBlank="true" operator="between" showDropDown="false" showErrorMessage="true" showInputMessage="true" sqref="C20 E20 G20 I20" type="list">
      <formula1>公共配套设施</formula1>
      <formula2>0</formula2>
    </dataValidation>
    <dataValidation allowBlank="true" operator="between" showDropDown="false" showErrorMessage="true" showInputMessage="true" sqref="C22 E22 G22 I22" type="list">
      <formula1>基础设施水平</formula1>
      <formula2>0</formula2>
    </dataValidation>
    <dataValidation allowBlank="true" operator="between" showDropDown="false" showErrorMessage="true" showInputMessage="true" sqref="C24 E24 G24 I24" type="list">
      <formula1>环境</formula1>
      <formula2>0</formula2>
    </dataValidation>
    <dataValidation allowBlank="true" operator="between" showDropDown="false" showErrorMessage="true" showInputMessage="true" sqref="C26 E26 G26 I26" type="list">
      <formula1>住宅朝向</formula1>
      <formula2>0</formula2>
    </dataValidation>
    <dataValidation allowBlank="true" operator="between" showDropDown="false" showErrorMessage="true" showInputMessage="true" sqref="C32 E32 G32 I32" type="list">
      <formula1>住宅建筑类型</formula1>
      <formula2>0</formula2>
    </dataValidation>
    <dataValidation allowBlank="true" operator="between" showDropDown="false" showErrorMessage="true" showInputMessage="true" sqref="C34 E34 G34 I34" type="list">
      <formula1>住宅建筑结构</formula1>
      <formula2>0</formula2>
    </dataValidation>
    <dataValidation allowBlank="true" operator="between" showDropDown="false" showErrorMessage="true" showInputMessage="true" sqref="C35 E35 G35 I35" type="list">
      <formula1>住宅建筑品质</formula1>
      <formula2>0</formula2>
    </dataValidation>
    <dataValidation allowBlank="true" operator="between" showDropDown="false" showErrorMessage="true" showInputMessage="true" sqref="D48" type="list">
      <formula1>"简单平均,加权平均"</formula1>
      <formula2>0</formula2>
    </dataValidation>
    <dataValidation allowBlank="true" operator="between" showDropDown="false" showErrorMessage="true" showInputMessage="true" sqref="C36 E36 G36 I36" type="list">
      <formula1>住宅公共部分装修</formula1>
      <formula2>0</formula2>
    </dataValidation>
    <dataValidation allowBlank="true" operator="between" showDropDown="false" showErrorMessage="true" showInputMessage="true" sqref="C38 E38 G38 I38" type="list">
      <formula1>住宅物业管理</formula1>
      <formula2>0</formula2>
    </dataValidation>
    <dataValidation allowBlank="true" operator="between" showDropDown="false" showErrorMessage="true" showInputMessage="true" sqref="C39 E39 G39 I39" type="list">
      <formula1>住宅基础设施水平</formula1>
      <formula2>0</formula2>
    </dataValidation>
    <dataValidation allowBlank="true" operator="between" showDropDown="false" showErrorMessage="true" showInputMessage="true" sqref="C42 E42 G42 I42" type="list">
      <formula1>住宅内部装修</formula1>
      <formula2>0</formula2>
    </dataValidation>
    <dataValidation allowBlank="true" operator="between" showDropDown="false" showErrorMessage="true" showInputMessage="true" sqref="C43 E43 G43 I43" type="list">
      <formula1>内部装修维护情况</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7.xml><?xml version="1.0" encoding="utf-8"?>
<worksheet xmlns="http://schemas.openxmlformats.org/spreadsheetml/2006/main" xmlns:r="http://schemas.openxmlformats.org/officeDocument/2006/relationships">
  <sheetPr filterMode="false">
    <tabColor rgb="FF9BBB59"/>
    <pageSetUpPr fitToPage="false"/>
  </sheetPr>
  <dimension ref="A1:BF2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pane xSplit="2" ySplit="1" topLeftCell="C2" activePane="bottomRight" state="frozen"/>
      <selection pane="topLeft" activeCell="A1" activeCellId="0" sqref="A1"/>
      <selection pane="topRight" activeCell="C1" activeCellId="0" sqref="C1"/>
      <selection pane="bottomLeft" activeCell="A2" activeCellId="0" sqref="A2"/>
      <selection pane="bottomRight" activeCell="A11" activeCellId="0" sqref="A11"/>
    </sheetView>
  </sheetViews>
  <sheetFormatPr defaultRowHeight="13.5" zeroHeight="false" outlineLevelRow="0" outlineLevelCol="0"/>
  <cols>
    <col collapsed="false" customWidth="true" hidden="false" outlineLevel="0" max="1" min="1" style="0" width="9"/>
    <col collapsed="false" customWidth="true" hidden="false" outlineLevel="0" max="2" min="2" style="0" width="28.51"/>
    <col collapsed="false" customWidth="true" hidden="false" outlineLevel="0" max="54" min="3" style="0" width="9"/>
    <col collapsed="false" customWidth="true" hidden="false" outlineLevel="0" max="55" min="55" style="0" width="13.5"/>
    <col collapsed="false" customWidth="true" hidden="false" outlineLevel="0" max="1025" min="56" style="0" width="9"/>
  </cols>
  <sheetData>
    <row r="1" s="2321" customFormat="true" ht="13.5" hidden="false" customHeight="false" outlineLevel="0" collapsed="false">
      <c r="A1" s="2311" t="s">
        <v>1347</v>
      </c>
      <c r="B1" s="2311" t="s">
        <v>1348</v>
      </c>
      <c r="C1" s="2311" t="s">
        <v>1349</v>
      </c>
      <c r="D1" s="2311" t="s">
        <v>1350</v>
      </c>
      <c r="E1" s="2311" t="s">
        <v>1351</v>
      </c>
      <c r="F1" s="2311" t="s">
        <v>1352</v>
      </c>
      <c r="G1" s="2311" t="s">
        <v>1353</v>
      </c>
      <c r="H1" s="2311" t="s">
        <v>1354</v>
      </c>
      <c r="I1" s="2311" t="s">
        <v>1355</v>
      </c>
      <c r="J1" s="2311" t="s">
        <v>1356</v>
      </c>
      <c r="K1" s="2311" t="s">
        <v>1357</v>
      </c>
      <c r="L1" s="2311" t="s">
        <v>1358</v>
      </c>
      <c r="M1" s="2311" t="s">
        <v>1359</v>
      </c>
      <c r="N1" s="2311" t="s">
        <v>1360</v>
      </c>
      <c r="O1" s="2312" t="s">
        <v>1361</v>
      </c>
      <c r="P1" s="2311" t="s">
        <v>1362</v>
      </c>
      <c r="Q1" s="2311" t="s">
        <v>1363</v>
      </c>
      <c r="R1" s="2311" t="s">
        <v>1364</v>
      </c>
      <c r="S1" s="2311" t="s">
        <v>1365</v>
      </c>
      <c r="T1" s="2311" t="s">
        <v>784</v>
      </c>
      <c r="U1" s="2311" t="s">
        <v>1366</v>
      </c>
      <c r="V1" s="2311" t="s">
        <v>1367</v>
      </c>
      <c r="W1" s="2311" t="s">
        <v>1368</v>
      </c>
      <c r="X1" s="2311" t="s">
        <v>1369</v>
      </c>
      <c r="Y1" s="2311" t="s">
        <v>1370</v>
      </c>
      <c r="Z1" s="2311" t="s">
        <v>1371</v>
      </c>
      <c r="AA1" s="2311" t="s">
        <v>1372</v>
      </c>
      <c r="AB1" s="2311" t="s">
        <v>1373</v>
      </c>
      <c r="AC1" s="2311" t="s">
        <v>1374</v>
      </c>
      <c r="AD1" s="2311" t="s">
        <v>603</v>
      </c>
      <c r="AE1" s="2311" t="s">
        <v>1375</v>
      </c>
      <c r="AF1" s="2313" t="s">
        <v>1376</v>
      </c>
      <c r="AG1" s="2311" t="s">
        <v>1377</v>
      </c>
      <c r="AH1" s="2311" t="s">
        <v>1378</v>
      </c>
      <c r="AI1" s="2311" t="s">
        <v>1379</v>
      </c>
      <c r="AJ1" s="2311" t="s">
        <v>1380</v>
      </c>
      <c r="AK1" s="2311" t="s">
        <v>1381</v>
      </c>
      <c r="AL1" s="2311" t="s">
        <v>1382</v>
      </c>
      <c r="AM1" s="2311" t="s">
        <v>1383</v>
      </c>
      <c r="AN1" s="2311" t="s">
        <v>1366</v>
      </c>
      <c r="AO1" s="2311" t="s">
        <v>1367</v>
      </c>
      <c r="AP1" s="2311" t="s">
        <v>1368</v>
      </c>
      <c r="AQ1" s="2311" t="s">
        <v>1384</v>
      </c>
      <c r="AR1" s="2314" t="s">
        <v>1385</v>
      </c>
      <c r="AS1" s="2315" t="s">
        <v>1386</v>
      </c>
      <c r="AT1" s="2316" t="s">
        <v>1387</v>
      </c>
      <c r="AU1" s="2317" t="s">
        <v>1388</v>
      </c>
      <c r="AV1" s="2315" t="s">
        <v>1389</v>
      </c>
      <c r="AW1" s="2315" t="s">
        <v>1390</v>
      </c>
      <c r="AX1" s="2317" t="s">
        <v>1391</v>
      </c>
      <c r="AY1" s="2315" t="s">
        <v>1392</v>
      </c>
      <c r="AZ1" s="2318" t="s">
        <v>1393</v>
      </c>
      <c r="BA1" s="2317" t="s">
        <v>1394</v>
      </c>
      <c r="BB1" s="2319" t="s">
        <v>1395</v>
      </c>
      <c r="BC1" s="2320" t="s">
        <v>1396</v>
      </c>
      <c r="BD1" s="2320" t="s">
        <v>1397</v>
      </c>
      <c r="BE1" s="2320" t="s">
        <v>1398</v>
      </c>
      <c r="BF1" s="2320" t="s">
        <v>1399</v>
      </c>
    </row>
    <row r="2" s="2322" customFormat="true" ht="13.5" hidden="false" customHeight="false" outlineLevel="0" collapsed="false">
      <c r="A2" s="2322" t="s">
        <v>1400</v>
      </c>
      <c r="B2" s="2322" t="s">
        <v>1401</v>
      </c>
      <c r="D2" s="2322" t="s">
        <v>1402</v>
      </c>
      <c r="F2" s="2322" t="s">
        <v>1403</v>
      </c>
      <c r="G2" s="2322" t="s">
        <v>1404</v>
      </c>
      <c r="H2" s="2322" t="n">
        <v>84.33</v>
      </c>
      <c r="M2" s="2322" t="n">
        <v>504968.04</v>
      </c>
      <c r="N2" s="2322" t="n">
        <v>5988</v>
      </c>
      <c r="O2" s="2323" t="n">
        <v>50</v>
      </c>
      <c r="P2" s="2324" t="s">
        <v>1405</v>
      </c>
      <c r="Q2" s="2322" t="n">
        <v>5929.08810624926</v>
      </c>
      <c r="R2" s="2325" t="n">
        <v>0.2</v>
      </c>
      <c r="S2" s="2322" t="n">
        <v>40</v>
      </c>
      <c r="T2" s="2324" t="s">
        <v>1406</v>
      </c>
      <c r="U2" s="2322" t="n">
        <v>1999</v>
      </c>
      <c r="V2" s="2322" t="n">
        <v>3</v>
      </c>
      <c r="W2" s="2322" t="n">
        <v>17</v>
      </c>
      <c r="X2" s="2322" t="n">
        <v>2500</v>
      </c>
      <c r="Y2" s="2322" t="s">
        <v>1407</v>
      </c>
      <c r="AB2" s="2322" t="s">
        <v>1408</v>
      </c>
      <c r="AF2" s="2326"/>
      <c r="AS2" s="2327" t="s">
        <v>1409</v>
      </c>
      <c r="AT2" s="2328" t="s">
        <v>356</v>
      </c>
      <c r="AU2" s="2329"/>
      <c r="AV2" s="2327" t="s">
        <v>1404</v>
      </c>
      <c r="AW2" s="2327"/>
      <c r="AX2" s="2329"/>
      <c r="AY2" s="2327"/>
      <c r="AZ2" s="2327"/>
      <c r="BA2" s="2329"/>
      <c r="BB2" s="2330"/>
      <c r="BC2" s="2331" t="n">
        <v>36232</v>
      </c>
      <c r="BD2" s="2327" t="s">
        <v>1410</v>
      </c>
      <c r="BE2" s="2327" t="s">
        <v>1411</v>
      </c>
      <c r="BF2" s="2331" t="n">
        <v>36234</v>
      </c>
    </row>
    <row r="3" s="2322" customFormat="true" ht="13.5" hidden="false" customHeight="false" outlineLevel="0" collapsed="false">
      <c r="A3" s="2322" t="s">
        <v>1400</v>
      </c>
      <c r="B3" s="2322" t="s">
        <v>1412</v>
      </c>
      <c r="D3" s="2322" t="s">
        <v>1413</v>
      </c>
      <c r="F3" s="2322" t="s">
        <v>1414</v>
      </c>
      <c r="G3" s="2322" t="s">
        <v>1415</v>
      </c>
      <c r="H3" s="2322" t="n">
        <v>100.27</v>
      </c>
      <c r="M3" s="2322" t="n">
        <v>694169.21</v>
      </c>
      <c r="N3" s="2322" t="n">
        <v>6923</v>
      </c>
      <c r="O3" s="2323" t="n">
        <v>69.4</v>
      </c>
      <c r="P3" s="2324" t="s">
        <v>1416</v>
      </c>
      <c r="Q3" s="2322" t="n">
        <v>6921.31245636781</v>
      </c>
      <c r="R3" s="2325" t="n">
        <v>0.2</v>
      </c>
      <c r="S3" s="2322" t="n">
        <v>55.52</v>
      </c>
      <c r="T3" s="2324" t="s">
        <v>1417</v>
      </c>
      <c r="U3" s="2322" t="n">
        <v>1999</v>
      </c>
      <c r="V3" s="2322" t="n">
        <v>3</v>
      </c>
      <c r="W3" s="2322" t="n">
        <v>21</v>
      </c>
      <c r="X3" s="2322" t="n">
        <v>3500</v>
      </c>
      <c r="Y3" s="2322" t="s">
        <v>1407</v>
      </c>
      <c r="AA3" s="2322" t="s">
        <v>1418</v>
      </c>
      <c r="AB3" s="2322" t="s">
        <v>1408</v>
      </c>
      <c r="AF3" s="2326"/>
      <c r="AS3" s="2327"/>
      <c r="AT3" s="2327"/>
      <c r="AU3" s="2329"/>
      <c r="AV3" s="2327" t="s">
        <v>1415</v>
      </c>
      <c r="AW3" s="2327"/>
      <c r="AX3" s="2329"/>
      <c r="AY3" s="2327"/>
      <c r="AZ3" s="2327"/>
      <c r="BA3" s="2329"/>
      <c r="BB3" s="2330"/>
      <c r="BC3" s="2331"/>
      <c r="BD3" s="2327" t="s">
        <v>1419</v>
      </c>
      <c r="BE3" s="2327" t="s">
        <v>1411</v>
      </c>
      <c r="BF3" s="2331" t="n">
        <v>36230</v>
      </c>
    </row>
    <row r="4" s="2322" customFormat="true" ht="13.5" hidden="false" customHeight="false" outlineLevel="0" collapsed="false">
      <c r="A4" s="2322" t="s">
        <v>1400</v>
      </c>
      <c r="B4" s="2322" t="s">
        <v>1420</v>
      </c>
      <c r="D4" s="2322" t="s">
        <v>1421</v>
      </c>
      <c r="F4" s="2322" t="s">
        <v>1422</v>
      </c>
      <c r="G4" s="2322" t="s">
        <v>1423</v>
      </c>
      <c r="H4" s="2322" t="n">
        <v>72.73</v>
      </c>
      <c r="I4" s="2322" t="n">
        <v>17</v>
      </c>
      <c r="M4" s="2322" t="n">
        <v>420000</v>
      </c>
      <c r="N4" s="2322" t="n">
        <v>5775</v>
      </c>
      <c r="O4" s="2323" t="n">
        <v>42</v>
      </c>
      <c r="P4" s="2324" t="s">
        <v>1424</v>
      </c>
      <c r="Q4" s="2322" t="n">
        <v>5774.78344562079</v>
      </c>
      <c r="R4" s="2325" t="n">
        <v>0.2</v>
      </c>
      <c r="S4" s="2322" t="n">
        <v>33.6</v>
      </c>
      <c r="T4" s="2324" t="s">
        <v>1425</v>
      </c>
      <c r="U4" s="2322" t="n">
        <v>1999</v>
      </c>
      <c r="V4" s="2322" t="n">
        <v>5</v>
      </c>
      <c r="W4" s="2322" t="n">
        <v>26</v>
      </c>
      <c r="X4" s="2322" t="n">
        <v>2500</v>
      </c>
      <c r="Y4" s="2322" t="s">
        <v>1407</v>
      </c>
      <c r="AA4" s="2322" t="s">
        <v>1418</v>
      </c>
      <c r="AB4" s="2322" t="s">
        <v>1408</v>
      </c>
      <c r="AF4" s="2326"/>
      <c r="AS4" s="2327" t="s">
        <v>1426</v>
      </c>
      <c r="AT4" s="2328"/>
      <c r="AU4" s="2332" t="s">
        <v>1427</v>
      </c>
      <c r="AV4" s="2327" t="s">
        <v>1423</v>
      </c>
      <c r="AW4" s="2327"/>
      <c r="AX4" s="2329"/>
      <c r="AY4" s="2327"/>
      <c r="AZ4" s="2327"/>
      <c r="BA4" s="2329"/>
      <c r="BB4" s="2330"/>
      <c r="BC4" s="2331" t="n">
        <v>36298</v>
      </c>
      <c r="BD4" s="2327" t="s">
        <v>1428</v>
      </c>
      <c r="BE4" s="2327" t="s">
        <v>1411</v>
      </c>
      <c r="BF4" s="2331" t="n">
        <v>36299</v>
      </c>
    </row>
    <row r="5" s="2322" customFormat="true" ht="13.5" hidden="false" customHeight="false" outlineLevel="0" collapsed="false">
      <c r="A5" s="2322" t="s">
        <v>1400</v>
      </c>
      <c r="B5" s="2322" t="s">
        <v>1429</v>
      </c>
      <c r="D5" s="2322" t="s">
        <v>970</v>
      </c>
      <c r="F5" s="2322" t="s">
        <v>1430</v>
      </c>
      <c r="G5" s="2322" t="s">
        <v>1431</v>
      </c>
      <c r="H5" s="2322" t="n">
        <v>164.17</v>
      </c>
      <c r="I5" s="2322" t="n">
        <v>9</v>
      </c>
      <c r="M5" s="2322" t="n">
        <v>2497518.21</v>
      </c>
      <c r="N5" s="2322" t="n">
        <v>15213</v>
      </c>
      <c r="O5" s="2323" t="n">
        <v>249.7</v>
      </c>
      <c r="P5" s="2324" t="s">
        <v>1432</v>
      </c>
      <c r="Q5" s="2322" t="n">
        <v>15209.8434549552</v>
      </c>
      <c r="R5" s="2325" t="n">
        <v>0.3</v>
      </c>
      <c r="S5" s="2322" t="n">
        <v>174.79</v>
      </c>
      <c r="T5" s="2324" t="s">
        <v>1433</v>
      </c>
      <c r="U5" s="2322" t="n">
        <v>1999</v>
      </c>
      <c r="V5" s="2322" t="n">
        <v>5</v>
      </c>
      <c r="W5" s="2322" t="n">
        <v>28</v>
      </c>
      <c r="X5" s="2322" t="n">
        <v>3500</v>
      </c>
      <c r="Z5" s="2322" t="s">
        <v>1434</v>
      </c>
      <c r="AA5" s="2322" t="s">
        <v>1418</v>
      </c>
      <c r="AB5" s="2322" t="s">
        <v>1408</v>
      </c>
      <c r="AD5" s="2322" t="s">
        <v>1371</v>
      </c>
      <c r="AF5" s="2326"/>
      <c r="AS5" s="2327" t="s">
        <v>1435</v>
      </c>
      <c r="AT5" s="2328" t="s">
        <v>1436</v>
      </c>
      <c r="AU5" s="2329"/>
      <c r="AV5" s="2327" t="s">
        <v>1437</v>
      </c>
      <c r="AW5" s="2327"/>
      <c r="AX5" s="2329"/>
      <c r="AY5" s="2327"/>
      <c r="AZ5" s="2327"/>
      <c r="BA5" s="2329"/>
      <c r="BB5" s="2330"/>
      <c r="BC5" s="2331" t="n">
        <v>35366</v>
      </c>
      <c r="BD5" s="2327" t="s">
        <v>1438</v>
      </c>
      <c r="BE5" s="2327" t="s">
        <v>1411</v>
      </c>
      <c r="BF5" s="2331"/>
    </row>
    <row r="6" s="2322" customFormat="true" ht="13.5" hidden="false" customHeight="false" outlineLevel="0" collapsed="false">
      <c r="A6" s="2322" t="s">
        <v>1400</v>
      </c>
      <c r="B6" s="2322" t="s">
        <v>1429</v>
      </c>
      <c r="D6" s="2322" t="s">
        <v>970</v>
      </c>
      <c r="F6" s="2322" t="s">
        <v>1439</v>
      </c>
      <c r="G6" s="2322" t="s">
        <v>1431</v>
      </c>
      <c r="H6" s="2322" t="n">
        <v>141.59</v>
      </c>
      <c r="I6" s="2322" t="n">
        <v>15</v>
      </c>
      <c r="M6" s="2322" t="n">
        <v>214225.67</v>
      </c>
      <c r="N6" s="2322" t="n">
        <v>1513</v>
      </c>
      <c r="O6" s="2323" t="n">
        <v>214.2</v>
      </c>
      <c r="P6" s="2324" t="s">
        <v>1440</v>
      </c>
      <c r="Q6" s="2322" t="n">
        <v>15128.1870188573</v>
      </c>
      <c r="R6" s="2325" t="n">
        <v>0.3</v>
      </c>
      <c r="S6" s="2322" t="n">
        <v>149.94</v>
      </c>
      <c r="T6" s="2324" t="s">
        <v>1441</v>
      </c>
      <c r="U6" s="2322" t="n">
        <v>1999</v>
      </c>
      <c r="V6" s="2322" t="n">
        <v>6</v>
      </c>
      <c r="W6" s="2322" t="n">
        <v>4</v>
      </c>
      <c r="X6" s="2322" t="n">
        <v>3500</v>
      </c>
      <c r="AA6" s="2322" t="s">
        <v>1418</v>
      </c>
      <c r="AB6" s="2322" t="s">
        <v>1408</v>
      </c>
      <c r="AF6" s="2326"/>
      <c r="AS6" s="2327" t="s">
        <v>1435</v>
      </c>
      <c r="AT6" s="2328" t="s">
        <v>1436</v>
      </c>
      <c r="AU6" s="2332"/>
      <c r="AV6" s="2327" t="s">
        <v>1437</v>
      </c>
      <c r="AW6" s="2327"/>
      <c r="AX6" s="2329"/>
      <c r="AY6" s="2327"/>
      <c r="AZ6" s="2327"/>
      <c r="BA6" s="2329"/>
      <c r="BB6" s="2330"/>
      <c r="BC6" s="2331"/>
      <c r="BD6" s="2327" t="s">
        <v>1442</v>
      </c>
      <c r="BE6" s="2327" t="s">
        <v>1411</v>
      </c>
      <c r="BF6" s="2331"/>
    </row>
    <row r="7" s="2322" customFormat="true" ht="13.5" hidden="false" customHeight="false" outlineLevel="0" collapsed="false">
      <c r="A7" s="2322" t="s">
        <v>1400</v>
      </c>
      <c r="B7" s="2322" t="s">
        <v>1429</v>
      </c>
      <c r="D7" s="2322" t="s">
        <v>973</v>
      </c>
      <c r="F7" s="2322" t="s">
        <v>1443</v>
      </c>
      <c r="G7" s="2322" t="s">
        <v>1431</v>
      </c>
      <c r="H7" s="2322" t="n">
        <v>141.59</v>
      </c>
      <c r="I7" s="2322" t="n">
        <v>23</v>
      </c>
      <c r="M7" s="2322" t="n">
        <v>2280873.31</v>
      </c>
      <c r="N7" s="2322" t="n">
        <v>16109</v>
      </c>
      <c r="O7" s="2323" t="n">
        <v>228</v>
      </c>
      <c r="P7" s="2324" t="s">
        <v>1444</v>
      </c>
      <c r="Q7" s="2322" t="n">
        <v>16102.8321209125</v>
      </c>
      <c r="R7" s="2325" t="n">
        <v>0.3</v>
      </c>
      <c r="S7" s="2322" t="n">
        <v>159.6</v>
      </c>
      <c r="T7" s="2324" t="s">
        <v>1445</v>
      </c>
      <c r="U7" s="2322" t="n">
        <v>1999</v>
      </c>
      <c r="V7" s="2322" t="n">
        <v>6</v>
      </c>
      <c r="W7" s="2322" t="n">
        <v>9</v>
      </c>
      <c r="X7" s="2322" t="n">
        <v>3500</v>
      </c>
      <c r="Z7" s="2322" t="s">
        <v>1446</v>
      </c>
      <c r="AA7" s="2322" t="s">
        <v>1418</v>
      </c>
      <c r="AB7" s="2322" t="s">
        <v>1408</v>
      </c>
      <c r="AD7" s="2322" t="s">
        <v>1371</v>
      </c>
      <c r="AF7" s="2326"/>
      <c r="AS7" s="2327" t="s">
        <v>1435</v>
      </c>
      <c r="AT7" s="2328" t="s">
        <v>1436</v>
      </c>
      <c r="AU7" s="2332" t="s">
        <v>1447</v>
      </c>
      <c r="AV7" s="2327"/>
      <c r="AW7" s="2327"/>
      <c r="AX7" s="2329"/>
      <c r="AY7" s="2327"/>
      <c r="AZ7" s="2327"/>
      <c r="BA7" s="2329"/>
      <c r="BB7" s="2330"/>
      <c r="BC7" s="2331"/>
      <c r="BD7" s="2327" t="s">
        <v>1448</v>
      </c>
      <c r="BE7" s="2327" t="s">
        <v>1411</v>
      </c>
      <c r="BF7" s="2331"/>
    </row>
    <row r="8" s="2322" customFormat="true" ht="13.5" hidden="false" customHeight="false" outlineLevel="0" collapsed="false">
      <c r="A8" s="2322" t="s">
        <v>1400</v>
      </c>
      <c r="B8" s="2322" t="s">
        <v>1429</v>
      </c>
      <c r="D8" s="2322" t="s">
        <v>972</v>
      </c>
      <c r="F8" s="2322" t="s">
        <v>1449</v>
      </c>
      <c r="G8" s="2322" t="s">
        <v>1431</v>
      </c>
      <c r="H8" s="2322" t="n">
        <v>159.23</v>
      </c>
      <c r="I8" s="2322" t="n">
        <v>21</v>
      </c>
      <c r="M8" s="2322" t="n">
        <v>2244665.31</v>
      </c>
      <c r="N8" s="2322" t="n">
        <v>14097</v>
      </c>
      <c r="O8" s="2323" t="n">
        <v>224.4</v>
      </c>
      <c r="P8" s="2324" t="s">
        <v>1450</v>
      </c>
      <c r="Q8" s="2322" t="n">
        <v>14092.8217044527</v>
      </c>
      <c r="R8" s="2325" t="n">
        <v>0.3</v>
      </c>
      <c r="S8" s="2322" t="n">
        <v>157.08</v>
      </c>
      <c r="T8" s="2324" t="s">
        <v>1451</v>
      </c>
      <c r="U8" s="2322" t="n">
        <v>1999</v>
      </c>
      <c r="V8" s="2322" t="n">
        <v>6</v>
      </c>
      <c r="W8" s="2322" t="n">
        <v>9</v>
      </c>
      <c r="X8" s="2322" t="n">
        <v>3500</v>
      </c>
      <c r="Z8" s="2322" t="s">
        <v>1446</v>
      </c>
      <c r="AA8" s="2322" t="s">
        <v>1418</v>
      </c>
      <c r="AB8" s="2322" t="s">
        <v>1408</v>
      </c>
      <c r="AD8" s="2322" t="s">
        <v>1371</v>
      </c>
      <c r="AF8" s="2326"/>
      <c r="AS8" s="2327" t="s">
        <v>1435</v>
      </c>
      <c r="AT8" s="2328" t="s">
        <v>1436</v>
      </c>
      <c r="AU8" s="2332" t="s">
        <v>1452</v>
      </c>
      <c r="AV8" s="2327" t="s">
        <v>1437</v>
      </c>
      <c r="AW8" s="2327"/>
      <c r="AX8" s="2329"/>
      <c r="AY8" s="2327"/>
      <c r="AZ8" s="2327"/>
      <c r="BA8" s="2329"/>
      <c r="BB8" s="2330"/>
      <c r="BC8" s="2331"/>
      <c r="BD8" s="2327" t="s">
        <v>1453</v>
      </c>
      <c r="BE8" s="2327" t="s">
        <v>1411</v>
      </c>
      <c r="BF8" s="2331"/>
    </row>
    <row r="9" s="2322" customFormat="true" ht="13.5" hidden="false" customHeight="false" outlineLevel="0" collapsed="false">
      <c r="A9" s="2322" t="s">
        <v>1400</v>
      </c>
      <c r="B9" s="2322" t="s">
        <v>1454</v>
      </c>
      <c r="D9" s="2322" t="s">
        <v>1455</v>
      </c>
      <c r="F9" s="2322" t="s">
        <v>1456</v>
      </c>
      <c r="G9" s="2322" t="s">
        <v>1457</v>
      </c>
      <c r="H9" s="2322" t="n">
        <v>128</v>
      </c>
      <c r="I9" s="2322" t="s">
        <v>1458</v>
      </c>
      <c r="M9" s="2322" t="n">
        <v>720000</v>
      </c>
      <c r="N9" s="2322" t="n">
        <v>5625</v>
      </c>
      <c r="O9" s="2323" t="n">
        <v>72</v>
      </c>
      <c r="P9" s="2324" t="s">
        <v>1459</v>
      </c>
      <c r="Q9" s="2322" t="n">
        <v>5625</v>
      </c>
      <c r="R9" s="2325" t="n">
        <v>0.2</v>
      </c>
      <c r="S9" s="2322" t="n">
        <v>57.6</v>
      </c>
      <c r="T9" s="2324" t="s">
        <v>1460</v>
      </c>
      <c r="U9" s="2322" t="n">
        <v>1999</v>
      </c>
      <c r="V9" s="2322" t="n">
        <v>6</v>
      </c>
      <c r="W9" s="2322" t="n">
        <v>20</v>
      </c>
      <c r="X9" s="2322" t="n">
        <v>3500</v>
      </c>
      <c r="Y9" s="2322" t="s">
        <v>1407</v>
      </c>
      <c r="AA9" s="2322" t="s">
        <v>1418</v>
      </c>
      <c r="AB9" s="2322" t="s">
        <v>1408</v>
      </c>
      <c r="AF9" s="2326"/>
      <c r="AS9" s="2327" t="s">
        <v>1409</v>
      </c>
      <c r="AT9" s="2328" t="s">
        <v>356</v>
      </c>
      <c r="AU9" s="2329"/>
      <c r="AV9" s="2327" t="s">
        <v>1457</v>
      </c>
      <c r="AW9" s="2327"/>
      <c r="AX9" s="2329"/>
      <c r="AY9" s="2327"/>
      <c r="AZ9" s="2327"/>
      <c r="BA9" s="2329"/>
      <c r="BB9" s="2330"/>
      <c r="BC9" s="2331" t="n">
        <v>36316</v>
      </c>
      <c r="BD9" s="2327" t="s">
        <v>1410</v>
      </c>
      <c r="BE9" s="2327" t="s">
        <v>1411</v>
      </c>
      <c r="BF9" s="2331" t="n">
        <v>36326</v>
      </c>
    </row>
    <row r="10" s="2322" customFormat="true" ht="13.5" hidden="false" customHeight="false" outlineLevel="0" collapsed="false">
      <c r="A10" s="2322" t="s">
        <v>1400</v>
      </c>
      <c r="B10" s="2322" t="s">
        <v>1461</v>
      </c>
      <c r="C10" s="2322" t="s">
        <v>1462</v>
      </c>
      <c r="D10" s="2322" t="s">
        <v>1463</v>
      </c>
      <c r="E10" s="2322" t="s">
        <v>887</v>
      </c>
      <c r="F10" s="2322" t="s">
        <v>1464</v>
      </c>
      <c r="G10" s="2322" t="s">
        <v>1465</v>
      </c>
      <c r="H10" s="2322" t="n">
        <v>128.02</v>
      </c>
      <c r="I10" s="2322" t="s">
        <v>1466</v>
      </c>
      <c r="M10" s="2322" t="n">
        <v>688364</v>
      </c>
      <c r="N10" s="2322" t="n">
        <v>5377</v>
      </c>
      <c r="O10" s="2323" t="n">
        <v>68.8</v>
      </c>
      <c r="P10" s="2324" t="s">
        <v>1467</v>
      </c>
      <c r="Q10" s="2322" t="n">
        <v>5374.16028745508</v>
      </c>
      <c r="R10" s="2325" t="n">
        <v>0.2</v>
      </c>
      <c r="S10" s="2322" t="n">
        <v>55.04</v>
      </c>
      <c r="T10" s="2324" t="s">
        <v>1468</v>
      </c>
      <c r="U10" s="2322" t="n">
        <v>1999</v>
      </c>
      <c r="V10" s="2322" t="n">
        <v>6</v>
      </c>
      <c r="W10" s="2322" t="n">
        <v>28</v>
      </c>
      <c r="X10" s="2322" t="n">
        <v>3500</v>
      </c>
      <c r="Y10" s="2322" t="s">
        <v>1469</v>
      </c>
      <c r="AA10" s="2322" t="s">
        <v>1470</v>
      </c>
      <c r="AB10" s="2322" t="s">
        <v>1408</v>
      </c>
      <c r="AF10" s="2326"/>
      <c r="AS10" s="2327" t="s">
        <v>1435</v>
      </c>
      <c r="AT10" s="2328" t="s">
        <v>356</v>
      </c>
      <c r="AU10" s="2332" t="s">
        <v>1471</v>
      </c>
      <c r="AV10" s="2327" t="s">
        <v>1457</v>
      </c>
      <c r="AW10" s="2327"/>
      <c r="AX10" s="2329"/>
      <c r="AY10" s="2327"/>
      <c r="AZ10" s="2327"/>
      <c r="BA10" s="2329"/>
      <c r="BB10" s="2330"/>
      <c r="BC10" s="2331"/>
      <c r="BD10" s="2327" t="s">
        <v>1453</v>
      </c>
      <c r="BE10" s="2327" t="s">
        <v>1411</v>
      </c>
      <c r="BF10" s="2331" t="n">
        <v>36327</v>
      </c>
    </row>
    <row r="11" s="2333" customFormat="true" ht="13.5" hidden="false" customHeight="false" outlineLevel="0" collapsed="false">
      <c r="A11" s="2333" t="s">
        <v>1400</v>
      </c>
      <c r="B11" s="2333" t="s">
        <v>1472</v>
      </c>
      <c r="D11" s="2333" t="s">
        <v>1463</v>
      </c>
      <c r="F11" s="2333" t="s">
        <v>1473</v>
      </c>
      <c r="G11" s="2333" t="s">
        <v>1474</v>
      </c>
      <c r="H11" s="2333" t="n">
        <v>103.26</v>
      </c>
      <c r="I11" s="2333" t="s">
        <v>1475</v>
      </c>
      <c r="M11" s="2333" t="n">
        <v>541692</v>
      </c>
      <c r="N11" s="2333" t="n">
        <v>5245</v>
      </c>
      <c r="O11" s="2334" t="n">
        <v>53.49</v>
      </c>
      <c r="P11" s="2335" t="n">
        <v>534900</v>
      </c>
      <c r="Q11" s="2333" t="n">
        <v>5180</v>
      </c>
      <c r="R11" s="2336" t="n">
        <v>0.1</v>
      </c>
      <c r="S11" s="2333" t="n">
        <v>48.139812</v>
      </c>
      <c r="T11" s="2335" t="n">
        <v>481400</v>
      </c>
      <c r="U11" s="2333" t="n">
        <v>1999</v>
      </c>
      <c r="V11" s="2333" t="n">
        <v>7</v>
      </c>
      <c r="W11" s="2333" t="n">
        <v>22</v>
      </c>
      <c r="X11" s="2333" t="n">
        <v>3500</v>
      </c>
      <c r="Y11" s="2333" t="s">
        <v>1469</v>
      </c>
      <c r="AA11" s="2333" t="s">
        <v>1418</v>
      </c>
      <c r="AB11" s="2333" t="s">
        <v>1408</v>
      </c>
      <c r="AF11" s="2337"/>
      <c r="AS11" s="2338" t="s">
        <v>1409</v>
      </c>
      <c r="AT11" s="2339" t="s">
        <v>356</v>
      </c>
      <c r="AU11" s="2340"/>
      <c r="AV11" s="2338" t="s">
        <v>1457</v>
      </c>
      <c r="AW11" s="2338"/>
      <c r="AX11" s="2340"/>
      <c r="AY11" s="2338"/>
      <c r="AZ11" s="2338"/>
      <c r="BA11" s="2340"/>
      <c r="BB11" s="2341"/>
      <c r="BC11" s="2342" t="n">
        <v>36351</v>
      </c>
      <c r="BD11" s="2338" t="s">
        <v>1410</v>
      </c>
      <c r="BE11" s="2338" t="s">
        <v>1411</v>
      </c>
      <c r="BF11" s="2342" t="n">
        <v>36360</v>
      </c>
    </row>
    <row r="12" s="2333" customFormat="true" ht="13.5" hidden="false" customHeight="false" outlineLevel="0" collapsed="false">
      <c r="A12" s="2333" t="s">
        <v>1476</v>
      </c>
      <c r="B12" s="2333" t="s">
        <v>1477</v>
      </c>
      <c r="C12" s="2333" t="s">
        <v>1478</v>
      </c>
      <c r="D12" s="2333" t="s">
        <v>1479</v>
      </c>
      <c r="F12" s="2333" t="s">
        <v>1480</v>
      </c>
      <c r="G12" s="2333" t="s">
        <v>1404</v>
      </c>
      <c r="H12" s="2333" t="n">
        <v>110.08</v>
      </c>
      <c r="M12" s="2333" t="n">
        <v>541813.76</v>
      </c>
      <c r="N12" s="2333" t="n">
        <v>4922</v>
      </c>
      <c r="O12" s="2334" t="n">
        <v>53.71904</v>
      </c>
      <c r="P12" s="2335" t="s">
        <v>1481</v>
      </c>
      <c r="Q12" s="2333" t="n">
        <v>4880</v>
      </c>
      <c r="R12" s="2336" t="n">
        <v>0.1</v>
      </c>
      <c r="S12" s="2333" t="n">
        <v>48.347136</v>
      </c>
      <c r="T12" s="2335" t="s">
        <v>1482</v>
      </c>
      <c r="U12" s="2333" t="n">
        <v>1999</v>
      </c>
      <c r="V12" s="2333" t="n">
        <v>10</v>
      </c>
      <c r="W12" s="2333" t="n">
        <v>19</v>
      </c>
      <c r="X12" s="2333" t="n">
        <v>3500</v>
      </c>
      <c r="Y12" s="2333" t="s">
        <v>1483</v>
      </c>
      <c r="AA12" s="2333" t="s">
        <v>1470</v>
      </c>
      <c r="AB12" s="2333" t="s">
        <v>1484</v>
      </c>
      <c r="AC12" s="2333" t="s">
        <v>1485</v>
      </c>
      <c r="AE12" s="2333" t="s">
        <v>1486</v>
      </c>
      <c r="AF12" s="2337" t="s">
        <v>1487</v>
      </c>
      <c r="AS12" s="2338" t="s">
        <v>1435</v>
      </c>
      <c r="AT12" s="2339" t="s">
        <v>356</v>
      </c>
      <c r="AU12" s="2343" t="s">
        <v>1488</v>
      </c>
      <c r="AV12" s="2338" t="s">
        <v>1404</v>
      </c>
      <c r="AW12" s="2338"/>
      <c r="AX12" s="2340"/>
      <c r="AY12" s="2338"/>
      <c r="AZ12" s="2338"/>
      <c r="BA12" s="2340"/>
      <c r="BB12" s="2341"/>
      <c r="BC12" s="2342" t="n">
        <v>36341</v>
      </c>
      <c r="BD12" s="2338" t="s">
        <v>1489</v>
      </c>
      <c r="BE12" s="2338" t="s">
        <v>1411</v>
      </c>
      <c r="BF12" s="2342" t="n">
        <v>36374</v>
      </c>
    </row>
    <row r="13" s="2322" customFormat="true" ht="13.5" hidden="false" customHeight="false" outlineLevel="0" collapsed="false">
      <c r="A13" s="2322" t="s">
        <v>1476</v>
      </c>
      <c r="B13" s="2322" t="s">
        <v>1490</v>
      </c>
      <c r="C13" s="2322" t="s">
        <v>1491</v>
      </c>
      <c r="D13" s="2322" t="s">
        <v>1492</v>
      </c>
      <c r="F13" s="2322" t="s">
        <v>1493</v>
      </c>
      <c r="G13" s="2322" t="s">
        <v>1494</v>
      </c>
      <c r="H13" s="2322" t="n">
        <v>142.64</v>
      </c>
      <c r="M13" s="2322" t="n">
        <v>883512.16</v>
      </c>
      <c r="N13" s="2322" t="n">
        <v>6194</v>
      </c>
      <c r="O13" s="2323" t="n">
        <v>87.0104</v>
      </c>
      <c r="P13" s="2324" t="s">
        <v>1495</v>
      </c>
      <c r="Q13" s="2322" t="n">
        <v>6100</v>
      </c>
      <c r="R13" s="2325" t="n">
        <v>0.1</v>
      </c>
      <c r="S13" s="2322" t="n">
        <v>78.30936</v>
      </c>
      <c r="T13" s="2324" t="s">
        <v>1496</v>
      </c>
      <c r="U13" s="2322" t="n">
        <v>1999</v>
      </c>
      <c r="V13" s="2322" t="n">
        <v>8</v>
      </c>
      <c r="W13" s="2322" t="n">
        <v>12</v>
      </c>
      <c r="X13" s="2322" t="n">
        <v>3500</v>
      </c>
      <c r="Y13" s="2322" t="s">
        <v>1483</v>
      </c>
      <c r="AA13" s="2322" t="s">
        <v>1470</v>
      </c>
      <c r="AB13" s="2322" t="s">
        <v>1497</v>
      </c>
      <c r="AC13" s="2322" t="s">
        <v>1485</v>
      </c>
      <c r="AF13" s="2326"/>
      <c r="AS13" s="2327" t="s">
        <v>1435</v>
      </c>
      <c r="AT13" s="2328" t="s">
        <v>356</v>
      </c>
      <c r="AU13" s="2332" t="s">
        <v>1498</v>
      </c>
      <c r="AV13" s="2327" t="s">
        <v>1499</v>
      </c>
      <c r="AW13" s="2327"/>
      <c r="AX13" s="2329"/>
      <c r="AY13" s="2327"/>
      <c r="AZ13" s="2327"/>
      <c r="BA13" s="2329"/>
      <c r="BB13" s="2330"/>
      <c r="BC13" s="2331" t="n">
        <v>36374</v>
      </c>
      <c r="BD13" s="2327" t="s">
        <v>1489</v>
      </c>
      <c r="BE13" s="2327" t="s">
        <v>1411</v>
      </c>
      <c r="BF13" s="2331" t="n">
        <v>36375</v>
      </c>
    </row>
    <row r="14" s="2322" customFormat="true" ht="13.5" hidden="false" customHeight="false" outlineLevel="0" collapsed="false">
      <c r="A14" s="2322" t="s">
        <v>1476</v>
      </c>
      <c r="B14" s="2322" t="s">
        <v>1500</v>
      </c>
      <c r="E14" s="2322" t="s">
        <v>1501</v>
      </c>
      <c r="G14" s="2322" t="s">
        <v>1404</v>
      </c>
      <c r="H14" s="2322" t="n">
        <v>110.08</v>
      </c>
      <c r="M14" s="2322" t="n">
        <v>534989</v>
      </c>
      <c r="N14" s="2322" t="n">
        <v>4860</v>
      </c>
      <c r="O14" s="2323" t="n">
        <v>52.95</v>
      </c>
      <c r="P14" s="2324" t="s">
        <v>1502</v>
      </c>
      <c r="Q14" s="2322" t="n">
        <v>4810</v>
      </c>
      <c r="R14" s="2325" t="n">
        <v>0.1</v>
      </c>
      <c r="S14" s="2322" t="n">
        <v>47.65</v>
      </c>
      <c r="T14" s="2324" t="s">
        <v>1503</v>
      </c>
      <c r="U14" s="2322" t="n">
        <v>1999</v>
      </c>
      <c r="V14" s="2322" t="n">
        <v>9</v>
      </c>
      <c r="W14" s="2322" t="n">
        <v>10</v>
      </c>
      <c r="X14" s="2322" t="n">
        <v>3500</v>
      </c>
      <c r="Y14" s="2322" t="s">
        <v>1483</v>
      </c>
      <c r="AA14" s="2322" t="s">
        <v>1418</v>
      </c>
      <c r="AB14" s="2322" t="s">
        <v>1484</v>
      </c>
      <c r="AC14" s="2322" t="s">
        <v>1485</v>
      </c>
      <c r="AE14" s="2322" t="s">
        <v>1504</v>
      </c>
      <c r="AF14" s="2326"/>
      <c r="AS14" s="2327" t="s">
        <v>1409</v>
      </c>
      <c r="AT14" s="2328" t="s">
        <v>356</v>
      </c>
      <c r="AU14" s="2329"/>
      <c r="AV14" s="2327"/>
      <c r="AW14" s="2327"/>
      <c r="AX14" s="2329"/>
      <c r="AY14" s="2327"/>
      <c r="AZ14" s="2327"/>
      <c r="BA14" s="2329"/>
      <c r="BB14" s="2330"/>
      <c r="BC14" s="2331" t="n">
        <v>36406</v>
      </c>
      <c r="BD14" s="2327" t="s">
        <v>1410</v>
      </c>
      <c r="BE14" s="2327" t="s">
        <v>1411</v>
      </c>
      <c r="BF14" s="2331" t="n">
        <v>36410</v>
      </c>
    </row>
    <row r="15" s="2322" customFormat="true" ht="13.5" hidden="false" customHeight="false" outlineLevel="0" collapsed="false">
      <c r="A15" s="2322" t="s">
        <v>1476</v>
      </c>
      <c r="B15" s="2322" t="s">
        <v>1490</v>
      </c>
      <c r="D15" s="2322" t="s">
        <v>1505</v>
      </c>
      <c r="F15" s="2322" t="s">
        <v>1506</v>
      </c>
      <c r="G15" s="2322" t="s">
        <v>1423</v>
      </c>
      <c r="H15" s="2322" t="n">
        <v>114.85</v>
      </c>
      <c r="M15" s="2322" t="n">
        <v>562765</v>
      </c>
      <c r="N15" s="2322" t="n">
        <v>4900</v>
      </c>
      <c r="O15" s="2323" t="n">
        <v>55.70225</v>
      </c>
      <c r="P15" s="2324" t="s">
        <v>1507</v>
      </c>
      <c r="Q15" s="2322" t="n">
        <v>4850</v>
      </c>
      <c r="R15" s="2325" t="n">
        <v>0.1</v>
      </c>
      <c r="S15" s="2322" t="n">
        <v>50.132025</v>
      </c>
      <c r="T15" s="2324" t="s">
        <v>1508</v>
      </c>
      <c r="U15" s="2322" t="n">
        <v>1999</v>
      </c>
      <c r="V15" s="2322" t="n">
        <v>10</v>
      </c>
      <c r="W15" s="2322" t="n">
        <v>9</v>
      </c>
      <c r="X15" s="2322" t="n">
        <v>3500</v>
      </c>
      <c r="Y15" s="2322" t="s">
        <v>1509</v>
      </c>
      <c r="AA15" s="2322" t="s">
        <v>188</v>
      </c>
      <c r="AB15" s="2322" t="s">
        <v>1484</v>
      </c>
      <c r="AC15" s="2322" t="s">
        <v>1485</v>
      </c>
      <c r="AE15" s="2322" t="s">
        <v>1486</v>
      </c>
      <c r="AF15" s="2326"/>
      <c r="AS15" s="2327" t="s">
        <v>1426</v>
      </c>
      <c r="AT15" s="2328" t="s">
        <v>356</v>
      </c>
      <c r="AU15" s="2329"/>
      <c r="AV15" s="2327"/>
      <c r="AW15" s="2327"/>
      <c r="AX15" s="2329"/>
      <c r="AY15" s="2327"/>
      <c r="AZ15" s="2327"/>
      <c r="BA15" s="2329"/>
      <c r="BB15" s="2330"/>
      <c r="BC15" s="2331" t="n">
        <v>36422</v>
      </c>
      <c r="BD15" s="2327" t="s">
        <v>1489</v>
      </c>
      <c r="BE15" s="2327" t="s">
        <v>1411</v>
      </c>
      <c r="BF15" s="2331" t="n">
        <v>36423</v>
      </c>
    </row>
    <row r="16" s="2322" customFormat="true" ht="13.5" hidden="false" customHeight="false" outlineLevel="0" collapsed="false">
      <c r="A16" s="2322" t="s">
        <v>1476</v>
      </c>
      <c r="B16" s="2322" t="s">
        <v>1490</v>
      </c>
      <c r="D16" s="2322" t="s">
        <v>1510</v>
      </c>
      <c r="F16" s="2322" t="s">
        <v>1511</v>
      </c>
      <c r="G16" s="2322" t="s">
        <v>1423</v>
      </c>
      <c r="H16" s="2322" t="n">
        <v>114.85</v>
      </c>
      <c r="M16" s="2322" t="n">
        <v>562765</v>
      </c>
      <c r="N16" s="2322" t="n">
        <v>4900</v>
      </c>
      <c r="O16" s="2323" t="n">
        <v>55.70225</v>
      </c>
      <c r="P16" s="2324" t="s">
        <v>1507</v>
      </c>
      <c r="Q16" s="2322" t="n">
        <v>4850</v>
      </c>
      <c r="R16" s="2325" t="n">
        <v>0.1</v>
      </c>
      <c r="S16" s="2322" t="n">
        <v>50.132025</v>
      </c>
      <c r="T16" s="2324" t="s">
        <v>1508</v>
      </c>
      <c r="U16" s="2322" t="n">
        <v>1999</v>
      </c>
      <c r="V16" s="2322" t="n">
        <v>10</v>
      </c>
      <c r="W16" s="2322" t="n">
        <v>9</v>
      </c>
      <c r="X16" s="2322" t="n">
        <v>3500</v>
      </c>
      <c r="Y16" s="2322" t="s">
        <v>1509</v>
      </c>
      <c r="AA16" s="2322" t="s">
        <v>188</v>
      </c>
      <c r="AB16" s="2322" t="s">
        <v>1484</v>
      </c>
      <c r="AC16" s="2322" t="s">
        <v>1485</v>
      </c>
      <c r="AE16" s="2322" t="s">
        <v>1486</v>
      </c>
      <c r="AF16" s="2326"/>
      <c r="AS16" s="2327" t="s">
        <v>1435</v>
      </c>
      <c r="AT16" s="2328" t="s">
        <v>356</v>
      </c>
      <c r="AU16" s="2332" t="s">
        <v>1512</v>
      </c>
      <c r="AV16" s="2327"/>
      <c r="AW16" s="2327"/>
      <c r="AX16" s="2329"/>
      <c r="AY16" s="2327"/>
      <c r="AZ16" s="2327"/>
      <c r="BA16" s="2329"/>
      <c r="BB16" s="2330"/>
      <c r="BC16" s="2331" t="n">
        <v>36423</v>
      </c>
      <c r="BD16" s="2327" t="s">
        <v>1489</v>
      </c>
      <c r="BE16" s="2327" t="s">
        <v>1411</v>
      </c>
      <c r="BF16" s="2331" t="n">
        <v>36424</v>
      </c>
    </row>
    <row r="17" s="2322" customFormat="true" ht="13.5" hidden="false" customHeight="false" outlineLevel="0" collapsed="false">
      <c r="A17" s="2322" t="s">
        <v>1476</v>
      </c>
      <c r="B17" s="2322" t="s">
        <v>1490</v>
      </c>
      <c r="D17" s="2322" t="s">
        <v>1505</v>
      </c>
      <c r="F17" s="2322" t="s">
        <v>1513</v>
      </c>
      <c r="G17" s="2322" t="s">
        <v>1423</v>
      </c>
      <c r="H17" s="2322" t="n">
        <v>114.85</v>
      </c>
      <c r="M17" s="2322" t="n">
        <v>562765</v>
      </c>
      <c r="N17" s="2322" t="n">
        <v>4900</v>
      </c>
      <c r="O17" s="2323" t="n">
        <v>55.70225</v>
      </c>
      <c r="P17" s="2324" t="s">
        <v>1507</v>
      </c>
      <c r="Q17" s="2322" t="n">
        <v>4850</v>
      </c>
      <c r="R17" s="2325" t="n">
        <v>0.1</v>
      </c>
      <c r="S17" s="2322" t="n">
        <v>50.132025</v>
      </c>
      <c r="T17" s="2324" t="s">
        <v>1508</v>
      </c>
      <c r="U17" s="2322" t="n">
        <v>1999</v>
      </c>
      <c r="V17" s="2322" t="n">
        <v>10</v>
      </c>
      <c r="W17" s="2322" t="n">
        <v>9</v>
      </c>
      <c r="X17" s="2322" t="n">
        <v>3500</v>
      </c>
      <c r="Y17" s="2322" t="s">
        <v>1483</v>
      </c>
      <c r="AA17" s="2322" t="s">
        <v>188</v>
      </c>
      <c r="AB17" s="2322" t="s">
        <v>1484</v>
      </c>
      <c r="AC17" s="2322" t="s">
        <v>1485</v>
      </c>
      <c r="AE17" s="2322" t="s">
        <v>1486</v>
      </c>
      <c r="AF17" s="2326"/>
      <c r="AS17" s="2327" t="s">
        <v>1435</v>
      </c>
      <c r="AT17" s="2328" t="s">
        <v>356</v>
      </c>
      <c r="AU17" s="2332" t="s">
        <v>1514</v>
      </c>
      <c r="AV17" s="2327"/>
      <c r="AW17" s="2327"/>
      <c r="AX17" s="2329"/>
      <c r="AY17" s="2327"/>
      <c r="AZ17" s="2327"/>
      <c r="BA17" s="2329"/>
      <c r="BB17" s="2330"/>
      <c r="BC17" s="2331" t="n">
        <v>36425</v>
      </c>
      <c r="BD17" s="2327" t="s">
        <v>1489</v>
      </c>
      <c r="BE17" s="2327" t="s">
        <v>1411</v>
      </c>
      <c r="BF17" s="2331" t="n">
        <v>36432</v>
      </c>
    </row>
    <row r="18" s="2322" customFormat="true" ht="13.5" hidden="false" customHeight="false" outlineLevel="0" collapsed="false">
      <c r="A18" s="2322" t="s">
        <v>1476</v>
      </c>
      <c r="B18" s="2322" t="s">
        <v>1490</v>
      </c>
      <c r="D18" s="2322" t="s">
        <v>1505</v>
      </c>
      <c r="F18" s="2322" t="s">
        <v>1515</v>
      </c>
      <c r="G18" s="2322" t="s">
        <v>1423</v>
      </c>
      <c r="H18" s="2322" t="n">
        <v>114.85</v>
      </c>
      <c r="M18" s="2322" t="n">
        <v>562765</v>
      </c>
      <c r="N18" s="2322" t="n">
        <v>4900</v>
      </c>
      <c r="O18" s="2323" t="n">
        <v>55.70225</v>
      </c>
      <c r="P18" s="2324" t="s">
        <v>1507</v>
      </c>
      <c r="Q18" s="2322" t="n">
        <v>4850</v>
      </c>
      <c r="R18" s="2325" t="n">
        <v>0.1</v>
      </c>
      <c r="S18" s="2322" t="n">
        <v>50.132025</v>
      </c>
      <c r="T18" s="2324" t="s">
        <v>1508</v>
      </c>
      <c r="U18" s="2322" t="n">
        <v>1999</v>
      </c>
      <c r="V18" s="2322" t="n">
        <v>10</v>
      </c>
      <c r="W18" s="2322" t="n">
        <v>9</v>
      </c>
      <c r="X18" s="2322" t="n">
        <v>3500</v>
      </c>
      <c r="Y18" s="2322" t="s">
        <v>1509</v>
      </c>
      <c r="AA18" s="2322" t="s">
        <v>188</v>
      </c>
      <c r="AB18" s="2322" t="s">
        <v>1484</v>
      </c>
      <c r="AC18" s="2322" t="s">
        <v>1485</v>
      </c>
      <c r="AE18" s="2322" t="s">
        <v>1486</v>
      </c>
      <c r="AF18" s="2326"/>
      <c r="AS18" s="2327" t="s">
        <v>1435</v>
      </c>
      <c r="AT18" s="2328" t="s">
        <v>356</v>
      </c>
      <c r="AU18" s="2332" t="s">
        <v>1516</v>
      </c>
      <c r="AV18" s="2327"/>
      <c r="AW18" s="2327"/>
      <c r="AX18" s="2329"/>
      <c r="AY18" s="2327"/>
      <c r="AZ18" s="2327"/>
      <c r="BA18" s="2329"/>
      <c r="BB18" s="2330"/>
      <c r="BC18" s="2331" t="n">
        <v>36424</v>
      </c>
      <c r="BD18" s="2327" t="s">
        <v>1489</v>
      </c>
      <c r="BE18" s="2327" t="s">
        <v>1411</v>
      </c>
      <c r="BF18" s="2331" t="n">
        <v>36430</v>
      </c>
    </row>
    <row r="19" s="2322" customFormat="true" ht="13.5" hidden="false" customHeight="false" outlineLevel="0" collapsed="false">
      <c r="A19" s="2322" t="s">
        <v>1476</v>
      </c>
      <c r="B19" s="2322" t="s">
        <v>1490</v>
      </c>
      <c r="D19" s="2322" t="s">
        <v>1505</v>
      </c>
      <c r="F19" s="2322" t="s">
        <v>1517</v>
      </c>
      <c r="G19" s="2322" t="s">
        <v>1423</v>
      </c>
      <c r="H19" s="2322" t="n">
        <v>114.85</v>
      </c>
      <c r="M19" s="2322" t="n">
        <v>562765</v>
      </c>
      <c r="N19" s="2322" t="n">
        <v>4900</v>
      </c>
      <c r="O19" s="2323" t="n">
        <v>55.70225</v>
      </c>
      <c r="P19" s="2324" t="s">
        <v>1507</v>
      </c>
      <c r="Q19" s="2322" t="n">
        <v>4850</v>
      </c>
      <c r="R19" s="2325" t="n">
        <v>0.1</v>
      </c>
      <c r="S19" s="2322" t="n">
        <v>50.132025</v>
      </c>
      <c r="T19" s="2324" t="s">
        <v>1508</v>
      </c>
      <c r="U19" s="2322" t="n">
        <v>1999</v>
      </c>
      <c r="V19" s="2322" t="n">
        <v>10</v>
      </c>
      <c r="W19" s="2322" t="n">
        <v>9</v>
      </c>
      <c r="X19" s="2322" t="n">
        <v>3500</v>
      </c>
      <c r="Y19" s="2322" t="s">
        <v>1518</v>
      </c>
      <c r="AA19" s="2322" t="s">
        <v>188</v>
      </c>
      <c r="AB19" s="2322" t="s">
        <v>1484</v>
      </c>
      <c r="AC19" s="2322" t="s">
        <v>1485</v>
      </c>
      <c r="AE19" s="2322" t="s">
        <v>1486</v>
      </c>
      <c r="AF19" s="2326"/>
      <c r="AS19" s="2327" t="s">
        <v>1435</v>
      </c>
      <c r="AT19" s="2328" t="s">
        <v>356</v>
      </c>
      <c r="AU19" s="2332" t="s">
        <v>1519</v>
      </c>
      <c r="AV19" s="2327"/>
      <c r="AW19" s="2327"/>
      <c r="AX19" s="2329"/>
      <c r="AY19" s="2327"/>
      <c r="AZ19" s="2327"/>
      <c r="BA19" s="2329"/>
      <c r="BB19" s="2330"/>
      <c r="BC19" s="2331" t="n">
        <v>36424</v>
      </c>
      <c r="BD19" s="2327" t="s">
        <v>1489</v>
      </c>
      <c r="BE19" s="2327" t="s">
        <v>1411</v>
      </c>
      <c r="BF19" s="2331" t="n">
        <v>36433</v>
      </c>
    </row>
    <row r="20" s="2322" customFormat="true" ht="13.5" hidden="false" customHeight="false" outlineLevel="0" collapsed="false">
      <c r="A20" s="2322" t="s">
        <v>1476</v>
      </c>
      <c r="B20" s="2322" t="s">
        <v>1490</v>
      </c>
      <c r="D20" s="2322" t="s">
        <v>1520</v>
      </c>
      <c r="E20" s="2322" t="s">
        <v>1521</v>
      </c>
      <c r="F20" s="2322" t="s">
        <v>1522</v>
      </c>
      <c r="G20" s="2322" t="s">
        <v>1523</v>
      </c>
      <c r="H20" s="2322" t="n">
        <v>120.76</v>
      </c>
      <c r="M20" s="2322" t="n">
        <v>175102</v>
      </c>
      <c r="N20" s="2322" t="n">
        <v>1450</v>
      </c>
      <c r="O20" s="2323" t="n">
        <v>17.93286</v>
      </c>
      <c r="P20" s="2324" t="s">
        <v>1524</v>
      </c>
      <c r="Q20" s="2322" t="n">
        <v>1485</v>
      </c>
      <c r="R20" s="2325" t="n">
        <v>0.1</v>
      </c>
      <c r="S20" s="2322" t="n">
        <v>16.139574</v>
      </c>
      <c r="T20" s="2324" t="s">
        <v>1525</v>
      </c>
      <c r="U20" s="2322" t="n">
        <v>1999</v>
      </c>
      <c r="V20" s="2322" t="n">
        <v>10</v>
      </c>
      <c r="W20" s="2322" t="n">
        <v>18</v>
      </c>
      <c r="X20" s="2322" t="n">
        <v>500</v>
      </c>
      <c r="Y20" s="2322" t="s">
        <v>1526</v>
      </c>
      <c r="AA20" s="2322" t="s">
        <v>1470</v>
      </c>
      <c r="AB20" s="2322" t="s">
        <v>1484</v>
      </c>
      <c r="AC20" s="2322" t="s">
        <v>1527</v>
      </c>
      <c r="AE20" s="2322" t="s">
        <v>1486</v>
      </c>
      <c r="AF20" s="2326"/>
      <c r="AS20" s="2327" t="s">
        <v>1528</v>
      </c>
      <c r="AT20" s="2328" t="s">
        <v>356</v>
      </c>
      <c r="AU20" s="2329"/>
      <c r="AV20" s="2327"/>
      <c r="AW20" s="2327"/>
      <c r="AX20" s="2329"/>
      <c r="AY20" s="2327"/>
      <c r="AZ20" s="2327"/>
      <c r="BA20" s="2329"/>
      <c r="BB20" s="2330"/>
      <c r="BC20" s="2331" t="n">
        <v>36356</v>
      </c>
      <c r="BD20" s="2327" t="s">
        <v>1489</v>
      </c>
      <c r="BE20" s="2327" t="s">
        <v>1411</v>
      </c>
      <c r="BF20" s="2331" t="s">
        <v>518</v>
      </c>
    </row>
    <row r="21" s="2322" customFormat="true" ht="13.5" hidden="false" customHeight="false" outlineLevel="0" collapsed="false">
      <c r="A21" s="2322" t="s">
        <v>1476</v>
      </c>
      <c r="B21" s="2322" t="s">
        <v>1529</v>
      </c>
      <c r="D21" s="2322" t="s">
        <v>1530</v>
      </c>
      <c r="F21" s="2322" t="s">
        <v>1531</v>
      </c>
      <c r="G21" s="2322" t="s">
        <v>1532</v>
      </c>
      <c r="H21" s="2322" t="n">
        <v>116.86</v>
      </c>
      <c r="M21" s="2322" t="n">
        <v>643244.184</v>
      </c>
      <c r="N21" s="2322" t="n">
        <v>5504.4</v>
      </c>
      <c r="O21" s="2323" t="n">
        <v>65.79218</v>
      </c>
      <c r="P21" s="2324" t="s">
        <v>1533</v>
      </c>
      <c r="Q21" s="2322" t="n">
        <v>5630</v>
      </c>
      <c r="R21" s="2325" t="n">
        <v>0.1</v>
      </c>
      <c r="S21" s="2322" t="n">
        <v>59.212962</v>
      </c>
      <c r="T21" s="2324" t="s">
        <v>1534</v>
      </c>
      <c r="U21" s="2322" t="n">
        <v>1999</v>
      </c>
      <c r="V21" s="2322" t="n">
        <v>11</v>
      </c>
      <c r="W21" s="2322" t="n">
        <v>17</v>
      </c>
      <c r="X21" s="2322" t="n">
        <v>3500</v>
      </c>
      <c r="Y21" s="2322" t="s">
        <v>1509</v>
      </c>
      <c r="AA21" s="2322" t="s">
        <v>1504</v>
      </c>
      <c r="AB21" s="2322" t="s">
        <v>1484</v>
      </c>
      <c r="AC21" s="2322" t="s">
        <v>1485</v>
      </c>
      <c r="AE21" s="2322" t="s">
        <v>188</v>
      </c>
      <c r="AF21" s="2326"/>
      <c r="AS21" s="2327" t="s">
        <v>1435</v>
      </c>
      <c r="AT21" s="2328" t="s">
        <v>356</v>
      </c>
      <c r="AU21" s="2332" t="s">
        <v>1535</v>
      </c>
      <c r="AV21" s="2327"/>
      <c r="AW21" s="2327"/>
      <c r="AX21" s="2329"/>
      <c r="AY21" s="2327"/>
      <c r="AZ21" s="2327"/>
      <c r="BA21" s="2329"/>
      <c r="BB21" s="2330"/>
      <c r="BC21" s="2331" t="n">
        <v>36455</v>
      </c>
      <c r="BD21" s="2327" t="s">
        <v>1489</v>
      </c>
      <c r="BE21" s="2327" t="s">
        <v>1411</v>
      </c>
      <c r="BF21" s="2331"/>
    </row>
    <row r="22" s="2322" customFormat="true" ht="13.5" hidden="false" customHeight="false" outlineLevel="0" collapsed="false">
      <c r="A22" s="2322" t="s">
        <v>1476</v>
      </c>
      <c r="B22" s="2322" t="s">
        <v>1529</v>
      </c>
      <c r="D22" s="2322" t="s">
        <v>1536</v>
      </c>
      <c r="F22" s="2322" t="s">
        <v>1537</v>
      </c>
      <c r="G22" s="2322" t="s">
        <v>1538</v>
      </c>
      <c r="H22" s="2322" t="n">
        <v>127.79</v>
      </c>
      <c r="M22" s="2322" t="n">
        <v>855004.553</v>
      </c>
      <c r="N22" s="2322" t="n">
        <v>6690.7</v>
      </c>
      <c r="O22" s="2323" t="n">
        <v>84.85256</v>
      </c>
      <c r="P22" s="2324" t="s">
        <v>1539</v>
      </c>
      <c r="Q22" s="2322" t="n">
        <v>6640</v>
      </c>
      <c r="R22" s="2325" t="n">
        <v>0.1</v>
      </c>
      <c r="S22" s="2322" t="n">
        <v>76.367304</v>
      </c>
      <c r="T22" s="2324" t="s">
        <v>1540</v>
      </c>
      <c r="U22" s="2322" t="n">
        <v>1999</v>
      </c>
      <c r="V22" s="2322" t="n">
        <v>12</v>
      </c>
      <c r="W22" s="2322" t="n">
        <v>6</v>
      </c>
      <c r="X22" s="2322" t="n">
        <v>3500</v>
      </c>
      <c r="Y22" s="2322" t="s">
        <v>1483</v>
      </c>
      <c r="AA22" s="2322" t="s">
        <v>1470</v>
      </c>
      <c r="AB22" s="2322" t="s">
        <v>1484</v>
      </c>
      <c r="AC22" s="2322" t="s">
        <v>1485</v>
      </c>
      <c r="AE22" s="2322" t="s">
        <v>188</v>
      </c>
      <c r="AF22" s="2326"/>
      <c r="AS22" s="2327" t="s">
        <v>1426</v>
      </c>
      <c r="AT22" s="2328" t="s">
        <v>356</v>
      </c>
      <c r="AU22" s="2329" t="s">
        <v>1541</v>
      </c>
      <c r="AV22" s="2327"/>
      <c r="AW22" s="2327"/>
      <c r="AX22" s="2329"/>
      <c r="AY22" s="2327"/>
      <c r="AZ22" s="2327"/>
      <c r="BA22" s="2329"/>
      <c r="BB22" s="2330"/>
      <c r="BC22" s="2331" t="n">
        <v>36484</v>
      </c>
      <c r="BD22" s="2327" t="s">
        <v>1489</v>
      </c>
      <c r="BE22" s="2327" t="s">
        <v>1411</v>
      </c>
      <c r="BF22" s="2331"/>
    </row>
    <row r="23" s="2333" customFormat="true" ht="13.5" hidden="false" customHeight="false" outlineLevel="0" collapsed="false">
      <c r="A23" s="2333" t="s">
        <v>1476</v>
      </c>
      <c r="B23" s="2333" t="s">
        <v>1477</v>
      </c>
      <c r="C23" s="2333" t="s">
        <v>1478</v>
      </c>
      <c r="D23" s="2333" t="s">
        <v>1402</v>
      </c>
      <c r="F23" s="2333" t="s">
        <v>1542</v>
      </c>
      <c r="G23" s="2333" t="s">
        <v>1404</v>
      </c>
      <c r="H23" s="2333" t="n">
        <v>108.57</v>
      </c>
      <c r="I23" s="2333" t="n">
        <v>19</v>
      </c>
      <c r="J23" s="2333" t="s">
        <v>1543</v>
      </c>
      <c r="K23" s="2333" t="n">
        <v>86.53</v>
      </c>
      <c r="L23" s="2333" t="s">
        <v>1544</v>
      </c>
      <c r="M23" s="2333" t="n">
        <v>517878.9</v>
      </c>
      <c r="N23" s="2333" t="n">
        <v>4770</v>
      </c>
      <c r="O23" s="2334" t="n">
        <v>51.13647</v>
      </c>
      <c r="P23" s="2335" t="n">
        <v>511400</v>
      </c>
      <c r="Q23" s="2333" t="n">
        <v>4710</v>
      </c>
      <c r="R23" s="2336" t="n">
        <v>0.1</v>
      </c>
      <c r="S23" s="2333" t="n">
        <v>46.022823</v>
      </c>
      <c r="T23" s="2335" t="n">
        <v>460200</v>
      </c>
      <c r="U23" s="2333" t="n">
        <v>1999</v>
      </c>
      <c r="V23" s="2333" t="n">
        <v>12</v>
      </c>
      <c r="W23" s="2333" t="n">
        <v>15</v>
      </c>
      <c r="X23" s="2333" t="n">
        <v>3500</v>
      </c>
      <c r="Y23" s="2333" t="s">
        <v>1483</v>
      </c>
      <c r="AA23" s="2333" t="s">
        <v>188</v>
      </c>
      <c r="AB23" s="2333" t="s">
        <v>1484</v>
      </c>
      <c r="AC23" s="2333" t="s">
        <v>1485</v>
      </c>
      <c r="AE23" s="2333" t="s">
        <v>1418</v>
      </c>
      <c r="AF23" s="2337"/>
      <c r="AS23" s="2338" t="s">
        <v>1435</v>
      </c>
      <c r="AT23" s="2339" t="s">
        <v>356</v>
      </c>
      <c r="AU23" s="2343" t="s">
        <v>1545</v>
      </c>
      <c r="AV23" s="2338"/>
      <c r="AW23" s="2338"/>
      <c r="AX23" s="2340"/>
      <c r="AY23" s="2338"/>
      <c r="AZ23" s="2338"/>
      <c r="BA23" s="2340"/>
      <c r="BB23" s="2341"/>
      <c r="BC23" s="2342" t="n">
        <v>36479</v>
      </c>
      <c r="BD23" s="2338" t="s">
        <v>1489</v>
      </c>
      <c r="BE23" s="2338" t="s">
        <v>1411</v>
      </c>
      <c r="BF23" s="2342"/>
    </row>
  </sheetData>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28.xml><?xml version="1.0" encoding="utf-8"?>
<worksheet xmlns="http://schemas.openxmlformats.org/spreadsheetml/2006/main" xmlns:r="http://schemas.openxmlformats.org/officeDocument/2006/relationships">
  <sheetPr filterMode="false">
    <pageSetUpPr fitToPage="true"/>
  </sheetPr>
  <dimension ref="A1:AC131"/>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1913" width="10.5"/>
    <col collapsed="false" customWidth="true" hidden="false" outlineLevel="0" max="2" min="2" style="1913" width="15.76"/>
    <col collapsed="false" customWidth="true" hidden="false" outlineLevel="0" max="3" min="3" style="1913" width="15.12"/>
    <col collapsed="false" customWidth="true" hidden="false" outlineLevel="0" max="4" min="4" style="1913" width="12.26"/>
    <col collapsed="false" customWidth="true" hidden="false" outlineLevel="0" max="5" min="5" style="1913" width="14.38"/>
    <col collapsed="false" customWidth="true" hidden="false" outlineLevel="0" max="6" min="6" style="1913" width="12.26"/>
    <col collapsed="false" customWidth="true" hidden="false" outlineLevel="0" max="7" min="7" style="1913" width="14.5"/>
    <col collapsed="false" customWidth="true" hidden="false" outlineLevel="0" max="8" min="8" style="1913" width="12.26"/>
    <col collapsed="false" customWidth="true" hidden="false" outlineLevel="0" max="9" min="9" style="1913" width="14.5"/>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1916"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1930" customFormat="true" ht="28.5" hidden="false" customHeight="true" outlineLevel="0" collapsed="false">
      <c r="A1" s="1917" t="s">
        <v>1264</v>
      </c>
      <c r="B1" s="1918" t="s">
        <v>157</v>
      </c>
      <c r="C1" s="1919" t="s">
        <v>1265</v>
      </c>
      <c r="D1" s="1920"/>
      <c r="E1" s="1921"/>
      <c r="F1" s="1922"/>
      <c r="G1" s="1923" t="s">
        <v>1268</v>
      </c>
      <c r="H1" s="1924"/>
      <c r="I1" s="1924"/>
      <c r="J1" s="1924"/>
      <c r="K1" s="1925"/>
      <c r="L1" s="1926"/>
      <c r="M1" s="1919"/>
      <c r="N1" s="1919"/>
      <c r="O1" s="1919"/>
      <c r="P1" s="2344"/>
      <c r="Q1" s="2345"/>
      <c r="R1" s="2345"/>
      <c r="S1" s="2345"/>
      <c r="T1" s="2345"/>
      <c r="U1" s="2345"/>
      <c r="V1" s="2345"/>
      <c r="W1" s="2345"/>
      <c r="X1" s="2345"/>
      <c r="Y1" s="2345"/>
      <c r="Z1" s="2345"/>
      <c r="AA1" s="2345"/>
      <c r="AB1" s="2345"/>
      <c r="AC1" s="2346"/>
    </row>
    <row r="2" s="2354" customFormat="true" ht="28.5" hidden="false" customHeight="true" outlineLevel="0" collapsed="false">
      <c r="A2" s="1931" t="s">
        <v>97</v>
      </c>
      <c r="B2" s="2347" t="n">
        <f aca="false">IF(E1="项目模式",IF(C2="——",ROUND(C49*D3/10000,0),ROUND(C49*D3/10000,0)-D2),IF(E1="单套模式",IF(C2="——",ROUND(C49*D3/10000,4),ROUND(C49*D3/10000,4)-D2)))</f>
        <v>0</v>
      </c>
      <c r="C2" s="1933"/>
      <c r="D2" s="1934" t="e">
        <f aca="true">IF(E1="项目模式",SUMIF(INDIRECT("'"&amp;F2&amp;"'"&amp;"!A:A"),"承租人权益价值",INDIRECT("'"&amp;F2&amp;"'"&amp;"!c:c")),SUMIF(INDIRECT("'"&amp;F2&amp;"'"&amp;"!A:A"),"承租人权益价值（单套）",INDIRECT("'"&amp;F2&amp;"'"&amp;"!c:c")))</f>
        <v>#REF!</v>
      </c>
      <c r="E2" s="1935" t="s">
        <v>722</v>
      </c>
      <c r="F2" s="1936"/>
      <c r="G2" s="2348"/>
      <c r="H2" s="2348"/>
      <c r="I2" s="2348"/>
      <c r="J2" s="2348"/>
      <c r="K2" s="2348"/>
      <c r="L2" s="2349"/>
      <c r="M2" s="2350"/>
      <c r="N2" s="2350"/>
      <c r="O2" s="2350"/>
      <c r="P2" s="2351"/>
      <c r="Q2" s="2352"/>
      <c r="R2" s="2352"/>
      <c r="S2" s="2352"/>
      <c r="T2" s="2352"/>
      <c r="U2" s="2352"/>
      <c r="V2" s="2352"/>
      <c r="W2" s="2352"/>
      <c r="X2" s="2352"/>
      <c r="Y2" s="2352"/>
      <c r="Z2" s="2352"/>
      <c r="AA2" s="2352"/>
      <c r="AB2" s="2352"/>
      <c r="AC2" s="2353"/>
    </row>
    <row r="3" s="2354" customFormat="true" ht="28.5" hidden="false" customHeight="true" outlineLevel="0" collapsed="false">
      <c r="A3" s="1261" t="s">
        <v>110</v>
      </c>
      <c r="B3" s="2355" t="n">
        <f aca="false">IF(C2="——",C49,ROUND(B2*10000/D3,0))</f>
        <v>0</v>
      </c>
      <c r="C3" s="1946" t="s">
        <v>107</v>
      </c>
      <c r="D3" s="1945" t="n">
        <f aca="false">IF(D1="",'数据-汇总表'!E3,SUMIF('数据-汇总表'!$C19:$C33,D1,'数据-汇总表'!$E19:$E33))</f>
        <v>58.3</v>
      </c>
      <c r="E3" s="2356"/>
      <c r="F3" s="2357"/>
      <c r="G3" s="2348"/>
      <c r="H3" s="2348"/>
      <c r="I3" s="2348"/>
      <c r="J3" s="2348"/>
      <c r="K3" s="2358"/>
      <c r="L3" s="2349"/>
      <c r="M3" s="2350"/>
      <c r="N3" s="2350"/>
      <c r="O3" s="2350"/>
      <c r="P3" s="2351"/>
      <c r="Q3" s="2352"/>
      <c r="R3" s="2352"/>
      <c r="S3" s="2352"/>
      <c r="T3" s="2352"/>
      <c r="U3" s="2352"/>
      <c r="V3" s="2352"/>
      <c r="W3" s="2352"/>
      <c r="X3" s="2352"/>
      <c r="Y3" s="2352"/>
      <c r="Z3" s="2352"/>
      <c r="AA3" s="2352"/>
      <c r="AB3" s="2352"/>
      <c r="AC3" s="2356"/>
    </row>
    <row r="4" customFormat="false" ht="15" hidden="false" customHeight="true" outlineLevel="0" collapsed="false">
      <c r="A4" s="1948" t="s">
        <v>1269</v>
      </c>
      <c r="B4" s="1949"/>
      <c r="C4" s="1950" t="s">
        <v>373</v>
      </c>
      <c r="D4" s="1950"/>
      <c r="E4" s="1951" t="s">
        <v>1270</v>
      </c>
      <c r="F4" s="1951"/>
      <c r="G4" s="1950" t="s">
        <v>1271</v>
      </c>
      <c r="H4" s="1950"/>
      <c r="I4" s="1950" t="s">
        <v>1272</v>
      </c>
      <c r="J4" s="1950"/>
      <c r="K4" s="2359" t="s">
        <v>376</v>
      </c>
      <c r="L4" s="1953"/>
      <c r="M4" s="1954"/>
      <c r="N4" s="1954"/>
      <c r="O4" s="1954"/>
      <c r="P4" s="1955" t="s">
        <v>1269</v>
      </c>
      <c r="Q4" s="1955"/>
      <c r="R4" s="1956" t="s">
        <v>1270</v>
      </c>
      <c r="S4" s="1956"/>
      <c r="T4" s="1957" t="s">
        <v>1271</v>
      </c>
      <c r="U4" s="1957"/>
      <c r="V4" s="1957" t="s">
        <v>1272</v>
      </c>
      <c r="W4" s="1957"/>
      <c r="X4" s="1958"/>
      <c r="Y4" s="1957" t="s">
        <v>1269</v>
      </c>
      <c r="Z4" s="1957"/>
      <c r="AA4" s="1957" t="s">
        <v>1270</v>
      </c>
      <c r="AB4" s="1957" t="s">
        <v>1271</v>
      </c>
      <c r="AC4" s="1957" t="s">
        <v>1272</v>
      </c>
    </row>
    <row r="5" customFormat="false" ht="15" hidden="false" customHeight="true" outlineLevel="0" collapsed="false">
      <c r="A5" s="1959"/>
      <c r="B5" s="1960"/>
      <c r="C5" s="1961" t="s">
        <v>1273</v>
      </c>
      <c r="D5" s="1961"/>
      <c r="E5" s="2360" t="s">
        <v>1546</v>
      </c>
      <c r="F5" s="2360"/>
      <c r="G5" s="1961" t="s">
        <v>1547</v>
      </c>
      <c r="H5" s="1961"/>
      <c r="I5" s="1961" t="s">
        <v>1548</v>
      </c>
      <c r="J5" s="1961"/>
      <c r="K5" s="2359"/>
      <c r="L5" s="1953"/>
      <c r="M5" s="1954"/>
      <c r="N5" s="1954"/>
      <c r="O5" s="1954"/>
      <c r="P5" s="1955"/>
      <c r="Q5" s="1955"/>
      <c r="R5" s="1956"/>
      <c r="S5" s="1956"/>
      <c r="T5" s="1957"/>
      <c r="U5" s="1957"/>
      <c r="V5" s="1957"/>
      <c r="W5" s="1957"/>
      <c r="X5" s="1958"/>
      <c r="Y5" s="1957"/>
      <c r="Z5" s="1957"/>
      <c r="AA5" s="1957"/>
      <c r="AB5" s="1957"/>
      <c r="AC5" s="1957"/>
    </row>
    <row r="6" customFormat="false" ht="15" hidden="false" customHeight="true" outlineLevel="0" collapsed="false">
      <c r="A6" s="1964"/>
      <c r="B6" s="1965"/>
      <c r="C6" s="1966" t="s">
        <v>1274</v>
      </c>
      <c r="D6" s="1966"/>
      <c r="E6" s="1967" t="s">
        <v>1274</v>
      </c>
      <c r="F6" s="1967"/>
      <c r="G6" s="1966" t="s">
        <v>1274</v>
      </c>
      <c r="H6" s="1966"/>
      <c r="I6" s="1966" t="s">
        <v>1274</v>
      </c>
      <c r="J6" s="1966"/>
      <c r="K6" s="2359" t="s">
        <v>1275</v>
      </c>
      <c r="L6" s="1953"/>
      <c r="M6" s="1954"/>
      <c r="N6" s="1954"/>
      <c r="O6" s="1954"/>
      <c r="P6" s="1955"/>
      <c r="Q6" s="1955"/>
      <c r="R6" s="1956"/>
      <c r="S6" s="1956"/>
      <c r="T6" s="1957"/>
      <c r="U6" s="1957"/>
      <c r="V6" s="1957"/>
      <c r="W6" s="1957"/>
      <c r="X6" s="1958"/>
      <c r="Y6" s="1957"/>
      <c r="Z6" s="1957"/>
      <c r="AA6" s="1957"/>
      <c r="AB6" s="1957"/>
      <c r="AC6" s="1957"/>
    </row>
    <row r="7" s="1983" customFormat="true" ht="15" hidden="false" customHeight="false" outlineLevel="0" collapsed="false">
      <c r="A7" s="1969" t="s">
        <v>1276</v>
      </c>
      <c r="B7" s="1970"/>
      <c r="C7" s="1971" t="n">
        <f aca="false">'数据-取费表'!B2</f>
        <v>39031</v>
      </c>
      <c r="D7" s="1972" t="n">
        <v>100</v>
      </c>
      <c r="E7" s="1973"/>
      <c r="F7" s="1974" t="n">
        <f aca="false">SUMIF(58:58,YEAR(E7)&amp;"-"&amp;MONTH(E7),59:59)</f>
        <v>0</v>
      </c>
      <c r="G7" s="1973"/>
      <c r="H7" s="1975" t="n">
        <f aca="false">SUMIF(58:58,YEAR(G7)&amp;"-"&amp;MONTH(G7),59:59)</f>
        <v>0</v>
      </c>
      <c r="I7" s="1973"/>
      <c r="J7" s="1975" t="n">
        <f aca="false">SUMIF(58:58,YEAR(I7)&amp;"-"&amp;MONTH(I7),59:59)</f>
        <v>0</v>
      </c>
      <c r="K7" s="2361"/>
      <c r="L7" s="1977"/>
      <c r="M7" s="1978"/>
      <c r="N7" s="1978"/>
      <c r="O7" s="1978"/>
      <c r="P7" s="1979" t="s">
        <v>1276</v>
      </c>
      <c r="Q7" s="1979"/>
      <c r="R7" s="1980" t="s">
        <v>1277</v>
      </c>
      <c r="S7" s="1981" t="n">
        <f aca="false">F7</f>
        <v>0</v>
      </c>
      <c r="T7" s="1980" t="s">
        <v>1277</v>
      </c>
      <c r="U7" s="1981" t="n">
        <f aca="false">H7</f>
        <v>0</v>
      </c>
      <c r="V7" s="1980" t="s">
        <v>1277</v>
      </c>
      <c r="W7" s="1981" t="n">
        <f aca="false">J7</f>
        <v>0</v>
      </c>
      <c r="X7" s="1982"/>
      <c r="Y7" s="540" t="s">
        <v>1276</v>
      </c>
      <c r="Z7" s="540"/>
      <c r="AA7" s="741" t="e">
        <f aca="false">D7/F7</f>
        <v>#DIV/0!</v>
      </c>
      <c r="AB7" s="741" t="e">
        <f aca="false">D7/H7</f>
        <v>#DIV/0!</v>
      </c>
      <c r="AC7" s="741" t="e">
        <f aca="false">D7/J7</f>
        <v>#DIV/0!</v>
      </c>
    </row>
    <row r="8" s="1983" customFormat="true" ht="15" hidden="false" customHeight="false" outlineLevel="0" collapsed="false">
      <c r="A8" s="1969" t="s">
        <v>1278</v>
      </c>
      <c r="B8" s="1970"/>
      <c r="C8" s="1984"/>
      <c r="D8" s="1972" t="n">
        <v>100</v>
      </c>
      <c r="E8" s="1984"/>
      <c r="F8" s="1974" t="n">
        <f aca="false">SUMIF(61:61,E8,62:62)-SUMIF(61:61,C8,62:62)+100</f>
        <v>100</v>
      </c>
      <c r="G8" s="1984"/>
      <c r="H8" s="1975" t="n">
        <f aca="false">SUMIF(61:61,G8,62:62)-SUMIF(61:61,C8,62:62)+100</f>
        <v>100</v>
      </c>
      <c r="I8" s="1984"/>
      <c r="J8" s="1975" t="n">
        <f aca="false">SUMIF(61:61,I8,62:62)-SUMIF(61:61,C8,62:62)+100</f>
        <v>100</v>
      </c>
      <c r="K8" s="2361"/>
      <c r="L8" s="1977"/>
      <c r="M8" s="1978"/>
      <c r="N8" s="1978"/>
      <c r="O8" s="1978"/>
      <c r="P8" s="540" t="s">
        <v>1278</v>
      </c>
      <c r="Q8" s="540"/>
      <c r="R8" s="1980" t="s">
        <v>1277</v>
      </c>
      <c r="S8" s="1981" t="n">
        <f aca="false">F8</f>
        <v>100</v>
      </c>
      <c r="T8" s="1980" t="s">
        <v>1277</v>
      </c>
      <c r="U8" s="1981" t="n">
        <f aca="false">H8</f>
        <v>100</v>
      </c>
      <c r="V8" s="1980" t="s">
        <v>1277</v>
      </c>
      <c r="W8" s="1981" t="n">
        <f aca="false">J8</f>
        <v>100</v>
      </c>
      <c r="X8" s="1982"/>
      <c r="Y8" s="540" t="s">
        <v>1278</v>
      </c>
      <c r="Z8" s="540"/>
      <c r="AA8" s="741" t="n">
        <f aca="false">D8/F8</f>
        <v>1</v>
      </c>
      <c r="AB8" s="741" t="n">
        <f aca="false">D8/H8</f>
        <v>1</v>
      </c>
      <c r="AC8" s="741" t="n">
        <f aca="false">D8/J8</f>
        <v>1</v>
      </c>
    </row>
    <row r="9" s="1983" customFormat="true" ht="14.25" hidden="false" customHeight="true" outlineLevel="0" collapsed="false">
      <c r="A9" s="1986" t="s">
        <v>1280</v>
      </c>
      <c r="B9" s="678" t="s">
        <v>399</v>
      </c>
      <c r="C9" s="2362"/>
      <c r="D9" s="1988" t="n">
        <v>100</v>
      </c>
      <c r="E9" s="1989"/>
      <c r="F9" s="1990" t="n">
        <f aca="false">SUMIF(63:63,E9,64:64)-SUMIF(63:63,C9,64:64)+100</f>
        <v>100</v>
      </c>
      <c r="G9" s="1989"/>
      <c r="H9" s="1992" t="n">
        <f aca="false">SUMIF(63:63,G9,64:64)-SUMIF(63:63,C9,64:64)+100</f>
        <v>100</v>
      </c>
      <c r="I9" s="1989"/>
      <c r="J9" s="1992" t="n">
        <f aca="false">SUMIF(63:63,I9,64:64)-SUMIF(63:63,C9,64:64)+100</f>
        <v>100</v>
      </c>
      <c r="K9" s="2361"/>
      <c r="L9" s="1977"/>
      <c r="M9" s="1978"/>
      <c r="N9" s="1978"/>
      <c r="O9" s="1978"/>
      <c r="P9" s="1993"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540" t="str">
        <f aca="false">Q9</f>
        <v>用途</v>
      </c>
      <c r="AA9" s="741" t="n">
        <f aca="false">D9/F9</f>
        <v>1</v>
      </c>
      <c r="AB9" s="741" t="n">
        <f aca="false">D9/H9</f>
        <v>1</v>
      </c>
      <c r="AC9" s="741" t="n">
        <f aca="false">D9/J9</f>
        <v>1</v>
      </c>
    </row>
    <row r="10" s="2004" customFormat="true" ht="27" hidden="false" customHeight="false" outlineLevel="0" collapsed="false">
      <c r="A10" s="1995"/>
      <c r="B10" s="1996" t="s">
        <v>1281</v>
      </c>
      <c r="C10" s="1997"/>
      <c r="D10" s="1998" t="n">
        <v>100</v>
      </c>
      <c r="E10" s="1999"/>
      <c r="F10" s="2000" t="n">
        <f aca="false">SUMIF(65:65,E10,66:66)-SUMIF(65:65,C10,66:66)+100</f>
        <v>100</v>
      </c>
      <c r="G10" s="1997"/>
      <c r="H10" s="2001" t="n">
        <f aca="false">SUMIF(65:65,G10,66:66)-SUMIF(65:65,C10,66:66)+100</f>
        <v>100</v>
      </c>
      <c r="I10" s="1997"/>
      <c r="J10" s="2001" t="n">
        <f aca="false">SUMIF(65:65,I10,66:66)-SUMIF(65:65,C10,66:66)+100</f>
        <v>100</v>
      </c>
      <c r="K10" s="2361"/>
      <c r="L10" s="2002"/>
      <c r="M10" s="2003"/>
      <c r="N10" s="2003"/>
      <c r="O10" s="2003"/>
      <c r="P10" s="1993"/>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540" t="str">
        <f aca="false">Q10</f>
        <v>土地使用年限（年）</v>
      </c>
      <c r="AA10" s="741" t="n">
        <f aca="false">D10/F10</f>
        <v>1</v>
      </c>
      <c r="AB10" s="741" t="n">
        <f aca="false">D10/H10</f>
        <v>1</v>
      </c>
      <c r="AC10" s="741" t="n">
        <f aca="false">D10/J10</f>
        <v>1</v>
      </c>
    </row>
    <row r="11" customFormat="false" ht="15" hidden="false" customHeight="false" outlineLevel="0" collapsed="false">
      <c r="A11" s="2005"/>
      <c r="B11" s="1996" t="s">
        <v>524</v>
      </c>
      <c r="C11" s="2006"/>
      <c r="D11" s="1998" t="n">
        <v>100</v>
      </c>
      <c r="E11" s="2007"/>
      <c r="F11" s="2000" t="e">
        <f aca="false">LOOKUP(E11,68:68,69:69)-LOOKUP(C11,68:68,69:69)+100</f>
        <v>#N/A</v>
      </c>
      <c r="G11" s="2006"/>
      <c r="H11" s="2001" t="e">
        <f aca="false">LOOKUP(G11,68:68,69:69)-LOOKUP(C11,68:68,69:69)+100</f>
        <v>#N/A</v>
      </c>
      <c r="I11" s="2006"/>
      <c r="J11" s="2001" t="e">
        <f aca="false">LOOKUP(I11,68:68,69:69)-LOOKUP(C11,68:68,69:69)+100</f>
        <v>#N/A</v>
      </c>
      <c r="K11" s="2363"/>
      <c r="L11" s="2009"/>
      <c r="M11" s="1954"/>
      <c r="N11" s="1954"/>
      <c r="O11" s="1954"/>
      <c r="P11" s="1993"/>
      <c r="Q11" s="510" t="str">
        <f aca="false">B11</f>
        <v>容积率</v>
      </c>
      <c r="R11" s="1980" t="s">
        <v>1277</v>
      </c>
      <c r="S11" s="1981" t="e">
        <f aca="false">F11</f>
        <v>#N/A</v>
      </c>
      <c r="T11" s="1980" t="s">
        <v>1277</v>
      </c>
      <c r="U11" s="1981" t="e">
        <f aca="false">H11</f>
        <v>#N/A</v>
      </c>
      <c r="V11" s="1980" t="s">
        <v>1277</v>
      </c>
      <c r="W11" s="1981" t="e">
        <f aca="false">J11</f>
        <v>#N/A</v>
      </c>
      <c r="X11" s="1982"/>
      <c r="Y11" s="1994"/>
      <c r="Z11" s="540" t="str">
        <f aca="false">Q11</f>
        <v>容积率</v>
      </c>
      <c r="AA11" s="741" t="e">
        <f aca="false">D11/F11</f>
        <v>#N/A</v>
      </c>
      <c r="AB11" s="741" t="e">
        <f aca="false">D11/H11</f>
        <v>#N/A</v>
      </c>
      <c r="AC11" s="741" t="e">
        <f aca="false">D11/J11</f>
        <v>#N/A</v>
      </c>
    </row>
    <row r="12" s="1983" customFormat="true" ht="15" hidden="false" customHeight="false" outlineLevel="0" collapsed="false">
      <c r="A12" s="2010"/>
      <c r="B12" s="2011" t="n">
        <v>111</v>
      </c>
      <c r="C12" s="2012"/>
      <c r="D12" s="2013" t="n">
        <v>100</v>
      </c>
      <c r="E12" s="2015"/>
      <c r="F12" s="2000" t="n">
        <f aca="false">SUMIF(70:70,E12,71:71)-SUMIF(70:70,C12,71:71)+100</f>
        <v>100</v>
      </c>
      <c r="G12" s="2015"/>
      <c r="H12" s="2001" t="n">
        <f aca="false">SUMIF(70:70,G12,71:71)-SUMIF(70:70,C12,71:71)+100</f>
        <v>100</v>
      </c>
      <c r="I12" s="2015"/>
      <c r="J12" s="2001" t="n">
        <f aca="false">SUMIF(70:70,I12,71:71)-SUMIF(70:70,C12,71:71)+100</f>
        <v>100</v>
      </c>
      <c r="K12" s="2364"/>
      <c r="L12" s="1977"/>
      <c r="M12" s="1978"/>
      <c r="N12" s="1978"/>
      <c r="O12" s="1978"/>
      <c r="P12" s="1993"/>
      <c r="Q12" s="510" t="n">
        <f aca="false">B12</f>
        <v>111</v>
      </c>
      <c r="R12" s="1980" t="s">
        <v>1277</v>
      </c>
      <c r="S12" s="1981" t="n">
        <f aca="false">F12</f>
        <v>100</v>
      </c>
      <c r="T12" s="1980" t="s">
        <v>1277</v>
      </c>
      <c r="U12" s="1981" t="n">
        <f aca="false">H12</f>
        <v>100</v>
      </c>
      <c r="V12" s="1980" t="s">
        <v>1277</v>
      </c>
      <c r="W12" s="1981" t="n">
        <f aca="false">J12</f>
        <v>100</v>
      </c>
      <c r="X12" s="1982"/>
      <c r="Y12" s="1994"/>
      <c r="Z12" s="540" t="n">
        <f aca="false">Q12</f>
        <v>111</v>
      </c>
      <c r="AA12" s="741" t="n">
        <f aca="false">D12/F12</f>
        <v>1</v>
      </c>
      <c r="AB12" s="741" t="n">
        <f aca="false">D12/H12</f>
        <v>1</v>
      </c>
      <c r="AC12" s="741" t="n">
        <f aca="false">D12/J12</f>
        <v>1</v>
      </c>
    </row>
    <row r="13" customFormat="false" ht="15" hidden="false" customHeight="false" outlineLevel="0" collapsed="false">
      <c r="A13" s="2005"/>
      <c r="B13" s="2011" t="n">
        <v>111</v>
      </c>
      <c r="C13" s="2015"/>
      <c r="D13" s="2016" t="n">
        <v>100</v>
      </c>
      <c r="E13" s="2015"/>
      <c r="F13" s="2000" t="n">
        <f aca="false">SUMIF(72:72,E13,73:73)-SUMIF(72:72,C13,73:73)+100</f>
        <v>100</v>
      </c>
      <c r="G13" s="2015"/>
      <c r="H13" s="2017" t="n">
        <f aca="false">SUMIF(72:72,G13,73:73)-SUMIF(72:72,C13,73:73)+100</f>
        <v>100</v>
      </c>
      <c r="I13" s="2015"/>
      <c r="J13" s="2017" t="n">
        <f aca="false">SUMIF(72:72,I13,73:73)-SUMIF(72:72,C13,73:73)+100</f>
        <v>100</v>
      </c>
      <c r="K13" s="2364"/>
      <c r="L13" s="2018"/>
      <c r="M13" s="1954"/>
      <c r="N13" s="1954"/>
      <c r="O13" s="1954"/>
      <c r="P13" s="1993"/>
      <c r="Q13" s="510" t="n">
        <f aca="false">B13</f>
        <v>111</v>
      </c>
      <c r="R13" s="1980" t="s">
        <v>1277</v>
      </c>
      <c r="S13" s="1981" t="n">
        <f aca="false">F13</f>
        <v>100</v>
      </c>
      <c r="T13" s="1980" t="s">
        <v>1277</v>
      </c>
      <c r="U13" s="1981" t="n">
        <f aca="false">H13</f>
        <v>100</v>
      </c>
      <c r="V13" s="1980" t="s">
        <v>1277</v>
      </c>
      <c r="W13" s="1981" t="n">
        <f aca="false">J13</f>
        <v>100</v>
      </c>
      <c r="X13" s="1982"/>
      <c r="Y13" s="1994"/>
      <c r="Z13" s="540" t="n">
        <f aca="false">Q13</f>
        <v>111</v>
      </c>
      <c r="AA13" s="741" t="n">
        <f aca="false">D13/F13</f>
        <v>1</v>
      </c>
      <c r="AB13" s="741" t="n">
        <f aca="false">D13/H13</f>
        <v>1</v>
      </c>
      <c r="AC13" s="741" t="n">
        <f aca="false">D13/J13</f>
        <v>1</v>
      </c>
    </row>
    <row r="14" customFormat="false" ht="15" hidden="false" customHeight="false" outlineLevel="0" collapsed="false">
      <c r="A14" s="2019"/>
      <c r="B14" s="2020" t="n">
        <v>111</v>
      </c>
      <c r="C14" s="2021"/>
      <c r="D14" s="2022" t="n">
        <v>100</v>
      </c>
      <c r="E14" s="2015"/>
      <c r="F14" s="2023" t="n">
        <f aca="false">SUMIF(74:74,E14,75:75)-SUMIF(74:74,C14,75:75)+100</f>
        <v>100</v>
      </c>
      <c r="G14" s="2015"/>
      <c r="H14" s="2024" t="n">
        <f aca="false">SUMIF(74:74,G14,75:75)-SUMIF(74:74,C14,75:75)+100</f>
        <v>100</v>
      </c>
      <c r="I14" s="2015"/>
      <c r="J14" s="2024" t="n">
        <f aca="false">SUMIF(74:74,I14,75:75)-SUMIF(74:74,C14,75:75)+100</f>
        <v>100</v>
      </c>
      <c r="K14" s="2364"/>
      <c r="L14" s="2018"/>
      <c r="M14" s="1954"/>
      <c r="N14" s="1954"/>
      <c r="O14" s="1954"/>
      <c r="P14" s="1993"/>
      <c r="Q14" s="510" t="n">
        <f aca="false">B14</f>
        <v>111</v>
      </c>
      <c r="R14" s="1980" t="s">
        <v>1277</v>
      </c>
      <c r="S14" s="1981" t="n">
        <f aca="false">F14</f>
        <v>100</v>
      </c>
      <c r="T14" s="1980" t="s">
        <v>1277</v>
      </c>
      <c r="U14" s="1981" t="n">
        <f aca="false">H14</f>
        <v>100</v>
      </c>
      <c r="V14" s="1980" t="s">
        <v>1277</v>
      </c>
      <c r="W14" s="1981" t="n">
        <f aca="false">J14</f>
        <v>100</v>
      </c>
      <c r="X14" s="1982"/>
      <c r="Y14" s="1994"/>
      <c r="Z14" s="540" t="n">
        <f aca="false">Q14</f>
        <v>111</v>
      </c>
      <c r="AA14" s="741" t="n">
        <f aca="false">D14/F14</f>
        <v>1</v>
      </c>
      <c r="AB14" s="741" t="n">
        <f aca="false">D14/H14</f>
        <v>1</v>
      </c>
      <c r="AC14" s="741" t="n">
        <f aca="false">D14/J14</f>
        <v>1</v>
      </c>
    </row>
    <row r="15" customFormat="false" ht="71.25" hidden="false" customHeight="true" outlineLevel="0" collapsed="false">
      <c r="A15" s="2025" t="s">
        <v>648</v>
      </c>
      <c r="B15" s="671" t="s">
        <v>213</v>
      </c>
      <c r="C15" s="2026" t="str">
        <f aca="false">估价对象房地状况!C4</f>
        <v>估价对象位于XX商圈，周边商业氛围成熟，人流量大，商业繁华度好</v>
      </c>
      <c r="D15" s="2027" t="n">
        <v>100</v>
      </c>
      <c r="E15" s="2030"/>
      <c r="F15" s="2365" t="n">
        <f aca="false">SUMIF(76:76,E16,77:77)-SUMIF(76:76,C16,77:77)+100</f>
        <v>100</v>
      </c>
      <c r="G15" s="2028"/>
      <c r="H15" s="2029" t="n">
        <f aca="false">SUMIF(76:76,G16,77:77)-SUMIF(76:76,C16,77:77)+100</f>
        <v>100</v>
      </c>
      <c r="I15" s="2030"/>
      <c r="J15" s="2029" t="n">
        <f aca="false">SUMIF(76:76,I16,77:77)-SUMIF(76:76,C16,77:77)+100</f>
        <v>100</v>
      </c>
      <c r="K15" s="2366"/>
      <c r="L15" s="2018"/>
      <c r="M15" s="1954"/>
      <c r="N15" s="1954"/>
      <c r="O15" s="1954"/>
      <c r="P15" s="2032" t="s">
        <v>648</v>
      </c>
      <c r="Q15" s="2033" t="str">
        <f aca="false">B15</f>
        <v>商业繁华度</v>
      </c>
      <c r="R15" s="2034" t="s">
        <v>1277</v>
      </c>
      <c r="S15" s="2035" t="n">
        <f aca="false">F15</f>
        <v>100</v>
      </c>
      <c r="T15" s="2034" t="s">
        <v>1277</v>
      </c>
      <c r="U15" s="2035" t="n">
        <f aca="false">H15</f>
        <v>100</v>
      </c>
      <c r="V15" s="2034" t="s">
        <v>1277</v>
      </c>
      <c r="W15" s="2035" t="n">
        <f aca="false">J15</f>
        <v>100</v>
      </c>
      <c r="X15" s="1958"/>
      <c r="Y15" s="2036" t="s">
        <v>648</v>
      </c>
      <c r="Z15" s="2037" t="str">
        <f aca="false">Q15</f>
        <v>商业繁华度</v>
      </c>
      <c r="AA15" s="2038" t="n">
        <f aca="false">D15/F15</f>
        <v>1</v>
      </c>
      <c r="AB15" s="2038" t="n">
        <f aca="false">D15/H15</f>
        <v>1</v>
      </c>
      <c r="AC15" s="2038" t="n">
        <f aca="false">D15/J15</f>
        <v>1</v>
      </c>
    </row>
    <row r="16" customFormat="false" ht="15" hidden="false" customHeight="false" outlineLevel="0" collapsed="false">
      <c r="A16" s="2005"/>
      <c r="B16" s="2039"/>
      <c r="C16" s="2040"/>
      <c r="D16" s="2041"/>
      <c r="E16" s="2040"/>
      <c r="F16" s="2367"/>
      <c r="G16" s="2040"/>
      <c r="H16" s="2044"/>
      <c r="I16" s="2040"/>
      <c r="J16" s="2041"/>
      <c r="K16" s="2368"/>
      <c r="L16" s="2018"/>
      <c r="M16" s="1954"/>
      <c r="N16" s="1954"/>
      <c r="O16" s="1954"/>
      <c r="P16" s="2032"/>
      <c r="Q16" s="2033"/>
      <c r="R16" s="2034"/>
      <c r="S16" s="2035"/>
      <c r="T16" s="2034"/>
      <c r="U16" s="2035"/>
      <c r="V16" s="2034"/>
      <c r="W16" s="2035"/>
      <c r="X16" s="1958"/>
      <c r="Y16" s="2036"/>
      <c r="Z16" s="2037"/>
      <c r="AA16" s="2038" t="n">
        <v>1</v>
      </c>
      <c r="AB16" s="2038" t="n">
        <v>1</v>
      </c>
      <c r="AC16" s="2038" t="n">
        <v>1</v>
      </c>
    </row>
    <row r="17" customFormat="false" ht="85.5" hidden="false" customHeight="false" outlineLevel="0" collapsed="false">
      <c r="A17" s="2005"/>
      <c r="B17" s="2046" t="s">
        <v>216</v>
      </c>
      <c r="C17" s="2047" t="str">
        <f aca="false">估价对象房地状况!C6</f>
        <v>估价对象周边道路状况、公共交通通达情况、停车便捷程度，综合评价交通便捷度较好</v>
      </c>
      <c r="D17" s="2048" t="n">
        <v>100</v>
      </c>
      <c r="E17" s="2050"/>
      <c r="F17" s="2369" t="n">
        <f aca="false">SUMIF(78:78,E18,79:79)-SUMIF(78:78,C18,79:79)+100</f>
        <v>100</v>
      </c>
      <c r="G17" s="2049"/>
      <c r="H17" s="2051" t="n">
        <f aca="false">SUMIF(78:78,G18,79:79)-SUMIF(78:78,C18,79:79)+100</f>
        <v>100</v>
      </c>
      <c r="I17" s="2050"/>
      <c r="J17" s="2051" t="n">
        <f aca="false">SUMIF(78:78,I18,79:79)-SUMIF(78:78,C18,79:79)+100</f>
        <v>100</v>
      </c>
      <c r="K17" s="2366"/>
      <c r="L17" s="2018"/>
      <c r="M17" s="1954"/>
      <c r="N17" s="1954"/>
      <c r="O17" s="1954"/>
      <c r="P17" s="2032"/>
      <c r="Q17" s="2033" t="str">
        <f aca="false">B17</f>
        <v>交通便捷度</v>
      </c>
      <c r="R17" s="2034" t="s">
        <v>1277</v>
      </c>
      <c r="S17" s="2035" t="n">
        <f aca="false">F17</f>
        <v>100</v>
      </c>
      <c r="T17" s="2034" t="s">
        <v>1277</v>
      </c>
      <c r="U17" s="2035" t="n">
        <f aca="false">H17</f>
        <v>100</v>
      </c>
      <c r="V17" s="2034" t="s">
        <v>1277</v>
      </c>
      <c r="W17" s="2035" t="n">
        <f aca="false">J17</f>
        <v>100</v>
      </c>
      <c r="X17" s="1958"/>
      <c r="Y17" s="2036"/>
      <c r="Z17" s="2037" t="str">
        <f aca="false">Q17</f>
        <v>交通便捷度</v>
      </c>
      <c r="AA17" s="2038" t="n">
        <f aca="false">D17/F17</f>
        <v>1</v>
      </c>
      <c r="AB17" s="2038" t="n">
        <f aca="false">D17/H17</f>
        <v>1</v>
      </c>
      <c r="AC17" s="2038" t="n">
        <f aca="false">D17/J17</f>
        <v>1</v>
      </c>
    </row>
    <row r="18" customFormat="false" ht="15" hidden="false" customHeight="false" outlineLevel="0" collapsed="false">
      <c r="A18" s="2005"/>
      <c r="B18" s="2052"/>
      <c r="C18" s="2053"/>
      <c r="D18" s="2048"/>
      <c r="E18" s="2055"/>
      <c r="F18" s="2369"/>
      <c r="G18" s="2054"/>
      <c r="H18" s="2041"/>
      <c r="I18" s="2055"/>
      <c r="J18" s="2041"/>
      <c r="K18" s="2368"/>
      <c r="L18" s="2018"/>
      <c r="M18" s="1954"/>
      <c r="N18" s="1954"/>
      <c r="O18" s="1954"/>
      <c r="P18" s="2032"/>
      <c r="Q18" s="2033"/>
      <c r="R18" s="2034"/>
      <c r="S18" s="2035"/>
      <c r="T18" s="2034"/>
      <c r="U18" s="2035"/>
      <c r="V18" s="2034"/>
      <c r="W18" s="2035"/>
      <c r="X18" s="1958"/>
      <c r="Y18" s="2036"/>
      <c r="Z18" s="2037"/>
      <c r="AA18" s="2038" t="n">
        <v>1</v>
      </c>
      <c r="AB18" s="2038" t="n">
        <v>1</v>
      </c>
      <c r="AC18" s="2038" t="n">
        <v>1</v>
      </c>
    </row>
    <row r="19" customFormat="false" ht="42.75" hidden="false" customHeight="false" outlineLevel="0" collapsed="false">
      <c r="A19" s="2005"/>
      <c r="B19" s="2046" t="s">
        <v>218</v>
      </c>
      <c r="C19" s="2047" t="str">
        <f aca="false">估价对象房地状况!C7</f>
        <v>估价对象所在区域公共配套设施齐备情况</v>
      </c>
      <c r="D19" s="2056" t="n">
        <v>100</v>
      </c>
      <c r="E19" s="2058"/>
      <c r="F19" s="2370" t="n">
        <f aca="false">SUMIF(80:80,E20,81:81)-SUMIF(80:80,C20,81:81)+100</f>
        <v>100</v>
      </c>
      <c r="G19" s="2057"/>
      <c r="H19" s="2044" t="n">
        <f aca="false">SUMIF(80:80,G20,81:81)-SUMIF(80:80,C20,81:81)+100</f>
        <v>100</v>
      </c>
      <c r="I19" s="2058"/>
      <c r="J19" s="2044" t="n">
        <f aca="false">SUMIF(80:80,I20,81:81)-SUMIF(80:80,C20,81:81)+100</f>
        <v>100</v>
      </c>
      <c r="K19" s="2366"/>
      <c r="L19" s="2018"/>
      <c r="M19" s="1954"/>
      <c r="N19" s="1954"/>
      <c r="O19" s="1954"/>
      <c r="P19" s="2032"/>
      <c r="Q19" s="2033" t="str">
        <f aca="false">B19</f>
        <v>公共配套设施</v>
      </c>
      <c r="R19" s="2034" t="s">
        <v>1277</v>
      </c>
      <c r="S19" s="2035" t="n">
        <f aca="false">F19</f>
        <v>100</v>
      </c>
      <c r="T19" s="2034" t="s">
        <v>1277</v>
      </c>
      <c r="U19" s="2035" t="n">
        <f aca="false">H19</f>
        <v>100</v>
      </c>
      <c r="V19" s="2034" t="s">
        <v>1277</v>
      </c>
      <c r="W19" s="2035" t="n">
        <f aca="false">J19</f>
        <v>100</v>
      </c>
      <c r="X19" s="1958"/>
      <c r="Y19" s="2036"/>
      <c r="Z19" s="2037" t="str">
        <f aca="false">Q19</f>
        <v>公共配套设施</v>
      </c>
      <c r="AA19" s="2038" t="n">
        <f aca="false">D19/F19</f>
        <v>1</v>
      </c>
      <c r="AB19" s="2038" t="n">
        <f aca="false">D19/H19</f>
        <v>1</v>
      </c>
      <c r="AC19" s="2038" t="n">
        <f aca="false">D19/J19</f>
        <v>1</v>
      </c>
    </row>
    <row r="20" customFormat="false" ht="15" hidden="false" customHeight="false" outlineLevel="0" collapsed="false">
      <c r="A20" s="2005"/>
      <c r="B20" s="2052"/>
      <c r="C20" s="2040"/>
      <c r="D20" s="2041"/>
      <c r="E20" s="2043"/>
      <c r="F20" s="2367"/>
      <c r="G20" s="2042"/>
      <c r="H20" s="2041"/>
      <c r="I20" s="2043"/>
      <c r="J20" s="2041"/>
      <c r="K20" s="2368"/>
      <c r="L20" s="2018"/>
      <c r="M20" s="1954"/>
      <c r="N20" s="1954"/>
      <c r="O20" s="1954"/>
      <c r="P20" s="2032"/>
      <c r="Q20" s="2033"/>
      <c r="R20" s="2034"/>
      <c r="S20" s="2035"/>
      <c r="T20" s="2034"/>
      <c r="U20" s="2035"/>
      <c r="V20" s="2034"/>
      <c r="W20" s="2035"/>
      <c r="X20" s="1958"/>
      <c r="Y20" s="2036"/>
      <c r="Z20" s="2037"/>
      <c r="AA20" s="2038" t="n">
        <v>1</v>
      </c>
      <c r="AB20" s="2038" t="n">
        <v>1</v>
      </c>
      <c r="AC20" s="2038" t="n">
        <v>1</v>
      </c>
    </row>
    <row r="21" customFormat="false" ht="28.5" hidden="false" customHeight="false" outlineLevel="0" collapsed="false">
      <c r="A21" s="2005"/>
      <c r="B21" s="2059" t="s">
        <v>219</v>
      </c>
      <c r="C21" s="2047" t="str">
        <f aca="false">估价对象房地状况!C8</f>
        <v>估价对象所在区域基础设施水平</v>
      </c>
      <c r="D21" s="2056" t="n">
        <v>100</v>
      </c>
      <c r="E21" s="2058"/>
      <c r="F21" s="2370" t="n">
        <f aca="false">SUMIF(82:82,E22,83:83)-SUMIF(82:82,C22,83:83)+100</f>
        <v>100</v>
      </c>
      <c r="G21" s="2057"/>
      <c r="H21" s="2044" t="n">
        <f aca="false">SUMIF(82:82,G22,83:83)-SUMIF(82:82,C22,83:83)+100</f>
        <v>100</v>
      </c>
      <c r="I21" s="2058"/>
      <c r="J21" s="2044" t="n">
        <f aca="false">SUMIF(82:82,I22,83:83)-SUMIF(82:82,C22,83:83)+100</f>
        <v>100</v>
      </c>
      <c r="K21" s="2366"/>
      <c r="L21" s="2018"/>
      <c r="M21" s="1954"/>
      <c r="N21" s="1954"/>
      <c r="O21" s="1954"/>
      <c r="P21" s="2032"/>
      <c r="Q21" s="2033" t="str">
        <f aca="false">B21</f>
        <v>基础设施水平</v>
      </c>
      <c r="R21" s="2034" t="s">
        <v>1277</v>
      </c>
      <c r="S21" s="2035" t="n">
        <f aca="false">F21</f>
        <v>100</v>
      </c>
      <c r="T21" s="2034" t="s">
        <v>1277</v>
      </c>
      <c r="U21" s="2035" t="n">
        <f aca="false">H21</f>
        <v>100</v>
      </c>
      <c r="V21" s="2034" t="s">
        <v>1277</v>
      </c>
      <c r="W21" s="2035" t="n">
        <f aca="false">J21</f>
        <v>100</v>
      </c>
      <c r="X21" s="1958"/>
      <c r="Y21" s="2036"/>
      <c r="Z21" s="2037" t="str">
        <f aca="false">Q21</f>
        <v>基础设施水平</v>
      </c>
      <c r="AA21" s="2038" t="n">
        <f aca="false">D21/F21</f>
        <v>1</v>
      </c>
      <c r="AB21" s="2038" t="n">
        <f aca="false">D21/H21</f>
        <v>1</v>
      </c>
      <c r="AC21" s="2038" t="n">
        <f aca="false">D21/J21</f>
        <v>1</v>
      </c>
    </row>
    <row r="22" customFormat="false" ht="15" hidden="false" customHeight="false" outlineLevel="0" collapsed="false">
      <c r="A22" s="2005"/>
      <c r="B22" s="2059"/>
      <c r="C22" s="2053"/>
      <c r="D22" s="2041"/>
      <c r="E22" s="2040"/>
      <c r="F22" s="2367"/>
      <c r="G22" s="2040"/>
      <c r="H22" s="2041"/>
      <c r="I22" s="2040"/>
      <c r="J22" s="2041"/>
      <c r="K22" s="2371"/>
      <c r="L22" s="2018"/>
      <c r="M22" s="1954"/>
      <c r="N22" s="1954"/>
      <c r="O22" s="1954"/>
      <c r="P22" s="2032"/>
      <c r="Q22" s="2033"/>
      <c r="R22" s="2034"/>
      <c r="S22" s="2035"/>
      <c r="T22" s="2034"/>
      <c r="U22" s="2035"/>
      <c r="V22" s="2034"/>
      <c r="W22" s="2035"/>
      <c r="X22" s="1958"/>
      <c r="Y22" s="2036"/>
      <c r="Z22" s="2037"/>
      <c r="AA22" s="2038" t="n">
        <v>1</v>
      </c>
      <c r="AB22" s="2038" t="n">
        <v>1</v>
      </c>
      <c r="AC22" s="2038" t="n">
        <v>1</v>
      </c>
    </row>
    <row r="23" customFormat="false" ht="57" hidden="false" customHeight="false" outlineLevel="0" collapsed="false">
      <c r="A23" s="2005"/>
      <c r="B23" s="2046" t="s">
        <v>658</v>
      </c>
      <c r="C23" s="2372" t="str">
        <f aca="false">估价对象房地状况!C9</f>
        <v>区域自然环境：；人文环境；综合评价环境状况一般</v>
      </c>
      <c r="D23" s="2048" t="n">
        <v>100</v>
      </c>
      <c r="E23" s="2050"/>
      <c r="F23" s="2369" t="n">
        <f aca="false">SUMIF(84:84,E24,85:85)-SUMIF(84:84,C24,85:85)+100</f>
        <v>100</v>
      </c>
      <c r="G23" s="2049"/>
      <c r="H23" s="2044" t="n">
        <f aca="false">SUMIF(84:84,G24,85:85)-SUMIF(84:84,C24,85:85)+100</f>
        <v>100</v>
      </c>
      <c r="I23" s="2050"/>
      <c r="J23" s="2044" t="n">
        <f aca="false">SUMIF(84:84,I24,85:85)-SUMIF(84:84,C24,85:85)+100</f>
        <v>100</v>
      </c>
      <c r="K23" s="2366"/>
      <c r="L23" s="2018"/>
      <c r="M23" s="1954"/>
      <c r="N23" s="1954"/>
      <c r="O23" s="1954"/>
      <c r="P23" s="2032"/>
      <c r="Q23" s="2033" t="str">
        <f aca="false">B23</f>
        <v>自然及人文环境</v>
      </c>
      <c r="R23" s="2034" t="s">
        <v>1277</v>
      </c>
      <c r="S23" s="2035" t="n">
        <f aca="false">F23</f>
        <v>100</v>
      </c>
      <c r="T23" s="2034" t="s">
        <v>1277</v>
      </c>
      <c r="U23" s="2035" t="n">
        <f aca="false">H23</f>
        <v>100</v>
      </c>
      <c r="V23" s="2034" t="s">
        <v>1277</v>
      </c>
      <c r="W23" s="2035" t="n">
        <f aca="false">J23</f>
        <v>100</v>
      </c>
      <c r="X23" s="1958"/>
      <c r="Y23" s="2036"/>
      <c r="Z23" s="2037" t="str">
        <f aca="false">Q23</f>
        <v>自然及人文环境</v>
      </c>
      <c r="AA23" s="2038" t="n">
        <f aca="false">D23/F23</f>
        <v>1</v>
      </c>
      <c r="AB23" s="2038" t="n">
        <f aca="false">D23/H23</f>
        <v>1</v>
      </c>
      <c r="AC23" s="2038" t="n">
        <f aca="false">D23/J23</f>
        <v>1</v>
      </c>
    </row>
    <row r="24" customFormat="false" ht="15" hidden="false" customHeight="false" outlineLevel="0" collapsed="false">
      <c r="A24" s="2005"/>
      <c r="B24" s="2052"/>
      <c r="C24" s="2040"/>
      <c r="D24" s="2041"/>
      <c r="E24" s="2043"/>
      <c r="F24" s="2367"/>
      <c r="G24" s="2042"/>
      <c r="H24" s="2041"/>
      <c r="I24" s="2043"/>
      <c r="J24" s="2041"/>
      <c r="K24" s="2368"/>
      <c r="L24" s="2018"/>
      <c r="M24" s="1954"/>
      <c r="N24" s="1954"/>
      <c r="O24" s="1954"/>
      <c r="P24" s="2032"/>
      <c r="Q24" s="2033"/>
      <c r="R24" s="2034"/>
      <c r="S24" s="2035"/>
      <c r="T24" s="2034"/>
      <c r="U24" s="2035"/>
      <c r="V24" s="2034"/>
      <c r="W24" s="2035"/>
      <c r="X24" s="1958"/>
      <c r="Y24" s="2036"/>
      <c r="Z24" s="2037"/>
      <c r="AA24" s="2038" t="n">
        <v>1</v>
      </c>
      <c r="AB24" s="2038" t="n">
        <v>1</v>
      </c>
      <c r="AC24" s="2038" t="n">
        <v>1</v>
      </c>
    </row>
    <row r="25" customFormat="false" ht="15" hidden="false" customHeight="false" outlineLevel="0" collapsed="false">
      <c r="A25" s="2005"/>
      <c r="B25" s="1996" t="s">
        <v>221</v>
      </c>
      <c r="C25" s="2373"/>
      <c r="D25" s="2016" t="n">
        <v>100</v>
      </c>
      <c r="E25" s="2373"/>
      <c r="F25" s="2076" t="n">
        <f aca="false">SUMIF(86:86,E25,87:87)-SUMIF(86:86,C25,87:87)+100</f>
        <v>100</v>
      </c>
      <c r="G25" s="2373"/>
      <c r="H25" s="2017" t="n">
        <f aca="false">SUMIF(86:86,G25,87:87)-SUMIF(86:86,C25,87:87)+100</f>
        <v>100</v>
      </c>
      <c r="I25" s="2373"/>
      <c r="J25" s="2017" t="n">
        <f aca="false">SUMIF(86:86,I25,87:87)-SUMIF(86:86,C25,87:87)+100</f>
        <v>100</v>
      </c>
      <c r="K25" s="2363"/>
      <c r="L25" s="2018"/>
      <c r="M25" s="1954"/>
      <c r="N25" s="1954"/>
      <c r="O25" s="1954"/>
      <c r="P25" s="2032"/>
      <c r="Q25" s="2033" t="str">
        <f aca="false">B25</f>
        <v>临街状况</v>
      </c>
      <c r="R25" s="2034" t="s">
        <v>1277</v>
      </c>
      <c r="S25" s="2035" t="n">
        <f aca="false">F25</f>
        <v>100</v>
      </c>
      <c r="T25" s="2034" t="s">
        <v>1277</v>
      </c>
      <c r="U25" s="2035" t="n">
        <f aca="false">H25</f>
        <v>100</v>
      </c>
      <c r="V25" s="2034" t="s">
        <v>1277</v>
      </c>
      <c r="W25" s="2035" t="n">
        <f aca="false">J25</f>
        <v>100</v>
      </c>
      <c r="X25" s="1958"/>
      <c r="Y25" s="2036"/>
      <c r="Z25" s="2037" t="str">
        <f aca="false">Q25</f>
        <v>临街状况</v>
      </c>
      <c r="AA25" s="2038" t="n">
        <f aca="false">D25/F25</f>
        <v>1</v>
      </c>
      <c r="AB25" s="2038" t="n">
        <f aca="false">D25/H25</f>
        <v>1</v>
      </c>
      <c r="AC25" s="2038" t="n">
        <f aca="false">D25/J25</f>
        <v>1</v>
      </c>
    </row>
    <row r="26" customFormat="false" ht="15" hidden="false" customHeight="false" outlineLevel="0" collapsed="false">
      <c r="A26" s="2005"/>
      <c r="B26" s="2065" t="s">
        <v>1549</v>
      </c>
      <c r="C26" s="2015"/>
      <c r="D26" s="2016" t="n">
        <v>100</v>
      </c>
      <c r="E26" s="2015"/>
      <c r="F26" s="2076" t="n">
        <f aca="false">SUMIF(88:88,E26,89:89)-SUMIF(88:88,C26,89:89)+100</f>
        <v>100</v>
      </c>
      <c r="G26" s="2015"/>
      <c r="H26" s="2017" t="n">
        <f aca="false">SUMIF(88:88,G26,89:89)-SUMIF(88:88,C26,89:89)+100</f>
        <v>100</v>
      </c>
      <c r="I26" s="2015"/>
      <c r="J26" s="2017" t="n">
        <f aca="false">SUMIF(88:88,I26,89:89)-SUMIF(88:88,C26,89:89)+100</f>
        <v>100</v>
      </c>
      <c r="K26" s="2364"/>
      <c r="L26" s="2018"/>
      <c r="M26" s="1954"/>
      <c r="N26" s="1954"/>
      <c r="O26" s="1954"/>
      <c r="P26" s="2032"/>
      <c r="Q26" s="2033" t="str">
        <f aca="false">B26</f>
        <v>平面位置/可视性</v>
      </c>
      <c r="R26" s="2034" t="s">
        <v>1277</v>
      </c>
      <c r="S26" s="2035" t="n">
        <f aca="false">F26</f>
        <v>100</v>
      </c>
      <c r="T26" s="2034" t="s">
        <v>1277</v>
      </c>
      <c r="U26" s="2035" t="n">
        <f aca="false">H26</f>
        <v>100</v>
      </c>
      <c r="V26" s="2034" t="s">
        <v>1277</v>
      </c>
      <c r="W26" s="2035" t="n">
        <f aca="false">J26</f>
        <v>100</v>
      </c>
      <c r="X26" s="1958"/>
      <c r="Y26" s="2036"/>
      <c r="Z26" s="2037" t="str">
        <f aca="false">Q26</f>
        <v>平面位置/可视性</v>
      </c>
      <c r="AA26" s="2038" t="n">
        <f aca="false">D26/F26</f>
        <v>1</v>
      </c>
      <c r="AB26" s="2038" t="n">
        <f aca="false">D26/H26</f>
        <v>1</v>
      </c>
      <c r="AC26" s="2038" t="n">
        <f aca="false">D26/J26</f>
        <v>1</v>
      </c>
    </row>
    <row r="27" s="1983" customFormat="true" ht="15" hidden="false" customHeight="false" outlineLevel="0" collapsed="false">
      <c r="A27" s="2010"/>
      <c r="B27" s="2046" t="s">
        <v>1550</v>
      </c>
      <c r="C27" s="2374"/>
      <c r="D27" s="2067" t="n">
        <v>100</v>
      </c>
      <c r="E27" s="2374"/>
      <c r="F27" s="2375" t="n">
        <f aca="false">SUMIF(90:90,E27,91:91)-SUMIF(90:90,C27,91:91)+100</f>
        <v>100</v>
      </c>
      <c r="G27" s="2374"/>
      <c r="H27" s="2068" t="n">
        <f aca="false">SUMIF(90:90,G27,91:91)-SUMIF(90:90,C27,91:91)+100</f>
        <v>100</v>
      </c>
      <c r="I27" s="2374"/>
      <c r="J27" s="2068" t="n">
        <f aca="false">SUMIF(90:90,I27,91:91)-SUMIF(90:90,C27,91:91)+100</f>
        <v>100</v>
      </c>
      <c r="K27" s="2363"/>
      <c r="L27" s="1977"/>
      <c r="M27" s="1978"/>
      <c r="N27" s="1978"/>
      <c r="O27" s="1978"/>
      <c r="P27" s="2032"/>
      <c r="Q27" s="510" t="str">
        <f aca="false">B27</f>
        <v>人流量</v>
      </c>
      <c r="R27" s="1980" t="s">
        <v>1277</v>
      </c>
      <c r="S27" s="1981" t="n">
        <f aca="false">F27</f>
        <v>100</v>
      </c>
      <c r="T27" s="1980" t="s">
        <v>1277</v>
      </c>
      <c r="U27" s="1981" t="n">
        <f aca="false">H27</f>
        <v>100</v>
      </c>
      <c r="V27" s="1980" t="s">
        <v>1277</v>
      </c>
      <c r="W27" s="1981" t="n">
        <f aca="false">J27</f>
        <v>100</v>
      </c>
      <c r="X27" s="1982"/>
      <c r="Y27" s="2036"/>
      <c r="Z27" s="540" t="str">
        <f aca="false">Q27</f>
        <v>人流量</v>
      </c>
      <c r="AA27" s="2038" t="n">
        <f aca="false">D27/F27</f>
        <v>1</v>
      </c>
      <c r="AB27" s="2038" t="n">
        <f aca="false">D27/H27</f>
        <v>1</v>
      </c>
      <c r="AC27" s="2038" t="n">
        <f aca="false">D27/J27</f>
        <v>1</v>
      </c>
    </row>
    <row r="28" customFormat="false" ht="15" hidden="false" customHeight="false" outlineLevel="0" collapsed="false">
      <c r="A28" s="2005"/>
      <c r="B28" s="1996" t="s">
        <v>1287</v>
      </c>
      <c r="C28" s="2373"/>
      <c r="D28" s="2016" t="n">
        <v>100</v>
      </c>
      <c r="E28" s="2373"/>
      <c r="F28" s="2076" t="n">
        <f aca="false">SUMIF(92:92,E28,93:93)-SUMIF(92:92,C28,93:93)+100</f>
        <v>100</v>
      </c>
      <c r="G28" s="2373"/>
      <c r="H28" s="2017" t="n">
        <f aca="false">SUMIF(92:92,G28,93:93)-SUMIF(92:92,C28,93:93)+100</f>
        <v>100</v>
      </c>
      <c r="I28" s="2373"/>
      <c r="J28" s="2017" t="n">
        <f aca="false">SUMIF(92:92,I28,93:93)-SUMIF(92:92,C28,93:93)+100</f>
        <v>100</v>
      </c>
      <c r="K28" s="2364"/>
      <c r="L28" s="2018"/>
      <c r="M28" s="1954"/>
      <c r="N28" s="1954"/>
      <c r="O28" s="1954"/>
      <c r="P28" s="2032"/>
      <c r="Q28" s="2033" t="str">
        <f aca="false">B28</f>
        <v>楼层</v>
      </c>
      <c r="R28" s="2034" t="s">
        <v>1277</v>
      </c>
      <c r="S28" s="2035" t="n">
        <f aca="false">F28</f>
        <v>100</v>
      </c>
      <c r="T28" s="2034" t="s">
        <v>1277</v>
      </c>
      <c r="U28" s="2035" t="n">
        <f aca="false">H28</f>
        <v>100</v>
      </c>
      <c r="V28" s="2034" t="s">
        <v>1277</v>
      </c>
      <c r="W28" s="2035" t="n">
        <f aca="false">J28</f>
        <v>100</v>
      </c>
      <c r="X28" s="1958"/>
      <c r="Y28" s="2036"/>
      <c r="Z28" s="2037" t="str">
        <f aca="false">Q28</f>
        <v>楼层</v>
      </c>
      <c r="AA28" s="2038" t="n">
        <f aca="false">D28/F28</f>
        <v>1</v>
      </c>
      <c r="AB28" s="2038" t="n">
        <f aca="false">D28/H28</f>
        <v>1</v>
      </c>
      <c r="AC28" s="2038" t="n">
        <f aca="false">D28/J28</f>
        <v>1</v>
      </c>
    </row>
    <row r="29" customFormat="false" ht="15" hidden="false" customHeight="false" outlineLevel="0" collapsed="false">
      <c r="A29" s="2005"/>
      <c r="B29" s="2070" t="n">
        <v>111</v>
      </c>
      <c r="C29" s="2015"/>
      <c r="D29" s="2016" t="n">
        <v>100</v>
      </c>
      <c r="E29" s="2015"/>
      <c r="F29" s="2076" t="n">
        <f aca="false">SUMIF(94:94,E29,95:95)-SUMIF(94:94,C29,95:95)+100</f>
        <v>100</v>
      </c>
      <c r="G29" s="2015"/>
      <c r="H29" s="2017" t="n">
        <f aca="false">SUMIF(94:94,G29,95:95)-SUMIF(94:94,C29,95:95)+100</f>
        <v>100</v>
      </c>
      <c r="I29" s="2015"/>
      <c r="J29" s="2017" t="n">
        <f aca="false">SUMIF(94:94,I29,95:95)-SUMIF(94:94,C29,95:95)+100</f>
        <v>100</v>
      </c>
      <c r="K29" s="2364"/>
      <c r="L29" s="2018"/>
      <c r="M29" s="1954"/>
      <c r="N29" s="1954"/>
      <c r="O29" s="1954"/>
      <c r="P29" s="2032"/>
      <c r="Q29" s="2033" t="n">
        <f aca="false">B29</f>
        <v>111</v>
      </c>
      <c r="R29" s="2034" t="s">
        <v>1277</v>
      </c>
      <c r="S29" s="2035" t="n">
        <f aca="false">F29</f>
        <v>100</v>
      </c>
      <c r="T29" s="2034" t="s">
        <v>1277</v>
      </c>
      <c r="U29" s="2035" t="n">
        <f aca="false">H29</f>
        <v>100</v>
      </c>
      <c r="V29" s="2034" t="s">
        <v>1277</v>
      </c>
      <c r="W29" s="2035" t="n">
        <f aca="false">J29</f>
        <v>100</v>
      </c>
      <c r="X29" s="1958"/>
      <c r="Y29" s="2036"/>
      <c r="Z29" s="2037" t="n">
        <f aca="false">Q29</f>
        <v>111</v>
      </c>
      <c r="AA29" s="2038" t="n">
        <f aca="false">D29/F29</f>
        <v>1</v>
      </c>
      <c r="AB29" s="2038" t="n">
        <f aca="false">D29/H29</f>
        <v>1</v>
      </c>
      <c r="AC29" s="2038" t="n">
        <f aca="false">D29/J29</f>
        <v>1</v>
      </c>
    </row>
    <row r="30" customFormat="false" ht="15" hidden="false" customHeight="false" outlineLevel="0" collapsed="false">
      <c r="A30" s="2005"/>
      <c r="B30" s="2070" t="n">
        <v>111</v>
      </c>
      <c r="C30" s="2015"/>
      <c r="D30" s="2016" t="n">
        <v>100</v>
      </c>
      <c r="E30" s="2015"/>
      <c r="F30" s="2076" t="n">
        <f aca="false">SUMIF(96:96,E30,97:97)-SUMIF(96:96,C30,97:97)+100</f>
        <v>100</v>
      </c>
      <c r="G30" s="2015"/>
      <c r="H30" s="2017" t="n">
        <f aca="false">SUMIF(96:96,G30,97:97)-SUMIF(96:96,C30,97:97)+100</f>
        <v>100</v>
      </c>
      <c r="I30" s="2015"/>
      <c r="J30" s="2017" t="n">
        <f aca="false">SUMIF(96:96,I30,97:97)-SUMIF(96:96,C30,97:97)+100</f>
        <v>100</v>
      </c>
      <c r="K30" s="2364"/>
      <c r="L30" s="2018"/>
      <c r="M30" s="1954"/>
      <c r="N30" s="1954"/>
      <c r="O30" s="1954"/>
      <c r="P30" s="2032"/>
      <c r="Q30" s="2033" t="n">
        <f aca="false">B30</f>
        <v>111</v>
      </c>
      <c r="R30" s="2034" t="s">
        <v>1277</v>
      </c>
      <c r="S30" s="2035" t="n">
        <f aca="false">F30</f>
        <v>100</v>
      </c>
      <c r="T30" s="2034" t="s">
        <v>1277</v>
      </c>
      <c r="U30" s="2035" t="n">
        <f aca="false">H30</f>
        <v>100</v>
      </c>
      <c r="V30" s="2034" t="s">
        <v>1277</v>
      </c>
      <c r="W30" s="2035" t="n">
        <f aca="false">J30</f>
        <v>100</v>
      </c>
      <c r="X30" s="1958"/>
      <c r="Y30" s="2036"/>
      <c r="Z30" s="2037" t="n">
        <f aca="false">Q30</f>
        <v>111</v>
      </c>
      <c r="AA30" s="2038" t="n">
        <f aca="false">D30/F30</f>
        <v>1</v>
      </c>
      <c r="AB30" s="2038" t="n">
        <f aca="false">D30/H30</f>
        <v>1</v>
      </c>
      <c r="AC30" s="2038" t="n">
        <f aca="false">D30/J30</f>
        <v>1</v>
      </c>
    </row>
    <row r="31" customFormat="false" ht="15" hidden="false" customHeight="false" outlineLevel="0" collapsed="false">
      <c r="A31" s="2019"/>
      <c r="B31" s="2070" t="n">
        <v>111</v>
      </c>
      <c r="C31" s="2021"/>
      <c r="D31" s="2022" t="n">
        <v>100</v>
      </c>
      <c r="E31" s="2015"/>
      <c r="F31" s="2023" t="n">
        <f aca="false">SUMIF(98:98,E31,99:99)-SUMIF(98:98,C31,99:99)+100</f>
        <v>100</v>
      </c>
      <c r="G31" s="2015"/>
      <c r="H31" s="2024" t="n">
        <f aca="false">SUMIF(98:98,G31,99:99)-SUMIF(98:98,C31,99:99)+100</f>
        <v>100</v>
      </c>
      <c r="I31" s="2015"/>
      <c r="J31" s="2024" t="n">
        <f aca="false">SUMIF(98:98,I31,99:99)-SUMIF(98:98,C31,99:99)+100</f>
        <v>100</v>
      </c>
      <c r="K31" s="2364"/>
      <c r="L31" s="2018"/>
      <c r="M31" s="1954"/>
      <c r="N31" s="1954"/>
      <c r="O31" s="1954"/>
      <c r="P31" s="2032"/>
      <c r="Q31" s="2033" t="n">
        <f aca="false">B31</f>
        <v>111</v>
      </c>
      <c r="R31" s="2034" t="s">
        <v>1277</v>
      </c>
      <c r="S31" s="2035" t="n">
        <f aca="false">F31</f>
        <v>100</v>
      </c>
      <c r="T31" s="2034" t="s">
        <v>1277</v>
      </c>
      <c r="U31" s="2035" t="n">
        <f aca="false">H31</f>
        <v>100</v>
      </c>
      <c r="V31" s="2034" t="s">
        <v>1277</v>
      </c>
      <c r="W31" s="2035" t="n">
        <f aca="false">J31</f>
        <v>100</v>
      </c>
      <c r="X31" s="1958"/>
      <c r="Y31" s="2036"/>
      <c r="Z31" s="2037" t="n">
        <f aca="false">Q31</f>
        <v>111</v>
      </c>
      <c r="AA31" s="2038" t="n">
        <f aca="false">D31/F31</f>
        <v>1</v>
      </c>
      <c r="AB31" s="2038" t="n">
        <f aca="false">D31/H31</f>
        <v>1</v>
      </c>
      <c r="AC31" s="2038" t="n">
        <f aca="false">D31/J31</f>
        <v>1</v>
      </c>
    </row>
    <row r="32" customFormat="false" ht="15" hidden="false" customHeight="true" outlineLevel="0" collapsed="false">
      <c r="A32" s="2025" t="s">
        <v>1292</v>
      </c>
      <c r="B32" s="678" t="s">
        <v>1551</v>
      </c>
      <c r="C32" s="2073"/>
      <c r="D32" s="2074" t="n">
        <v>100</v>
      </c>
      <c r="E32" s="2073"/>
      <c r="F32" s="2076" t="n">
        <f aca="false">SUMIF(100:100,E32,101:101)-SUMIF(100:100,C32,101:101)+100</f>
        <v>100</v>
      </c>
      <c r="G32" s="2073"/>
      <c r="H32" s="2017" t="n">
        <f aca="false">SUMIF(100:100,G32,101:101)-SUMIF(100:100,C32,101:101)+100</f>
        <v>100</v>
      </c>
      <c r="I32" s="2073"/>
      <c r="J32" s="2077" t="n">
        <f aca="false">SUMIF(100:100,I32,101:101)-SUMIF(100:100,C32,101:101)+100</f>
        <v>100</v>
      </c>
      <c r="K32" s="2363"/>
      <c r="L32" s="2018"/>
      <c r="M32" s="1954"/>
      <c r="N32" s="1954"/>
      <c r="O32" s="1954"/>
      <c r="P32" s="2078" t="s">
        <v>1292</v>
      </c>
      <c r="Q32" s="2033" t="str">
        <f aca="false">B32</f>
        <v>商业类型</v>
      </c>
      <c r="R32" s="2034" t="s">
        <v>1277</v>
      </c>
      <c r="S32" s="2035" t="n">
        <f aca="false">F32</f>
        <v>100</v>
      </c>
      <c r="T32" s="2034" t="s">
        <v>1277</v>
      </c>
      <c r="U32" s="2035" t="n">
        <f aca="false">H32</f>
        <v>100</v>
      </c>
      <c r="V32" s="2034" t="s">
        <v>1277</v>
      </c>
      <c r="W32" s="2035" t="n">
        <f aca="false">J32</f>
        <v>100</v>
      </c>
      <c r="X32" s="1958"/>
      <c r="Y32" s="2079" t="s">
        <v>1292</v>
      </c>
      <c r="Z32" s="2037" t="str">
        <f aca="false">Q32</f>
        <v>商业类型</v>
      </c>
      <c r="AA32" s="2038" t="n">
        <f aca="false">D32/F32</f>
        <v>1</v>
      </c>
      <c r="AB32" s="2038" t="n">
        <f aca="false">D32/H32</f>
        <v>1</v>
      </c>
      <c r="AC32" s="2038" t="n">
        <f aca="false">D32/J32</f>
        <v>1</v>
      </c>
    </row>
    <row r="33" s="2088" customFormat="true" ht="15" hidden="false" customHeight="false" outlineLevel="0" collapsed="false">
      <c r="A33" s="2080"/>
      <c r="B33" s="1996" t="s">
        <v>1296</v>
      </c>
      <c r="C33" s="2081"/>
      <c r="D33" s="1998" t="n">
        <v>100</v>
      </c>
      <c r="E33" s="2007"/>
      <c r="F33" s="2000" t="e">
        <f aca="false">LOOKUP(E33,103:103,104:104)-LOOKUP(C33,103:103,104:104)+100</f>
        <v>#N/A</v>
      </c>
      <c r="G33" s="2006"/>
      <c r="H33" s="2001" t="e">
        <f aca="false">LOOKUP(G33,103:103,104:104)-LOOKUP(C33,103:103,104:104)+100</f>
        <v>#N/A</v>
      </c>
      <c r="I33" s="2006"/>
      <c r="J33" s="2001" t="e">
        <f aca="false">LOOKUP(I33,103:103,104:104)-LOOKUP(C33,103:103,104:104)+100</f>
        <v>#N/A</v>
      </c>
      <c r="K33" s="2364"/>
      <c r="L33" s="2009"/>
      <c r="M33" s="2082"/>
      <c r="N33" s="2082"/>
      <c r="O33" s="2082"/>
      <c r="P33" s="2078"/>
      <c r="Q33" s="2083" t="str">
        <f aca="false">B33</f>
        <v>项目建筑规模</v>
      </c>
      <c r="R33" s="2084" t="s">
        <v>1277</v>
      </c>
      <c r="S33" s="2085" t="e">
        <f aca="false">F33</f>
        <v>#N/A</v>
      </c>
      <c r="T33" s="2084" t="s">
        <v>1277</v>
      </c>
      <c r="U33" s="2085" t="e">
        <f aca="false">H33</f>
        <v>#N/A</v>
      </c>
      <c r="V33" s="2084" t="s">
        <v>1277</v>
      </c>
      <c r="W33" s="2085" t="e">
        <f aca="false">J33</f>
        <v>#N/A</v>
      </c>
      <c r="X33" s="2086"/>
      <c r="Y33" s="2079"/>
      <c r="Z33" s="2087" t="str">
        <f aca="false">Q33</f>
        <v>项目建筑规模</v>
      </c>
      <c r="AA33" s="2038" t="e">
        <f aca="false">D33/F33</f>
        <v>#N/A</v>
      </c>
      <c r="AB33" s="2038" t="e">
        <f aca="false">D33/H33</f>
        <v>#N/A</v>
      </c>
      <c r="AC33" s="2038" t="e">
        <f aca="false">D33/J33</f>
        <v>#N/A</v>
      </c>
    </row>
    <row r="34" customFormat="false" ht="15" hidden="false" customHeight="false" outlineLevel="0" collapsed="false">
      <c r="A34" s="2089"/>
      <c r="B34" s="1996" t="s">
        <v>1297</v>
      </c>
      <c r="C34" s="2090"/>
      <c r="D34" s="2016" t="n">
        <v>100</v>
      </c>
      <c r="E34" s="2090"/>
      <c r="F34" s="2076" t="n">
        <f aca="false">SUMIF(105:105,E34,106:106)-SUMIF(105:105,C34,106:106)+100</f>
        <v>100</v>
      </c>
      <c r="G34" s="2090"/>
      <c r="H34" s="2017" t="n">
        <f aca="false">SUMIF(105:105,G34,106:106)-SUMIF(105:105,C34,106:106)+100</f>
        <v>100</v>
      </c>
      <c r="I34" s="2090"/>
      <c r="J34" s="2017" t="n">
        <f aca="false">SUMIF(105:105,I34,106:106)-SUMIF(105:105,C34,106:106)+100</f>
        <v>100</v>
      </c>
      <c r="K34" s="2363"/>
      <c r="L34" s="2018"/>
      <c r="M34" s="1954"/>
      <c r="N34" s="1954"/>
      <c r="O34" s="1954"/>
      <c r="P34" s="2078"/>
      <c r="Q34" s="2033" t="str">
        <f aca="false">B34</f>
        <v>建筑结构</v>
      </c>
      <c r="R34" s="2034" t="s">
        <v>1277</v>
      </c>
      <c r="S34" s="2035" t="n">
        <f aca="false">F34</f>
        <v>100</v>
      </c>
      <c r="T34" s="2034" t="s">
        <v>1277</v>
      </c>
      <c r="U34" s="2035" t="n">
        <f aca="false">H34</f>
        <v>100</v>
      </c>
      <c r="V34" s="2034" t="s">
        <v>1277</v>
      </c>
      <c r="W34" s="2035" t="n">
        <f aca="false">J34</f>
        <v>100</v>
      </c>
      <c r="X34" s="1958"/>
      <c r="Y34" s="2079"/>
      <c r="Z34" s="2037" t="str">
        <f aca="false">Q34</f>
        <v>建筑结构</v>
      </c>
      <c r="AA34" s="2038" t="n">
        <f aca="false">D34/F34</f>
        <v>1</v>
      </c>
      <c r="AB34" s="2038" t="n">
        <f aca="false">D34/H34</f>
        <v>1</v>
      </c>
      <c r="AC34" s="2038" t="n">
        <f aca="false">D34/J34</f>
        <v>1</v>
      </c>
    </row>
    <row r="35" customFormat="false" ht="15" hidden="false" customHeight="false" outlineLevel="0" collapsed="false">
      <c r="A35" s="2089"/>
      <c r="B35" s="1996" t="s">
        <v>1300</v>
      </c>
      <c r="C35" s="2063"/>
      <c r="D35" s="2016" t="n">
        <v>100</v>
      </c>
      <c r="E35" s="2063"/>
      <c r="F35" s="2076" t="n">
        <f aca="false">SUMIF(107:107,E35,108:108)-SUMIF(107:107,C35,108:108)+100</f>
        <v>100</v>
      </c>
      <c r="G35" s="2063"/>
      <c r="H35" s="2017" t="n">
        <f aca="false">SUMIF(107:107,G35,108:108)-SUMIF(107:107,C35,108:108)+100</f>
        <v>100</v>
      </c>
      <c r="I35" s="2063"/>
      <c r="J35" s="2017" t="n">
        <f aca="false">SUMIF(107:107,I35,108:108)-SUMIF(107:107,C35,108:108)+100</f>
        <v>100</v>
      </c>
      <c r="K35" s="2363"/>
      <c r="L35" s="2018"/>
      <c r="M35" s="1954"/>
      <c r="N35" s="1954"/>
      <c r="O35" s="1954"/>
      <c r="P35" s="2078"/>
      <c r="Q35" s="2033" t="str">
        <f aca="false">B35</f>
        <v>公共部分装修</v>
      </c>
      <c r="R35" s="2034" t="s">
        <v>1277</v>
      </c>
      <c r="S35" s="2035" t="n">
        <f aca="false">F35</f>
        <v>100</v>
      </c>
      <c r="T35" s="2034" t="s">
        <v>1277</v>
      </c>
      <c r="U35" s="2035" t="n">
        <f aca="false">H35</f>
        <v>100</v>
      </c>
      <c r="V35" s="2034" t="s">
        <v>1277</v>
      </c>
      <c r="W35" s="2035" t="n">
        <f aca="false">J35</f>
        <v>100</v>
      </c>
      <c r="X35" s="1958"/>
      <c r="Y35" s="2079"/>
      <c r="Z35" s="2037" t="str">
        <f aca="false">Q35</f>
        <v>公共部分装修</v>
      </c>
      <c r="AA35" s="2038" t="n">
        <f aca="false">D35/F35</f>
        <v>1</v>
      </c>
      <c r="AB35" s="2038" t="n">
        <f aca="false">D35/H35</f>
        <v>1</v>
      </c>
      <c r="AC35" s="2038" t="n">
        <f aca="false">D35/J35</f>
        <v>1</v>
      </c>
    </row>
    <row r="36" customFormat="false" ht="15" hidden="false" customHeight="false" outlineLevel="0" collapsed="false">
      <c r="A36" s="2089"/>
      <c r="B36" s="1996" t="s">
        <v>567</v>
      </c>
      <c r="C36" s="2093"/>
      <c r="D36" s="2016" t="n">
        <v>100</v>
      </c>
      <c r="E36" s="2093"/>
      <c r="F36" s="2076" t="e">
        <f aca="false">LOOKUP(E36,110:110,111:111)-LOOKUP(C36,110:110,111:111)+100</f>
        <v>#N/A</v>
      </c>
      <c r="G36" s="2093"/>
      <c r="H36" s="2076" t="e">
        <f aca="false">LOOKUP(G36,110:110,111:111)-LOOKUP(C36,110:110,111:111)+100</f>
        <v>#N/A</v>
      </c>
      <c r="I36" s="2093"/>
      <c r="J36" s="2017" t="e">
        <f aca="false">LOOKUP(I36,110:110,111:111)-LOOKUP(C36,110:110,111:111)+100</f>
        <v>#N/A</v>
      </c>
      <c r="K36" s="2363"/>
      <c r="L36" s="2018"/>
      <c r="M36" s="1954"/>
      <c r="N36" s="1954"/>
      <c r="O36" s="1954"/>
      <c r="P36" s="2078"/>
      <c r="Q36" s="2033" t="str">
        <f aca="false">B36</f>
        <v>成新度</v>
      </c>
      <c r="R36" s="2034" t="s">
        <v>1277</v>
      </c>
      <c r="S36" s="2035" t="e">
        <f aca="false">F36</f>
        <v>#N/A</v>
      </c>
      <c r="T36" s="2034" t="s">
        <v>1277</v>
      </c>
      <c r="U36" s="2035" t="e">
        <f aca="false">H36</f>
        <v>#N/A</v>
      </c>
      <c r="V36" s="2034" t="s">
        <v>1277</v>
      </c>
      <c r="W36" s="2035" t="e">
        <f aca="false">J36</f>
        <v>#N/A</v>
      </c>
      <c r="X36" s="1958"/>
      <c r="Y36" s="2079"/>
      <c r="Z36" s="2037" t="str">
        <f aca="false">Q36</f>
        <v>成新度</v>
      </c>
      <c r="AA36" s="2038" t="e">
        <f aca="false">D36/F36</f>
        <v>#N/A</v>
      </c>
      <c r="AB36" s="2038" t="e">
        <f aca="false">D36/H36</f>
        <v>#N/A</v>
      </c>
      <c r="AC36" s="2038" t="e">
        <f aca="false">D36/J36</f>
        <v>#N/A</v>
      </c>
    </row>
    <row r="37" s="1983" customFormat="true" ht="15" hidden="false" customHeight="false" outlineLevel="0" collapsed="false">
      <c r="A37" s="2092"/>
      <c r="B37" s="1996" t="s">
        <v>1304</v>
      </c>
      <c r="C37" s="2063"/>
      <c r="D37" s="1998" t="n">
        <v>100</v>
      </c>
      <c r="E37" s="2063"/>
      <c r="F37" s="2076" t="n">
        <f aca="false">SUMIF(112:112,E37,113:113)-SUMIF(112:112,C37,113:113)+100</f>
        <v>100</v>
      </c>
      <c r="G37" s="2063"/>
      <c r="H37" s="2017" t="n">
        <f aca="false">SUMIF(112:112,G37,113:113)-SUMIF(112:112,C37,113:113)+100</f>
        <v>100</v>
      </c>
      <c r="I37" s="2063"/>
      <c r="J37" s="2017" t="n">
        <f aca="false">SUMIF(112:112,I37,113:113)-SUMIF(112:112,C37,113:113)+100</f>
        <v>100</v>
      </c>
      <c r="K37" s="2363"/>
      <c r="L37" s="1977"/>
      <c r="M37" s="1978"/>
      <c r="N37" s="1978"/>
      <c r="O37" s="1978"/>
      <c r="P37" s="2078"/>
      <c r="Q37" s="510" t="str">
        <f aca="false">B37</f>
        <v>市政基础设施</v>
      </c>
      <c r="R37" s="1980" t="s">
        <v>1277</v>
      </c>
      <c r="S37" s="1981" t="n">
        <f aca="false">F37</f>
        <v>100</v>
      </c>
      <c r="T37" s="1980" t="s">
        <v>1277</v>
      </c>
      <c r="U37" s="1981" t="n">
        <f aca="false">H37</f>
        <v>100</v>
      </c>
      <c r="V37" s="1980" t="s">
        <v>1277</v>
      </c>
      <c r="W37" s="1981" t="n">
        <f aca="false">J37</f>
        <v>100</v>
      </c>
      <c r="X37" s="1982"/>
      <c r="Y37" s="2079"/>
      <c r="Z37" s="540" t="str">
        <f aca="false">Q37</f>
        <v>市政基础设施</v>
      </c>
      <c r="AA37" s="741" t="n">
        <f aca="false">D37/F37</f>
        <v>1</v>
      </c>
      <c r="AB37" s="741" t="n">
        <f aca="false">D37/H37</f>
        <v>1</v>
      </c>
      <c r="AC37" s="741" t="n">
        <f aca="false">D37/J37</f>
        <v>1</v>
      </c>
    </row>
    <row r="38" customFormat="false" ht="15" hidden="false" customHeight="false" outlineLevel="0" collapsed="false">
      <c r="A38" s="2089"/>
      <c r="B38" s="1996" t="s">
        <v>1552</v>
      </c>
      <c r="C38" s="2063"/>
      <c r="D38" s="2016" t="n">
        <v>100</v>
      </c>
      <c r="E38" s="2063"/>
      <c r="F38" s="2076" t="n">
        <f aca="false">SUMIF(114:114,E38,115:115)-SUMIF(114:114,C38,115:115)+100</f>
        <v>100</v>
      </c>
      <c r="G38" s="2063"/>
      <c r="H38" s="2017" t="n">
        <f aca="false">SUMIF(114:114,G38,115:115)-SUMIF(114:114,C38,115:115)+100</f>
        <v>100</v>
      </c>
      <c r="I38" s="2063"/>
      <c r="J38" s="2017" t="n">
        <f aca="false">SUMIF(114:114,I38,115:115)-SUMIF(114:114,C38,115:115)+100</f>
        <v>100</v>
      </c>
      <c r="K38" s="2363"/>
      <c r="L38" s="2018"/>
      <c r="M38" s="1954"/>
      <c r="N38" s="1954"/>
      <c r="O38" s="1954"/>
      <c r="P38" s="2078" t="s">
        <v>1292</v>
      </c>
      <c r="Q38" s="2033" t="str">
        <f aca="false">B38</f>
        <v>业态</v>
      </c>
      <c r="R38" s="2034" t="s">
        <v>1277</v>
      </c>
      <c r="S38" s="2035" t="n">
        <f aca="false">F38</f>
        <v>100</v>
      </c>
      <c r="T38" s="2034" t="s">
        <v>1277</v>
      </c>
      <c r="U38" s="2035" t="n">
        <f aca="false">H38</f>
        <v>100</v>
      </c>
      <c r="V38" s="2034" t="s">
        <v>1277</v>
      </c>
      <c r="W38" s="2035" t="n">
        <f aca="false">J38</f>
        <v>100</v>
      </c>
      <c r="X38" s="1958"/>
      <c r="Y38" s="2079" t="s">
        <v>1292</v>
      </c>
      <c r="Z38" s="2037" t="str">
        <f aca="false">Q38</f>
        <v>业态</v>
      </c>
      <c r="AA38" s="2038" t="n">
        <f aca="false">D38/F38</f>
        <v>1</v>
      </c>
      <c r="AB38" s="2038" t="n">
        <f aca="false">D38/H38</f>
        <v>1</v>
      </c>
      <c r="AC38" s="2038" t="n">
        <f aca="false">D38/J38</f>
        <v>1</v>
      </c>
    </row>
    <row r="39" customFormat="false" ht="15" hidden="false" customHeight="false" outlineLevel="0" collapsed="false">
      <c r="A39" s="2089"/>
      <c r="B39" s="1996" t="s">
        <v>1553</v>
      </c>
      <c r="C39" s="2063"/>
      <c r="D39" s="2016" t="n">
        <v>100</v>
      </c>
      <c r="E39" s="2063"/>
      <c r="F39" s="2076" t="n">
        <f aca="false">SUMIF(116:116,E39,117:117)-SUMIF(116:116,C39,117:117)+100</f>
        <v>100</v>
      </c>
      <c r="G39" s="2063"/>
      <c r="H39" s="2017" t="n">
        <f aca="false">SUMIF(116:116,G39,117:117)-SUMIF(116:116,C39,117:117)+100</f>
        <v>100</v>
      </c>
      <c r="I39" s="2063"/>
      <c r="J39" s="2017" t="n">
        <f aca="false">SUMIF(116:116,I39,117:117)-SUMIF(116:116,C39,117:117)+100</f>
        <v>100</v>
      </c>
      <c r="K39" s="2363"/>
      <c r="L39" s="2018"/>
      <c r="M39" s="1954"/>
      <c r="N39" s="1954"/>
      <c r="O39" s="1954"/>
      <c r="P39" s="2078"/>
      <c r="Q39" s="2033" t="str">
        <f aca="false">B39</f>
        <v>层高</v>
      </c>
      <c r="R39" s="2034" t="s">
        <v>1277</v>
      </c>
      <c r="S39" s="2035" t="n">
        <f aca="false">F39</f>
        <v>100</v>
      </c>
      <c r="T39" s="2034" t="s">
        <v>1277</v>
      </c>
      <c r="U39" s="2035" t="n">
        <f aca="false">H39</f>
        <v>100</v>
      </c>
      <c r="V39" s="2034" t="s">
        <v>1277</v>
      </c>
      <c r="W39" s="2035" t="n">
        <f aca="false">J39</f>
        <v>100</v>
      </c>
      <c r="X39" s="1958"/>
      <c r="Y39" s="2079"/>
      <c r="Z39" s="2037" t="str">
        <f aca="false">Q39</f>
        <v>层高</v>
      </c>
      <c r="AA39" s="2038" t="n">
        <f aca="false">D39/F39</f>
        <v>1</v>
      </c>
      <c r="AB39" s="2038" t="n">
        <f aca="false">D39/H39</f>
        <v>1</v>
      </c>
      <c r="AC39" s="2038" t="n">
        <f aca="false">D39/J39</f>
        <v>1</v>
      </c>
    </row>
    <row r="40" customFormat="false" ht="15" hidden="false" customHeight="false" outlineLevel="0" collapsed="false">
      <c r="A40" s="2089"/>
      <c r="B40" s="1996" t="s">
        <v>1554</v>
      </c>
      <c r="C40" s="2376"/>
      <c r="D40" s="2016" t="n">
        <v>100</v>
      </c>
      <c r="E40" s="2377"/>
      <c r="F40" s="2076" t="n">
        <f aca="false">SUMIF(118:118,E40,119:119)-SUMIF(118:118,C40,119:119)+100</f>
        <v>100</v>
      </c>
      <c r="G40" s="2377"/>
      <c r="H40" s="2017" t="n">
        <f aca="false">SUMIF(118:118,G40,119:119)-SUMIF(118:118,C40,119:119)+100</f>
        <v>100</v>
      </c>
      <c r="I40" s="2377"/>
      <c r="J40" s="2017" t="n">
        <f aca="false">SUMIF(118:118,I40,119:119)-SUMIF(118:118,C40,119:119)+100</f>
        <v>100</v>
      </c>
      <c r="K40" s="2364"/>
      <c r="L40" s="2018"/>
      <c r="M40" s="1954"/>
      <c r="N40" s="1954"/>
      <c r="O40" s="1954"/>
      <c r="P40" s="2078"/>
      <c r="Q40" s="2033" t="str">
        <f aca="false">B40</f>
        <v>单套建筑面积</v>
      </c>
      <c r="R40" s="2034" t="s">
        <v>1277</v>
      </c>
      <c r="S40" s="2035" t="n">
        <f aca="false">F40</f>
        <v>100</v>
      </c>
      <c r="T40" s="2034" t="s">
        <v>1277</v>
      </c>
      <c r="U40" s="2035" t="n">
        <f aca="false">H40</f>
        <v>100</v>
      </c>
      <c r="V40" s="2034" t="s">
        <v>1277</v>
      </c>
      <c r="W40" s="2035" t="n">
        <f aca="false">J40</f>
        <v>100</v>
      </c>
      <c r="X40" s="1958"/>
      <c r="Y40" s="2079"/>
      <c r="Z40" s="2037" t="str">
        <f aca="false">Q40</f>
        <v>单套建筑面积</v>
      </c>
      <c r="AA40" s="2038" t="n">
        <f aca="false">D40/F40</f>
        <v>1</v>
      </c>
      <c r="AB40" s="2038" t="n">
        <f aca="false">D40/H40</f>
        <v>1</v>
      </c>
      <c r="AC40" s="2038" t="n">
        <f aca="false">D40/J40</f>
        <v>1</v>
      </c>
    </row>
    <row r="41" s="2088" customFormat="true" ht="15" hidden="false" customHeight="false" outlineLevel="0" collapsed="false">
      <c r="A41" s="2080"/>
      <c r="B41" s="2378" t="s">
        <v>1555</v>
      </c>
      <c r="C41" s="2373"/>
      <c r="D41" s="2016" t="n">
        <v>100</v>
      </c>
      <c r="E41" s="2373"/>
      <c r="F41" s="2076" t="n">
        <f aca="false">SUMIF(120:120,E41,121:121)-SUMIF(120:120,C41,121:121)+100</f>
        <v>100</v>
      </c>
      <c r="G41" s="2373"/>
      <c r="H41" s="2017" t="n">
        <f aca="false">SUMIF(120:120,G41,121:121)-SUMIF(120:120,C41,121:121)+100</f>
        <v>100</v>
      </c>
      <c r="I41" s="2373"/>
      <c r="J41" s="2017" t="n">
        <f aca="false">SUMIF(120:120,I41,121:121)-SUMIF(120:120,C41,121:121)+100</f>
        <v>100</v>
      </c>
      <c r="K41" s="2363"/>
      <c r="L41" s="2009"/>
      <c r="M41" s="2082"/>
      <c r="N41" s="2082"/>
      <c r="O41" s="2082"/>
      <c r="P41" s="2078"/>
      <c r="Q41" s="2083" t="str">
        <f aca="false">B41</f>
        <v>进深比</v>
      </c>
      <c r="R41" s="2084" t="s">
        <v>1277</v>
      </c>
      <c r="S41" s="2085" t="n">
        <f aca="false">F41</f>
        <v>100</v>
      </c>
      <c r="T41" s="2084" t="s">
        <v>1277</v>
      </c>
      <c r="U41" s="2085" t="n">
        <f aca="false">H41</f>
        <v>100</v>
      </c>
      <c r="V41" s="2084" t="s">
        <v>1277</v>
      </c>
      <c r="W41" s="2085" t="n">
        <f aca="false">J41</f>
        <v>100</v>
      </c>
      <c r="X41" s="2086"/>
      <c r="Y41" s="2079"/>
      <c r="Z41" s="2087" t="str">
        <f aca="false">Q41</f>
        <v>进深比</v>
      </c>
      <c r="AA41" s="2038" t="n">
        <f aca="false">D41/F41</f>
        <v>1</v>
      </c>
      <c r="AB41" s="2038" t="n">
        <f aca="false">D41/H41</f>
        <v>1</v>
      </c>
      <c r="AC41" s="2038" t="n">
        <f aca="false">D41/J41</f>
        <v>1</v>
      </c>
    </row>
    <row r="42" customFormat="false" ht="15" hidden="false" customHeight="false" outlineLevel="0" collapsed="false">
      <c r="A42" s="2089"/>
      <c r="B42" s="1996" t="s">
        <v>1306</v>
      </c>
      <c r="C42" s="2063"/>
      <c r="D42" s="2016" t="n">
        <v>100</v>
      </c>
      <c r="E42" s="2063"/>
      <c r="F42" s="2076" t="n">
        <f aca="false">SUMIF(122:122,E42,123:123)-SUMIF(122:122,C42,123:123)+100</f>
        <v>100</v>
      </c>
      <c r="G42" s="2063"/>
      <c r="H42" s="2017" t="n">
        <f aca="false">SUMIF(122:122,G42,123:123)-SUMIF(122:122,C42,123:123)+100</f>
        <v>100</v>
      </c>
      <c r="I42" s="2063"/>
      <c r="J42" s="2017" t="n">
        <f aca="false">SUMIF(122:122,I42,123:123)-SUMIF(122:122,C42,123:123)+100</f>
        <v>100</v>
      </c>
      <c r="K42" s="2363"/>
      <c r="L42" s="2018"/>
      <c r="M42" s="1954"/>
      <c r="N42" s="1954"/>
      <c r="O42" s="1954"/>
      <c r="P42" s="2078"/>
      <c r="Q42" s="2033" t="str">
        <f aca="false">B42</f>
        <v>内部装修</v>
      </c>
      <c r="R42" s="2034" t="s">
        <v>1277</v>
      </c>
      <c r="S42" s="2035" t="n">
        <f aca="false">F42</f>
        <v>100</v>
      </c>
      <c r="T42" s="2034" t="s">
        <v>1277</v>
      </c>
      <c r="U42" s="2035" t="n">
        <f aca="false">H42</f>
        <v>100</v>
      </c>
      <c r="V42" s="2034" t="s">
        <v>1277</v>
      </c>
      <c r="W42" s="2035" t="n">
        <f aca="false">J42</f>
        <v>100</v>
      </c>
      <c r="X42" s="1958"/>
      <c r="Y42" s="2079"/>
      <c r="Z42" s="2037" t="str">
        <f aca="false">Q42</f>
        <v>内部装修</v>
      </c>
      <c r="AA42" s="2038" t="n">
        <f aca="false">D42/F42</f>
        <v>1</v>
      </c>
      <c r="AB42" s="2038" t="n">
        <f aca="false">D42/H42</f>
        <v>1</v>
      </c>
      <c r="AC42" s="2038" t="n">
        <f aca="false">D42/J42</f>
        <v>1</v>
      </c>
    </row>
    <row r="43" customFormat="false" ht="15" hidden="false" customHeight="false" outlineLevel="0" collapsed="false">
      <c r="A43" s="2089"/>
      <c r="B43" s="1996" t="s">
        <v>222</v>
      </c>
      <c r="C43" s="2063"/>
      <c r="D43" s="2016" t="n">
        <v>100</v>
      </c>
      <c r="E43" s="2063"/>
      <c r="F43" s="2076" t="n">
        <f aca="false">SUMIF(124:124,E43,125:125)-SUMIF(124:124,C43,125:125)+100</f>
        <v>100</v>
      </c>
      <c r="G43" s="2063"/>
      <c r="H43" s="2017" t="n">
        <f aca="false">SUMIF(124:124,G43,125:125)-SUMIF(124:124,C43,125:125)+100</f>
        <v>100</v>
      </c>
      <c r="I43" s="2063"/>
      <c r="J43" s="2017" t="n">
        <f aca="false">SUMIF(124:124,I43,125:125)-SUMIF(124:124,C43,125:125)+100</f>
        <v>100</v>
      </c>
      <c r="K43" s="2363"/>
      <c r="L43" s="2018"/>
      <c r="M43" s="1954"/>
      <c r="N43" s="1954"/>
      <c r="O43" s="1954"/>
      <c r="P43" s="2078"/>
      <c r="Q43" s="2033" t="str">
        <f aca="false">B43</f>
        <v>内部装修维护情况</v>
      </c>
      <c r="R43" s="2034" t="s">
        <v>1277</v>
      </c>
      <c r="S43" s="2035" t="n">
        <f aca="false">F43</f>
        <v>100</v>
      </c>
      <c r="T43" s="2034" t="s">
        <v>1277</v>
      </c>
      <c r="U43" s="2035" t="n">
        <f aca="false">H43</f>
        <v>100</v>
      </c>
      <c r="V43" s="2034" t="s">
        <v>1277</v>
      </c>
      <c r="W43" s="2035" t="n">
        <f aca="false">J43</f>
        <v>100</v>
      </c>
      <c r="X43" s="1958"/>
      <c r="Y43" s="2079"/>
      <c r="Z43" s="2037" t="str">
        <f aca="false">Q43</f>
        <v>内部装修维护情况</v>
      </c>
      <c r="AA43" s="2038" t="n">
        <f aca="false">D43/F43</f>
        <v>1</v>
      </c>
      <c r="AB43" s="2038" t="n">
        <f aca="false">D43/H43</f>
        <v>1</v>
      </c>
      <c r="AC43" s="2038" t="n">
        <f aca="false">D43/J43</f>
        <v>1</v>
      </c>
    </row>
    <row r="44" s="1983" customFormat="true" ht="15" hidden="false" customHeight="false" outlineLevel="0" collapsed="false">
      <c r="A44" s="2092"/>
      <c r="B44" s="2070" t="n">
        <v>111</v>
      </c>
      <c r="C44" s="2081"/>
      <c r="D44" s="1998" t="n">
        <v>100</v>
      </c>
      <c r="E44" s="2015"/>
      <c r="F44" s="2000" t="n">
        <f aca="false">SUMIF(126:126,E44,127:127)-SUMIF(126:126,C44,127:127)+100</f>
        <v>100</v>
      </c>
      <c r="G44" s="2015"/>
      <c r="H44" s="2001" t="n">
        <f aca="false">SUMIF(126:126,G44,127:127)-SUMIF(126:126,C44,127:127)+100</f>
        <v>100</v>
      </c>
      <c r="I44" s="2015"/>
      <c r="J44" s="2001" t="n">
        <f aca="false">SUMIF(126:126,I44,127:127)-SUMIF(126:126,C44,127:127)+100</f>
        <v>100</v>
      </c>
      <c r="K44" s="2364"/>
      <c r="L44" s="1977"/>
      <c r="M44" s="1978"/>
      <c r="N44" s="1978"/>
      <c r="O44" s="1978"/>
      <c r="P44" s="2078"/>
      <c r="Q44" s="510" t="n">
        <f aca="false">B44</f>
        <v>111</v>
      </c>
      <c r="R44" s="1980" t="s">
        <v>1277</v>
      </c>
      <c r="S44" s="1981" t="n">
        <f aca="false">F44</f>
        <v>100</v>
      </c>
      <c r="T44" s="1980" t="s">
        <v>1277</v>
      </c>
      <c r="U44" s="1981" t="n">
        <f aca="false">H44</f>
        <v>100</v>
      </c>
      <c r="V44" s="1980" t="s">
        <v>1277</v>
      </c>
      <c r="W44" s="1981" t="n">
        <f aca="false">J44</f>
        <v>100</v>
      </c>
      <c r="X44" s="1982"/>
      <c r="Y44" s="2079"/>
      <c r="Z44" s="540" t="n">
        <f aca="false">Q44</f>
        <v>111</v>
      </c>
      <c r="AA44" s="741" t="n">
        <f aca="false">D44/F44</f>
        <v>1</v>
      </c>
      <c r="AB44" s="741" t="n">
        <f aca="false">D44/H44</f>
        <v>1</v>
      </c>
      <c r="AC44" s="741" t="n">
        <f aca="false">D44/J44</f>
        <v>1</v>
      </c>
    </row>
    <row r="45" customFormat="false" ht="15" hidden="false" customHeight="false" outlineLevel="0" collapsed="false">
      <c r="A45" s="2089"/>
      <c r="B45" s="2070" t="n">
        <v>111</v>
      </c>
      <c r="C45" s="2015"/>
      <c r="D45" s="2016" t="n">
        <v>100</v>
      </c>
      <c r="E45" s="2015"/>
      <c r="F45" s="2076" t="n">
        <f aca="false">SUMIF(128:128,E45,129:129)-SUMIF(128:128,C45,129:129)+100</f>
        <v>100</v>
      </c>
      <c r="G45" s="2015"/>
      <c r="H45" s="2017" t="n">
        <f aca="false">SUMIF(128:128,G45,129:129)-SUMIF(128:128,C45,129:129)+100</f>
        <v>100</v>
      </c>
      <c r="I45" s="2015"/>
      <c r="J45" s="2017" t="n">
        <f aca="false">SUMIF(128:128,I45,129:129)-SUMIF(128:128,C45,129:129)+100</f>
        <v>100</v>
      </c>
      <c r="K45" s="2364"/>
      <c r="L45" s="2018"/>
      <c r="M45" s="1954"/>
      <c r="N45" s="1954"/>
      <c r="O45" s="1954"/>
      <c r="P45" s="2078"/>
      <c r="Q45" s="2033" t="n">
        <f aca="false">B45</f>
        <v>111</v>
      </c>
      <c r="R45" s="2034" t="s">
        <v>1277</v>
      </c>
      <c r="S45" s="2035" t="n">
        <f aca="false">F45</f>
        <v>100</v>
      </c>
      <c r="T45" s="2034" t="s">
        <v>1277</v>
      </c>
      <c r="U45" s="2035" t="n">
        <f aca="false">H45</f>
        <v>100</v>
      </c>
      <c r="V45" s="2034" t="s">
        <v>1277</v>
      </c>
      <c r="W45" s="2035" t="n">
        <f aca="false">J45</f>
        <v>100</v>
      </c>
      <c r="X45" s="1958"/>
      <c r="Y45" s="2079"/>
      <c r="Z45" s="2037" t="n">
        <f aca="false">Q45</f>
        <v>111</v>
      </c>
      <c r="AA45" s="2038" t="n">
        <f aca="false">D45/F45</f>
        <v>1</v>
      </c>
      <c r="AB45" s="2038" t="n">
        <f aca="false">D45/H45</f>
        <v>1</v>
      </c>
      <c r="AC45" s="2038" t="n">
        <f aca="false">D45/J45</f>
        <v>1</v>
      </c>
    </row>
    <row r="46" customFormat="false" ht="15" hidden="false" customHeight="false" outlineLevel="0" collapsed="false">
      <c r="A46" s="2099"/>
      <c r="B46" s="2020" t="n">
        <v>111</v>
      </c>
      <c r="C46" s="2021"/>
      <c r="D46" s="2022" t="n">
        <v>100</v>
      </c>
      <c r="E46" s="2015"/>
      <c r="F46" s="2023" t="n">
        <f aca="false">SUMIF(130:130,E46,131:131)-SUMIF(130:130,C46,131:131)+100</f>
        <v>100</v>
      </c>
      <c r="G46" s="2015"/>
      <c r="H46" s="2024" t="n">
        <f aca="false">SUMIF(130:130,G46,131:131)-SUMIF(130:130,C46,131:131)+100</f>
        <v>100</v>
      </c>
      <c r="I46" s="2015"/>
      <c r="J46" s="2024" t="n">
        <f aca="false">SUMIF(130:130,I46,131:131)-SUMIF(130:130,C46,131:131)+100</f>
        <v>100</v>
      </c>
      <c r="K46" s="2364"/>
      <c r="L46" s="2018"/>
      <c r="M46" s="1954"/>
      <c r="N46" s="1954"/>
      <c r="O46" s="1954"/>
      <c r="P46" s="2078"/>
      <c r="Q46" s="2033" t="n">
        <f aca="false">B46</f>
        <v>111</v>
      </c>
      <c r="R46" s="2034" t="s">
        <v>1277</v>
      </c>
      <c r="S46" s="2035" t="n">
        <f aca="false">F46</f>
        <v>100</v>
      </c>
      <c r="T46" s="2034" t="s">
        <v>1277</v>
      </c>
      <c r="U46" s="2035" t="n">
        <f aca="false">H46</f>
        <v>100</v>
      </c>
      <c r="V46" s="2034" t="s">
        <v>1277</v>
      </c>
      <c r="W46" s="2035" t="n">
        <f aca="false">J46</f>
        <v>100</v>
      </c>
      <c r="X46" s="1958"/>
      <c r="Y46" s="2079"/>
      <c r="Z46" s="2037" t="n">
        <f aca="false">Q46</f>
        <v>111</v>
      </c>
      <c r="AA46" s="2038" t="n">
        <f aca="false">D46/F46</f>
        <v>1</v>
      </c>
      <c r="AB46" s="2038" t="n">
        <f aca="false">D46/H46</f>
        <v>1</v>
      </c>
      <c r="AC46" s="2038" t="n">
        <f aca="false">D46/J46</f>
        <v>1</v>
      </c>
    </row>
    <row r="47" customFormat="false" ht="15" hidden="false" customHeight="false" outlineLevel="0" collapsed="false">
      <c r="A47" s="2100" t="s">
        <v>1308</v>
      </c>
      <c r="B47" s="2101"/>
      <c r="C47" s="2102" t="s">
        <v>122</v>
      </c>
      <c r="D47" s="2103"/>
      <c r="E47" s="2104"/>
      <c r="F47" s="2105"/>
      <c r="G47" s="2106"/>
      <c r="H47" s="2107"/>
      <c r="I47" s="2104"/>
      <c r="J47" s="2107"/>
      <c r="K47" s="2379"/>
      <c r="L47" s="2109"/>
      <c r="M47" s="2110"/>
      <c r="N47" s="1954"/>
      <c r="O47" s="2110"/>
      <c r="P47" s="2033" t="str">
        <f aca="false">A47</f>
        <v>成交单价（元/平方米）</v>
      </c>
      <c r="Q47" s="2033"/>
      <c r="R47" s="2037" t="n">
        <f aca="false">E47</f>
        <v>0</v>
      </c>
      <c r="S47" s="2037"/>
      <c r="T47" s="2037" t="n">
        <f aca="false">G47</f>
        <v>0</v>
      </c>
      <c r="U47" s="2037"/>
      <c r="V47" s="2037" t="n">
        <f aca="false">I47</f>
        <v>0</v>
      </c>
      <c r="W47" s="2037"/>
      <c r="X47" s="2111"/>
      <c r="Y47" s="2112"/>
      <c r="Z47" s="2111"/>
      <c r="AA47" s="2111"/>
      <c r="AB47" s="2111"/>
      <c r="AC47" s="2111"/>
    </row>
    <row r="48" customFormat="false" ht="15" hidden="false" customHeight="false" outlineLevel="0" collapsed="false">
      <c r="A48" s="2113" t="s">
        <v>1309</v>
      </c>
      <c r="B48" s="2114"/>
      <c r="C48" s="2115" t="e">
        <f aca="false">R49</f>
        <v>#DIV/0!</v>
      </c>
      <c r="D48" s="2116" t="s">
        <v>1310</v>
      </c>
      <c r="E48" s="2117" t="e">
        <f aca="false">R48</f>
        <v>#DIV/0!</v>
      </c>
      <c r="F48" s="2118"/>
      <c r="G48" s="2115" t="e">
        <f aca="false">T48</f>
        <v>#DIV/0!</v>
      </c>
      <c r="H48" s="2118"/>
      <c r="I48" s="2117" t="e">
        <f aca="false">V48</f>
        <v>#DIV/0!</v>
      </c>
      <c r="J48" s="2118"/>
      <c r="K48" s="2380" t="n">
        <f aca="false">F48+H48+J48</f>
        <v>0</v>
      </c>
      <c r="L48" s="2109"/>
      <c r="M48" s="2110"/>
      <c r="N48" s="1954"/>
      <c r="O48" s="2110"/>
      <c r="P48" s="2033" t="str">
        <f aca="false">A48</f>
        <v>比较价值（元/平方米）</v>
      </c>
      <c r="Q48" s="2033"/>
      <c r="R48" s="2038" t="e">
        <f aca="false">IF(F1="售价",ROUND(PRODUCT(R47,AA7:AA46),0),ROUND(PRODUCT(R47,AA7:AA46),1))</f>
        <v>#DIV/0!</v>
      </c>
      <c r="S48" s="2038"/>
      <c r="T48" s="2038" t="e">
        <f aca="false">IF(F1="售价",ROUND(PRODUCT(T47,AB7:AB46),0),ROUND(PRODUCT(T47,AB7:AB46),1))</f>
        <v>#DIV/0!</v>
      </c>
      <c r="U48" s="2038"/>
      <c r="V48" s="2038" t="e">
        <f aca="false">IF(F1="售价",ROUND(PRODUCT(V47,AC7:AC46),0),ROUND(PRODUCT(V47,AC7:AC46),1))</f>
        <v>#DIV/0!</v>
      </c>
      <c r="W48" s="2038"/>
      <c r="X48" s="2111"/>
      <c r="Y48" s="2111"/>
      <c r="Z48" s="2111"/>
      <c r="AA48" s="2111"/>
      <c r="AB48" s="2111"/>
      <c r="AC48" s="2111"/>
    </row>
    <row r="49" customFormat="false" ht="15" hidden="false" customHeight="false" outlineLevel="0" collapsed="false">
      <c r="A49" s="2120" t="s">
        <v>1311</v>
      </c>
      <c r="B49" s="2121"/>
      <c r="C49" s="2123" t="e">
        <f aca="false">R49</f>
        <v>#DIV/0!</v>
      </c>
      <c r="D49" s="2123"/>
      <c r="E49" s="2123"/>
      <c r="F49" s="2123"/>
      <c r="G49" s="2123"/>
      <c r="H49" s="2123"/>
      <c r="I49" s="2123"/>
      <c r="J49" s="2123"/>
      <c r="K49" s="2381"/>
      <c r="L49" s="2109"/>
      <c r="M49" s="2110"/>
      <c r="N49" s="1954"/>
      <c r="O49" s="2110"/>
      <c r="P49" s="2033" t="str">
        <f aca="false">A49</f>
        <v>估价对象XX用房的比较价值（楼面单价，元/平方米）</v>
      </c>
      <c r="Q49" s="2033"/>
      <c r="R49" s="2125" t="e">
        <f aca="false">IF(F1="售价",ROUND(IF(D48="简单平均",AVERAGE(R48:V48),R48*F48+T48*H48+V48*J48),0),ROUND(IF(D48="简单平均",AVERAGE(R48:V48),R48*F48+T48*H48+V48*J48),1))</f>
        <v>#DIV/0!</v>
      </c>
      <c r="S49" s="2125"/>
      <c r="T49" s="2125"/>
      <c r="U49" s="2125"/>
      <c r="V49" s="2125"/>
      <c r="W49" s="2125"/>
      <c r="X49" s="2111"/>
      <c r="Y49" s="2111"/>
      <c r="Z49" s="2111"/>
      <c r="AA49" s="2111"/>
      <c r="AB49" s="2111"/>
      <c r="AC49" s="2111"/>
    </row>
    <row r="50" customFormat="false" ht="14.25" hidden="false" customHeight="false" outlineLevel="0" collapsed="false">
      <c r="A50" s="2110"/>
      <c r="B50" s="2110"/>
      <c r="C50" s="2110"/>
      <c r="D50" s="2110"/>
      <c r="E50" s="2110"/>
      <c r="F50" s="2110"/>
      <c r="G50" s="2126"/>
      <c r="H50" s="2110"/>
      <c r="I50" s="2110"/>
      <c r="J50" s="2110"/>
      <c r="K50" s="2127"/>
      <c r="L50" s="2128"/>
      <c r="M50" s="2110"/>
      <c r="N50" s="2110"/>
      <c r="O50" s="2110"/>
      <c r="P50" s="2382"/>
      <c r="Q50" s="2110"/>
      <c r="R50" s="2110"/>
      <c r="S50" s="2110"/>
      <c r="T50" s="2110"/>
      <c r="U50" s="2110"/>
      <c r="V50" s="2110"/>
      <c r="W50" s="2110"/>
      <c r="X50" s="2110"/>
      <c r="Y50" s="2110"/>
      <c r="Z50" s="2110"/>
      <c r="AA50" s="2110"/>
      <c r="AB50" s="2110"/>
      <c r="AC50" s="2110"/>
    </row>
    <row r="51" customFormat="false" ht="14.25" hidden="false" customHeight="false" outlineLevel="0" collapsed="false">
      <c r="A51" s="2110"/>
      <c r="B51" s="2110"/>
      <c r="C51" s="2110"/>
      <c r="D51" s="2110"/>
      <c r="E51" s="2110"/>
      <c r="F51" s="2110"/>
      <c r="G51" s="2110"/>
      <c r="H51" s="2110"/>
      <c r="I51" s="2110"/>
      <c r="J51" s="2110"/>
      <c r="K51" s="2127"/>
      <c r="L51" s="2128"/>
      <c r="M51" s="2110"/>
      <c r="N51" s="2110"/>
      <c r="O51" s="2110"/>
      <c r="P51" s="2382"/>
      <c r="Q51" s="2110"/>
      <c r="R51" s="2110"/>
      <c r="S51" s="2110"/>
      <c r="T51" s="2110"/>
      <c r="U51" s="2110"/>
      <c r="V51" s="2110"/>
      <c r="W51" s="2110"/>
      <c r="X51" s="2110"/>
      <c r="Y51" s="2110"/>
      <c r="Z51" s="2110"/>
      <c r="AA51" s="2110"/>
      <c r="AB51" s="2110"/>
      <c r="AC51" s="2110"/>
    </row>
    <row r="52" customFormat="false" ht="13.5" hidden="false" customHeight="true" outlineLevel="0" collapsed="false">
      <c r="A52" s="2110"/>
      <c r="B52" s="2110"/>
      <c r="C52" s="2129" t="s">
        <v>1312</v>
      </c>
      <c r="D52" s="2130"/>
      <c r="E52" s="2131" t="e">
        <f aca="false">IF(E47&lt;E48,E48/E47-1,E47/E48-1)</f>
        <v>#DIV/0!</v>
      </c>
      <c r="F52" s="2132" t="e">
        <f aca="false">IF(OR(E52&gt;=0.3,E52&lt;=-0.3),"超过30%","")</f>
        <v>#DIV/0!</v>
      </c>
      <c r="G52" s="2131" t="e">
        <f aca="false">IF(G47&lt;G48,G48/G47-1,G47/G48-1)</f>
        <v>#DIV/0!</v>
      </c>
      <c r="H52" s="2132" t="e">
        <f aca="false">IF(OR(G52&gt;=0.3,G52&lt;=-0.3),"超过30%","")</f>
        <v>#DIV/0!</v>
      </c>
      <c r="I52" s="2131" t="e">
        <f aca="false">IF(I47&lt;I48,I48/I47-1,I47/I48-1)</f>
        <v>#DIV/0!</v>
      </c>
      <c r="J52" s="2132" t="e">
        <f aca="false">IF(OR(I52&gt;=0.3,I52&lt;=-0.3),"超过30%","")</f>
        <v>#DIV/0!</v>
      </c>
      <c r="K52" s="2127"/>
      <c r="L52" s="2128"/>
      <c r="M52" s="2110"/>
      <c r="N52" s="2110"/>
      <c r="O52" s="2110"/>
      <c r="P52" s="2382"/>
      <c r="Q52" s="2110"/>
      <c r="R52" s="2110"/>
      <c r="S52" s="2110"/>
      <c r="T52" s="2110"/>
      <c r="U52" s="2110"/>
      <c r="V52" s="2110"/>
      <c r="W52" s="2110"/>
      <c r="X52" s="2110"/>
      <c r="Y52" s="2110"/>
      <c r="Z52" s="2110"/>
      <c r="AA52" s="2110"/>
      <c r="AB52" s="2110"/>
      <c r="AC52" s="2110"/>
    </row>
    <row r="53" customFormat="false" ht="13.5" hidden="false" customHeight="true" outlineLevel="0" collapsed="false">
      <c r="A53" s="2110"/>
      <c r="B53" s="2110"/>
      <c r="C53" s="2129" t="s">
        <v>1313</v>
      </c>
      <c r="D53" s="2133"/>
      <c r="E53" s="2131" t="e">
        <f aca="false">IF(E48&lt;G48,G48/E48-1,E48/G48-1)</f>
        <v>#DIV/0!</v>
      </c>
      <c r="F53" s="2132" t="e">
        <f aca="false">IF(OR(E53&gt;=0.2,E53&lt;=-0.2),"超过20%","")</f>
        <v>#DIV/0!</v>
      </c>
      <c r="G53" s="2131" t="e">
        <f aca="false">IF(G48&lt;I48,I48/G48-1,G48/I48-1)</f>
        <v>#DIV/0!</v>
      </c>
      <c r="H53" s="2132" t="e">
        <f aca="false">IF(OR(G53&gt;=0.2,G53&lt;=-0.2),"超过20%","")</f>
        <v>#DIV/0!</v>
      </c>
      <c r="I53" s="2131" t="e">
        <f aca="false">IF(I48&lt;E48,E48/I48-1,I48/E48-1)</f>
        <v>#DIV/0!</v>
      </c>
      <c r="J53" s="2132" t="e">
        <f aca="false">IF(OR(I53&gt;=0.2,I53&lt;=-0.2),"超过20%","")</f>
        <v>#DIV/0!</v>
      </c>
      <c r="K53" s="2127"/>
      <c r="L53" s="2128"/>
      <c r="M53" s="2110"/>
      <c r="N53" s="2110"/>
      <c r="O53" s="2110"/>
      <c r="P53" s="2382"/>
      <c r="Q53" s="2110"/>
      <c r="R53" s="2110"/>
      <c r="S53" s="2110"/>
      <c r="T53" s="2110"/>
      <c r="U53" s="2110"/>
      <c r="V53" s="2110"/>
      <c r="W53" s="2110"/>
      <c r="X53" s="2110"/>
      <c r="Y53" s="2110"/>
      <c r="Z53" s="2110"/>
      <c r="AA53" s="2110"/>
      <c r="AB53" s="2110"/>
      <c r="AC53" s="2110"/>
    </row>
    <row r="54" s="2138" customFormat="true" ht="13.5" hidden="false" customHeight="true" outlineLevel="0" collapsed="false">
      <c r="A54" s="2134"/>
      <c r="B54" s="2134"/>
      <c r="C54" s="2129" t="s">
        <v>1314</v>
      </c>
      <c r="D54" s="2133"/>
      <c r="E54" s="2131" t="e">
        <f aca="false">IF(E47&lt;G47,G47/E47-1,E47/G47-1)</f>
        <v>#DIV/0!</v>
      </c>
      <c r="F54" s="2132" t="e">
        <f aca="false">IF(OR(E54&gt;=0.3,E54&lt;=-0.3),"超过30%","")</f>
        <v>#DIV/0!</v>
      </c>
      <c r="G54" s="2131" t="e">
        <f aca="false">IF(G47&lt;I47,I47/G47-1,G47/I47-1)</f>
        <v>#DIV/0!</v>
      </c>
      <c r="H54" s="2132" t="e">
        <f aca="false">IF(OR(G54&gt;=0.3,G54&lt;=-0.3),"超过30%","")</f>
        <v>#DIV/0!</v>
      </c>
      <c r="I54" s="2131" t="e">
        <f aca="false">IF(I47&lt;E47,E47/I47-1,I47/E47-1)</f>
        <v>#DIV/0!</v>
      </c>
      <c r="J54" s="2132" t="e">
        <f aca="false">IF(OR(I54&gt;=0.3,I54&lt;=-0.3),"超过30%","")</f>
        <v>#DIV/0!</v>
      </c>
      <c r="K54" s="2135"/>
      <c r="L54" s="2136"/>
      <c r="M54" s="2134"/>
      <c r="N54" s="2134"/>
      <c r="O54" s="2134"/>
      <c r="P54" s="2383"/>
      <c r="Q54" s="2134"/>
      <c r="R54" s="2134"/>
      <c r="S54" s="2134"/>
      <c r="T54" s="2134"/>
      <c r="U54" s="2134"/>
      <c r="V54" s="2134"/>
      <c r="W54" s="2134"/>
      <c r="X54" s="2134"/>
      <c r="Y54" s="2134"/>
      <c r="Z54" s="2134"/>
      <c r="AA54" s="2134"/>
      <c r="AB54" s="2134"/>
      <c r="AC54" s="2134"/>
    </row>
    <row r="55" s="2138" customFormat="true" ht="14.25" hidden="false" customHeight="false" outlineLevel="0" collapsed="false">
      <c r="A55" s="2134"/>
      <c r="B55" s="2139"/>
      <c r="C55" s="2140"/>
      <c r="D55" s="2134"/>
      <c r="E55" s="2134"/>
      <c r="F55" s="2134"/>
      <c r="G55" s="2134"/>
      <c r="H55" s="2134"/>
      <c r="I55" s="2134"/>
      <c r="J55" s="2134"/>
      <c r="K55" s="2135"/>
      <c r="L55" s="2136"/>
      <c r="M55" s="2134"/>
      <c r="N55" s="2134"/>
      <c r="O55" s="2134"/>
      <c r="P55" s="2383"/>
      <c r="Q55" s="2134"/>
      <c r="R55" s="2134"/>
      <c r="S55" s="2134"/>
      <c r="T55" s="2134"/>
      <c r="U55" s="2134"/>
      <c r="V55" s="2134"/>
      <c r="W55" s="2134"/>
      <c r="X55" s="2134"/>
      <c r="Y55" s="2134"/>
      <c r="Z55" s="2134"/>
      <c r="AA55" s="2134"/>
      <c r="AB55" s="2134"/>
      <c r="AC55" s="2134"/>
    </row>
    <row r="56" customFormat="false" ht="14.25" hidden="false" customHeight="false" outlineLevel="0" collapsed="false">
      <c r="A56" s="2110"/>
      <c r="B56" s="2139"/>
      <c r="C56" s="2140"/>
      <c r="D56" s="2110"/>
      <c r="E56" s="2110"/>
      <c r="F56" s="2110"/>
      <c r="G56" s="2110"/>
      <c r="H56" s="2110"/>
      <c r="I56" s="2110"/>
      <c r="J56" s="2110"/>
      <c r="K56" s="2127"/>
      <c r="L56" s="2128"/>
      <c r="M56" s="2110"/>
      <c r="N56" s="2110"/>
      <c r="O56" s="2110"/>
      <c r="P56" s="2382"/>
      <c r="Q56" s="2110"/>
      <c r="R56" s="2110"/>
      <c r="S56" s="2110"/>
      <c r="T56" s="2110"/>
      <c r="U56" s="2110"/>
      <c r="V56" s="2110"/>
      <c r="W56" s="2110"/>
      <c r="X56" s="2110"/>
      <c r="Y56" s="2110"/>
      <c r="Z56" s="2110"/>
      <c r="AA56" s="2110"/>
      <c r="AB56" s="2110"/>
      <c r="AC56" s="2110"/>
    </row>
    <row r="57" customFormat="false" ht="21" hidden="false" customHeight="false" outlineLevel="0" collapsed="false">
      <c r="A57" s="2141" t="s">
        <v>1315</v>
      </c>
      <c r="B57" s="2111"/>
      <c r="C57" s="2142"/>
      <c r="D57" s="2142"/>
      <c r="E57" s="2142"/>
      <c r="F57" s="2143"/>
      <c r="G57" s="2143"/>
      <c r="H57" s="2142"/>
      <c r="I57" s="2142"/>
      <c r="J57" s="2142"/>
      <c r="K57" s="2384"/>
      <c r="L57" s="2145"/>
      <c r="M57" s="2146"/>
      <c r="N57" s="2146"/>
      <c r="O57" s="2146"/>
      <c r="P57" s="2385"/>
      <c r="Q57" s="2386"/>
      <c r="R57" s="2110"/>
      <c r="S57" s="2110"/>
      <c r="T57" s="2110"/>
      <c r="U57" s="2110"/>
      <c r="V57" s="2110"/>
      <c r="W57" s="2110"/>
      <c r="X57" s="2110"/>
      <c r="Y57" s="2110"/>
      <c r="Z57" s="2110"/>
      <c r="AA57" s="2110"/>
      <c r="AB57" s="2110"/>
      <c r="AC57" s="2110"/>
    </row>
    <row r="58" s="2154" customFormat="true" ht="15" hidden="false" customHeight="false" outlineLevel="0" collapsed="false">
      <c r="A58" s="2149" t="s">
        <v>1276</v>
      </c>
      <c r="B58" s="2150"/>
      <c r="C58" s="2387" t="str">
        <f aca="false">YEAR(C7)&amp;"-"&amp;MONTH(C7)</f>
        <v>2006-11</v>
      </c>
      <c r="D58" s="2152" t="n">
        <f aca="false">EDATE(C58,-1)</f>
        <v>38991</v>
      </c>
      <c r="E58" s="2152" t="n">
        <f aca="false">EDATE(D58,-1)</f>
        <v>38961</v>
      </c>
      <c r="F58" s="2152" t="n">
        <f aca="false">EDATE(E58,-1)</f>
        <v>38930</v>
      </c>
      <c r="G58" s="2152" t="n">
        <f aca="false">EDATE(F58,-1)</f>
        <v>38899</v>
      </c>
      <c r="H58" s="2152" t="n">
        <f aca="false">EDATE(G58,-1)</f>
        <v>38869</v>
      </c>
      <c r="I58" s="2152" t="n">
        <f aca="false">EDATE(H58,-1)</f>
        <v>38838</v>
      </c>
      <c r="J58" s="2152" t="n">
        <f aca="false">EDATE(I58,-1)</f>
        <v>38808</v>
      </c>
      <c r="K58" s="2152" t="n">
        <f aca="false">EDATE(J58,-1)</f>
        <v>38777</v>
      </c>
      <c r="L58" s="2152" t="n">
        <f aca="false">EDATE(K58,-1)</f>
        <v>38749</v>
      </c>
      <c r="M58" s="2152" t="n">
        <f aca="false">EDATE(L58,-1)</f>
        <v>38718</v>
      </c>
      <c r="N58" s="2152" t="n">
        <f aca="false">EDATE(M58,-1)</f>
        <v>38687</v>
      </c>
      <c r="O58" s="2152" t="n">
        <f aca="false">EDATE(N58,-1)</f>
        <v>38657</v>
      </c>
      <c r="P58" s="2388"/>
      <c r="Q58" s="2389"/>
      <c r="R58" s="2389"/>
      <c r="S58" s="2389"/>
      <c r="T58" s="2389"/>
      <c r="U58" s="2389"/>
      <c r="V58" s="2389"/>
      <c r="W58" s="2389"/>
      <c r="X58" s="2389"/>
      <c r="Y58" s="2389"/>
      <c r="Z58" s="2389"/>
      <c r="AA58" s="2389"/>
      <c r="AB58" s="2389"/>
      <c r="AC58" s="2389"/>
    </row>
    <row r="59" s="1983" customFormat="true" ht="15" hidden="false" customHeight="false" outlineLevel="0" collapsed="false">
      <c r="A59" s="2155"/>
      <c r="B59" s="2167"/>
      <c r="C59" s="2157" t="n">
        <v>100</v>
      </c>
      <c r="D59" s="2159"/>
      <c r="E59" s="2159"/>
      <c r="F59" s="2159"/>
      <c r="G59" s="2159"/>
      <c r="H59" s="2159"/>
      <c r="I59" s="2159"/>
      <c r="J59" s="2159"/>
      <c r="K59" s="2159"/>
      <c r="L59" s="2159"/>
      <c r="M59" s="2390"/>
      <c r="N59" s="2159"/>
      <c r="O59" s="2390"/>
      <c r="P59" s="2391"/>
      <c r="Q59" s="529"/>
      <c r="R59" s="529"/>
      <c r="S59" s="529"/>
      <c r="T59" s="529"/>
      <c r="U59" s="529"/>
      <c r="V59" s="529"/>
      <c r="W59" s="529"/>
      <c r="X59" s="529"/>
      <c r="Y59" s="529"/>
      <c r="Z59" s="529"/>
      <c r="AA59" s="529"/>
      <c r="AB59" s="529"/>
      <c r="AC59" s="529"/>
    </row>
    <row r="60" s="1983" customFormat="true" ht="15" hidden="false" customHeight="false" outlineLevel="0" collapsed="false">
      <c r="A60" s="2161" t="s">
        <v>1316</v>
      </c>
      <c r="B60" s="2162"/>
      <c r="C60" s="2163"/>
      <c r="D60" s="2164"/>
      <c r="E60" s="2164"/>
      <c r="F60" s="2164"/>
      <c r="G60" s="2164"/>
      <c r="H60" s="2164"/>
      <c r="I60" s="2164"/>
      <c r="J60" s="2164"/>
      <c r="K60" s="2164"/>
      <c r="L60" s="2164"/>
      <c r="M60" s="2165"/>
      <c r="N60" s="2164"/>
      <c r="O60" s="2165"/>
      <c r="P60" s="2391"/>
      <c r="Q60" s="2386"/>
      <c r="R60" s="529"/>
      <c r="S60" s="529"/>
      <c r="T60" s="529"/>
      <c r="U60" s="529"/>
      <c r="V60" s="529"/>
      <c r="W60" s="529"/>
      <c r="X60" s="529"/>
      <c r="Y60" s="529"/>
      <c r="Z60" s="529"/>
      <c r="AA60" s="529"/>
      <c r="AB60" s="529"/>
      <c r="AC60" s="529"/>
    </row>
    <row r="61" s="1983" customFormat="true" ht="15" hidden="false" customHeight="false" outlineLevel="0" collapsed="false">
      <c r="A61" s="2166" t="s">
        <v>1278</v>
      </c>
      <c r="B61" s="2167"/>
      <c r="C61" s="2168" t="s">
        <v>1279</v>
      </c>
      <c r="D61" s="2169"/>
      <c r="E61" s="2169"/>
      <c r="F61" s="2169"/>
      <c r="G61" s="2169"/>
      <c r="H61" s="2169"/>
      <c r="I61" s="2169"/>
      <c r="J61" s="2169"/>
      <c r="K61" s="2169"/>
      <c r="L61" s="2170"/>
      <c r="M61" s="2171"/>
      <c r="N61" s="2392"/>
      <c r="O61" s="2392"/>
      <c r="P61" s="2393"/>
      <c r="Q61" s="2386"/>
      <c r="R61" s="529"/>
      <c r="S61" s="529"/>
      <c r="T61" s="529"/>
      <c r="U61" s="529"/>
      <c r="V61" s="529"/>
      <c r="W61" s="529"/>
      <c r="X61" s="529"/>
      <c r="Y61" s="529"/>
      <c r="Z61" s="529"/>
      <c r="AA61" s="529"/>
      <c r="AB61" s="529"/>
      <c r="AC61" s="529"/>
    </row>
    <row r="62" s="1983" customFormat="true" ht="15" hidden="false" customHeight="false" outlineLevel="0" collapsed="false">
      <c r="A62" s="2166"/>
      <c r="B62" s="2167"/>
      <c r="C62" s="2158" t="n">
        <v>100</v>
      </c>
      <c r="D62" s="2159"/>
      <c r="E62" s="2159"/>
      <c r="F62" s="2159"/>
      <c r="G62" s="2159"/>
      <c r="H62" s="2159"/>
      <c r="I62" s="2159"/>
      <c r="J62" s="2159"/>
      <c r="K62" s="2159"/>
      <c r="L62" s="2159"/>
      <c r="M62" s="2174"/>
      <c r="N62" s="2392"/>
      <c r="O62" s="2392"/>
      <c r="P62" s="2391"/>
      <c r="Q62" s="2386"/>
      <c r="R62" s="529"/>
      <c r="S62" s="529"/>
      <c r="T62" s="529"/>
      <c r="U62" s="529"/>
      <c r="V62" s="529"/>
      <c r="W62" s="529"/>
      <c r="X62" s="529"/>
      <c r="Y62" s="529"/>
      <c r="Z62" s="529"/>
      <c r="AA62" s="529"/>
      <c r="AB62" s="529"/>
      <c r="AC62" s="529"/>
    </row>
    <row r="63" customFormat="false" ht="14.25" hidden="false" customHeight="false" outlineLevel="0" collapsed="false">
      <c r="A63" s="2175" t="s">
        <v>1280</v>
      </c>
      <c r="B63" s="2176" t="s">
        <v>399</v>
      </c>
      <c r="C63" s="2177" t="n">
        <f aca="false">C9</f>
        <v>0</v>
      </c>
      <c r="D63" s="2178"/>
      <c r="E63" s="2178"/>
      <c r="F63" s="2178"/>
      <c r="G63" s="2178"/>
      <c r="H63" s="2178"/>
      <c r="I63" s="2178"/>
      <c r="J63" s="2178"/>
      <c r="K63" s="2179"/>
      <c r="L63" s="2180"/>
      <c r="M63" s="2181"/>
      <c r="N63" s="2394"/>
      <c r="O63" s="2394"/>
      <c r="P63" s="2395"/>
      <c r="Q63" s="2386"/>
      <c r="R63" s="2110"/>
      <c r="S63" s="2110"/>
      <c r="T63" s="2110"/>
      <c r="U63" s="2110"/>
      <c r="V63" s="2110"/>
      <c r="W63" s="2110"/>
      <c r="X63" s="2110"/>
      <c r="Y63" s="2110"/>
      <c r="Z63" s="2110"/>
      <c r="AA63" s="2110"/>
      <c r="AB63" s="2110"/>
      <c r="AC63" s="2110"/>
    </row>
    <row r="64" customFormat="false" ht="15" hidden="false" customHeight="false" outlineLevel="0" collapsed="false">
      <c r="A64" s="2184"/>
      <c r="B64" s="2185"/>
      <c r="C64" s="2186" t="n">
        <v>100</v>
      </c>
      <c r="D64" s="2186"/>
      <c r="E64" s="2186"/>
      <c r="F64" s="2186"/>
      <c r="G64" s="2186"/>
      <c r="H64" s="2186"/>
      <c r="I64" s="2186"/>
      <c r="J64" s="2186"/>
      <c r="K64" s="2186"/>
      <c r="L64" s="2186"/>
      <c r="M64" s="2187"/>
      <c r="N64" s="2396"/>
      <c r="O64" s="2396"/>
      <c r="P64" s="2395"/>
      <c r="Q64" s="2386"/>
      <c r="R64" s="2110"/>
      <c r="S64" s="2110"/>
      <c r="T64" s="2110"/>
      <c r="U64" s="2110"/>
      <c r="V64" s="2110"/>
      <c r="W64" s="2110"/>
      <c r="X64" s="2110"/>
      <c r="Y64" s="2110"/>
      <c r="Z64" s="2110"/>
      <c r="AA64" s="2110"/>
      <c r="AB64" s="2110"/>
      <c r="AC64" s="2110"/>
    </row>
    <row r="65" customFormat="false" ht="27" hidden="false" customHeight="false" outlineLevel="0" collapsed="false">
      <c r="A65" s="2184"/>
      <c r="B65" s="2189" t="s">
        <v>1281</v>
      </c>
      <c r="C65" s="2190"/>
      <c r="D65" s="2190"/>
      <c r="E65" s="2190"/>
      <c r="F65" s="2190"/>
      <c r="G65" s="2190"/>
      <c r="H65" s="2190"/>
      <c r="I65" s="2190"/>
      <c r="J65" s="2190"/>
      <c r="K65" s="2246"/>
      <c r="L65" s="2247"/>
      <c r="M65" s="2248"/>
      <c r="N65" s="2394"/>
      <c r="O65" s="2394"/>
      <c r="P65" s="2395"/>
      <c r="Q65" s="2386"/>
      <c r="R65" s="2110"/>
      <c r="S65" s="2110"/>
      <c r="T65" s="2110"/>
      <c r="U65" s="2110"/>
      <c r="V65" s="2110"/>
      <c r="W65" s="2110"/>
      <c r="X65" s="2110"/>
      <c r="Y65" s="2110"/>
      <c r="Z65" s="2110"/>
      <c r="AA65" s="2110"/>
      <c r="AB65" s="2110"/>
      <c r="AC65" s="2110"/>
    </row>
    <row r="66" customFormat="false" ht="15" hidden="false" customHeight="false" outlineLevel="0" collapsed="false">
      <c r="A66" s="2184"/>
      <c r="B66" s="2191"/>
      <c r="C66" s="2186"/>
      <c r="D66" s="2186"/>
      <c r="E66" s="2186"/>
      <c r="F66" s="2186"/>
      <c r="G66" s="2186"/>
      <c r="H66" s="2186"/>
      <c r="I66" s="2186"/>
      <c r="J66" s="2186"/>
      <c r="K66" s="2186"/>
      <c r="L66" s="2186"/>
      <c r="M66" s="2187"/>
      <c r="N66" s="2396"/>
      <c r="O66" s="2396"/>
      <c r="P66" s="2395"/>
      <c r="Q66" s="2386"/>
      <c r="R66" s="2110"/>
      <c r="S66" s="2110"/>
      <c r="T66" s="2110"/>
      <c r="U66" s="2110"/>
      <c r="V66" s="2110"/>
      <c r="W66" s="2110"/>
      <c r="X66" s="2110"/>
      <c r="Y66" s="2110"/>
      <c r="Z66" s="2110"/>
      <c r="AA66" s="2110"/>
      <c r="AB66" s="2110"/>
      <c r="AC66" s="2110"/>
    </row>
    <row r="67" customFormat="false" ht="15" hidden="false" customHeight="false" outlineLevel="0" collapsed="false">
      <c r="A67" s="2184"/>
      <c r="B67" s="2192" t="s">
        <v>524</v>
      </c>
      <c r="C67" s="2193" t="str">
        <f aca="false">C68&amp;"（含）"&amp;"-"&amp;D68</f>
        <v>（含）-</v>
      </c>
      <c r="D67" s="2193" t="str">
        <f aca="false">D68&amp;"（含）"&amp;"-"&amp;E68</f>
        <v>（含）-</v>
      </c>
      <c r="E67" s="2193" t="str">
        <f aca="false">E68&amp;"（含）"&amp;"-"&amp;F68</f>
        <v>（含）-</v>
      </c>
      <c r="F67" s="2193" t="str">
        <f aca="false">F68&amp;"（含）"&amp;"-"&amp;G68</f>
        <v>（含）-</v>
      </c>
      <c r="G67" s="2193" t="str">
        <f aca="false">G68&amp;"（含）"&amp;"-"&amp;H68</f>
        <v>（含）-</v>
      </c>
      <c r="H67" s="2193" t="str">
        <f aca="false">H68&amp;"（含）"&amp;"-"&amp;I68</f>
        <v>（含）-</v>
      </c>
      <c r="I67" s="2193" t="str">
        <f aca="false">I68&amp;"（含）"&amp;"-"&amp;J68</f>
        <v>（含）-</v>
      </c>
      <c r="J67" s="2193" t="str">
        <f aca="false">J68&amp;"（含）"&amp;"-"&amp;K68</f>
        <v>（含）-</v>
      </c>
      <c r="K67" s="2193" t="str">
        <f aca="false">K68&amp;"（含）"&amp;"-"&amp;L68</f>
        <v>（含）-</v>
      </c>
      <c r="L67" s="2193" t="str">
        <f aca="false">L68&amp;"（含）"&amp;"-"&amp;M68</f>
        <v>（含）-</v>
      </c>
      <c r="M67" s="2041" t="str">
        <f aca="false">M68&amp;"（含）"&amp;"-"&amp;P68</f>
        <v>（含）-</v>
      </c>
      <c r="N67" s="2396"/>
      <c r="O67" s="2396"/>
      <c r="P67" s="2395"/>
      <c r="Q67" s="2386"/>
      <c r="R67" s="2110"/>
      <c r="S67" s="2110"/>
      <c r="T67" s="2110"/>
      <c r="U67" s="2110"/>
      <c r="V67" s="2110"/>
      <c r="W67" s="2110"/>
      <c r="X67" s="2110"/>
      <c r="Y67" s="2110"/>
      <c r="Z67" s="2110"/>
      <c r="AA67" s="2110"/>
      <c r="AB67" s="2110"/>
      <c r="AC67" s="2110"/>
    </row>
    <row r="68" customFormat="false" ht="15" hidden="false" customHeight="false" outlineLevel="0" collapsed="false">
      <c r="A68" s="2184"/>
      <c r="B68" s="2194"/>
      <c r="C68" s="2195"/>
      <c r="D68" s="2195"/>
      <c r="E68" s="2195"/>
      <c r="F68" s="2195"/>
      <c r="G68" s="2195"/>
      <c r="H68" s="2195"/>
      <c r="I68" s="2195"/>
      <c r="J68" s="2195"/>
      <c r="K68" s="2196"/>
      <c r="L68" s="2197"/>
      <c r="M68" s="2198"/>
      <c r="N68" s="2394"/>
      <c r="O68" s="2394"/>
      <c r="P68" s="2395"/>
      <c r="Q68" s="2386"/>
      <c r="R68" s="2110"/>
      <c r="S68" s="2110"/>
      <c r="T68" s="2110"/>
      <c r="U68" s="2110"/>
      <c r="V68" s="2110"/>
      <c r="W68" s="2110"/>
      <c r="X68" s="2110"/>
      <c r="Y68" s="2110"/>
      <c r="Z68" s="2110"/>
      <c r="AA68" s="2110"/>
      <c r="AB68" s="2110"/>
      <c r="AC68" s="2110"/>
    </row>
    <row r="69" customFormat="false" ht="15" hidden="false" customHeight="false" outlineLevel="0" collapsed="false">
      <c r="A69" s="2184"/>
      <c r="B69" s="2185"/>
      <c r="C69" s="2199" t="n">
        <v>100</v>
      </c>
      <c r="D69" s="2199" t="n">
        <f aca="false">C69-$K11</f>
        <v>100</v>
      </c>
      <c r="E69" s="2199" t="n">
        <f aca="false">D69-$K11</f>
        <v>100</v>
      </c>
      <c r="F69" s="2199" t="n">
        <f aca="false">E69-$K11</f>
        <v>100</v>
      </c>
      <c r="G69" s="2199" t="n">
        <f aca="false">F69-$K11</f>
        <v>100</v>
      </c>
      <c r="H69" s="2199" t="n">
        <f aca="false">G69-$K11</f>
        <v>100</v>
      </c>
      <c r="I69" s="2199" t="n">
        <f aca="false">H69-$K11</f>
        <v>100</v>
      </c>
      <c r="J69" s="2199" t="n">
        <f aca="false">I69-$K11</f>
        <v>100</v>
      </c>
      <c r="K69" s="2199" t="n">
        <f aca="false">J69-$K11</f>
        <v>100</v>
      </c>
      <c r="L69" s="2199" t="n">
        <f aca="false">K69-$K11</f>
        <v>100</v>
      </c>
      <c r="M69" s="2200" t="n">
        <f aca="false">L69-$K11</f>
        <v>100</v>
      </c>
      <c r="N69" s="2396"/>
      <c r="O69" s="2396"/>
      <c r="P69" s="2395"/>
      <c r="Q69" s="2386"/>
      <c r="R69" s="2110"/>
      <c r="S69" s="2110"/>
      <c r="T69" s="2110"/>
      <c r="U69" s="2110"/>
      <c r="V69" s="2110"/>
      <c r="W69" s="2110"/>
      <c r="X69" s="2110"/>
      <c r="Y69" s="2110"/>
      <c r="Z69" s="2110"/>
      <c r="AA69" s="2110"/>
      <c r="AB69" s="2110"/>
      <c r="AC69" s="2110"/>
    </row>
    <row r="70" s="2088" customFormat="true" ht="15" hidden="false" customHeight="false" outlineLevel="0" collapsed="false">
      <c r="A70" s="2201"/>
      <c r="B70" s="2189" t="n">
        <f aca="false">B12</f>
        <v>111</v>
      </c>
      <c r="C70" s="2202"/>
      <c r="D70" s="2202"/>
      <c r="E70" s="2202"/>
      <c r="F70" s="2202"/>
      <c r="G70" s="2202"/>
      <c r="H70" s="2203"/>
      <c r="I70" s="2203"/>
      <c r="J70" s="2203"/>
      <c r="K70" s="2203"/>
      <c r="L70" s="2204"/>
      <c r="M70" s="2205"/>
      <c r="N70" s="2397"/>
      <c r="O70" s="2397"/>
      <c r="P70" s="2398"/>
      <c r="Q70" s="2399"/>
      <c r="R70" s="791"/>
      <c r="S70" s="791"/>
      <c r="T70" s="791"/>
      <c r="U70" s="791"/>
      <c r="V70" s="791"/>
      <c r="W70" s="791"/>
      <c r="X70" s="791"/>
      <c r="Y70" s="791"/>
      <c r="Z70" s="791"/>
      <c r="AA70" s="791"/>
      <c r="AB70" s="791"/>
      <c r="AC70" s="791"/>
    </row>
    <row r="71" s="2088" customFormat="true" ht="15" hidden="false" customHeight="false" outlineLevel="0" collapsed="false">
      <c r="A71" s="2201"/>
      <c r="B71" s="2191"/>
      <c r="C71" s="2209"/>
      <c r="D71" s="2186"/>
      <c r="E71" s="2186"/>
      <c r="F71" s="2186"/>
      <c r="G71" s="2186"/>
      <c r="H71" s="2186"/>
      <c r="I71" s="2186"/>
      <c r="J71" s="2186"/>
      <c r="K71" s="2186"/>
      <c r="L71" s="2186"/>
      <c r="M71" s="2187"/>
      <c r="N71" s="2396"/>
      <c r="O71" s="2396"/>
      <c r="P71" s="2398"/>
      <c r="Q71" s="2399"/>
      <c r="R71" s="791"/>
      <c r="S71" s="791"/>
      <c r="T71" s="791"/>
      <c r="U71" s="791"/>
      <c r="V71" s="791"/>
      <c r="W71" s="791"/>
      <c r="X71" s="791"/>
      <c r="Y71" s="791"/>
      <c r="Z71" s="791"/>
      <c r="AA71" s="791"/>
      <c r="AB71" s="791"/>
      <c r="AC71" s="791"/>
    </row>
    <row r="72" s="2088" customFormat="true" ht="15" hidden="false" customHeight="false" outlineLevel="0" collapsed="false">
      <c r="A72" s="2201"/>
      <c r="B72" s="2189" t="n">
        <f aca="false">B13</f>
        <v>111</v>
      </c>
      <c r="C72" s="2202"/>
      <c r="D72" s="2202"/>
      <c r="E72" s="2202"/>
      <c r="F72" s="2202"/>
      <c r="G72" s="2202"/>
      <c r="H72" s="2203"/>
      <c r="I72" s="2203"/>
      <c r="J72" s="2203"/>
      <c r="K72" s="2203"/>
      <c r="L72" s="2204"/>
      <c r="M72" s="2205"/>
      <c r="N72" s="2397"/>
      <c r="O72" s="2397"/>
      <c r="P72" s="2400"/>
      <c r="Q72" s="2401"/>
      <c r="R72" s="791"/>
      <c r="S72" s="791"/>
      <c r="T72" s="791"/>
      <c r="U72" s="791"/>
      <c r="V72" s="791"/>
      <c r="W72" s="791"/>
      <c r="X72" s="791"/>
      <c r="Y72" s="791"/>
      <c r="Z72" s="791"/>
      <c r="AA72" s="791"/>
      <c r="AB72" s="791"/>
      <c r="AC72" s="791"/>
    </row>
    <row r="73" s="2088" customFormat="true" ht="15" hidden="false" customHeight="false" outlineLevel="0" collapsed="false">
      <c r="A73" s="2201"/>
      <c r="B73" s="2191"/>
      <c r="C73" s="2209"/>
      <c r="D73" s="2186"/>
      <c r="E73" s="2186"/>
      <c r="F73" s="2186"/>
      <c r="G73" s="2209"/>
      <c r="H73" s="2212"/>
      <c r="I73" s="2212"/>
      <c r="J73" s="2212"/>
      <c r="K73" s="2212"/>
      <c r="L73" s="2212"/>
      <c r="M73" s="2213"/>
      <c r="N73" s="2397"/>
      <c r="O73" s="2397"/>
      <c r="P73" s="2398"/>
      <c r="Q73" s="2399"/>
      <c r="R73" s="791"/>
      <c r="S73" s="791"/>
      <c r="T73" s="791"/>
      <c r="U73" s="791"/>
      <c r="V73" s="791"/>
      <c r="W73" s="791"/>
      <c r="X73" s="791"/>
      <c r="Y73" s="791"/>
      <c r="Z73" s="791"/>
      <c r="AA73" s="791"/>
      <c r="AB73" s="791"/>
      <c r="AC73" s="791"/>
    </row>
    <row r="74" s="2088" customFormat="true" ht="15" hidden="false" customHeight="false" outlineLevel="0" collapsed="false">
      <c r="A74" s="2201"/>
      <c r="B74" s="2192" t="n">
        <f aca="false">B14</f>
        <v>111</v>
      </c>
      <c r="C74" s="2202"/>
      <c r="D74" s="2202"/>
      <c r="E74" s="2202"/>
      <c r="F74" s="2202"/>
      <c r="G74" s="2169"/>
      <c r="H74" s="2214"/>
      <c r="I74" s="2214"/>
      <c r="J74" s="2214"/>
      <c r="K74" s="2214"/>
      <c r="L74" s="2215"/>
      <c r="M74" s="2216"/>
      <c r="N74" s="2397"/>
      <c r="O74" s="2397"/>
      <c r="P74" s="2402"/>
      <c r="Q74" s="2399"/>
      <c r="R74" s="791"/>
      <c r="S74" s="791"/>
      <c r="T74" s="791"/>
      <c r="U74" s="791"/>
      <c r="V74" s="791"/>
      <c r="W74" s="791"/>
      <c r="X74" s="791"/>
      <c r="Y74" s="791"/>
      <c r="Z74" s="791"/>
      <c r="AA74" s="791"/>
      <c r="AB74" s="791"/>
      <c r="AC74" s="791"/>
    </row>
    <row r="75" s="2088" customFormat="true" ht="15" hidden="false" customHeight="false" outlineLevel="0" collapsed="false">
      <c r="A75" s="2218"/>
      <c r="B75" s="2219"/>
      <c r="C75" s="2220"/>
      <c r="D75" s="2220"/>
      <c r="E75" s="2220"/>
      <c r="F75" s="2220"/>
      <c r="G75" s="2220"/>
      <c r="H75" s="2221"/>
      <c r="I75" s="2221"/>
      <c r="J75" s="2221"/>
      <c r="K75" s="2221"/>
      <c r="L75" s="2221"/>
      <c r="M75" s="2222"/>
      <c r="N75" s="2397"/>
      <c r="O75" s="2397"/>
      <c r="P75" s="2398"/>
      <c r="Q75" s="2399"/>
      <c r="R75" s="791"/>
      <c r="S75" s="791"/>
      <c r="T75" s="791"/>
      <c r="U75" s="791"/>
      <c r="V75" s="791"/>
      <c r="W75" s="791"/>
      <c r="X75" s="791"/>
      <c r="Y75" s="791"/>
      <c r="Z75" s="791"/>
      <c r="AA75" s="791"/>
      <c r="AB75" s="791"/>
      <c r="AC75" s="791"/>
    </row>
    <row r="76" customFormat="false" ht="14.25" hidden="false" customHeight="false" outlineLevel="0" collapsed="false">
      <c r="A76" s="2175" t="s">
        <v>648</v>
      </c>
      <c r="B76" s="2176" t="s">
        <v>212</v>
      </c>
      <c r="C76" s="2223" t="s">
        <v>231</v>
      </c>
      <c r="D76" s="2223" t="s">
        <v>241</v>
      </c>
      <c r="E76" s="2223" t="s">
        <v>250</v>
      </c>
      <c r="F76" s="2223" t="s">
        <v>258</v>
      </c>
      <c r="G76" s="2223" t="s">
        <v>265</v>
      </c>
      <c r="H76" s="2177"/>
      <c r="I76" s="2177"/>
      <c r="J76" s="2177"/>
      <c r="K76" s="2224"/>
      <c r="L76" s="2225"/>
      <c r="M76" s="2226"/>
      <c r="N76" s="2394"/>
      <c r="O76" s="2394"/>
      <c r="P76" s="2403"/>
      <c r="Q76" s="2386"/>
      <c r="R76" s="2110"/>
      <c r="S76" s="2110"/>
      <c r="T76" s="2110"/>
      <c r="U76" s="2110"/>
      <c r="V76" s="2110"/>
      <c r="W76" s="2110"/>
      <c r="X76" s="2110"/>
      <c r="Y76" s="2110"/>
      <c r="Z76" s="2110"/>
      <c r="AA76" s="2110"/>
      <c r="AB76" s="2110"/>
      <c r="AC76" s="2110"/>
    </row>
    <row r="77" customFormat="false" ht="15" hidden="false" customHeight="false" outlineLevel="0" collapsed="false">
      <c r="A77" s="2184"/>
      <c r="B77" s="2191"/>
      <c r="C77" s="2199" t="n">
        <v>100</v>
      </c>
      <c r="D77" s="2199" t="n">
        <f aca="false">C77-$K15</f>
        <v>100</v>
      </c>
      <c r="E77" s="2199" t="n">
        <f aca="false">D77-$K15</f>
        <v>100</v>
      </c>
      <c r="F77" s="2199" t="n">
        <f aca="false">E77-$K15</f>
        <v>100</v>
      </c>
      <c r="G77" s="2199" t="n">
        <f aca="false">F77-$K15</f>
        <v>100</v>
      </c>
      <c r="H77" s="2199"/>
      <c r="I77" s="2199"/>
      <c r="J77" s="2199"/>
      <c r="K77" s="2199"/>
      <c r="L77" s="2199"/>
      <c r="M77" s="2200"/>
      <c r="N77" s="2396"/>
      <c r="O77" s="2396"/>
      <c r="P77" s="2395"/>
      <c r="Q77" s="2386"/>
      <c r="R77" s="2110"/>
      <c r="S77" s="2110"/>
      <c r="T77" s="2110"/>
      <c r="U77" s="2110"/>
      <c r="V77" s="2110"/>
      <c r="W77" s="2110"/>
      <c r="X77" s="2110"/>
      <c r="Y77" s="2110"/>
      <c r="Z77" s="2110"/>
      <c r="AA77" s="2110"/>
      <c r="AB77" s="2110"/>
      <c r="AC77" s="2110"/>
    </row>
    <row r="78" customFormat="false" ht="15" hidden="false" customHeight="false" outlineLevel="0" collapsed="false">
      <c r="A78" s="2184"/>
      <c r="B78" s="2189" t="s">
        <v>216</v>
      </c>
      <c r="C78" s="2228" t="s">
        <v>231</v>
      </c>
      <c r="D78" s="2228" t="s">
        <v>241</v>
      </c>
      <c r="E78" s="2228" t="s">
        <v>250</v>
      </c>
      <c r="F78" s="2228" t="s">
        <v>258</v>
      </c>
      <c r="G78" s="2228" t="s">
        <v>265</v>
      </c>
      <c r="H78" s="2229"/>
      <c r="I78" s="2229"/>
      <c r="J78" s="2229"/>
      <c r="K78" s="2230"/>
      <c r="L78" s="2231"/>
      <c r="M78" s="2232"/>
      <c r="N78" s="2394"/>
      <c r="O78" s="2394"/>
      <c r="P78" s="2395"/>
      <c r="Q78" s="2386"/>
      <c r="R78" s="2110"/>
      <c r="S78" s="2110"/>
      <c r="T78" s="2110"/>
      <c r="U78" s="2110"/>
      <c r="V78" s="2110"/>
      <c r="W78" s="2110"/>
      <c r="X78" s="2110"/>
      <c r="Y78" s="2110"/>
      <c r="Z78" s="2110"/>
      <c r="AA78" s="2110"/>
      <c r="AB78" s="2110"/>
      <c r="AC78" s="2110"/>
    </row>
    <row r="79" customFormat="false" ht="15" hidden="false" customHeight="false" outlineLevel="0" collapsed="false">
      <c r="A79" s="2184"/>
      <c r="B79" s="2191"/>
      <c r="C79" s="2199" t="n">
        <v>100</v>
      </c>
      <c r="D79" s="2199" t="n">
        <f aca="false">C79-$K17</f>
        <v>100</v>
      </c>
      <c r="E79" s="2199" t="n">
        <f aca="false">D79-$K17</f>
        <v>100</v>
      </c>
      <c r="F79" s="2199" t="n">
        <f aca="false">E79-$K17</f>
        <v>100</v>
      </c>
      <c r="G79" s="2199" t="n">
        <f aca="false">F79-$K17</f>
        <v>100</v>
      </c>
      <c r="H79" s="2199"/>
      <c r="I79" s="2199"/>
      <c r="J79" s="2199"/>
      <c r="K79" s="2199"/>
      <c r="L79" s="2199"/>
      <c r="M79" s="2200"/>
      <c r="N79" s="2396"/>
      <c r="O79" s="2396"/>
      <c r="P79" s="2395"/>
      <c r="Q79" s="2386"/>
      <c r="R79" s="2110"/>
      <c r="S79" s="2110"/>
      <c r="T79" s="2110"/>
      <c r="U79" s="2110"/>
      <c r="V79" s="2110"/>
      <c r="W79" s="2110"/>
      <c r="X79" s="2110"/>
      <c r="Y79" s="2110"/>
      <c r="Z79" s="2110"/>
      <c r="AA79" s="2110"/>
      <c r="AB79" s="2110"/>
      <c r="AC79" s="2110"/>
    </row>
    <row r="80" customFormat="false" ht="15" hidden="false" customHeight="false" outlineLevel="0" collapsed="false">
      <c r="A80" s="2184"/>
      <c r="B80" s="2189" t="s">
        <v>218</v>
      </c>
      <c r="C80" s="2228" t="s">
        <v>231</v>
      </c>
      <c r="D80" s="2228" t="s">
        <v>241</v>
      </c>
      <c r="E80" s="2228" t="s">
        <v>250</v>
      </c>
      <c r="F80" s="2228" t="s">
        <v>258</v>
      </c>
      <c r="G80" s="2228" t="s">
        <v>265</v>
      </c>
      <c r="H80" s="2229"/>
      <c r="I80" s="2229"/>
      <c r="J80" s="2229"/>
      <c r="K80" s="2230"/>
      <c r="L80" s="2231"/>
      <c r="M80" s="2232"/>
      <c r="N80" s="2394"/>
      <c r="O80" s="2394"/>
      <c r="P80" s="2395"/>
      <c r="Q80" s="2386"/>
      <c r="R80" s="2110"/>
      <c r="S80" s="2110"/>
      <c r="T80" s="2110"/>
      <c r="U80" s="2110"/>
      <c r="V80" s="2110"/>
      <c r="W80" s="2110"/>
      <c r="X80" s="2110"/>
      <c r="Y80" s="2110"/>
      <c r="Z80" s="2110"/>
      <c r="AA80" s="2110"/>
      <c r="AB80" s="2110"/>
      <c r="AC80" s="2110"/>
    </row>
    <row r="81" customFormat="false" ht="15" hidden="false" customHeight="false" outlineLevel="0" collapsed="false">
      <c r="A81" s="2184"/>
      <c r="B81" s="2191"/>
      <c r="C81" s="2199" t="n">
        <v>100</v>
      </c>
      <c r="D81" s="2199" t="n">
        <f aca="false">C81-$K19</f>
        <v>100</v>
      </c>
      <c r="E81" s="2199" t="n">
        <f aca="false">D81-$K19</f>
        <v>100</v>
      </c>
      <c r="F81" s="2199" t="n">
        <f aca="false">E81-$K19</f>
        <v>100</v>
      </c>
      <c r="G81" s="2199" t="n">
        <f aca="false">F81-$K19</f>
        <v>100</v>
      </c>
      <c r="H81" s="2199"/>
      <c r="I81" s="2199"/>
      <c r="J81" s="2199"/>
      <c r="K81" s="2199"/>
      <c r="L81" s="2199"/>
      <c r="M81" s="2200"/>
      <c r="N81" s="2396"/>
      <c r="O81" s="2396"/>
      <c r="P81" s="2395"/>
      <c r="Q81" s="2386"/>
      <c r="R81" s="2110"/>
      <c r="S81" s="2110"/>
      <c r="T81" s="2110"/>
      <c r="U81" s="2110"/>
      <c r="V81" s="2110"/>
      <c r="W81" s="2110"/>
      <c r="X81" s="2110"/>
      <c r="Y81" s="2110"/>
      <c r="Z81" s="2110"/>
      <c r="AA81" s="2110"/>
      <c r="AB81" s="2110"/>
      <c r="AC81" s="2110"/>
    </row>
    <row r="82" customFormat="false" ht="15" hidden="false" customHeight="false" outlineLevel="0" collapsed="false">
      <c r="A82" s="2184"/>
      <c r="B82" s="2192" t="s">
        <v>219</v>
      </c>
      <c r="C82" s="2404" t="s">
        <v>232</v>
      </c>
      <c r="D82" s="2404" t="s">
        <v>242</v>
      </c>
      <c r="E82" s="2404" t="s">
        <v>251</v>
      </c>
      <c r="F82" s="2404" t="s">
        <v>259</v>
      </c>
      <c r="G82" s="2404" t="s">
        <v>266</v>
      </c>
      <c r="H82" s="2229"/>
      <c r="I82" s="2229"/>
      <c r="J82" s="2229"/>
      <c r="K82" s="2229"/>
      <c r="L82" s="2229"/>
      <c r="M82" s="2234"/>
      <c r="N82" s="2396"/>
      <c r="O82" s="2396"/>
      <c r="P82" s="2395"/>
      <c r="Q82" s="2386"/>
      <c r="R82" s="2110"/>
      <c r="S82" s="2110"/>
      <c r="T82" s="2110"/>
      <c r="U82" s="2110"/>
      <c r="V82" s="2110"/>
      <c r="W82" s="2110"/>
      <c r="X82" s="2110"/>
      <c r="Y82" s="2110"/>
      <c r="Z82" s="2110"/>
      <c r="AA82" s="2110"/>
      <c r="AB82" s="2110"/>
      <c r="AC82" s="2110"/>
    </row>
    <row r="83" customFormat="false" ht="15" hidden="false" customHeight="false" outlineLevel="0" collapsed="false">
      <c r="A83" s="2184"/>
      <c r="B83" s="2192"/>
      <c r="C83" s="2199" t="n">
        <v>100</v>
      </c>
      <c r="D83" s="2199" t="n">
        <f aca="false">C83-$K21</f>
        <v>100</v>
      </c>
      <c r="E83" s="2199" t="n">
        <f aca="false">D83-$K21</f>
        <v>100</v>
      </c>
      <c r="F83" s="2199" t="n">
        <f aca="false">E83-$K21</f>
        <v>100</v>
      </c>
      <c r="G83" s="2199" t="n">
        <f aca="false">F83-$K21</f>
        <v>100</v>
      </c>
      <c r="H83" s="2235"/>
      <c r="I83" s="2235"/>
      <c r="J83" s="2235"/>
      <c r="K83" s="2235"/>
      <c r="L83" s="2235"/>
      <c r="M83" s="2048"/>
      <c r="N83" s="2396"/>
      <c r="O83" s="2396"/>
      <c r="P83" s="2395"/>
      <c r="Q83" s="2386"/>
      <c r="R83" s="2110"/>
      <c r="S83" s="2110"/>
      <c r="T83" s="2110"/>
      <c r="U83" s="2110"/>
      <c r="V83" s="2110"/>
      <c r="W83" s="2110"/>
      <c r="X83" s="2110"/>
      <c r="Y83" s="2110"/>
      <c r="Z83" s="2110"/>
      <c r="AA83" s="2110"/>
      <c r="AB83" s="2110"/>
      <c r="AC83" s="2110"/>
    </row>
    <row r="84" customFormat="false" ht="15" hidden="false" customHeight="false" outlineLevel="0" collapsed="false">
      <c r="A84" s="2184"/>
      <c r="B84" s="2189" t="s">
        <v>658</v>
      </c>
      <c r="C84" s="2228" t="s">
        <v>231</v>
      </c>
      <c r="D84" s="2228" t="s">
        <v>241</v>
      </c>
      <c r="E84" s="2228" t="s">
        <v>250</v>
      </c>
      <c r="F84" s="2228" t="s">
        <v>258</v>
      </c>
      <c r="G84" s="2228" t="s">
        <v>265</v>
      </c>
      <c r="H84" s="2229"/>
      <c r="I84" s="2229"/>
      <c r="J84" s="2229"/>
      <c r="K84" s="2230"/>
      <c r="L84" s="2231"/>
      <c r="M84" s="2232"/>
      <c r="N84" s="2394"/>
      <c r="O84" s="2394"/>
      <c r="P84" s="2395"/>
      <c r="Q84" s="2386"/>
      <c r="R84" s="2110"/>
      <c r="S84" s="2110"/>
      <c r="T84" s="2110"/>
      <c r="U84" s="2110"/>
      <c r="V84" s="2110"/>
      <c r="W84" s="2110"/>
      <c r="X84" s="2110"/>
      <c r="Y84" s="2110"/>
      <c r="Z84" s="2110"/>
      <c r="AA84" s="2110"/>
      <c r="AB84" s="2110"/>
      <c r="AC84" s="2110"/>
    </row>
    <row r="85" customFormat="false" ht="15" hidden="false" customHeight="false" outlineLevel="0" collapsed="false">
      <c r="A85" s="2184"/>
      <c r="B85" s="2191"/>
      <c r="C85" s="2199" t="n">
        <v>100</v>
      </c>
      <c r="D85" s="2199" t="n">
        <f aca="false">C85-$K23</f>
        <v>100</v>
      </c>
      <c r="E85" s="2199" t="n">
        <f aca="false">D85-$K23</f>
        <v>100</v>
      </c>
      <c r="F85" s="2199" t="n">
        <f aca="false">E85-$K23</f>
        <v>100</v>
      </c>
      <c r="G85" s="2199" t="n">
        <f aca="false">F85-$K23</f>
        <v>100</v>
      </c>
      <c r="H85" s="2199"/>
      <c r="I85" s="2199"/>
      <c r="J85" s="2199"/>
      <c r="K85" s="2199"/>
      <c r="L85" s="2199"/>
      <c r="M85" s="2200"/>
      <c r="N85" s="2396"/>
      <c r="O85" s="2396"/>
      <c r="P85" s="2395"/>
      <c r="Q85" s="2386"/>
      <c r="R85" s="2110"/>
      <c r="S85" s="2110"/>
      <c r="T85" s="2110"/>
      <c r="U85" s="2110"/>
      <c r="V85" s="2110"/>
      <c r="W85" s="2110"/>
      <c r="X85" s="2110"/>
      <c r="Y85" s="2110"/>
      <c r="Z85" s="2110"/>
      <c r="AA85" s="2110"/>
      <c r="AB85" s="2110"/>
      <c r="AC85" s="2110"/>
    </row>
    <row r="86" s="1983" customFormat="true" ht="15" hidden="false" customHeight="false" outlineLevel="0" collapsed="false">
      <c r="A86" s="2236"/>
      <c r="B86" s="2189" t="s">
        <v>221</v>
      </c>
      <c r="C86" s="2202"/>
      <c r="D86" s="2202"/>
      <c r="E86" s="2202"/>
      <c r="F86" s="2202"/>
      <c r="G86" s="2202"/>
      <c r="H86" s="2202"/>
      <c r="I86" s="2202"/>
      <c r="J86" s="2202"/>
      <c r="K86" s="2202"/>
      <c r="L86" s="2237"/>
      <c r="M86" s="2238"/>
      <c r="N86" s="2392"/>
      <c r="O86" s="2392"/>
      <c r="P86" s="2395"/>
      <c r="Q86" s="2386"/>
      <c r="R86" s="529"/>
      <c r="S86" s="529"/>
      <c r="T86" s="529"/>
      <c r="U86" s="529"/>
      <c r="V86" s="529"/>
      <c r="W86" s="529"/>
      <c r="X86" s="529"/>
      <c r="Y86" s="529"/>
      <c r="Z86" s="529"/>
      <c r="AA86" s="529"/>
      <c r="AB86" s="529"/>
      <c r="AC86" s="529"/>
    </row>
    <row r="87" s="1983" customFormat="true" ht="15" hidden="false" customHeight="false" outlineLevel="0" collapsed="false">
      <c r="A87" s="2236"/>
      <c r="B87" s="2191"/>
      <c r="C87" s="2239" t="n">
        <v>100</v>
      </c>
      <c r="D87" s="2199" t="n">
        <f aca="false">C87-$K25</f>
        <v>100</v>
      </c>
      <c r="E87" s="2199" t="n">
        <f aca="false">D87-$K25</f>
        <v>100</v>
      </c>
      <c r="F87" s="2199" t="n">
        <f aca="false">E87-$K25</f>
        <v>100</v>
      </c>
      <c r="G87" s="2199" t="n">
        <f aca="false">F87-$K25</f>
        <v>100</v>
      </c>
      <c r="H87" s="2199" t="n">
        <f aca="false">G87-$K25</f>
        <v>100</v>
      </c>
      <c r="I87" s="2199" t="n">
        <f aca="false">H87-$K25</f>
        <v>100</v>
      </c>
      <c r="J87" s="2199" t="n">
        <f aca="false">I87-$K25</f>
        <v>100</v>
      </c>
      <c r="K87" s="2199" t="n">
        <f aca="false">J87-$K25</f>
        <v>100</v>
      </c>
      <c r="L87" s="2199" t="n">
        <f aca="false">K87-$K25</f>
        <v>100</v>
      </c>
      <c r="M87" s="2199" t="n">
        <f aca="false">L87-$K25</f>
        <v>100</v>
      </c>
      <c r="N87" s="2396"/>
      <c r="O87" s="2396"/>
      <c r="P87" s="2395"/>
      <c r="Q87" s="2386"/>
      <c r="R87" s="529"/>
      <c r="S87" s="529"/>
      <c r="T87" s="529"/>
      <c r="U87" s="529"/>
      <c r="V87" s="529"/>
      <c r="W87" s="529"/>
      <c r="X87" s="529"/>
      <c r="Y87" s="529"/>
      <c r="Z87" s="529"/>
      <c r="AA87" s="529"/>
      <c r="AB87" s="529"/>
      <c r="AC87" s="529"/>
    </row>
    <row r="88" s="1983" customFormat="true" ht="15" hidden="false" customHeight="false" outlineLevel="0" collapsed="false">
      <c r="A88" s="2236"/>
      <c r="B88" s="2189" t="str">
        <f aca="false">B26</f>
        <v>平面位置/可视性</v>
      </c>
      <c r="C88" s="2202"/>
      <c r="D88" s="2202"/>
      <c r="E88" s="2202"/>
      <c r="F88" s="2405"/>
      <c r="G88" s="2202"/>
      <c r="H88" s="2202"/>
      <c r="I88" s="2202"/>
      <c r="J88" s="2202"/>
      <c r="K88" s="2202"/>
      <c r="L88" s="2202"/>
      <c r="M88" s="2238"/>
      <c r="N88" s="2392"/>
      <c r="O88" s="2392"/>
      <c r="P88" s="2395"/>
      <c r="Q88" s="2386"/>
      <c r="R88" s="529"/>
      <c r="S88" s="529"/>
      <c r="T88" s="529"/>
      <c r="U88" s="529"/>
      <c r="V88" s="529"/>
      <c r="W88" s="529"/>
      <c r="X88" s="529"/>
      <c r="Y88" s="529"/>
      <c r="Z88" s="529"/>
      <c r="AA88" s="529"/>
      <c r="AB88" s="529"/>
      <c r="AC88" s="529"/>
    </row>
    <row r="89" s="1983" customFormat="true" ht="15" hidden="false" customHeight="false" outlineLevel="0" collapsed="false">
      <c r="A89" s="2236"/>
      <c r="B89" s="2191"/>
      <c r="C89" s="2209"/>
      <c r="D89" s="2186"/>
      <c r="E89" s="2186"/>
      <c r="F89" s="2186"/>
      <c r="G89" s="2186"/>
      <c r="H89" s="2186"/>
      <c r="I89" s="2186"/>
      <c r="J89" s="2186"/>
      <c r="K89" s="2186"/>
      <c r="L89" s="2186"/>
      <c r="M89" s="2186"/>
      <c r="N89" s="2396"/>
      <c r="O89" s="2396"/>
      <c r="P89" s="2395"/>
      <c r="Q89" s="2386"/>
      <c r="R89" s="529"/>
      <c r="S89" s="529"/>
      <c r="T89" s="529"/>
      <c r="U89" s="529"/>
      <c r="V89" s="529"/>
      <c r="W89" s="529"/>
      <c r="X89" s="529"/>
      <c r="Y89" s="529"/>
      <c r="Z89" s="529"/>
      <c r="AA89" s="529"/>
      <c r="AB89" s="529"/>
      <c r="AC89" s="529"/>
    </row>
    <row r="90" s="2088" customFormat="true" ht="15" hidden="false" customHeight="false" outlineLevel="0" collapsed="false">
      <c r="A90" s="2201"/>
      <c r="B90" s="2189" t="str">
        <f aca="false">B27</f>
        <v>人流量</v>
      </c>
      <c r="C90" s="2202"/>
      <c r="D90" s="2202"/>
      <c r="E90" s="2202"/>
      <c r="F90" s="2202"/>
      <c r="G90" s="2202"/>
      <c r="H90" s="2203"/>
      <c r="I90" s="2203"/>
      <c r="J90" s="2203"/>
      <c r="K90" s="2203"/>
      <c r="L90" s="2204"/>
      <c r="M90" s="2205"/>
      <c r="N90" s="2397"/>
      <c r="O90" s="2397"/>
      <c r="P90" s="2398"/>
      <c r="Q90" s="2399"/>
      <c r="R90" s="791"/>
      <c r="S90" s="791"/>
      <c r="T90" s="791"/>
      <c r="U90" s="791"/>
      <c r="V90" s="791"/>
      <c r="W90" s="791"/>
      <c r="X90" s="791"/>
      <c r="Y90" s="791"/>
      <c r="Z90" s="791"/>
      <c r="AA90" s="791"/>
      <c r="AB90" s="791"/>
      <c r="AC90" s="791"/>
    </row>
    <row r="91" s="2088" customFormat="true" ht="15" hidden="false" customHeight="false" outlineLevel="0" collapsed="false">
      <c r="A91" s="2201"/>
      <c r="B91" s="2191"/>
      <c r="C91" s="2239" t="n">
        <v>100</v>
      </c>
      <c r="D91" s="2199" t="n">
        <f aca="false">C91-$K27</f>
        <v>100</v>
      </c>
      <c r="E91" s="2199" t="n">
        <f aca="false">D91-$K27</f>
        <v>100</v>
      </c>
      <c r="F91" s="2199" t="n">
        <f aca="false">E91-$K27</f>
        <v>100</v>
      </c>
      <c r="G91" s="2199" t="n">
        <f aca="false">F91-$K27</f>
        <v>100</v>
      </c>
      <c r="H91" s="2199" t="n">
        <f aca="false">G91-$K27</f>
        <v>100</v>
      </c>
      <c r="I91" s="2199" t="n">
        <f aca="false">H91-$K27</f>
        <v>100</v>
      </c>
      <c r="J91" s="2199" t="n">
        <f aca="false">I91-$K27</f>
        <v>100</v>
      </c>
      <c r="K91" s="2199" t="n">
        <f aca="false">J91-$K27</f>
        <v>100</v>
      </c>
      <c r="L91" s="2199" t="n">
        <f aca="false">K91-$K27</f>
        <v>100</v>
      </c>
      <c r="M91" s="2199" t="n">
        <f aca="false">L91-$K27</f>
        <v>100</v>
      </c>
      <c r="N91" s="2397"/>
      <c r="O91" s="2397"/>
      <c r="P91" s="2398"/>
      <c r="Q91" s="2399"/>
      <c r="R91" s="791"/>
      <c r="S91" s="791"/>
      <c r="T91" s="791"/>
      <c r="U91" s="791"/>
      <c r="V91" s="791"/>
      <c r="W91" s="791"/>
      <c r="X91" s="791"/>
      <c r="Y91" s="791"/>
      <c r="Z91" s="791"/>
      <c r="AA91" s="791"/>
      <c r="AB91" s="791"/>
      <c r="AC91" s="791"/>
    </row>
    <row r="92" customFormat="false" ht="15" hidden="false" customHeight="false" outlineLevel="0" collapsed="false">
      <c r="A92" s="2184"/>
      <c r="B92" s="2189" t="str">
        <f aca="false">B28</f>
        <v>楼层</v>
      </c>
      <c r="C92" s="2202"/>
      <c r="D92" s="2202"/>
      <c r="E92" s="2202"/>
      <c r="F92" s="2202"/>
      <c r="G92" s="2202"/>
      <c r="H92" s="2202"/>
      <c r="I92" s="2202"/>
      <c r="J92" s="2202"/>
      <c r="K92" s="2202"/>
      <c r="L92" s="2237"/>
      <c r="M92" s="2238"/>
      <c r="N92" s="2394"/>
      <c r="O92" s="2394"/>
      <c r="P92" s="2395"/>
      <c r="Q92" s="2386"/>
      <c r="R92" s="2110"/>
      <c r="S92" s="2110"/>
      <c r="T92" s="2110"/>
      <c r="U92" s="2110"/>
      <c r="V92" s="2110"/>
      <c r="W92" s="2110"/>
      <c r="X92" s="2110"/>
      <c r="Y92" s="2110"/>
      <c r="Z92" s="2110"/>
      <c r="AA92" s="2110"/>
      <c r="AB92" s="2110"/>
      <c r="AC92" s="2110"/>
    </row>
    <row r="93" customFormat="false" ht="15" hidden="false" customHeight="false" outlineLevel="0" collapsed="false">
      <c r="A93" s="2184"/>
      <c r="B93" s="2191"/>
      <c r="C93" s="2186"/>
      <c r="D93" s="2186"/>
      <c r="E93" s="2186"/>
      <c r="F93" s="2186"/>
      <c r="G93" s="2186"/>
      <c r="H93" s="2186"/>
      <c r="I93" s="2186"/>
      <c r="J93" s="2186"/>
      <c r="K93" s="2186"/>
      <c r="L93" s="2186"/>
      <c r="M93" s="2187"/>
      <c r="N93" s="2396"/>
      <c r="O93" s="2396"/>
      <c r="P93" s="2395"/>
      <c r="Q93" s="2386"/>
      <c r="R93" s="2110"/>
      <c r="S93" s="2110"/>
      <c r="T93" s="2110"/>
      <c r="U93" s="2110"/>
      <c r="V93" s="2110"/>
      <c r="W93" s="2110"/>
      <c r="X93" s="2110"/>
      <c r="Y93" s="2110"/>
      <c r="Z93" s="2110"/>
      <c r="AA93" s="2110"/>
      <c r="AB93" s="2110"/>
      <c r="AC93" s="2110"/>
    </row>
    <row r="94" customFormat="false" ht="15" hidden="false" customHeight="false" outlineLevel="0" collapsed="false">
      <c r="A94" s="2184"/>
      <c r="B94" s="2189" t="n">
        <f aca="false">B29</f>
        <v>111</v>
      </c>
      <c r="C94" s="2202"/>
      <c r="D94" s="2202"/>
      <c r="E94" s="2202"/>
      <c r="F94" s="2202"/>
      <c r="G94" s="2190"/>
      <c r="H94" s="2190"/>
      <c r="I94" s="2190"/>
      <c r="J94" s="2190"/>
      <c r="K94" s="2246"/>
      <c r="L94" s="2247"/>
      <c r="M94" s="2248"/>
      <c r="N94" s="2394"/>
      <c r="O94" s="2394"/>
      <c r="P94" s="2395"/>
      <c r="Q94" s="2386"/>
      <c r="R94" s="2110"/>
      <c r="S94" s="2110"/>
      <c r="T94" s="2110"/>
      <c r="U94" s="2110"/>
      <c r="V94" s="2110"/>
      <c r="W94" s="2110"/>
      <c r="X94" s="2110"/>
      <c r="Y94" s="2110"/>
      <c r="Z94" s="2110"/>
      <c r="AA94" s="2110"/>
      <c r="AB94" s="2110"/>
      <c r="AC94" s="2110"/>
    </row>
    <row r="95" customFormat="false" ht="15" hidden="false" customHeight="false" outlineLevel="0" collapsed="false">
      <c r="A95" s="2184"/>
      <c r="B95" s="2191"/>
      <c r="C95" s="2209"/>
      <c r="D95" s="2186"/>
      <c r="E95" s="2186"/>
      <c r="F95" s="2186"/>
      <c r="G95" s="2186"/>
      <c r="H95" s="2186"/>
      <c r="I95" s="2186"/>
      <c r="J95" s="2186"/>
      <c r="K95" s="2186"/>
      <c r="L95" s="2186"/>
      <c r="M95" s="2187"/>
      <c r="N95" s="2396"/>
      <c r="O95" s="2396"/>
      <c r="P95" s="2395"/>
      <c r="Q95" s="2386"/>
      <c r="R95" s="2110"/>
      <c r="S95" s="2110"/>
      <c r="T95" s="2110"/>
      <c r="U95" s="2110"/>
      <c r="V95" s="2110"/>
      <c r="W95" s="2110"/>
      <c r="X95" s="2110"/>
      <c r="Y95" s="2110"/>
      <c r="Z95" s="2110"/>
      <c r="AA95" s="2110"/>
      <c r="AB95" s="2110"/>
      <c r="AC95" s="2110"/>
    </row>
    <row r="96" customFormat="false" ht="15" hidden="false" customHeight="false" outlineLevel="0" collapsed="false">
      <c r="A96" s="2184"/>
      <c r="B96" s="2189" t="n">
        <f aca="false">B30</f>
        <v>111</v>
      </c>
      <c r="C96" s="2202"/>
      <c r="D96" s="2202"/>
      <c r="E96" s="2202"/>
      <c r="F96" s="2202"/>
      <c r="G96" s="2190"/>
      <c r="H96" s="2190"/>
      <c r="I96" s="2190"/>
      <c r="J96" s="2190"/>
      <c r="K96" s="2246"/>
      <c r="L96" s="2247"/>
      <c r="M96" s="2248"/>
      <c r="N96" s="2394"/>
      <c r="O96" s="2394"/>
      <c r="P96" s="2395"/>
      <c r="Q96" s="2386"/>
      <c r="R96" s="2110"/>
      <c r="S96" s="2110"/>
      <c r="T96" s="2110"/>
      <c r="U96" s="2110"/>
      <c r="V96" s="2110"/>
      <c r="W96" s="2110"/>
      <c r="X96" s="2110"/>
      <c r="Y96" s="2110"/>
      <c r="Z96" s="2110"/>
      <c r="AA96" s="2110"/>
      <c r="AB96" s="2110"/>
      <c r="AC96" s="2110"/>
    </row>
    <row r="97" customFormat="false" ht="15" hidden="false" customHeight="false" outlineLevel="0" collapsed="false">
      <c r="A97" s="2184"/>
      <c r="B97" s="2191"/>
      <c r="C97" s="2209"/>
      <c r="D97" s="2186"/>
      <c r="E97" s="2186"/>
      <c r="F97" s="2186"/>
      <c r="G97" s="2186"/>
      <c r="H97" s="2186"/>
      <c r="I97" s="2186"/>
      <c r="J97" s="2186"/>
      <c r="K97" s="2186"/>
      <c r="L97" s="2186"/>
      <c r="M97" s="2187"/>
      <c r="N97" s="2396"/>
      <c r="O97" s="2396"/>
      <c r="P97" s="2395"/>
      <c r="Q97" s="2386"/>
      <c r="R97" s="2110"/>
      <c r="S97" s="2110"/>
      <c r="T97" s="2110"/>
      <c r="U97" s="2110"/>
      <c r="V97" s="2110"/>
      <c r="W97" s="2110"/>
      <c r="X97" s="2110"/>
      <c r="Y97" s="2110"/>
      <c r="Z97" s="2110"/>
      <c r="AA97" s="2110"/>
      <c r="AB97" s="2110"/>
      <c r="AC97" s="2110"/>
    </row>
    <row r="98" customFormat="false" ht="15" hidden="false" customHeight="false" outlineLevel="0" collapsed="false">
      <c r="A98" s="2184"/>
      <c r="B98" s="2192" t="n">
        <f aca="false">B31</f>
        <v>111</v>
      </c>
      <c r="C98" s="2202"/>
      <c r="D98" s="2202"/>
      <c r="E98" s="2202"/>
      <c r="F98" s="2202"/>
      <c r="G98" s="2249"/>
      <c r="H98" s="2249"/>
      <c r="I98" s="2249"/>
      <c r="J98" s="2249"/>
      <c r="K98" s="2250"/>
      <c r="L98" s="2251"/>
      <c r="M98" s="2252"/>
      <c r="N98" s="2394"/>
      <c r="O98" s="2394"/>
      <c r="P98" s="2395"/>
      <c r="Q98" s="2386"/>
      <c r="R98" s="2110"/>
      <c r="S98" s="2110"/>
      <c r="T98" s="2110"/>
      <c r="U98" s="2110"/>
      <c r="V98" s="2110"/>
      <c r="W98" s="2110"/>
      <c r="X98" s="2110"/>
      <c r="Y98" s="2110"/>
      <c r="Z98" s="2110"/>
      <c r="AA98" s="2110"/>
      <c r="AB98" s="2110"/>
      <c r="AC98" s="2110"/>
    </row>
    <row r="99" customFormat="false" ht="15" hidden="false" customHeight="false" outlineLevel="0" collapsed="false">
      <c r="A99" s="2253"/>
      <c r="B99" s="2219"/>
      <c r="C99" s="2220"/>
      <c r="D99" s="2220"/>
      <c r="E99" s="2220"/>
      <c r="F99" s="2220"/>
      <c r="G99" s="2254"/>
      <c r="H99" s="2254"/>
      <c r="I99" s="2254"/>
      <c r="J99" s="2254"/>
      <c r="K99" s="2254"/>
      <c r="L99" s="2254"/>
      <c r="M99" s="2255"/>
      <c r="N99" s="2396"/>
      <c r="O99" s="2396"/>
      <c r="P99" s="2395"/>
      <c r="Q99" s="2386"/>
      <c r="R99" s="2110"/>
      <c r="S99" s="2110"/>
      <c r="T99" s="2110"/>
      <c r="U99" s="2110"/>
      <c r="V99" s="2110"/>
      <c r="W99" s="2110"/>
      <c r="X99" s="2110"/>
      <c r="Y99" s="2110"/>
      <c r="Z99" s="2110"/>
      <c r="AA99" s="2110"/>
      <c r="AB99" s="2110"/>
      <c r="AC99" s="2110"/>
    </row>
    <row r="100" customFormat="false" ht="14.25" hidden="false" customHeight="false" outlineLevel="0" collapsed="false">
      <c r="A100" s="2175" t="s">
        <v>1292</v>
      </c>
      <c r="B100" s="2176" t="s">
        <v>1551</v>
      </c>
      <c r="C100" s="2178"/>
      <c r="D100" s="2178"/>
      <c r="E100" s="2178"/>
      <c r="F100" s="2178"/>
      <c r="G100" s="2178"/>
      <c r="H100" s="2178"/>
      <c r="I100" s="2178"/>
      <c r="J100" s="2178"/>
      <c r="K100" s="2179"/>
      <c r="L100" s="2180"/>
      <c r="M100" s="2181"/>
      <c r="N100" s="2394"/>
      <c r="O100" s="2394"/>
      <c r="P100" s="2395"/>
      <c r="Q100" s="2386"/>
      <c r="R100" s="2110"/>
      <c r="S100" s="2110"/>
      <c r="T100" s="2110"/>
      <c r="U100" s="2110"/>
      <c r="V100" s="2110"/>
      <c r="W100" s="2110"/>
      <c r="X100" s="2110"/>
      <c r="Y100" s="2110"/>
      <c r="Z100" s="2110"/>
      <c r="AA100" s="2110"/>
      <c r="AB100" s="2110"/>
      <c r="AC100" s="2110"/>
    </row>
    <row r="101" customFormat="false" ht="15" hidden="false" customHeight="false" outlineLevel="0" collapsed="false">
      <c r="A101" s="2184"/>
      <c r="B101" s="2191"/>
      <c r="C101" s="2199" t="n">
        <v>100</v>
      </c>
      <c r="D101" s="2199" t="n">
        <f aca="false">C101-$K32</f>
        <v>100</v>
      </c>
      <c r="E101" s="2199" t="n">
        <f aca="false">D101-$K32</f>
        <v>100</v>
      </c>
      <c r="F101" s="2199" t="n">
        <f aca="false">E101-$K32</f>
        <v>100</v>
      </c>
      <c r="G101" s="2199" t="n">
        <f aca="false">F101-$K32</f>
        <v>100</v>
      </c>
      <c r="H101" s="2199" t="n">
        <f aca="false">G101-$K32</f>
        <v>100</v>
      </c>
      <c r="I101" s="2199" t="n">
        <f aca="false">H101-$K32</f>
        <v>100</v>
      </c>
      <c r="J101" s="2199" t="n">
        <f aca="false">I101-$K32</f>
        <v>100</v>
      </c>
      <c r="K101" s="2199" t="n">
        <f aca="false">J101-$K32</f>
        <v>100</v>
      </c>
      <c r="L101" s="2199" t="n">
        <f aca="false">K101-$K32</f>
        <v>100</v>
      </c>
      <c r="M101" s="2200" t="n">
        <f aca="false">L101-$K32</f>
        <v>100</v>
      </c>
      <c r="N101" s="2396"/>
      <c r="O101" s="2396"/>
      <c r="P101" s="2395"/>
      <c r="Q101" s="2386"/>
      <c r="R101" s="2110"/>
      <c r="S101" s="2110"/>
      <c r="T101" s="2110"/>
      <c r="U101" s="2110"/>
      <c r="V101" s="2110"/>
      <c r="W101" s="2110"/>
      <c r="X101" s="2110"/>
      <c r="Y101" s="2110"/>
      <c r="Z101" s="2110"/>
      <c r="AA101" s="2110"/>
      <c r="AB101" s="2110"/>
      <c r="AC101" s="2110"/>
    </row>
    <row r="102" customFormat="false" ht="15" hidden="false" customHeight="false" outlineLevel="0" collapsed="false">
      <c r="A102" s="2184"/>
      <c r="B102" s="2189" t="s">
        <v>1296</v>
      </c>
      <c r="C102" s="2228" t="str">
        <f aca="false">C103&amp;"(含)"&amp;"-"&amp;D103</f>
        <v>(含)-</v>
      </c>
      <c r="D102" s="2228" t="str">
        <f aca="false">D103&amp;"(含)"&amp;"-"&amp;E103</f>
        <v>(含)-</v>
      </c>
      <c r="E102" s="2228" t="str">
        <f aca="false">E103&amp;"(含)"&amp;"-"&amp;F103</f>
        <v>(含)-</v>
      </c>
      <c r="F102" s="2228" t="str">
        <f aca="false">F103&amp;"(含)"&amp;"-"&amp;G103</f>
        <v>(含)-</v>
      </c>
      <c r="G102" s="2228" t="str">
        <f aca="false">G103&amp;"(含)"&amp;"-"&amp;H103</f>
        <v>(含)-</v>
      </c>
      <c r="H102" s="2228" t="str">
        <f aca="false">H103&amp;"(含)"&amp;"-"&amp;I103</f>
        <v>(含)-</v>
      </c>
      <c r="I102" s="2228" t="str">
        <f aca="false">I103&amp;"(含)"&amp;"-"&amp;J103</f>
        <v>(含)-</v>
      </c>
      <c r="J102" s="2228" t="str">
        <f aca="false">J103&amp;"(含)"&amp;"-"&amp;K103</f>
        <v>(含)-</v>
      </c>
      <c r="K102" s="2228" t="str">
        <f aca="false">K103&amp;"(含)"&amp;"-"&amp;L103</f>
        <v>(含)-</v>
      </c>
      <c r="L102" s="2228" t="str">
        <f aca="false">L103&amp;"(含)"&amp;"-"&amp;M103</f>
        <v>(含)-</v>
      </c>
      <c r="M102" s="2406" t="str">
        <f aca="false">M103&amp;"(含)"&amp;"-"&amp;P103</f>
        <v>(含)-</v>
      </c>
      <c r="N102" s="2392"/>
      <c r="O102" s="2392"/>
      <c r="P102" s="2395"/>
      <c r="Q102" s="2386"/>
      <c r="R102" s="2110"/>
      <c r="S102" s="2110"/>
      <c r="T102" s="2110"/>
      <c r="U102" s="2110"/>
      <c r="V102" s="2110"/>
      <c r="W102" s="2110"/>
      <c r="X102" s="2110"/>
      <c r="Y102" s="2110"/>
      <c r="Z102" s="2110"/>
      <c r="AA102" s="2110"/>
      <c r="AB102" s="2110"/>
      <c r="AC102" s="2110"/>
    </row>
    <row r="103" s="2088" customFormat="true" ht="14.25" hidden="false" customHeight="false" outlineLevel="0" collapsed="false">
      <c r="A103" s="2257"/>
      <c r="B103" s="2258"/>
      <c r="C103" s="2259"/>
      <c r="D103" s="2259"/>
      <c r="E103" s="2259"/>
      <c r="F103" s="2259"/>
      <c r="G103" s="2259"/>
      <c r="H103" s="2259"/>
      <c r="I103" s="2259"/>
      <c r="J103" s="2260"/>
      <c r="K103" s="2260"/>
      <c r="L103" s="2261"/>
      <c r="M103" s="2262"/>
      <c r="N103" s="2397"/>
      <c r="O103" s="2397"/>
      <c r="P103" s="2398"/>
      <c r="Q103" s="2399"/>
      <c r="R103" s="791"/>
      <c r="S103" s="791"/>
      <c r="T103" s="791"/>
      <c r="U103" s="791"/>
      <c r="V103" s="791"/>
      <c r="W103" s="791"/>
      <c r="X103" s="791"/>
      <c r="Y103" s="791"/>
      <c r="Z103" s="791"/>
      <c r="AA103" s="791"/>
      <c r="AB103" s="791"/>
      <c r="AC103" s="791"/>
    </row>
    <row r="104" s="2088" customFormat="true" ht="15" hidden="false" customHeight="false" outlineLevel="0" collapsed="false">
      <c r="A104" s="2201"/>
      <c r="B104" s="2191"/>
      <c r="C104" s="2209"/>
      <c r="D104" s="2186"/>
      <c r="E104" s="2186"/>
      <c r="F104" s="2186"/>
      <c r="G104" s="2186"/>
      <c r="H104" s="2186"/>
      <c r="I104" s="2186"/>
      <c r="J104" s="2186"/>
      <c r="K104" s="2186"/>
      <c r="L104" s="2186"/>
      <c r="M104" s="2187"/>
      <c r="N104" s="2396"/>
      <c r="O104" s="2396"/>
      <c r="P104" s="2398"/>
      <c r="Q104" s="2399"/>
      <c r="R104" s="791"/>
      <c r="S104" s="791"/>
      <c r="T104" s="791"/>
      <c r="U104" s="791"/>
      <c r="V104" s="791"/>
      <c r="W104" s="791"/>
      <c r="X104" s="791"/>
      <c r="Y104" s="791"/>
      <c r="Z104" s="791"/>
      <c r="AA104" s="791"/>
      <c r="AB104" s="791"/>
      <c r="AC104" s="791"/>
    </row>
    <row r="105" customFormat="false" ht="14.25" hidden="false" customHeight="false" outlineLevel="0" collapsed="false">
      <c r="A105" s="2263"/>
      <c r="B105" s="2189" t="s">
        <v>1297</v>
      </c>
      <c r="C105" s="2202"/>
      <c r="D105" s="2202"/>
      <c r="E105" s="2190"/>
      <c r="F105" s="2190"/>
      <c r="G105" s="2190"/>
      <c r="H105" s="2190"/>
      <c r="I105" s="2190"/>
      <c r="J105" s="2190"/>
      <c r="K105" s="2246"/>
      <c r="L105" s="2247"/>
      <c r="M105" s="2248"/>
      <c r="N105" s="2394"/>
      <c r="O105" s="2394"/>
      <c r="P105" s="2395"/>
      <c r="Q105" s="2386"/>
      <c r="R105" s="2110"/>
      <c r="S105" s="2110"/>
      <c r="T105" s="2110"/>
      <c r="U105" s="2110"/>
      <c r="V105" s="2110"/>
      <c r="W105" s="2110"/>
      <c r="X105" s="2110"/>
      <c r="Y105" s="2110"/>
      <c r="Z105" s="2110"/>
      <c r="AA105" s="2110"/>
      <c r="AB105" s="2110"/>
      <c r="AC105" s="2110"/>
    </row>
    <row r="106" customFormat="false" ht="15" hidden="false" customHeight="false" outlineLevel="0" collapsed="false">
      <c r="A106" s="2184"/>
      <c r="B106" s="2191"/>
      <c r="C106" s="2199" t="n">
        <v>100</v>
      </c>
      <c r="D106" s="2199" t="n">
        <f aca="false">C106-$K34</f>
        <v>100</v>
      </c>
      <c r="E106" s="2199" t="n">
        <f aca="false">D106-$K34</f>
        <v>100</v>
      </c>
      <c r="F106" s="2199" t="n">
        <f aca="false">E106-$K34</f>
        <v>100</v>
      </c>
      <c r="G106" s="2199" t="n">
        <f aca="false">F106-$K34</f>
        <v>100</v>
      </c>
      <c r="H106" s="2199" t="n">
        <f aca="false">G106-$K34</f>
        <v>100</v>
      </c>
      <c r="I106" s="2199" t="n">
        <f aca="false">H106-$K34</f>
        <v>100</v>
      </c>
      <c r="J106" s="2199" t="n">
        <f aca="false">I106-$K34</f>
        <v>100</v>
      </c>
      <c r="K106" s="2199" t="n">
        <f aca="false">J106-$K34</f>
        <v>100</v>
      </c>
      <c r="L106" s="2199" t="n">
        <f aca="false">K106-$K34</f>
        <v>100</v>
      </c>
      <c r="M106" s="2200" t="n">
        <f aca="false">L106-$K34</f>
        <v>100</v>
      </c>
      <c r="N106" s="2396"/>
      <c r="O106" s="2396"/>
      <c r="P106" s="2395"/>
      <c r="Q106" s="2386"/>
      <c r="R106" s="2110"/>
      <c r="S106" s="2110"/>
      <c r="T106" s="2110"/>
      <c r="U106" s="2110"/>
      <c r="V106" s="2110"/>
      <c r="W106" s="2110"/>
      <c r="X106" s="2110"/>
      <c r="Y106" s="2110"/>
      <c r="Z106" s="2110"/>
      <c r="AA106" s="2110"/>
      <c r="AB106" s="2110"/>
      <c r="AC106" s="2110"/>
    </row>
    <row r="107" customFormat="false" ht="14.25" hidden="false" customHeight="false" outlineLevel="0" collapsed="false">
      <c r="A107" s="2263"/>
      <c r="B107" s="2189" t="s">
        <v>1300</v>
      </c>
      <c r="C107" s="2202"/>
      <c r="D107" s="2202"/>
      <c r="E107" s="2202"/>
      <c r="F107" s="2190"/>
      <c r="G107" s="2190"/>
      <c r="H107" s="2190"/>
      <c r="I107" s="2190"/>
      <c r="J107" s="2190"/>
      <c r="K107" s="2246"/>
      <c r="L107" s="2247"/>
      <c r="M107" s="2248"/>
      <c r="N107" s="2394"/>
      <c r="O107" s="2394"/>
      <c r="P107" s="2395"/>
      <c r="Q107" s="2386"/>
      <c r="R107" s="2110"/>
      <c r="S107" s="2110"/>
      <c r="T107" s="2110"/>
      <c r="U107" s="2110"/>
      <c r="V107" s="2110"/>
      <c r="W107" s="2110"/>
      <c r="X107" s="2110"/>
      <c r="Y107" s="2110"/>
      <c r="Z107" s="2110"/>
      <c r="AA107" s="2110"/>
      <c r="AB107" s="2110"/>
      <c r="AC107" s="2110"/>
    </row>
    <row r="108" customFormat="false" ht="15" hidden="false" customHeight="false" outlineLevel="0" collapsed="false">
      <c r="A108" s="2184"/>
      <c r="B108" s="2191"/>
      <c r="C108" s="2199" t="n">
        <v>100</v>
      </c>
      <c r="D108" s="2199" t="n">
        <f aca="false">C108-$K35</f>
        <v>100</v>
      </c>
      <c r="E108" s="2199" t="n">
        <f aca="false">D108-$K35</f>
        <v>100</v>
      </c>
      <c r="F108" s="2199" t="n">
        <f aca="false">E108-$K35</f>
        <v>100</v>
      </c>
      <c r="G108" s="2199" t="n">
        <f aca="false">F108-$K35</f>
        <v>100</v>
      </c>
      <c r="H108" s="2199" t="n">
        <f aca="false">G108-$K35</f>
        <v>100</v>
      </c>
      <c r="I108" s="2199" t="n">
        <f aca="false">H108-$K35</f>
        <v>100</v>
      </c>
      <c r="J108" s="2199" t="n">
        <f aca="false">I108-$K35</f>
        <v>100</v>
      </c>
      <c r="K108" s="2199" t="n">
        <f aca="false">J108-$K35</f>
        <v>100</v>
      </c>
      <c r="L108" s="2199" t="n">
        <f aca="false">K108-$K35</f>
        <v>100</v>
      </c>
      <c r="M108" s="2200" t="n">
        <f aca="false">L108-$K35</f>
        <v>100</v>
      </c>
      <c r="N108" s="2396"/>
      <c r="O108" s="2396"/>
      <c r="P108" s="2395"/>
      <c r="Q108" s="2386"/>
      <c r="R108" s="2110"/>
      <c r="S108" s="2110"/>
      <c r="T108" s="2110"/>
      <c r="U108" s="2110"/>
      <c r="V108" s="2110"/>
      <c r="W108" s="2110"/>
      <c r="X108" s="2110"/>
      <c r="Y108" s="2110"/>
      <c r="Z108" s="2110"/>
      <c r="AA108" s="2110"/>
      <c r="AB108" s="2110"/>
      <c r="AC108" s="2110"/>
    </row>
    <row r="109" customFormat="false" ht="14.25" hidden="false" customHeight="false" outlineLevel="0" collapsed="false">
      <c r="A109" s="2263"/>
      <c r="B109" s="2189" t="s">
        <v>567</v>
      </c>
      <c r="C109" s="2228" t="str">
        <f aca="false">C110&amp;"(含)"&amp;"-"&amp;D110</f>
        <v>0.5(含)-0.6</v>
      </c>
      <c r="D109" s="2228" t="str">
        <f aca="false">D110&amp;"(含)"&amp;"-"&amp;E110</f>
        <v>0.6(含)-0.7</v>
      </c>
      <c r="E109" s="2228" t="str">
        <f aca="false">E110&amp;"(含)"&amp;"-"&amp;F110</f>
        <v>0.7(含)-0.8</v>
      </c>
      <c r="F109" s="2228" t="str">
        <f aca="false">F110&amp;"(含)"&amp;"-"&amp;G110</f>
        <v>0.8(含)-0.9</v>
      </c>
      <c r="G109" s="2228" t="str">
        <f aca="false">G110&amp;"(含)"&amp;"-"&amp;ROUND(H110,0)&amp;"(含)"</f>
        <v>0.9(含)-1(含)</v>
      </c>
      <c r="H109" s="2228"/>
      <c r="I109" s="2190"/>
      <c r="J109" s="2190"/>
      <c r="K109" s="2246"/>
      <c r="L109" s="2247"/>
      <c r="M109" s="2248"/>
      <c r="N109" s="2394"/>
      <c r="O109" s="2394"/>
      <c r="P109" s="2395"/>
      <c r="Q109" s="2386"/>
      <c r="R109" s="2110"/>
      <c r="S109" s="2110"/>
      <c r="T109" s="2110"/>
      <c r="U109" s="2110"/>
      <c r="V109" s="2110"/>
      <c r="W109" s="2110"/>
      <c r="X109" s="2110"/>
      <c r="Y109" s="2110"/>
      <c r="Z109" s="2110"/>
      <c r="AA109" s="2110"/>
      <c r="AB109" s="2110"/>
      <c r="AC109" s="2110"/>
    </row>
    <row r="110" customFormat="false" ht="14.25" hidden="false" customHeight="false" outlineLevel="0" collapsed="false">
      <c r="A110" s="2263"/>
      <c r="B110" s="2192"/>
      <c r="C110" s="2268" t="n">
        <v>0.5</v>
      </c>
      <c r="D110" s="2268" t="n">
        <v>0.6</v>
      </c>
      <c r="E110" s="2268" t="n">
        <v>0.7</v>
      </c>
      <c r="F110" s="2268" t="n">
        <v>0.8</v>
      </c>
      <c r="G110" s="2268" t="n">
        <v>0.9</v>
      </c>
      <c r="H110" s="2268" t="n">
        <v>1.0001</v>
      </c>
      <c r="I110" s="2407"/>
      <c r="J110" s="2407"/>
      <c r="K110" s="2408"/>
      <c r="L110" s="2409"/>
      <c r="M110" s="2410"/>
      <c r="N110" s="2394"/>
      <c r="O110" s="2394"/>
      <c r="P110" s="2395"/>
      <c r="Q110" s="2386"/>
      <c r="R110" s="2110"/>
      <c r="S110" s="2110"/>
      <c r="T110" s="2110"/>
      <c r="U110" s="2110"/>
      <c r="V110" s="2110"/>
      <c r="W110" s="2110"/>
      <c r="X110" s="2110"/>
      <c r="Y110" s="2110"/>
      <c r="Z110" s="2110"/>
      <c r="AA110" s="2110"/>
      <c r="AB110" s="2110"/>
      <c r="AC110" s="2110"/>
    </row>
    <row r="111" customFormat="false" ht="15" hidden="false" customHeight="false" outlineLevel="0" collapsed="false">
      <c r="A111" s="2184"/>
      <c r="B111" s="2191"/>
      <c r="C111" s="2239" t="n">
        <v>100</v>
      </c>
      <c r="D111" s="2199" t="n">
        <f aca="false">C111+$K36</f>
        <v>100</v>
      </c>
      <c r="E111" s="2199" t="n">
        <f aca="false">D111+$K36</f>
        <v>100</v>
      </c>
      <c r="F111" s="2199" t="n">
        <f aca="false">E111+$K36</f>
        <v>100</v>
      </c>
      <c r="G111" s="2199" t="n">
        <f aca="false">F111+$K36</f>
        <v>100</v>
      </c>
      <c r="H111" s="2199" t="n">
        <f aca="false">G111+$K36</f>
        <v>100</v>
      </c>
      <c r="I111" s="2199" t="n">
        <f aca="false">H111+$K36</f>
        <v>100</v>
      </c>
      <c r="J111" s="2199" t="n">
        <f aca="false">I111+$K36</f>
        <v>100</v>
      </c>
      <c r="K111" s="2199" t="n">
        <f aca="false">J111+$K36</f>
        <v>100</v>
      </c>
      <c r="L111" s="2199" t="n">
        <f aca="false">K111+$K36</f>
        <v>100</v>
      </c>
      <c r="M111" s="2199" t="n">
        <f aca="false">L111+$K36</f>
        <v>100</v>
      </c>
      <c r="N111" s="2396"/>
      <c r="O111" s="2396"/>
      <c r="P111" s="2395"/>
      <c r="Q111" s="2386"/>
      <c r="R111" s="2110"/>
      <c r="S111" s="2110"/>
      <c r="T111" s="2110"/>
      <c r="U111" s="2110"/>
      <c r="V111" s="2110"/>
      <c r="W111" s="2110"/>
      <c r="X111" s="2110"/>
      <c r="Y111" s="2110"/>
      <c r="Z111" s="2110"/>
      <c r="AA111" s="2110"/>
      <c r="AB111" s="2110"/>
      <c r="AC111" s="2110"/>
    </row>
    <row r="112" s="2088" customFormat="true" ht="14.25" hidden="false" customHeight="false" outlineLevel="0" collapsed="false">
      <c r="A112" s="2257"/>
      <c r="B112" s="2189" t="s">
        <v>1304</v>
      </c>
      <c r="C112" s="2202"/>
      <c r="D112" s="2202"/>
      <c r="E112" s="2202"/>
      <c r="F112" s="2202"/>
      <c r="G112" s="2202"/>
      <c r="H112" s="2190"/>
      <c r="I112" s="2190"/>
      <c r="J112" s="2190"/>
      <c r="K112" s="2246"/>
      <c r="L112" s="2247"/>
      <c r="M112" s="2248"/>
      <c r="N112" s="2397"/>
      <c r="O112" s="2397"/>
      <c r="P112" s="2398"/>
      <c r="Q112" s="2399"/>
      <c r="R112" s="791"/>
      <c r="S112" s="791"/>
      <c r="T112" s="791"/>
      <c r="U112" s="791"/>
      <c r="V112" s="791"/>
      <c r="W112" s="791"/>
      <c r="X112" s="791"/>
      <c r="Y112" s="791"/>
      <c r="Z112" s="791"/>
      <c r="AA112" s="791"/>
      <c r="AB112" s="791"/>
      <c r="AC112" s="791"/>
    </row>
    <row r="113" s="2088" customFormat="true" ht="15" hidden="false" customHeight="false" outlineLevel="0" collapsed="false">
      <c r="A113" s="2201"/>
      <c r="B113" s="2191"/>
      <c r="C113" s="2199" t="n">
        <v>100</v>
      </c>
      <c r="D113" s="2199" t="n">
        <f aca="false">C113-$K37</f>
        <v>100</v>
      </c>
      <c r="E113" s="2199" t="n">
        <f aca="false">D113-$K37</f>
        <v>100</v>
      </c>
      <c r="F113" s="2199" t="n">
        <f aca="false">E113-$K37</f>
        <v>100</v>
      </c>
      <c r="G113" s="2199" t="n">
        <f aca="false">F113-$K37</f>
        <v>100</v>
      </c>
      <c r="H113" s="2199" t="n">
        <f aca="false">G113-$K37</f>
        <v>100</v>
      </c>
      <c r="I113" s="2199" t="n">
        <f aca="false">H113-$K37</f>
        <v>100</v>
      </c>
      <c r="J113" s="2199" t="n">
        <f aca="false">I113-$K37</f>
        <v>100</v>
      </c>
      <c r="K113" s="2199" t="n">
        <f aca="false">J113-$K37</f>
        <v>100</v>
      </c>
      <c r="L113" s="2199" t="n">
        <f aca="false">K113-$K37</f>
        <v>100</v>
      </c>
      <c r="M113" s="2199" t="n">
        <f aca="false">L113-$K37</f>
        <v>100</v>
      </c>
      <c r="N113" s="2397"/>
      <c r="O113" s="2397"/>
      <c r="P113" s="2398"/>
      <c r="Q113" s="2399"/>
      <c r="R113" s="791"/>
      <c r="S113" s="791"/>
      <c r="T113" s="791"/>
      <c r="U113" s="791"/>
      <c r="V113" s="791"/>
      <c r="W113" s="791"/>
      <c r="X113" s="791"/>
      <c r="Y113" s="791"/>
      <c r="Z113" s="791"/>
      <c r="AA113" s="791"/>
      <c r="AB113" s="791"/>
      <c r="AC113" s="791"/>
    </row>
    <row r="114" customFormat="false" ht="14.25" hidden="false" customHeight="false" outlineLevel="0" collapsed="false">
      <c r="A114" s="2263"/>
      <c r="B114" s="2189" t="s">
        <v>1552</v>
      </c>
      <c r="C114" s="2202"/>
      <c r="D114" s="2202"/>
      <c r="E114" s="2190"/>
      <c r="F114" s="2190"/>
      <c r="G114" s="2190"/>
      <c r="H114" s="2190"/>
      <c r="I114" s="2190"/>
      <c r="J114" s="2190"/>
      <c r="K114" s="2246"/>
      <c r="L114" s="2247"/>
      <c r="M114" s="2248"/>
      <c r="N114" s="2394"/>
      <c r="O114" s="2394"/>
      <c r="P114" s="2395"/>
      <c r="Q114" s="2386"/>
      <c r="R114" s="2110"/>
      <c r="S114" s="2110"/>
      <c r="T114" s="2110"/>
      <c r="U114" s="2110"/>
      <c r="V114" s="2110"/>
      <c r="W114" s="2110"/>
      <c r="X114" s="2110"/>
      <c r="Y114" s="2110"/>
      <c r="Z114" s="2110"/>
      <c r="AA114" s="2110"/>
      <c r="AB114" s="2110"/>
      <c r="AC114" s="2110"/>
    </row>
    <row r="115" customFormat="false" ht="15" hidden="false" customHeight="false" outlineLevel="0" collapsed="false">
      <c r="A115" s="2184"/>
      <c r="B115" s="2191"/>
      <c r="C115" s="2199" t="n">
        <v>100</v>
      </c>
      <c r="D115" s="2199" t="n">
        <f aca="false">C115-$K38</f>
        <v>100</v>
      </c>
      <c r="E115" s="2199" t="n">
        <f aca="false">D115-$K38</f>
        <v>100</v>
      </c>
      <c r="F115" s="2199" t="n">
        <f aca="false">E115-$K38</f>
        <v>100</v>
      </c>
      <c r="G115" s="2199" t="n">
        <f aca="false">F115-$K38</f>
        <v>100</v>
      </c>
      <c r="H115" s="2199" t="n">
        <f aca="false">G115-$K38</f>
        <v>100</v>
      </c>
      <c r="I115" s="2199" t="n">
        <f aca="false">H115-$K38</f>
        <v>100</v>
      </c>
      <c r="J115" s="2199" t="n">
        <f aca="false">I115-$K38</f>
        <v>100</v>
      </c>
      <c r="K115" s="2199" t="n">
        <f aca="false">J115-$K38</f>
        <v>100</v>
      </c>
      <c r="L115" s="2199" t="n">
        <f aca="false">K115-$K38</f>
        <v>100</v>
      </c>
      <c r="M115" s="2200" t="n">
        <f aca="false">L115-$K38</f>
        <v>100</v>
      </c>
      <c r="N115" s="2396"/>
      <c r="O115" s="2396"/>
      <c r="P115" s="2395"/>
      <c r="Q115" s="2386"/>
      <c r="R115" s="2110"/>
      <c r="S115" s="2110"/>
      <c r="T115" s="2110"/>
      <c r="U115" s="2110"/>
      <c r="V115" s="2110"/>
      <c r="W115" s="2110"/>
      <c r="X115" s="2110"/>
      <c r="Y115" s="2110"/>
      <c r="Z115" s="2110"/>
      <c r="AA115" s="2110"/>
      <c r="AB115" s="2110"/>
      <c r="AC115" s="2110"/>
    </row>
    <row r="116" customFormat="false" ht="14.25" hidden="false" customHeight="false" outlineLevel="0" collapsed="false">
      <c r="A116" s="2263"/>
      <c r="B116" s="2189" t="s">
        <v>1553</v>
      </c>
      <c r="C116" s="2202"/>
      <c r="D116" s="2202"/>
      <c r="E116" s="2202"/>
      <c r="F116" s="2202"/>
      <c r="G116" s="2202"/>
      <c r="H116" s="2190"/>
      <c r="I116" s="2190"/>
      <c r="J116" s="2190"/>
      <c r="K116" s="2246"/>
      <c r="L116" s="2247"/>
      <c r="M116" s="2248"/>
      <c r="N116" s="2394"/>
      <c r="O116" s="2394"/>
      <c r="P116" s="2395"/>
      <c r="Q116" s="2386"/>
      <c r="R116" s="2110"/>
      <c r="S116" s="2110"/>
      <c r="T116" s="2110"/>
      <c r="U116" s="2110"/>
      <c r="V116" s="2110"/>
      <c r="W116" s="2110"/>
      <c r="X116" s="2110"/>
      <c r="Y116" s="2110"/>
      <c r="Z116" s="2110"/>
      <c r="AA116" s="2110"/>
      <c r="AB116" s="2110"/>
      <c r="AC116" s="2110"/>
    </row>
    <row r="117" customFormat="false" ht="15" hidden="false" customHeight="false" outlineLevel="0" collapsed="false">
      <c r="A117" s="2184"/>
      <c r="B117" s="2191"/>
      <c r="C117" s="2199" t="n">
        <v>100</v>
      </c>
      <c r="D117" s="2199" t="n">
        <f aca="false">C117-$K39</f>
        <v>100</v>
      </c>
      <c r="E117" s="2199" t="n">
        <f aca="false">D117-$K39</f>
        <v>100</v>
      </c>
      <c r="F117" s="2199" t="n">
        <f aca="false">E117-$K39</f>
        <v>100</v>
      </c>
      <c r="G117" s="2199" t="n">
        <f aca="false">F117-$K39</f>
        <v>100</v>
      </c>
      <c r="H117" s="2199"/>
      <c r="I117" s="2199"/>
      <c r="J117" s="2199"/>
      <c r="K117" s="2199"/>
      <c r="L117" s="2199"/>
      <c r="M117" s="2200"/>
      <c r="N117" s="2396"/>
      <c r="O117" s="2396"/>
      <c r="P117" s="2395"/>
      <c r="Q117" s="2386"/>
      <c r="R117" s="2110"/>
      <c r="S117" s="2110"/>
      <c r="T117" s="2110"/>
      <c r="U117" s="2110"/>
      <c r="V117" s="2110"/>
      <c r="W117" s="2110"/>
      <c r="X117" s="2110"/>
      <c r="Y117" s="2110"/>
      <c r="Z117" s="2110"/>
      <c r="AA117" s="2110"/>
      <c r="AB117" s="2110"/>
      <c r="AC117" s="2110"/>
    </row>
    <row r="118" customFormat="false" ht="14.25" hidden="false" customHeight="false" outlineLevel="0" collapsed="false">
      <c r="A118" s="2263"/>
      <c r="B118" s="2189" t="s">
        <v>1554</v>
      </c>
      <c r="C118" s="2202"/>
      <c r="D118" s="2202"/>
      <c r="E118" s="2202"/>
      <c r="F118" s="2202"/>
      <c r="G118" s="2202"/>
      <c r="H118" s="2203"/>
      <c r="I118" s="2203"/>
      <c r="J118" s="2203"/>
      <c r="K118" s="2203"/>
      <c r="L118" s="2204"/>
      <c r="M118" s="2205"/>
      <c r="N118" s="2394"/>
      <c r="O118" s="2394"/>
      <c r="P118" s="2395"/>
      <c r="Q118" s="2386"/>
      <c r="R118" s="2110"/>
      <c r="S118" s="2110"/>
      <c r="T118" s="2110"/>
      <c r="U118" s="2110"/>
      <c r="V118" s="2110"/>
      <c r="W118" s="2110"/>
      <c r="X118" s="2110"/>
      <c r="Y118" s="2110"/>
      <c r="Z118" s="2110"/>
      <c r="AA118" s="2110"/>
      <c r="AB118" s="2110"/>
      <c r="AC118" s="2110"/>
    </row>
    <row r="119" customFormat="false" ht="15" hidden="false" customHeight="false" outlineLevel="0" collapsed="false">
      <c r="A119" s="2184"/>
      <c r="B119" s="2191"/>
      <c r="C119" s="2209"/>
      <c r="D119" s="2186"/>
      <c r="E119" s="2186"/>
      <c r="F119" s="2186"/>
      <c r="G119" s="2186"/>
      <c r="H119" s="2186"/>
      <c r="I119" s="2186"/>
      <c r="J119" s="2186"/>
      <c r="K119" s="2186"/>
      <c r="L119" s="2186"/>
      <c r="M119" s="2187"/>
      <c r="N119" s="2396"/>
      <c r="O119" s="2396"/>
      <c r="P119" s="2395"/>
      <c r="Q119" s="2386"/>
      <c r="R119" s="2110"/>
      <c r="S119" s="2110"/>
      <c r="T119" s="2110"/>
      <c r="U119" s="2110"/>
      <c r="V119" s="2110"/>
      <c r="W119" s="2110"/>
      <c r="X119" s="2110"/>
      <c r="Y119" s="2110"/>
      <c r="Z119" s="2110"/>
      <c r="AA119" s="2110"/>
      <c r="AB119" s="2110"/>
      <c r="AC119" s="2110"/>
    </row>
    <row r="120" s="2088" customFormat="true" ht="14.25" hidden="false" customHeight="false" outlineLevel="0" collapsed="false">
      <c r="A120" s="2257"/>
      <c r="B120" s="2189" t="s">
        <v>1555</v>
      </c>
      <c r="C120" s="2190"/>
      <c r="D120" s="2190"/>
      <c r="E120" s="2190"/>
      <c r="F120" s="2190"/>
      <c r="G120" s="2203"/>
      <c r="H120" s="2203"/>
      <c r="I120" s="2203"/>
      <c r="J120" s="2203"/>
      <c r="K120" s="2203"/>
      <c r="L120" s="2204"/>
      <c r="M120" s="2205"/>
      <c r="N120" s="2397"/>
      <c r="O120" s="2397"/>
      <c r="P120" s="2398"/>
      <c r="Q120" s="2399"/>
      <c r="R120" s="791"/>
      <c r="S120" s="791"/>
      <c r="T120" s="791"/>
      <c r="U120" s="791"/>
      <c r="V120" s="791"/>
      <c r="W120" s="791"/>
      <c r="X120" s="791"/>
      <c r="Y120" s="791"/>
      <c r="Z120" s="791"/>
      <c r="AA120" s="791"/>
      <c r="AB120" s="791"/>
      <c r="AC120" s="791"/>
    </row>
    <row r="121" s="2088" customFormat="true" ht="15" hidden="false" customHeight="false" outlineLevel="0" collapsed="false">
      <c r="A121" s="2201"/>
      <c r="B121" s="2185"/>
      <c r="C121" s="2239" t="n">
        <v>100</v>
      </c>
      <c r="D121" s="2199" t="n">
        <f aca="false">C121-$K41</f>
        <v>100</v>
      </c>
      <c r="E121" s="2199" t="n">
        <f aca="false">D121-$K41</f>
        <v>100</v>
      </c>
      <c r="F121" s="2199" t="n">
        <f aca="false">E121-$K41</f>
        <v>100</v>
      </c>
      <c r="G121" s="2199" t="n">
        <f aca="false">F121-$K41</f>
        <v>100</v>
      </c>
      <c r="H121" s="2199" t="n">
        <f aca="false">G121-$K41</f>
        <v>100</v>
      </c>
      <c r="I121" s="2199" t="n">
        <f aca="false">H121-$K41</f>
        <v>100</v>
      </c>
      <c r="J121" s="2199" t="n">
        <f aca="false">I121-$K41</f>
        <v>100</v>
      </c>
      <c r="K121" s="2199" t="n">
        <f aca="false">J121-$K41</f>
        <v>100</v>
      </c>
      <c r="L121" s="2199" t="n">
        <f aca="false">K121-$K41</f>
        <v>100</v>
      </c>
      <c r="M121" s="2200" t="n">
        <f aca="false">L121-$K41</f>
        <v>100</v>
      </c>
      <c r="N121" s="2397"/>
      <c r="O121" s="2397"/>
      <c r="P121" s="2398"/>
      <c r="Q121" s="2399"/>
      <c r="R121" s="791"/>
      <c r="S121" s="791"/>
      <c r="T121" s="791"/>
      <c r="U121" s="791"/>
      <c r="V121" s="791"/>
      <c r="W121" s="791"/>
      <c r="X121" s="791"/>
      <c r="Y121" s="791"/>
      <c r="Z121" s="791"/>
      <c r="AA121" s="791"/>
      <c r="AB121" s="791"/>
      <c r="AC121" s="791"/>
    </row>
    <row r="122" customFormat="false" ht="14.25" hidden="false" customHeight="false" outlineLevel="0" collapsed="false">
      <c r="A122" s="2263"/>
      <c r="B122" s="2189" t="s">
        <v>1306</v>
      </c>
      <c r="C122" s="2202"/>
      <c r="D122" s="2202"/>
      <c r="E122" s="2202"/>
      <c r="F122" s="2190"/>
      <c r="G122" s="2190"/>
      <c r="H122" s="2190"/>
      <c r="I122" s="2190"/>
      <c r="J122" s="2190"/>
      <c r="K122" s="2246"/>
      <c r="L122" s="2247"/>
      <c r="M122" s="2248"/>
      <c r="N122" s="2394"/>
      <c r="O122" s="2394"/>
      <c r="P122" s="2395"/>
      <c r="Q122" s="2386"/>
      <c r="R122" s="2110"/>
      <c r="S122" s="2110"/>
      <c r="T122" s="2110"/>
      <c r="U122" s="2110"/>
      <c r="V122" s="2110"/>
      <c r="W122" s="2110"/>
      <c r="X122" s="2110"/>
      <c r="Y122" s="2110"/>
      <c r="Z122" s="2110"/>
      <c r="AA122" s="2110"/>
      <c r="AB122" s="2110"/>
      <c r="AC122" s="2110"/>
    </row>
    <row r="123" customFormat="false" ht="15" hidden="false" customHeight="false" outlineLevel="0" collapsed="false">
      <c r="A123" s="2184"/>
      <c r="B123" s="2191"/>
      <c r="C123" s="2199" t="n">
        <v>100</v>
      </c>
      <c r="D123" s="2199" t="n">
        <f aca="false">C123-$K42</f>
        <v>100</v>
      </c>
      <c r="E123" s="2199" t="n">
        <f aca="false">D123-$K42</f>
        <v>100</v>
      </c>
      <c r="F123" s="2199" t="n">
        <f aca="false">E123-$K42</f>
        <v>100</v>
      </c>
      <c r="G123" s="2199" t="n">
        <f aca="false">F123-$K42</f>
        <v>100</v>
      </c>
      <c r="H123" s="2199" t="n">
        <f aca="false">G123-$K42</f>
        <v>100</v>
      </c>
      <c r="I123" s="2199" t="n">
        <f aca="false">H123-$K42</f>
        <v>100</v>
      </c>
      <c r="J123" s="2199" t="n">
        <f aca="false">I123-$K42</f>
        <v>100</v>
      </c>
      <c r="K123" s="2199" t="n">
        <f aca="false">J123-$K42</f>
        <v>100</v>
      </c>
      <c r="L123" s="2199" t="n">
        <f aca="false">K123-$K42</f>
        <v>100</v>
      </c>
      <c r="M123" s="2200" t="n">
        <f aca="false">L123-$K42</f>
        <v>100</v>
      </c>
      <c r="N123" s="2396"/>
      <c r="O123" s="2396"/>
      <c r="P123" s="2395"/>
      <c r="Q123" s="2386"/>
      <c r="R123" s="2110"/>
      <c r="S123" s="2110"/>
      <c r="T123" s="2110"/>
      <c r="U123" s="2110"/>
      <c r="V123" s="2110"/>
      <c r="W123" s="2110"/>
      <c r="X123" s="2110"/>
      <c r="Y123" s="2110"/>
      <c r="Z123" s="2110"/>
      <c r="AA123" s="2110"/>
      <c r="AB123" s="2110"/>
      <c r="AC123" s="2110"/>
    </row>
    <row r="124" customFormat="false" ht="14.25" hidden="false" customHeight="false" outlineLevel="0" collapsed="false">
      <c r="A124" s="2263"/>
      <c r="B124" s="2189" t="s">
        <v>222</v>
      </c>
      <c r="C124" s="2228" t="s">
        <v>231</v>
      </c>
      <c r="D124" s="2228" t="s">
        <v>241</v>
      </c>
      <c r="E124" s="2228" t="s">
        <v>250</v>
      </c>
      <c r="F124" s="2228" t="s">
        <v>258</v>
      </c>
      <c r="G124" s="2228" t="s">
        <v>265</v>
      </c>
      <c r="H124" s="2229"/>
      <c r="I124" s="2229"/>
      <c r="J124" s="2229"/>
      <c r="K124" s="2230"/>
      <c r="L124" s="2231"/>
      <c r="M124" s="2232"/>
      <c r="N124" s="2394"/>
      <c r="O124" s="2394"/>
      <c r="P124" s="2398"/>
      <c r="Q124" s="2386"/>
      <c r="R124" s="2110"/>
      <c r="S124" s="2110"/>
      <c r="T124" s="2110"/>
      <c r="U124" s="2110"/>
      <c r="V124" s="2110"/>
      <c r="W124" s="2110"/>
      <c r="X124" s="2110"/>
      <c r="Y124" s="2110"/>
      <c r="Z124" s="2110"/>
      <c r="AA124" s="2110"/>
      <c r="AB124" s="2110"/>
      <c r="AC124" s="2110"/>
    </row>
    <row r="125" customFormat="false" ht="15" hidden="false" customHeight="false" outlineLevel="0" collapsed="false">
      <c r="A125" s="2184"/>
      <c r="B125" s="2191"/>
      <c r="C125" s="2199" t="n">
        <v>100</v>
      </c>
      <c r="D125" s="2199" t="n">
        <f aca="false">C125-$K43</f>
        <v>100</v>
      </c>
      <c r="E125" s="2199" t="n">
        <f aca="false">D125-$K43</f>
        <v>100</v>
      </c>
      <c r="F125" s="2199" t="n">
        <f aca="false">E125-$K43</f>
        <v>100</v>
      </c>
      <c r="G125" s="2199" t="n">
        <f aca="false">F125-$K43</f>
        <v>100</v>
      </c>
      <c r="H125" s="2199"/>
      <c r="I125" s="2199"/>
      <c r="J125" s="2199"/>
      <c r="K125" s="2199"/>
      <c r="L125" s="2199"/>
      <c r="M125" s="2200"/>
      <c r="N125" s="2396"/>
      <c r="O125" s="2396"/>
      <c r="P125" s="2395"/>
      <c r="Q125" s="2386"/>
      <c r="R125" s="2110"/>
      <c r="S125" s="2110"/>
      <c r="T125" s="2110"/>
      <c r="U125" s="2110"/>
      <c r="V125" s="2110"/>
      <c r="W125" s="2110"/>
      <c r="X125" s="2110"/>
      <c r="Y125" s="2110"/>
      <c r="Z125" s="2110"/>
      <c r="AA125" s="2110"/>
      <c r="AB125" s="2110"/>
      <c r="AC125" s="2110"/>
    </row>
    <row r="126" s="2088" customFormat="true" ht="14.25" hidden="false" customHeight="false" outlineLevel="0" collapsed="false">
      <c r="A126" s="2257"/>
      <c r="B126" s="2189" t="n">
        <f aca="false">B44</f>
        <v>111</v>
      </c>
      <c r="C126" s="2202"/>
      <c r="D126" s="2202"/>
      <c r="E126" s="2202"/>
      <c r="F126" s="2202"/>
      <c r="G126" s="2202"/>
      <c r="H126" s="2203"/>
      <c r="I126" s="2203"/>
      <c r="J126" s="2203"/>
      <c r="K126" s="2203"/>
      <c r="L126" s="2204"/>
      <c r="M126" s="2205"/>
      <c r="N126" s="2397"/>
      <c r="O126" s="2397"/>
      <c r="P126" s="2398"/>
      <c r="Q126" s="2399"/>
      <c r="R126" s="791"/>
      <c r="S126" s="791"/>
      <c r="T126" s="791"/>
      <c r="U126" s="791"/>
      <c r="V126" s="791"/>
      <c r="W126" s="791"/>
      <c r="X126" s="791"/>
      <c r="Y126" s="791"/>
      <c r="Z126" s="791"/>
      <c r="AA126" s="791"/>
      <c r="AB126" s="791"/>
      <c r="AC126" s="791"/>
    </row>
    <row r="127" s="2088" customFormat="true" ht="15" hidden="false" customHeight="false" outlineLevel="0" collapsed="false">
      <c r="A127" s="2201"/>
      <c r="B127" s="2191"/>
      <c r="C127" s="2209"/>
      <c r="D127" s="2186"/>
      <c r="E127" s="2186"/>
      <c r="F127" s="2186"/>
      <c r="G127" s="2209"/>
      <c r="H127" s="2212"/>
      <c r="I127" s="2212"/>
      <c r="J127" s="2212"/>
      <c r="K127" s="2212"/>
      <c r="L127" s="2212"/>
      <c r="M127" s="2213"/>
      <c r="N127" s="2397"/>
      <c r="O127" s="2397"/>
      <c r="P127" s="2398"/>
      <c r="Q127" s="2399"/>
      <c r="R127" s="791"/>
      <c r="S127" s="791"/>
      <c r="T127" s="791"/>
      <c r="U127" s="791"/>
      <c r="V127" s="791"/>
      <c r="W127" s="791"/>
      <c r="X127" s="791"/>
      <c r="Y127" s="791"/>
      <c r="Z127" s="791"/>
      <c r="AA127" s="791"/>
      <c r="AB127" s="791"/>
      <c r="AC127" s="791"/>
    </row>
    <row r="128" customFormat="false" ht="14.25" hidden="false" customHeight="false" outlineLevel="0" collapsed="false">
      <c r="A128" s="2263"/>
      <c r="B128" s="2189" t="n">
        <f aca="false">B45</f>
        <v>111</v>
      </c>
      <c r="C128" s="2202"/>
      <c r="D128" s="2202"/>
      <c r="E128" s="2202"/>
      <c r="F128" s="2202"/>
      <c r="G128" s="2190"/>
      <c r="H128" s="2190"/>
      <c r="I128" s="2190"/>
      <c r="J128" s="2190"/>
      <c r="K128" s="2246"/>
      <c r="L128" s="2247"/>
      <c r="M128" s="2248"/>
      <c r="N128" s="2394"/>
      <c r="O128" s="2394"/>
      <c r="P128" s="2395"/>
      <c r="Q128" s="2386"/>
      <c r="R128" s="2110"/>
      <c r="S128" s="2110"/>
      <c r="T128" s="2110"/>
      <c r="U128" s="2110"/>
      <c r="V128" s="2110"/>
      <c r="W128" s="2110"/>
      <c r="X128" s="2110"/>
      <c r="Y128" s="2110"/>
      <c r="Z128" s="2110"/>
      <c r="AA128" s="2110"/>
      <c r="AB128" s="2110"/>
      <c r="AC128" s="2110"/>
    </row>
    <row r="129" customFormat="false" ht="15" hidden="false" customHeight="false" outlineLevel="0" collapsed="false">
      <c r="A129" s="2184"/>
      <c r="B129" s="2191"/>
      <c r="C129" s="2209"/>
      <c r="D129" s="2186"/>
      <c r="E129" s="2186"/>
      <c r="F129" s="2186"/>
      <c r="G129" s="2186"/>
      <c r="H129" s="2186"/>
      <c r="I129" s="2186"/>
      <c r="J129" s="2186"/>
      <c r="K129" s="2186"/>
      <c r="L129" s="2186"/>
      <c r="M129" s="2187"/>
      <c r="N129" s="2396"/>
      <c r="O129" s="2396"/>
      <c r="P129" s="2395"/>
      <c r="Q129" s="2386"/>
      <c r="R129" s="2110"/>
      <c r="S129" s="2110"/>
      <c r="T129" s="2110"/>
      <c r="U129" s="2110"/>
      <c r="V129" s="2110"/>
      <c r="W129" s="2110"/>
      <c r="X129" s="2110"/>
      <c r="Y129" s="2110"/>
      <c r="Z129" s="2110"/>
      <c r="AA129" s="2110"/>
      <c r="AB129" s="2110"/>
      <c r="AC129" s="2110"/>
    </row>
    <row r="130" customFormat="false" ht="14.25" hidden="false" customHeight="false" outlineLevel="0" collapsed="false">
      <c r="A130" s="2263"/>
      <c r="B130" s="2192" t="n">
        <f aca="false">B46</f>
        <v>111</v>
      </c>
      <c r="C130" s="2202"/>
      <c r="D130" s="2202"/>
      <c r="E130" s="2202"/>
      <c r="F130" s="2202"/>
      <c r="G130" s="2249"/>
      <c r="H130" s="2249"/>
      <c r="I130" s="2249"/>
      <c r="J130" s="2249"/>
      <c r="K130" s="2169"/>
      <c r="L130" s="2170"/>
      <c r="M130" s="2252"/>
      <c r="N130" s="2394"/>
      <c r="O130" s="2394"/>
      <c r="P130" s="2395"/>
      <c r="Q130" s="2386"/>
      <c r="R130" s="2110"/>
      <c r="S130" s="2110"/>
      <c r="T130" s="2110"/>
      <c r="U130" s="2110"/>
      <c r="V130" s="2110"/>
      <c r="W130" s="2110"/>
      <c r="X130" s="2110"/>
      <c r="Y130" s="2110"/>
      <c r="Z130" s="2110"/>
      <c r="AA130" s="2110"/>
      <c r="AB130" s="2110"/>
      <c r="AC130" s="2110"/>
    </row>
    <row r="131" customFormat="false" ht="15" hidden="false" customHeight="false" outlineLevel="0" collapsed="false">
      <c r="A131" s="2253"/>
      <c r="B131" s="2219"/>
      <c r="C131" s="2220"/>
      <c r="D131" s="2220"/>
      <c r="E131" s="2220"/>
      <c r="F131" s="2220"/>
      <c r="G131" s="2254"/>
      <c r="H131" s="2254"/>
      <c r="I131" s="2254"/>
      <c r="J131" s="2254"/>
      <c r="K131" s="2254"/>
      <c r="L131" s="2254"/>
      <c r="M131" s="2255"/>
      <c r="N131" s="2396"/>
      <c r="O131" s="2396"/>
      <c r="P131" s="2395"/>
      <c r="Q131" s="2386"/>
      <c r="R131" s="2110"/>
      <c r="S131" s="2110"/>
      <c r="T131" s="2110"/>
      <c r="U131" s="2110"/>
      <c r="V131" s="2110"/>
      <c r="W131" s="2110"/>
      <c r="X131" s="2110"/>
      <c r="Y131" s="2110"/>
      <c r="Z131" s="2110"/>
      <c r="AA131" s="2110"/>
      <c r="AB131" s="2110"/>
      <c r="AC131" s="2110"/>
    </row>
  </sheetData>
  <sheetProtection sheet="true" password="cee9" objects="true" scenarios="true" formatCells="false" formatColumns="false" formatRows="false"/>
  <mergeCells count="40">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4"/>
    <mergeCell ref="Y9:Y14"/>
    <mergeCell ref="P15:P31"/>
    <mergeCell ref="Y15:Y31"/>
    <mergeCell ref="P32:P46"/>
    <mergeCell ref="Y32:Y46"/>
    <mergeCell ref="P47:Q47"/>
    <mergeCell ref="R47:S47"/>
    <mergeCell ref="T47:U47"/>
    <mergeCell ref="V47:W47"/>
    <mergeCell ref="P48:Q48"/>
    <mergeCell ref="R48:S48"/>
    <mergeCell ref="T48:U48"/>
    <mergeCell ref="V48:W48"/>
    <mergeCell ref="P49:Q49"/>
    <mergeCell ref="R49:W49"/>
  </mergeCells>
  <conditionalFormatting sqref="F48">
    <cfRule type="expression" priority="2" aboveAverage="0" equalAverage="0" bottom="0" percent="0" rank="0" text="" dxfId="93">
      <formula>$D$48="简单平均"</formula>
    </cfRule>
  </conditionalFormatting>
  <conditionalFormatting sqref="H48">
    <cfRule type="expression" priority="3" aboveAverage="0" equalAverage="0" bottom="0" percent="0" rank="0" text="" dxfId="94">
      <formula>$D$48="简单平均"</formula>
    </cfRule>
  </conditionalFormatting>
  <conditionalFormatting sqref="J48">
    <cfRule type="expression" priority="4" aboveAverage="0" equalAverage="0" bottom="0" percent="0" rank="0" text="" dxfId="95">
      <formula>$D$48="简单平均"</formula>
    </cfRule>
  </conditionalFormatting>
  <conditionalFormatting sqref="E52">
    <cfRule type="expression" priority="5" aboveAverage="0" equalAverage="0" bottom="0" percent="0" rank="0" text="" dxfId="96">
      <formula>$F$52="超过30%"</formula>
    </cfRule>
  </conditionalFormatting>
  <conditionalFormatting sqref="G52">
    <cfRule type="expression" priority="6" aboveAverage="0" equalAverage="0" bottom="0" percent="0" rank="0" text="" dxfId="97">
      <formula>$H$52="超过30%"</formula>
    </cfRule>
  </conditionalFormatting>
  <conditionalFormatting sqref="I52">
    <cfRule type="expression" priority="7" aboveAverage="0" equalAverage="0" bottom="0" percent="0" rank="0" text="" dxfId="98">
      <formula>$J$52="超过30%"</formula>
    </cfRule>
  </conditionalFormatting>
  <conditionalFormatting sqref="J52">
    <cfRule type="containsText" priority="8" operator="containsText" aboveAverage="0" equalAverage="0" bottom="0" percent="0" rank="0" text="超过" dxfId="99">
      <formula>NOT(ISERROR(SEARCH("超过",J52)))</formula>
    </cfRule>
  </conditionalFormatting>
  <conditionalFormatting sqref="E53">
    <cfRule type="expression" priority="9" aboveAverage="0" equalAverage="0" bottom="0" percent="0" rank="0" text="" dxfId="100">
      <formula>$F$53="超过20%"</formula>
    </cfRule>
  </conditionalFormatting>
  <conditionalFormatting sqref="G53">
    <cfRule type="expression" priority="10" aboveAverage="0" equalAverage="0" bottom="0" percent="0" rank="0" text="" dxfId="101">
      <formula>$H$53="超过20%"</formula>
    </cfRule>
  </conditionalFormatting>
  <conditionalFormatting sqref="I53">
    <cfRule type="expression" priority="11" aboveAverage="0" equalAverage="0" bottom="0" percent="0" rank="0" text="" dxfId="102">
      <formula>$J$53="超过20%"</formula>
    </cfRule>
  </conditionalFormatting>
  <conditionalFormatting sqref="J53">
    <cfRule type="containsText" priority="12" operator="containsText" aboveAverage="0" equalAverage="0" bottom="0" percent="0" rank="0" text="超过" dxfId="103">
      <formula>NOT(ISERROR(SEARCH("超过",J53)))</formula>
    </cfRule>
  </conditionalFormatting>
  <conditionalFormatting sqref="E54">
    <cfRule type="expression" priority="13" aboveAverage="0" equalAverage="0" bottom="0" percent="0" rank="0" text="" dxfId="104">
      <formula>$F$54="超过30%"</formula>
    </cfRule>
  </conditionalFormatting>
  <conditionalFormatting sqref="F54">
    <cfRule type="containsText" priority="14" operator="containsText" aboveAverage="0" equalAverage="0" bottom="0" percent="0" rank="0" text="超过" dxfId="105">
      <formula>NOT(ISERROR(SEARCH("超过",F54)))</formula>
    </cfRule>
  </conditionalFormatting>
  <conditionalFormatting sqref="G54">
    <cfRule type="expression" priority="15" aboveAverage="0" equalAverage="0" bottom="0" percent="0" rank="0" text="" dxfId="106">
      <formula>$H$54="超过30%"</formula>
    </cfRule>
  </conditionalFormatting>
  <conditionalFormatting sqref="H54">
    <cfRule type="containsText" priority="16" operator="containsText" aboveAverage="0" equalAverage="0" bottom="0" percent="0" rank="0" text="超过" dxfId="107">
      <formula>NOT(ISERROR(SEARCH("超过",H54)))</formula>
    </cfRule>
  </conditionalFormatting>
  <conditionalFormatting sqref="I54">
    <cfRule type="expression" priority="17" aboveAverage="0" equalAverage="0" bottom="0" percent="0" rank="0" text="" dxfId="108">
      <formula>$J$54="超过30%"</formula>
    </cfRule>
  </conditionalFormatting>
  <conditionalFormatting sqref="J54">
    <cfRule type="containsText" priority="18" operator="containsText" aboveAverage="0" equalAverage="0" bottom="0" percent="0" rank="0" text="超过" dxfId="109">
      <formula>NOT(ISERROR(SEARCH("超过",J54)))</formula>
    </cfRule>
  </conditionalFormatting>
  <conditionalFormatting sqref="F7:F46 H7:H46 J7:J46">
    <cfRule type="cellIs" priority="19" operator="notEqual" aboveAverage="0" equalAverage="0" bottom="0" percent="0" rank="0" text="" dxfId="110">
      <formula>100</formula>
    </cfRule>
  </conditionalFormatting>
  <conditionalFormatting sqref="F52 H52">
    <cfRule type="containsText" priority="20" operator="containsText" aboveAverage="0" equalAverage="0" bottom="0" percent="0" rank="0" text="超过" dxfId="111">
      <formula>NOT(ISERROR(SEARCH("超过",F52)))</formula>
    </cfRule>
  </conditionalFormatting>
  <conditionalFormatting sqref="F53 H53">
    <cfRule type="containsText" priority="21" operator="containsText" aboveAverage="0" equalAverage="0" bottom="0" percent="0" rank="0" text="超过" dxfId="112">
      <formula>NOT(ISERROR(SEARCH("超过",F53)))</formula>
    </cfRule>
  </conditionalFormatting>
  <dataValidations count="25">
    <dataValidation allowBlank="true" operator="between" showDropDown="false" showErrorMessage="true" showInputMessage="true" sqref="C8 E8 G8 I8" type="list">
      <formula1>商业交易情况</formula1>
      <formula2>0</formula2>
    </dataValidation>
    <dataValidation allowBlank="true" operator="between" showDropDown="false" showErrorMessage="true" showInputMessage="true" sqref="E1" type="list">
      <formula1>"项目模式,单套模式"</formula1>
      <formula2>0</formula2>
    </dataValidation>
    <dataValidation allowBlank="true" operator="between" showDropDown="false" showErrorMessage="true" showInputMessage="true" sqref="D1" type="list">
      <formula1>项目类型</formula1>
      <formula2>0</formula2>
    </dataValidation>
    <dataValidation allowBlank="true" operator="between" showDropDown="false" showErrorMessage="true" showInputMessage="true" sqref="E9 G9 I9" type="list">
      <formula1>商业用途</formula1>
      <formula2>0</formula2>
    </dataValidation>
    <dataValidation allowBlank="true" operator="between" showDropDown="false" showErrorMessage="true" showInputMessage="true" sqref="F1" type="list">
      <formula1>"售价,租金"</formula1>
      <formula2>0</formula2>
    </dataValidation>
    <dataValidation allowBlank="true" operator="between" showDropDown="false" showErrorMessage="true" showInputMessage="true" sqref="F2" type="list">
      <formula1>估价方法</formula1>
      <formula2>0</formula2>
    </dataValidation>
    <dataValidation allowBlank="true" operator="between" showDropDown="false" showErrorMessage="true" showInputMessage="true" sqref="C2" type="list">
      <formula1>"需扣减承租人权益,——"</formula1>
      <formula2>0</formula2>
    </dataValidation>
    <dataValidation allowBlank="true" operator="between" showDropDown="false" showErrorMessage="true" showInputMessage="true" sqref="C16 E16 G16 I16" type="list">
      <formula1>商业繁华度</formula1>
      <formula2>0</formula2>
    </dataValidation>
    <dataValidation allowBlank="true" operator="between" showDropDown="false" showErrorMessage="true" showInputMessage="true" sqref="C18 E18 G18 I18" type="list">
      <formula1>交通便捷度</formula1>
      <formula2>0</formula2>
    </dataValidation>
    <dataValidation allowBlank="true" operator="between" showDropDown="false" showErrorMessage="true" showInputMessage="true" sqref="C20 E20 G20 I20" type="list">
      <formula1>公共配套设施</formula1>
      <formula2>0</formula2>
    </dataValidation>
    <dataValidation allowBlank="true" operator="between" showDropDown="false" showErrorMessage="true" showInputMessage="true" sqref="C22 E22 G22 I22" type="list">
      <formula1>基础设施水平</formula1>
      <formula2>0</formula2>
    </dataValidation>
    <dataValidation allowBlank="true" operator="between" showDropDown="false" showErrorMessage="true" showInputMessage="true" sqref="C24 E24 G24 I24" type="list">
      <formula1>环境</formula1>
      <formula2>0</formula2>
    </dataValidation>
    <dataValidation allowBlank="true" operator="between" showDropDown="false" showErrorMessage="true" showInputMessage="true" sqref="C25 E25 G25 I25" type="list">
      <formula1>商业临街状况</formula1>
      <formula2>0</formula2>
    </dataValidation>
    <dataValidation allowBlank="true" operator="between" showDropDown="false" showErrorMessage="true" showInputMessage="true" sqref="C38 E38 G38 I38" type="list">
      <formula1>商业业态</formula1>
      <formula2>0</formula2>
    </dataValidation>
    <dataValidation allowBlank="true" operator="between" showDropDown="false" showErrorMessage="true" showInputMessage="true" sqref="C27 E27 G27 I27" type="list">
      <formula1>商业人流量</formula1>
      <formula2>0</formula2>
    </dataValidation>
    <dataValidation allowBlank="true" operator="between" showDropDown="false" showErrorMessage="true" showInputMessage="true" sqref="C28 E28 G28 I28" type="list">
      <formula1>商业楼层</formula1>
      <formula2>0</formula2>
    </dataValidation>
    <dataValidation allowBlank="true" operator="between" showDropDown="false" showErrorMessage="true" showInputMessage="true" sqref="C32 E32 G32 I32" type="list">
      <formula1>商业类型</formula1>
      <formula2>0</formula2>
    </dataValidation>
    <dataValidation allowBlank="true" operator="between" showDropDown="false" showErrorMessage="true" showInputMessage="true" sqref="C34 E34 G34 I34" type="list">
      <formula1>商业建筑结构</formula1>
      <formula2>0</formula2>
    </dataValidation>
    <dataValidation allowBlank="true" operator="between" showDropDown="false" showErrorMessage="true" showInputMessage="true" sqref="C35 E35 G35 I35" type="list">
      <formula1>商业公共部分装修</formula1>
      <formula2>0</formula2>
    </dataValidation>
    <dataValidation allowBlank="true" operator="between" showDropDown="false" showErrorMessage="true" showInputMessage="true" sqref="C39 E39 G39 I39" type="list">
      <formula1>商业层高</formula1>
      <formula2>0</formula2>
    </dataValidation>
    <dataValidation allowBlank="true" operator="between" showDropDown="false" showErrorMessage="true" showInputMessage="true" sqref="C37 E37 G37 I37" type="list">
      <formula1>商业基础设施水平</formula1>
      <formula2>0</formula2>
    </dataValidation>
    <dataValidation allowBlank="true" operator="between" showDropDown="false" showErrorMessage="true" showInputMessage="true" sqref="C41 E41 G41 I41" type="list">
      <formula1>商业进深比</formula1>
      <formula2>0</formula2>
    </dataValidation>
    <dataValidation allowBlank="true" operator="between" showDropDown="false" showErrorMessage="true" showInputMessage="true" sqref="C42 E42 G42 I42" type="list">
      <formula1>商业内部装修</formula1>
      <formula2>0</formula2>
    </dataValidation>
    <dataValidation allowBlank="true" operator="between" showDropDown="false" showErrorMessage="true" showInputMessage="true" sqref="C43 E43 G43 I43" type="list">
      <formula1>内部装修维护情况</formula1>
      <formula2>0</formula2>
    </dataValidation>
    <dataValidation allowBlank="true" operator="between" showDropDown="false" showErrorMessage="true" showInputMessage="true" sqref="D48" type="list">
      <formula1>"简单平均,加权平均"</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29.xml><?xml version="1.0" encoding="utf-8"?>
<worksheet xmlns="http://schemas.openxmlformats.org/spreadsheetml/2006/main" xmlns:r="http://schemas.openxmlformats.org/officeDocument/2006/relationships">
  <sheetPr filterMode="false">
    <pageSetUpPr fitToPage="true"/>
  </sheetPr>
  <dimension ref="A1:AC132"/>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1913" width="10.5"/>
    <col collapsed="false" customWidth="true" hidden="false" outlineLevel="0" max="2" min="2" style="1913" width="15.76"/>
    <col collapsed="false" customWidth="true" hidden="false" outlineLevel="0" max="3" min="3" style="1913" width="15.62"/>
    <col collapsed="false" customWidth="true" hidden="false" outlineLevel="0" max="4" min="4" style="1913" width="12.26"/>
    <col collapsed="false" customWidth="true" hidden="false" outlineLevel="0" max="5" min="5" style="1913" width="14.38"/>
    <col collapsed="false" customWidth="true" hidden="false" outlineLevel="0" max="6" min="6" style="1913" width="12.26"/>
    <col collapsed="false" customWidth="true" hidden="false" outlineLevel="0" max="7" min="7" style="1913" width="14.5"/>
    <col collapsed="false" customWidth="true" hidden="false" outlineLevel="0" max="8" min="8" style="1913" width="12.26"/>
    <col collapsed="false" customWidth="true" hidden="false" outlineLevel="0" max="9" min="9" style="1913" width="14.5"/>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2411"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1930" customFormat="true" ht="28.5" hidden="false" customHeight="true" outlineLevel="0" collapsed="false">
      <c r="A1" s="1917" t="s">
        <v>1264</v>
      </c>
      <c r="B1" s="2412" t="s">
        <v>158</v>
      </c>
      <c r="C1" s="2413" t="s">
        <v>1265</v>
      </c>
      <c r="D1" s="1920"/>
      <c r="E1" s="1920"/>
      <c r="F1" s="1922"/>
      <c r="G1" s="1923" t="s">
        <v>1268</v>
      </c>
      <c r="H1" s="1924"/>
      <c r="I1" s="1924"/>
      <c r="J1" s="1924"/>
      <c r="K1" s="1925"/>
      <c r="L1" s="1926"/>
      <c r="M1" s="1919"/>
      <c r="N1" s="1919"/>
      <c r="O1" s="1919"/>
      <c r="P1" s="1928"/>
      <c r="Q1" s="1928"/>
      <c r="R1" s="1928"/>
      <c r="S1" s="1928"/>
      <c r="T1" s="1928"/>
      <c r="U1" s="1928"/>
      <c r="V1" s="1928"/>
      <c r="W1" s="1928"/>
      <c r="X1" s="1928"/>
      <c r="Y1" s="1928"/>
      <c r="Z1" s="1928"/>
      <c r="AA1" s="1928"/>
      <c r="AB1" s="1928"/>
      <c r="AC1" s="1929"/>
    </row>
    <row r="2" s="2354" customFormat="true" ht="28.5" hidden="false" customHeight="true" outlineLevel="0" collapsed="false">
      <c r="A2" s="1931" t="s">
        <v>97</v>
      </c>
      <c r="B2" s="2347" t="n">
        <f aca="false">IF(E1="项目模式",IF(C2="——",ROUND(C50*D3/10000,0),ROUND(C50*D3/10000,0)-D2),IF(E1="单套模式",IF(C2="——",ROUND(C50*D3/10000,4),ROUND(C50*D3/10000,4)-D2)))</f>
        <v>0</v>
      </c>
      <c r="C2" s="1933"/>
      <c r="D2" s="1934" t="e">
        <f aca="true">IF(E1="项目模式",SUMIF(INDIRECT("'"&amp;F2&amp;"'"&amp;"!A:A"),"承租人权益价值",INDIRECT("'"&amp;F2&amp;"'"&amp;"!c:c")),SUMIF(INDIRECT("'"&amp;F2&amp;"'"&amp;"!A:A"),"承租人权益价值（单套）",INDIRECT("'"&amp;F2&amp;"'"&amp;"!c:c")))</f>
        <v>#REF!</v>
      </c>
      <c r="E2" s="1935" t="s">
        <v>722</v>
      </c>
      <c r="F2" s="1936"/>
      <c r="G2" s="2348"/>
      <c r="H2" s="2348"/>
      <c r="I2" s="2348"/>
      <c r="J2" s="2348"/>
      <c r="K2" s="2348"/>
      <c r="L2" s="2349"/>
      <c r="M2" s="2350"/>
      <c r="N2" s="2350"/>
      <c r="O2" s="2350"/>
      <c r="P2" s="2414"/>
      <c r="Q2" s="2414"/>
      <c r="R2" s="2414"/>
      <c r="S2" s="2414"/>
      <c r="T2" s="2414"/>
      <c r="U2" s="2414"/>
      <c r="V2" s="2414"/>
      <c r="W2" s="2414"/>
      <c r="X2" s="2414"/>
      <c r="Y2" s="2414"/>
      <c r="Z2" s="2414"/>
      <c r="AA2" s="2414"/>
      <c r="AB2" s="2414"/>
      <c r="AC2" s="2415"/>
    </row>
    <row r="3" s="2354" customFormat="true" ht="28.5" hidden="false" customHeight="true" outlineLevel="0" collapsed="false">
      <c r="A3" s="1261" t="s">
        <v>110</v>
      </c>
      <c r="B3" s="2355" t="n">
        <f aca="false">IF(C2="——",C50,ROUND(B2*10000/D3,0))</f>
        <v>0</v>
      </c>
      <c r="C3" s="1946" t="s">
        <v>107</v>
      </c>
      <c r="D3" s="1945" t="n">
        <f aca="false">IF(D1="",'数据-汇总表'!E3,SUMIF('数据-汇总表'!$C19:$C33,D1,'数据-汇总表'!$E19:$E33))</f>
        <v>58.3</v>
      </c>
      <c r="E3" s="2356"/>
      <c r="F3" s="2357"/>
      <c r="G3" s="2348"/>
      <c r="H3" s="2348"/>
      <c r="I3" s="2348"/>
      <c r="J3" s="2348"/>
      <c r="K3" s="2358"/>
      <c r="L3" s="2349"/>
      <c r="M3" s="2350"/>
      <c r="N3" s="2350"/>
      <c r="O3" s="2350"/>
      <c r="P3" s="2414"/>
      <c r="Q3" s="2414"/>
      <c r="R3" s="2414"/>
      <c r="S3" s="2414"/>
      <c r="T3" s="2414"/>
      <c r="U3" s="2414"/>
      <c r="V3" s="2414"/>
      <c r="W3" s="2414"/>
      <c r="X3" s="2414"/>
      <c r="Y3" s="2414"/>
      <c r="Z3" s="2414"/>
      <c r="AA3" s="2414"/>
      <c r="AB3" s="2414"/>
      <c r="AC3" s="2415"/>
    </row>
    <row r="4" customFormat="false" ht="15" hidden="false" customHeight="true" outlineLevel="0" collapsed="false">
      <c r="A4" s="1948" t="s">
        <v>1269</v>
      </c>
      <c r="B4" s="1949"/>
      <c r="C4" s="1950" t="s">
        <v>373</v>
      </c>
      <c r="D4" s="1950"/>
      <c r="E4" s="1951" t="s">
        <v>1270</v>
      </c>
      <c r="F4" s="1951"/>
      <c r="G4" s="1950" t="s">
        <v>1271</v>
      </c>
      <c r="H4" s="1950"/>
      <c r="I4" s="1950" t="s">
        <v>1272</v>
      </c>
      <c r="J4" s="1950"/>
      <c r="K4" s="2359" t="s">
        <v>376</v>
      </c>
      <c r="L4" s="1953"/>
      <c r="M4" s="1954"/>
      <c r="N4" s="1954"/>
      <c r="O4" s="1954"/>
      <c r="P4" s="2416" t="s">
        <v>1269</v>
      </c>
      <c r="Q4" s="2416"/>
      <c r="R4" s="2417" t="s">
        <v>1270</v>
      </c>
      <c r="S4" s="2417"/>
      <c r="T4" s="2418" t="s">
        <v>1271</v>
      </c>
      <c r="U4" s="2418"/>
      <c r="V4" s="2418" t="s">
        <v>1272</v>
      </c>
      <c r="W4" s="2418"/>
      <c r="X4" s="2419"/>
      <c r="Y4" s="2418" t="s">
        <v>1269</v>
      </c>
      <c r="Z4" s="2418"/>
      <c r="AA4" s="2418" t="s">
        <v>1270</v>
      </c>
      <c r="AB4" s="2418" t="s">
        <v>1271</v>
      </c>
      <c r="AC4" s="2420" t="s">
        <v>1272</v>
      </c>
    </row>
    <row r="5" customFormat="false" ht="15" hidden="false" customHeight="true" outlineLevel="0" collapsed="false">
      <c r="A5" s="1959"/>
      <c r="B5" s="1960"/>
      <c r="C5" s="1961" t="s">
        <v>1273</v>
      </c>
      <c r="D5" s="1961"/>
      <c r="E5" s="2360" t="s">
        <v>1546</v>
      </c>
      <c r="F5" s="2360"/>
      <c r="G5" s="1961" t="s">
        <v>1547</v>
      </c>
      <c r="H5" s="1961"/>
      <c r="I5" s="1961" t="s">
        <v>1548</v>
      </c>
      <c r="J5" s="1961"/>
      <c r="K5" s="2359"/>
      <c r="L5" s="1953"/>
      <c r="M5" s="1954"/>
      <c r="N5" s="1954"/>
      <c r="O5" s="1954"/>
      <c r="P5" s="2416"/>
      <c r="Q5" s="2416"/>
      <c r="R5" s="2417"/>
      <c r="S5" s="2417"/>
      <c r="T5" s="2418"/>
      <c r="U5" s="2418"/>
      <c r="V5" s="2418"/>
      <c r="W5" s="2418"/>
      <c r="X5" s="1958"/>
      <c r="Y5" s="2418"/>
      <c r="Z5" s="2418"/>
      <c r="AA5" s="2418"/>
      <c r="AB5" s="2418"/>
      <c r="AC5" s="2420"/>
    </row>
    <row r="6" customFormat="false" ht="15" hidden="false" customHeight="true" outlineLevel="0" collapsed="false">
      <c r="A6" s="1964"/>
      <c r="B6" s="1965"/>
      <c r="C6" s="1966" t="s">
        <v>1274</v>
      </c>
      <c r="D6" s="1966"/>
      <c r="E6" s="1967" t="s">
        <v>1274</v>
      </c>
      <c r="F6" s="1967"/>
      <c r="G6" s="1966" t="s">
        <v>1274</v>
      </c>
      <c r="H6" s="1966"/>
      <c r="I6" s="1966" t="s">
        <v>1274</v>
      </c>
      <c r="J6" s="1966"/>
      <c r="K6" s="2359" t="s">
        <v>1275</v>
      </c>
      <c r="L6" s="1953"/>
      <c r="M6" s="1954"/>
      <c r="N6" s="1954"/>
      <c r="O6" s="1954"/>
      <c r="P6" s="2416"/>
      <c r="Q6" s="2416"/>
      <c r="R6" s="2417"/>
      <c r="S6" s="2417"/>
      <c r="T6" s="2418"/>
      <c r="U6" s="2418"/>
      <c r="V6" s="2418"/>
      <c r="W6" s="2418"/>
      <c r="X6" s="1958"/>
      <c r="Y6" s="2418"/>
      <c r="Z6" s="2418"/>
      <c r="AA6" s="2418"/>
      <c r="AB6" s="2418"/>
      <c r="AC6" s="2420"/>
    </row>
    <row r="7" s="1983" customFormat="true" ht="15" hidden="false" customHeight="false" outlineLevel="0" collapsed="false">
      <c r="A7" s="1969" t="s">
        <v>1276</v>
      </c>
      <c r="B7" s="1970"/>
      <c r="C7" s="1971" t="n">
        <f aca="false">'数据-取费表'!B2</f>
        <v>39031</v>
      </c>
      <c r="D7" s="1972" t="n">
        <v>100</v>
      </c>
      <c r="E7" s="1973"/>
      <c r="F7" s="1974" t="n">
        <f aca="false">SUMIF(59:59,YEAR(E7)&amp;"-"&amp;MONTH(E7),60:60)</f>
        <v>0</v>
      </c>
      <c r="G7" s="1973"/>
      <c r="H7" s="1975" t="n">
        <f aca="false">SUMIF(59:59,YEAR(G7)&amp;"-"&amp;MONTH(G7),60:60)</f>
        <v>0</v>
      </c>
      <c r="I7" s="1973"/>
      <c r="J7" s="1975" t="n">
        <f aca="false">SUMIF(59:59,YEAR(I7)&amp;"-"&amp;MONTH(I7),60:60)</f>
        <v>0</v>
      </c>
      <c r="K7" s="2361"/>
      <c r="L7" s="1977"/>
      <c r="M7" s="1978"/>
      <c r="N7" s="1978"/>
      <c r="O7" s="1978"/>
      <c r="P7" s="2421" t="s">
        <v>1276</v>
      </c>
      <c r="Q7" s="2421"/>
      <c r="R7" s="1980" t="s">
        <v>1277</v>
      </c>
      <c r="S7" s="1981" t="n">
        <f aca="false">F7</f>
        <v>0</v>
      </c>
      <c r="T7" s="1980" t="s">
        <v>1277</v>
      </c>
      <c r="U7" s="1981" t="n">
        <f aca="false">H7</f>
        <v>0</v>
      </c>
      <c r="V7" s="1980" t="s">
        <v>1277</v>
      </c>
      <c r="W7" s="1981" t="n">
        <f aca="false">J7</f>
        <v>0</v>
      </c>
      <c r="X7" s="1982"/>
      <c r="Y7" s="540" t="s">
        <v>1276</v>
      </c>
      <c r="Z7" s="540"/>
      <c r="AA7" s="741" t="e">
        <f aca="false">D7/F7</f>
        <v>#DIV/0!</v>
      </c>
      <c r="AB7" s="741" t="e">
        <f aca="false">D7/H7</f>
        <v>#DIV/0!</v>
      </c>
      <c r="AC7" s="2422" t="e">
        <f aca="false">D7/J7</f>
        <v>#DIV/0!</v>
      </c>
    </row>
    <row r="8" s="1983" customFormat="true" ht="15" hidden="false" customHeight="false" outlineLevel="0" collapsed="false">
      <c r="A8" s="1969" t="s">
        <v>1278</v>
      </c>
      <c r="B8" s="1970"/>
      <c r="C8" s="1984"/>
      <c r="D8" s="1972" t="n">
        <v>100</v>
      </c>
      <c r="E8" s="1984"/>
      <c r="F8" s="1974" t="n">
        <f aca="false">SUMIF(62:62,E8,63:63)-SUMIF(62:62,C8,63:63)+100</f>
        <v>100</v>
      </c>
      <c r="G8" s="1984"/>
      <c r="H8" s="1975" t="n">
        <f aca="false">SUMIF(62:62,G8,63:63)-SUMIF(62:62,C8,63:63)+100</f>
        <v>100</v>
      </c>
      <c r="I8" s="1984"/>
      <c r="J8" s="1975" t="n">
        <f aca="false">SUMIF(62:62,I8,63:63)-SUMIF(62:62,C8,63:63)+100</f>
        <v>100</v>
      </c>
      <c r="K8" s="2361"/>
      <c r="L8" s="1977"/>
      <c r="M8" s="1978"/>
      <c r="N8" s="1978"/>
      <c r="O8" s="1978"/>
      <c r="P8" s="581" t="s">
        <v>1278</v>
      </c>
      <c r="Q8" s="581"/>
      <c r="R8" s="1980" t="s">
        <v>1277</v>
      </c>
      <c r="S8" s="1981" t="n">
        <f aca="false">F8</f>
        <v>100</v>
      </c>
      <c r="T8" s="1980" t="s">
        <v>1277</v>
      </c>
      <c r="U8" s="1981" t="n">
        <f aca="false">H8</f>
        <v>100</v>
      </c>
      <c r="V8" s="1980" t="s">
        <v>1277</v>
      </c>
      <c r="W8" s="1981" t="n">
        <f aca="false">J8</f>
        <v>100</v>
      </c>
      <c r="X8" s="1982"/>
      <c r="Y8" s="540" t="s">
        <v>1278</v>
      </c>
      <c r="Z8" s="540"/>
      <c r="AA8" s="741" t="n">
        <f aca="false">D8/F8</f>
        <v>1</v>
      </c>
      <c r="AB8" s="741" t="n">
        <f aca="false">D8/H8</f>
        <v>1</v>
      </c>
      <c r="AC8" s="2422" t="n">
        <f aca="false">D8/J8</f>
        <v>1</v>
      </c>
    </row>
    <row r="9" s="1983" customFormat="true" ht="14.25" hidden="false" customHeight="true" outlineLevel="0" collapsed="false">
      <c r="A9" s="1986" t="s">
        <v>1280</v>
      </c>
      <c r="B9" s="678" t="s">
        <v>399</v>
      </c>
      <c r="C9" s="2362"/>
      <c r="D9" s="1988" t="n">
        <v>100</v>
      </c>
      <c r="E9" s="1991"/>
      <c r="F9" s="1992" t="n">
        <f aca="false">SUMIF(64:64,E9,65:65)-SUMIF(64:64,C9,65:65)+100</f>
        <v>100</v>
      </c>
      <c r="G9" s="1989"/>
      <c r="H9" s="1992" t="n">
        <f aca="false">SUMIF(64:64,G9,65:65)-SUMIF(64:64,C9,65:65)+100</f>
        <v>100</v>
      </c>
      <c r="I9" s="1989"/>
      <c r="J9" s="1992" t="n">
        <f aca="false">SUMIF(64:64,I9,65:65)-SUMIF(64:64,C9,65:65)+100</f>
        <v>100</v>
      </c>
      <c r="K9" s="2361"/>
      <c r="L9" s="1977"/>
      <c r="M9" s="1978"/>
      <c r="N9" s="1978"/>
      <c r="O9" s="1978"/>
      <c r="P9" s="1993"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540" t="str">
        <f aca="false">Q9</f>
        <v>用途</v>
      </c>
      <c r="AA9" s="741" t="n">
        <f aca="false">D9/F9</f>
        <v>1</v>
      </c>
      <c r="AB9" s="741" t="n">
        <f aca="false">D9/H9</f>
        <v>1</v>
      </c>
      <c r="AC9" s="2422" t="n">
        <f aca="false">D9/J9</f>
        <v>1</v>
      </c>
    </row>
    <row r="10" s="2004" customFormat="true" ht="27" hidden="false" customHeight="false" outlineLevel="0" collapsed="false">
      <c r="A10" s="1995"/>
      <c r="B10" s="1996" t="s">
        <v>1281</v>
      </c>
      <c r="C10" s="1997"/>
      <c r="D10" s="1998" t="n">
        <v>100</v>
      </c>
      <c r="E10" s="1997"/>
      <c r="F10" s="2001" t="n">
        <f aca="false">SUMIF(66:66,E10,67:67)-SUMIF(66:66,C10,67:67)+100</f>
        <v>100</v>
      </c>
      <c r="G10" s="1999"/>
      <c r="H10" s="2001" t="n">
        <f aca="false">SUMIF(66:66,G10,67:67)-SUMIF(66:66,C10,67:67)+100</f>
        <v>100</v>
      </c>
      <c r="I10" s="1997"/>
      <c r="J10" s="2001" t="n">
        <f aca="false">SUMIF(66:66,I10,67:67)-SUMIF(66:66,C10,67:67)+100</f>
        <v>100</v>
      </c>
      <c r="K10" s="2361"/>
      <c r="L10" s="2002"/>
      <c r="M10" s="2003"/>
      <c r="N10" s="2003"/>
      <c r="O10" s="2003"/>
      <c r="P10" s="1993"/>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540" t="str">
        <f aca="false">Q10</f>
        <v>土地使用年限（年）</v>
      </c>
      <c r="AA10" s="741" t="n">
        <f aca="false">D10/F10</f>
        <v>1</v>
      </c>
      <c r="AB10" s="741" t="n">
        <f aca="false">D10/H10</f>
        <v>1</v>
      </c>
      <c r="AC10" s="2422" t="n">
        <f aca="false">D10/J10</f>
        <v>1</v>
      </c>
    </row>
    <row r="11" customFormat="false" ht="15" hidden="false" customHeight="false" outlineLevel="0" collapsed="false">
      <c r="A11" s="2005"/>
      <c r="B11" s="1996" t="s">
        <v>524</v>
      </c>
      <c r="C11" s="2006"/>
      <c r="D11" s="1998" t="n">
        <v>100</v>
      </c>
      <c r="E11" s="2006"/>
      <c r="F11" s="2001" t="n">
        <f aca="false">LOOKUP(E11,69:69,70:70)-LOOKUP(C11,69:69,70:70)+100</f>
        <v>100</v>
      </c>
      <c r="G11" s="2007"/>
      <c r="H11" s="2001" t="n">
        <f aca="false">LOOKUP(G11,69:69,70:70)-LOOKUP(C11,69:69,70:70)+100</f>
        <v>100</v>
      </c>
      <c r="I11" s="2006"/>
      <c r="J11" s="2001" t="n">
        <f aca="false">LOOKUP(I11,69:69,70:70)-LOOKUP(C11,69:69,70:70)+100</f>
        <v>100</v>
      </c>
      <c r="K11" s="2363"/>
      <c r="L11" s="2009"/>
      <c r="M11" s="1954"/>
      <c r="N11" s="1954"/>
      <c r="O11" s="1954"/>
      <c r="P11" s="1993"/>
      <c r="Q11" s="510" t="str">
        <f aca="false">B11</f>
        <v>容积率</v>
      </c>
      <c r="R11" s="1980" t="s">
        <v>1277</v>
      </c>
      <c r="S11" s="1981" t="n">
        <f aca="false">F11</f>
        <v>100</v>
      </c>
      <c r="T11" s="1980" t="s">
        <v>1277</v>
      </c>
      <c r="U11" s="1981" t="n">
        <f aca="false">H11</f>
        <v>100</v>
      </c>
      <c r="V11" s="1980" t="s">
        <v>1277</v>
      </c>
      <c r="W11" s="1981" t="n">
        <f aca="false">J11</f>
        <v>100</v>
      </c>
      <c r="X11" s="1982"/>
      <c r="Y11" s="1994"/>
      <c r="Z11" s="540" t="str">
        <f aca="false">Q11</f>
        <v>容积率</v>
      </c>
      <c r="AA11" s="741" t="n">
        <f aca="false">D11/F11</f>
        <v>1</v>
      </c>
      <c r="AB11" s="741" t="n">
        <f aca="false">D11/H11</f>
        <v>1</v>
      </c>
      <c r="AC11" s="2422" t="n">
        <f aca="false">D11/J11</f>
        <v>1</v>
      </c>
    </row>
    <row r="12" s="1983" customFormat="true" ht="15" hidden="false" customHeight="false" outlineLevel="0" collapsed="false">
      <c r="A12" s="2010"/>
      <c r="B12" s="2011" t="n">
        <v>111</v>
      </c>
      <c r="C12" s="2012"/>
      <c r="D12" s="2013" t="n">
        <v>100</v>
      </c>
      <c r="E12" s="2012"/>
      <c r="F12" s="2001" t="n">
        <f aca="false">SUMIF(71:71,E12,72:72)-SUMIF(71:71,C12,72:72)+100</f>
        <v>100</v>
      </c>
      <c r="G12" s="2423"/>
      <c r="H12" s="2001" t="n">
        <f aca="false">SUMIF(71:71,G12,72:72)-SUMIF(71:71,C12,72:72)+100</f>
        <v>100</v>
      </c>
      <c r="I12" s="2012"/>
      <c r="J12" s="2001" t="n">
        <f aca="false">SUMIF(71:71,I12,72:72)-SUMIF(71:71,C12,72:72)+100</f>
        <v>100</v>
      </c>
      <c r="K12" s="2364"/>
      <c r="L12" s="1977"/>
      <c r="M12" s="1978"/>
      <c r="N12" s="1978"/>
      <c r="O12" s="1978"/>
      <c r="P12" s="1993"/>
      <c r="Q12" s="510" t="n">
        <f aca="false">B12</f>
        <v>111</v>
      </c>
      <c r="R12" s="1980" t="s">
        <v>1277</v>
      </c>
      <c r="S12" s="1981" t="n">
        <f aca="false">F12</f>
        <v>100</v>
      </c>
      <c r="T12" s="1980" t="s">
        <v>1277</v>
      </c>
      <c r="U12" s="1981" t="n">
        <f aca="false">H12</f>
        <v>100</v>
      </c>
      <c r="V12" s="1980" t="s">
        <v>1277</v>
      </c>
      <c r="W12" s="1981" t="n">
        <f aca="false">J12</f>
        <v>100</v>
      </c>
      <c r="X12" s="1982"/>
      <c r="Y12" s="1994"/>
      <c r="Z12" s="540" t="n">
        <f aca="false">Q12</f>
        <v>111</v>
      </c>
      <c r="AA12" s="741" t="n">
        <f aca="false">D12/F12</f>
        <v>1</v>
      </c>
      <c r="AB12" s="741" t="n">
        <f aca="false">D12/H12</f>
        <v>1</v>
      </c>
      <c r="AC12" s="2422" t="n">
        <f aca="false">D12/J12</f>
        <v>1</v>
      </c>
    </row>
    <row r="13" customFormat="false" ht="15" hidden="false" customHeight="false" outlineLevel="0" collapsed="false">
      <c r="A13" s="2005"/>
      <c r="B13" s="2011" t="n">
        <v>111</v>
      </c>
      <c r="C13" s="2015"/>
      <c r="D13" s="2016" t="n">
        <v>100</v>
      </c>
      <c r="E13" s="2012"/>
      <c r="F13" s="2001" t="n">
        <f aca="false">SUMIF(73:73,E13,74:74)-SUMIF(73:73,C13,74:74)+100</f>
        <v>100</v>
      </c>
      <c r="G13" s="2423"/>
      <c r="H13" s="2017" t="n">
        <f aca="false">SUMIF(73:73,G13,74:74)-SUMIF(73:73,C13,74:74)+100</f>
        <v>100</v>
      </c>
      <c r="I13" s="2012"/>
      <c r="J13" s="2017" t="n">
        <f aca="false">SUMIF(73:73,I13,74:74)-SUMIF(73:73,C13,74:74)+100</f>
        <v>100</v>
      </c>
      <c r="K13" s="2364"/>
      <c r="L13" s="2018"/>
      <c r="M13" s="1954"/>
      <c r="N13" s="1954"/>
      <c r="O13" s="1954"/>
      <c r="P13" s="1993"/>
      <c r="Q13" s="510" t="n">
        <f aca="false">B13</f>
        <v>111</v>
      </c>
      <c r="R13" s="1980" t="s">
        <v>1277</v>
      </c>
      <c r="S13" s="1981" t="n">
        <f aca="false">F13</f>
        <v>100</v>
      </c>
      <c r="T13" s="1980" t="s">
        <v>1277</v>
      </c>
      <c r="U13" s="1981" t="n">
        <f aca="false">H13</f>
        <v>100</v>
      </c>
      <c r="V13" s="1980" t="s">
        <v>1277</v>
      </c>
      <c r="W13" s="1981" t="n">
        <f aca="false">J13</f>
        <v>100</v>
      </c>
      <c r="X13" s="1982"/>
      <c r="Y13" s="1994"/>
      <c r="Z13" s="540" t="n">
        <f aca="false">Q13</f>
        <v>111</v>
      </c>
      <c r="AA13" s="741" t="n">
        <f aca="false">D13/F13</f>
        <v>1</v>
      </c>
      <c r="AB13" s="741" t="n">
        <f aca="false">D13/H13</f>
        <v>1</v>
      </c>
      <c r="AC13" s="2422" t="n">
        <f aca="false">D13/J13</f>
        <v>1</v>
      </c>
    </row>
    <row r="14" customFormat="false" ht="15" hidden="false" customHeight="false" outlineLevel="0" collapsed="false">
      <c r="A14" s="2019"/>
      <c r="B14" s="2020" t="n">
        <v>111</v>
      </c>
      <c r="C14" s="2021"/>
      <c r="D14" s="2022" t="n">
        <v>100</v>
      </c>
      <c r="E14" s="2424"/>
      <c r="F14" s="2024" t="n">
        <f aca="false">SUMIF(75:75,E14,76:76)-SUMIF(75:75,C14,76:76)+100</f>
        <v>100</v>
      </c>
      <c r="G14" s="2423"/>
      <c r="H14" s="2024" t="n">
        <f aca="false">SUMIF(75:75,G14,76:76)-SUMIF(75:75,C14,76:76)+100</f>
        <v>100</v>
      </c>
      <c r="I14" s="2012"/>
      <c r="J14" s="2024" t="n">
        <f aca="false">SUMIF(75:75,I14,76:76)-SUMIF(75:75,C14,76:76)+100</f>
        <v>100</v>
      </c>
      <c r="K14" s="2364"/>
      <c r="L14" s="2018"/>
      <c r="M14" s="1954"/>
      <c r="N14" s="1954"/>
      <c r="O14" s="1954"/>
      <c r="P14" s="1993"/>
      <c r="Q14" s="510" t="n">
        <f aca="false">B14</f>
        <v>111</v>
      </c>
      <c r="R14" s="1980" t="s">
        <v>1277</v>
      </c>
      <c r="S14" s="1981" t="n">
        <f aca="false">F14</f>
        <v>100</v>
      </c>
      <c r="T14" s="1980" t="s">
        <v>1277</v>
      </c>
      <c r="U14" s="1981" t="n">
        <f aca="false">H14</f>
        <v>100</v>
      </c>
      <c r="V14" s="1980" t="s">
        <v>1277</v>
      </c>
      <c r="W14" s="1981" t="n">
        <f aca="false">J14</f>
        <v>100</v>
      </c>
      <c r="X14" s="1982"/>
      <c r="Y14" s="1994"/>
      <c r="Z14" s="540" t="n">
        <f aca="false">Q14</f>
        <v>111</v>
      </c>
      <c r="AA14" s="741" t="n">
        <f aca="false">D14/F14</f>
        <v>1</v>
      </c>
      <c r="AB14" s="741" t="n">
        <f aca="false">D14/H14</f>
        <v>1</v>
      </c>
      <c r="AC14" s="2422" t="n">
        <f aca="false">D14/J14</f>
        <v>1</v>
      </c>
    </row>
    <row r="15" customFormat="false" ht="71.25" hidden="false" customHeight="true" outlineLevel="0" collapsed="false">
      <c r="A15" s="2025" t="s">
        <v>648</v>
      </c>
      <c r="B15" s="2425" t="s">
        <v>214</v>
      </c>
      <c r="C15" s="2426" t="str">
        <f aca="false">估价对象房地状况!C5</f>
        <v>估价对象位于XX商圈，周边办公楼项目较多，入驻率高，办公集聚程度较好</v>
      </c>
      <c r="D15" s="2027" t="n">
        <v>100</v>
      </c>
      <c r="E15" s="2028"/>
      <c r="F15" s="2029" t="n">
        <f aca="false">SUMIF(77:77,E16,78:78)-SUMIF(77:77,C16,78:78)+100</f>
        <v>100</v>
      </c>
      <c r="G15" s="2030"/>
      <c r="H15" s="2029" t="n">
        <f aca="false">SUMIF(77:77,G16,78:78)-SUMIF(77:77,C16,78:78)+100</f>
        <v>100</v>
      </c>
      <c r="I15" s="2030"/>
      <c r="J15" s="2029" t="n">
        <f aca="false">SUMIF(77:77,I16,78:78)-SUMIF(77:77,C16,78:78)+100</f>
        <v>100</v>
      </c>
      <c r="K15" s="2366"/>
      <c r="L15" s="2018"/>
      <c r="M15" s="1954"/>
      <c r="N15" s="1954"/>
      <c r="O15" s="1954"/>
      <c r="P15" s="2032" t="s">
        <v>648</v>
      </c>
      <c r="Q15" s="2033" t="str">
        <f aca="false">B15</f>
        <v>办公集聚程度</v>
      </c>
      <c r="R15" s="2034" t="s">
        <v>1277</v>
      </c>
      <c r="S15" s="2035" t="n">
        <f aca="false">F15</f>
        <v>100</v>
      </c>
      <c r="T15" s="2034" t="s">
        <v>1277</v>
      </c>
      <c r="U15" s="2035" t="n">
        <f aca="false">H15</f>
        <v>100</v>
      </c>
      <c r="V15" s="2034" t="s">
        <v>1277</v>
      </c>
      <c r="W15" s="2035" t="n">
        <f aca="false">J15</f>
        <v>100</v>
      </c>
      <c r="X15" s="1958"/>
      <c r="Y15" s="2036" t="s">
        <v>648</v>
      </c>
      <c r="Z15" s="2037" t="str">
        <f aca="false">Q15</f>
        <v>办公集聚程度</v>
      </c>
      <c r="AA15" s="2038" t="n">
        <f aca="false">D15/F15</f>
        <v>1</v>
      </c>
      <c r="AB15" s="2038" t="n">
        <f aca="false">D15/H15</f>
        <v>1</v>
      </c>
      <c r="AC15" s="2427" t="n">
        <f aca="false">D15/J15</f>
        <v>1</v>
      </c>
    </row>
    <row r="16" customFormat="false" ht="15" hidden="false" customHeight="false" outlineLevel="0" collapsed="false">
      <c r="A16" s="2005"/>
      <c r="B16" s="2428"/>
      <c r="C16" s="2060"/>
      <c r="D16" s="2041"/>
      <c r="E16" s="2040"/>
      <c r="F16" s="2041"/>
      <c r="G16" s="2060"/>
      <c r="H16" s="2044"/>
      <c r="I16" s="2040"/>
      <c r="J16" s="2041"/>
      <c r="K16" s="2368"/>
      <c r="L16" s="2018"/>
      <c r="M16" s="1954"/>
      <c r="N16" s="1954"/>
      <c r="O16" s="1954"/>
      <c r="P16" s="2032"/>
      <c r="Q16" s="2033"/>
      <c r="R16" s="2034"/>
      <c r="S16" s="2035"/>
      <c r="T16" s="2034"/>
      <c r="U16" s="2035"/>
      <c r="V16" s="2034"/>
      <c r="W16" s="2035"/>
      <c r="X16" s="1958"/>
      <c r="Y16" s="2036"/>
      <c r="Z16" s="2037"/>
      <c r="AA16" s="2038" t="n">
        <v>1</v>
      </c>
      <c r="AB16" s="2038" t="n">
        <v>1</v>
      </c>
      <c r="AC16" s="2427" t="n">
        <v>1</v>
      </c>
    </row>
    <row r="17" customFormat="false" ht="71.25" hidden="false" customHeight="false" outlineLevel="0" collapsed="false">
      <c r="A17" s="2005"/>
      <c r="B17" s="2429" t="s">
        <v>216</v>
      </c>
      <c r="C17" s="2430" t="str">
        <f aca="false">估价对象房地状况!C6</f>
        <v>估价对象周边道路状况、公共交通通达情况、停车便捷程度，综合评价交通便捷度较好</v>
      </c>
      <c r="D17" s="2048" t="n">
        <v>100</v>
      </c>
      <c r="E17" s="2049"/>
      <c r="F17" s="2044" t="n">
        <f aca="false">SUMIF(79:79,E18,80:80)-SUMIF(79:79,C18,80:80)+100</f>
        <v>100</v>
      </c>
      <c r="G17" s="2050"/>
      <c r="H17" s="2051" t="n">
        <f aca="false">SUMIF(79:79,G18,80:80)-SUMIF(79:79,C18,80:80)+100</f>
        <v>100</v>
      </c>
      <c r="I17" s="2050"/>
      <c r="J17" s="2051" t="n">
        <f aca="false">SUMIF(79:79,I18,80:80)-SUMIF(79:79,C18,80:80)+100</f>
        <v>100</v>
      </c>
      <c r="K17" s="2366"/>
      <c r="L17" s="2018"/>
      <c r="M17" s="1954"/>
      <c r="N17" s="1954"/>
      <c r="O17" s="1954"/>
      <c r="P17" s="2032"/>
      <c r="Q17" s="2033" t="str">
        <f aca="false">B17</f>
        <v>交通便捷度</v>
      </c>
      <c r="R17" s="2034" t="s">
        <v>1277</v>
      </c>
      <c r="S17" s="2035" t="n">
        <f aca="false">F17</f>
        <v>100</v>
      </c>
      <c r="T17" s="2034" t="s">
        <v>1277</v>
      </c>
      <c r="U17" s="2035" t="n">
        <f aca="false">H17</f>
        <v>100</v>
      </c>
      <c r="V17" s="2034" t="s">
        <v>1277</v>
      </c>
      <c r="W17" s="2035" t="n">
        <f aca="false">J17</f>
        <v>100</v>
      </c>
      <c r="X17" s="1958"/>
      <c r="Y17" s="2036"/>
      <c r="Z17" s="2037" t="str">
        <f aca="false">Q17</f>
        <v>交通便捷度</v>
      </c>
      <c r="AA17" s="2038" t="n">
        <f aca="false">D17/F17</f>
        <v>1</v>
      </c>
      <c r="AB17" s="2038" t="n">
        <f aca="false">D17/H17</f>
        <v>1</v>
      </c>
      <c r="AC17" s="2427" t="n">
        <f aca="false">D17/J17</f>
        <v>1</v>
      </c>
    </row>
    <row r="18" customFormat="false" ht="15" hidden="false" customHeight="false" outlineLevel="0" collapsed="false">
      <c r="A18" s="2005"/>
      <c r="B18" s="2431"/>
      <c r="C18" s="2432"/>
      <c r="D18" s="2048"/>
      <c r="E18" s="2054"/>
      <c r="F18" s="2044"/>
      <c r="G18" s="2055"/>
      <c r="H18" s="2041"/>
      <c r="I18" s="2055"/>
      <c r="J18" s="2041"/>
      <c r="K18" s="2368"/>
      <c r="L18" s="2018"/>
      <c r="M18" s="1954"/>
      <c r="N18" s="1954"/>
      <c r="O18" s="1954"/>
      <c r="P18" s="2032"/>
      <c r="Q18" s="2033"/>
      <c r="R18" s="2034"/>
      <c r="S18" s="2035"/>
      <c r="T18" s="2034"/>
      <c r="U18" s="2035"/>
      <c r="V18" s="2034"/>
      <c r="W18" s="2035"/>
      <c r="X18" s="1958"/>
      <c r="Y18" s="2036"/>
      <c r="Z18" s="2037"/>
      <c r="AA18" s="2038" t="n">
        <v>1</v>
      </c>
      <c r="AB18" s="2038" t="n">
        <v>1</v>
      </c>
      <c r="AC18" s="2427" t="n">
        <v>1</v>
      </c>
    </row>
    <row r="19" customFormat="false" ht="42.75" hidden="false" customHeight="false" outlineLevel="0" collapsed="false">
      <c r="A19" s="2005"/>
      <c r="B19" s="2429" t="s">
        <v>218</v>
      </c>
      <c r="C19" s="2430" t="str">
        <f aca="false">估价对象房地状况!C7</f>
        <v>估价对象所在区域公共配套设施齐备情况</v>
      </c>
      <c r="D19" s="2056" t="n">
        <v>100</v>
      </c>
      <c r="E19" s="2057"/>
      <c r="F19" s="2051" t="n">
        <f aca="false">SUMIF(81:81,E20,82:82)-SUMIF(81:81,C20,82:82)+100</f>
        <v>100</v>
      </c>
      <c r="G19" s="2058"/>
      <c r="H19" s="2044" t="n">
        <f aca="false">SUMIF(81:81,G20,82:82)-SUMIF(81:81,C20,82:82)+100</f>
        <v>100</v>
      </c>
      <c r="I19" s="2058"/>
      <c r="J19" s="2044" t="n">
        <f aca="false">SUMIF(81:81,I20,82:82)-SUMIF(81:81,C20,82:82)+100</f>
        <v>100</v>
      </c>
      <c r="K19" s="2366"/>
      <c r="L19" s="2018"/>
      <c r="M19" s="1954"/>
      <c r="N19" s="1954"/>
      <c r="O19" s="1954"/>
      <c r="P19" s="2032"/>
      <c r="Q19" s="2033" t="str">
        <f aca="false">B19</f>
        <v>公共配套设施</v>
      </c>
      <c r="R19" s="2034" t="s">
        <v>1277</v>
      </c>
      <c r="S19" s="2035" t="n">
        <f aca="false">F19</f>
        <v>100</v>
      </c>
      <c r="T19" s="2034" t="s">
        <v>1277</v>
      </c>
      <c r="U19" s="2035" t="n">
        <f aca="false">H19</f>
        <v>100</v>
      </c>
      <c r="V19" s="2034" t="s">
        <v>1277</v>
      </c>
      <c r="W19" s="2035" t="n">
        <f aca="false">J19</f>
        <v>100</v>
      </c>
      <c r="X19" s="1958"/>
      <c r="Y19" s="2036"/>
      <c r="Z19" s="2037" t="str">
        <f aca="false">Q19</f>
        <v>公共配套设施</v>
      </c>
      <c r="AA19" s="2038" t="n">
        <f aca="false">D19/F19</f>
        <v>1</v>
      </c>
      <c r="AB19" s="2038" t="n">
        <f aca="false">D19/H19</f>
        <v>1</v>
      </c>
      <c r="AC19" s="2427" t="n">
        <f aca="false">D19/J19</f>
        <v>1</v>
      </c>
    </row>
    <row r="20" customFormat="false" ht="15" hidden="false" customHeight="false" outlineLevel="0" collapsed="false">
      <c r="A20" s="2005"/>
      <c r="B20" s="2431"/>
      <c r="C20" s="2060"/>
      <c r="D20" s="2041"/>
      <c r="E20" s="2042"/>
      <c r="F20" s="2041"/>
      <c r="G20" s="2043"/>
      <c r="H20" s="2041"/>
      <c r="I20" s="2043"/>
      <c r="J20" s="2041"/>
      <c r="K20" s="2368"/>
      <c r="L20" s="2018"/>
      <c r="M20" s="1954"/>
      <c r="N20" s="1954"/>
      <c r="O20" s="1954"/>
      <c r="P20" s="2032"/>
      <c r="Q20" s="2033"/>
      <c r="R20" s="2034"/>
      <c r="S20" s="2035"/>
      <c r="T20" s="2034"/>
      <c r="U20" s="2035"/>
      <c r="V20" s="2034"/>
      <c r="W20" s="2035"/>
      <c r="X20" s="1958"/>
      <c r="Y20" s="2036"/>
      <c r="Z20" s="2037"/>
      <c r="AA20" s="2038" t="n">
        <v>1</v>
      </c>
      <c r="AB20" s="2038" t="n">
        <v>1</v>
      </c>
      <c r="AC20" s="2427" t="n">
        <v>1</v>
      </c>
    </row>
    <row r="21" customFormat="false" ht="28.5" hidden="false" customHeight="false" outlineLevel="0" collapsed="false">
      <c r="A21" s="2005"/>
      <c r="B21" s="2433" t="s">
        <v>219</v>
      </c>
      <c r="C21" s="2430" t="str">
        <f aca="false">估价对象房地状况!C8</f>
        <v>估价对象所在区域基础设施水平</v>
      </c>
      <c r="D21" s="2048" t="n">
        <v>100</v>
      </c>
      <c r="E21" s="2057"/>
      <c r="F21" s="2051" t="n">
        <f aca="false">SUMIF(83:83,E22,84:84)-SUMIF(83:83,C22,84:84)+100</f>
        <v>100</v>
      </c>
      <c r="G21" s="2058"/>
      <c r="H21" s="2044" t="n">
        <f aca="false">SUMIF(83:83,G22,84:84)-SUMIF(83:83,C22,84:84)+100</f>
        <v>100</v>
      </c>
      <c r="I21" s="2058"/>
      <c r="J21" s="2044" t="n">
        <f aca="false">SUMIF(83:83,I22,84:84)-SUMIF(83:83,C22,84:84)+100</f>
        <v>100</v>
      </c>
      <c r="K21" s="2366"/>
      <c r="L21" s="2018"/>
      <c r="M21" s="1954"/>
      <c r="N21" s="1954"/>
      <c r="O21" s="1954"/>
      <c r="P21" s="2032"/>
      <c r="Q21" s="2033" t="str">
        <f aca="false">B21</f>
        <v>基础设施水平</v>
      </c>
      <c r="R21" s="2034" t="s">
        <v>1277</v>
      </c>
      <c r="S21" s="2035" t="n">
        <f aca="false">F21</f>
        <v>100</v>
      </c>
      <c r="T21" s="2034" t="s">
        <v>1277</v>
      </c>
      <c r="U21" s="2035" t="n">
        <f aca="false">H21</f>
        <v>100</v>
      </c>
      <c r="V21" s="2034" t="s">
        <v>1277</v>
      </c>
      <c r="W21" s="2035" t="n">
        <f aca="false">J21</f>
        <v>100</v>
      </c>
      <c r="X21" s="1958"/>
      <c r="Y21" s="2036"/>
      <c r="Z21" s="2037" t="str">
        <f aca="false">Q21</f>
        <v>基础设施水平</v>
      </c>
      <c r="AA21" s="2038" t="n">
        <f aca="false">D21/F21</f>
        <v>1</v>
      </c>
      <c r="AB21" s="2038" t="n">
        <f aca="false">D21/H21</f>
        <v>1</v>
      </c>
      <c r="AC21" s="2427" t="n">
        <f aca="false">D21/J21</f>
        <v>1</v>
      </c>
    </row>
    <row r="22" customFormat="false" ht="15" hidden="false" customHeight="false" outlineLevel="0" collapsed="false">
      <c r="A22" s="2005"/>
      <c r="B22" s="2433"/>
      <c r="C22" s="2432"/>
      <c r="D22" s="2041"/>
      <c r="E22" s="2040"/>
      <c r="F22" s="2041"/>
      <c r="G22" s="2060"/>
      <c r="H22" s="2041"/>
      <c r="I22" s="2060"/>
      <c r="J22" s="2041"/>
      <c r="K22" s="2371"/>
      <c r="L22" s="2018"/>
      <c r="M22" s="1954"/>
      <c r="N22" s="1954"/>
      <c r="O22" s="1954"/>
      <c r="P22" s="2032"/>
      <c r="Q22" s="2033"/>
      <c r="R22" s="2034"/>
      <c r="S22" s="2035"/>
      <c r="T22" s="2034"/>
      <c r="U22" s="2035"/>
      <c r="V22" s="2034"/>
      <c r="W22" s="2035"/>
      <c r="X22" s="1958"/>
      <c r="Y22" s="2036"/>
      <c r="Z22" s="2037"/>
      <c r="AA22" s="2038" t="n">
        <v>1</v>
      </c>
      <c r="AB22" s="2038" t="n">
        <v>1</v>
      </c>
      <c r="AC22" s="2427" t="n">
        <v>1</v>
      </c>
    </row>
    <row r="23" customFormat="false" ht="42.75" hidden="false" customHeight="false" outlineLevel="0" collapsed="false">
      <c r="A23" s="2005"/>
      <c r="B23" s="2429" t="s">
        <v>220</v>
      </c>
      <c r="C23" s="2430" t="str">
        <f aca="false">估价对象房地状况!C9</f>
        <v>区域自然环境：；人文环境；综合评价环境状况一般</v>
      </c>
      <c r="D23" s="2048" t="n">
        <v>100</v>
      </c>
      <c r="E23" s="2049"/>
      <c r="F23" s="2044" t="n">
        <f aca="false">SUMIF(85:85,E24,86:86)-SUMIF(85:85,C24,86:86)+100</f>
        <v>100</v>
      </c>
      <c r="G23" s="2050"/>
      <c r="H23" s="2044" t="n">
        <f aca="false">SUMIF(85:85,G24,86:86)-SUMIF(85:85,C24,86:86)+100</f>
        <v>100</v>
      </c>
      <c r="I23" s="2050"/>
      <c r="J23" s="2044" t="n">
        <f aca="false">SUMIF(85:85,I24,86:86)-SUMIF(85:85,C24,86:86)+100</f>
        <v>100</v>
      </c>
      <c r="K23" s="2366"/>
      <c r="L23" s="2018"/>
      <c r="M23" s="1954"/>
      <c r="N23" s="1954"/>
      <c r="O23" s="1954"/>
      <c r="P23" s="2032"/>
      <c r="Q23" s="2033" t="str">
        <f aca="false">B23</f>
        <v>环境质量</v>
      </c>
      <c r="R23" s="2034" t="s">
        <v>1277</v>
      </c>
      <c r="S23" s="2035" t="n">
        <f aca="false">F23</f>
        <v>100</v>
      </c>
      <c r="T23" s="2034" t="s">
        <v>1277</v>
      </c>
      <c r="U23" s="2035" t="n">
        <f aca="false">H23</f>
        <v>100</v>
      </c>
      <c r="V23" s="2034" t="s">
        <v>1277</v>
      </c>
      <c r="W23" s="2035" t="n">
        <f aca="false">J23</f>
        <v>100</v>
      </c>
      <c r="X23" s="1958"/>
      <c r="Y23" s="2036"/>
      <c r="Z23" s="2037" t="str">
        <f aca="false">Q23</f>
        <v>环境质量</v>
      </c>
      <c r="AA23" s="2038" t="n">
        <f aca="false">D23/F23</f>
        <v>1</v>
      </c>
      <c r="AB23" s="2038" t="n">
        <f aca="false">D23/H23</f>
        <v>1</v>
      </c>
      <c r="AC23" s="2427" t="n">
        <f aca="false">D23/J23</f>
        <v>1</v>
      </c>
    </row>
    <row r="24" customFormat="false" ht="15" hidden="false" customHeight="false" outlineLevel="0" collapsed="false">
      <c r="A24" s="2005"/>
      <c r="B24" s="2433"/>
      <c r="C24" s="2060"/>
      <c r="D24" s="2041"/>
      <c r="E24" s="2042"/>
      <c r="F24" s="2041"/>
      <c r="G24" s="2043"/>
      <c r="H24" s="2041"/>
      <c r="I24" s="2043"/>
      <c r="J24" s="2041"/>
      <c r="K24" s="2368"/>
      <c r="L24" s="2018"/>
      <c r="M24" s="1954"/>
      <c r="N24" s="1954"/>
      <c r="O24" s="1954"/>
      <c r="P24" s="2032"/>
      <c r="Q24" s="2033"/>
      <c r="R24" s="2034"/>
      <c r="S24" s="2035"/>
      <c r="T24" s="2034"/>
      <c r="U24" s="2035"/>
      <c r="V24" s="2034"/>
      <c r="W24" s="2035"/>
      <c r="X24" s="1958"/>
      <c r="Y24" s="2036"/>
      <c r="Z24" s="2037"/>
      <c r="AA24" s="2038" t="n">
        <v>1</v>
      </c>
      <c r="AB24" s="2038" t="n">
        <v>1</v>
      </c>
      <c r="AC24" s="2427" t="n">
        <v>1</v>
      </c>
    </row>
    <row r="25" customFormat="false" ht="27" hidden="false" customHeight="false" outlineLevel="0" collapsed="false">
      <c r="A25" s="1959"/>
      <c r="B25" s="2429" t="s">
        <v>660</v>
      </c>
      <c r="C25" s="2071"/>
      <c r="D25" s="2016" t="n">
        <v>100</v>
      </c>
      <c r="E25" s="2015"/>
      <c r="F25" s="2017" t="n">
        <f aca="false">SUMIF(87:87,E26,88:88)-SUMIF(87:87,C26,88:88)+100</f>
        <v>100</v>
      </c>
      <c r="G25" s="2071"/>
      <c r="H25" s="2017" t="n">
        <f aca="false">SUMIF(87:87,G26,88:88)-SUMIF(87:87,C26,88:88)+100</f>
        <v>100</v>
      </c>
      <c r="I25" s="2015"/>
      <c r="J25" s="2017" t="n">
        <f aca="false">SUMIF(87:87,I26,88:88)-SUMIF(87:87,C26,88:88)+100</f>
        <v>100</v>
      </c>
      <c r="K25" s="2366"/>
      <c r="L25" s="2018"/>
      <c r="M25" s="1954"/>
      <c r="N25" s="1954"/>
      <c r="O25" s="1954"/>
      <c r="P25" s="2032"/>
      <c r="Q25" s="2033" t="str">
        <f aca="false">B25</f>
        <v>毗邻道路的类型与等级</v>
      </c>
      <c r="R25" s="2034" t="s">
        <v>1277</v>
      </c>
      <c r="S25" s="2035" t="n">
        <f aca="false">F25</f>
        <v>100</v>
      </c>
      <c r="T25" s="2034" t="s">
        <v>1277</v>
      </c>
      <c r="U25" s="2035" t="n">
        <f aca="false">H25</f>
        <v>100</v>
      </c>
      <c r="V25" s="2034" t="s">
        <v>1277</v>
      </c>
      <c r="W25" s="2035" t="n">
        <f aca="false">J25</f>
        <v>100</v>
      </c>
      <c r="X25" s="1958"/>
      <c r="Y25" s="2036"/>
      <c r="Z25" s="2037" t="str">
        <f aca="false">Q25</f>
        <v>毗邻道路的类型与等级</v>
      </c>
      <c r="AA25" s="2038" t="n">
        <f aca="false">D25/F25</f>
        <v>1</v>
      </c>
      <c r="AB25" s="2038" t="n">
        <f aca="false">D25/H25</f>
        <v>1</v>
      </c>
      <c r="AC25" s="2427" t="n">
        <f aca="false">D25/J25</f>
        <v>1</v>
      </c>
    </row>
    <row r="26" customFormat="false" ht="15" hidden="false" customHeight="false" outlineLevel="0" collapsed="false">
      <c r="A26" s="1959"/>
      <c r="B26" s="2431"/>
      <c r="C26" s="2434"/>
      <c r="D26" s="2016"/>
      <c r="E26" s="2373"/>
      <c r="F26" s="2017"/>
      <c r="G26" s="2434"/>
      <c r="H26" s="2017"/>
      <c r="I26" s="2373"/>
      <c r="J26" s="2017"/>
      <c r="K26" s="2368"/>
      <c r="L26" s="2018"/>
      <c r="M26" s="1954"/>
      <c r="N26" s="1954"/>
      <c r="O26" s="1954"/>
      <c r="P26" s="2032"/>
      <c r="Q26" s="2033"/>
      <c r="R26" s="2034"/>
      <c r="S26" s="2035"/>
      <c r="T26" s="2034"/>
      <c r="U26" s="2035"/>
      <c r="V26" s="2034"/>
      <c r="W26" s="2035"/>
      <c r="X26" s="1958"/>
      <c r="Y26" s="2036"/>
      <c r="Z26" s="2037"/>
      <c r="AA26" s="2038" t="n">
        <v>1</v>
      </c>
      <c r="AB26" s="2038" t="n">
        <v>1</v>
      </c>
      <c r="AC26" s="2427" t="n">
        <v>1</v>
      </c>
    </row>
    <row r="27" customFormat="false" ht="15" hidden="false" customHeight="false" outlineLevel="0" collapsed="false">
      <c r="A27" s="2005"/>
      <c r="B27" s="2435" t="s">
        <v>1287</v>
      </c>
      <c r="C27" s="2434"/>
      <c r="D27" s="2016" t="n">
        <v>100</v>
      </c>
      <c r="E27" s="2373"/>
      <c r="F27" s="2017" t="n">
        <f aca="false">SUMIF(89:89,E27,90:90)-SUMIF(89:89,C27,90:90)+100</f>
        <v>100</v>
      </c>
      <c r="G27" s="2434"/>
      <c r="H27" s="2017" t="n">
        <f aca="false">SUMIF(89:89,G27,90:90)-SUMIF(89:89,C27,90:90)+100</f>
        <v>100</v>
      </c>
      <c r="I27" s="2373"/>
      <c r="J27" s="2017" t="n">
        <f aca="false">SUMIF(89:89,I27,90:90)-SUMIF(89:89,C27,90:90)+100</f>
        <v>100</v>
      </c>
      <c r="K27" s="2363"/>
      <c r="L27" s="2018"/>
      <c r="M27" s="1954"/>
      <c r="N27" s="1954"/>
      <c r="O27" s="1954"/>
      <c r="P27" s="2032"/>
      <c r="Q27" s="2033" t="str">
        <f aca="false">B27</f>
        <v>楼层</v>
      </c>
      <c r="R27" s="2034" t="s">
        <v>1277</v>
      </c>
      <c r="S27" s="2035" t="n">
        <f aca="false">F27</f>
        <v>100</v>
      </c>
      <c r="T27" s="2034" t="s">
        <v>1277</v>
      </c>
      <c r="U27" s="2035" t="n">
        <f aca="false">H27</f>
        <v>100</v>
      </c>
      <c r="V27" s="2034" t="s">
        <v>1277</v>
      </c>
      <c r="W27" s="2035" t="n">
        <f aca="false">J27</f>
        <v>100</v>
      </c>
      <c r="X27" s="1958"/>
      <c r="Y27" s="2036"/>
      <c r="Z27" s="2037" t="str">
        <f aca="false">Q27</f>
        <v>楼层</v>
      </c>
      <c r="AA27" s="2038" t="n">
        <f aca="false">D27/F27</f>
        <v>1</v>
      </c>
      <c r="AB27" s="2038" t="n">
        <f aca="false">D27/H27</f>
        <v>1</v>
      </c>
      <c r="AC27" s="2427" t="n">
        <f aca="false">D27/J27</f>
        <v>1</v>
      </c>
    </row>
    <row r="28" s="1983" customFormat="true" ht="15" hidden="false" customHeight="false" outlineLevel="0" collapsed="false">
      <c r="A28" s="2010"/>
      <c r="B28" s="2429" t="s">
        <v>1283</v>
      </c>
      <c r="C28" s="2436"/>
      <c r="D28" s="2067" t="n">
        <v>100</v>
      </c>
      <c r="E28" s="2374"/>
      <c r="F28" s="2068" t="n">
        <f aca="false">SUMIF(91:91,E28,92:92)-SUMIF(91:91,C28,92:92)+100</f>
        <v>100</v>
      </c>
      <c r="G28" s="2436"/>
      <c r="H28" s="2068" t="n">
        <f aca="false">SUMIF(91:91,G28,92:92)-SUMIF(91:91,C28,92:92)+100</f>
        <v>100</v>
      </c>
      <c r="I28" s="2374"/>
      <c r="J28" s="2068" t="n">
        <f aca="false">SUMIF(91:91,I28,92:92)-SUMIF(91:91,C28,92:92)+100</f>
        <v>100</v>
      </c>
      <c r="K28" s="2363"/>
      <c r="L28" s="1977"/>
      <c r="M28" s="1978"/>
      <c r="N28" s="1978"/>
      <c r="O28" s="1978"/>
      <c r="P28" s="2032"/>
      <c r="Q28" s="510" t="str">
        <f aca="false">B28</f>
        <v>朝向</v>
      </c>
      <c r="R28" s="1980" t="s">
        <v>1277</v>
      </c>
      <c r="S28" s="1981" t="n">
        <f aca="false">F28</f>
        <v>100</v>
      </c>
      <c r="T28" s="1980" t="s">
        <v>1277</v>
      </c>
      <c r="U28" s="1981" t="n">
        <f aca="false">H28</f>
        <v>100</v>
      </c>
      <c r="V28" s="1980" t="s">
        <v>1277</v>
      </c>
      <c r="W28" s="1981" t="n">
        <f aca="false">J28</f>
        <v>100</v>
      </c>
      <c r="X28" s="1982"/>
      <c r="Y28" s="2036"/>
      <c r="Z28" s="540" t="str">
        <f aca="false">Q28</f>
        <v>朝向</v>
      </c>
      <c r="AA28" s="2038" t="n">
        <f aca="false">D28/F28</f>
        <v>1</v>
      </c>
      <c r="AB28" s="2038" t="n">
        <f aca="false">D28/H28</f>
        <v>1</v>
      </c>
      <c r="AC28" s="2427" t="n">
        <f aca="false">D28/J28</f>
        <v>1</v>
      </c>
    </row>
    <row r="29" customFormat="false" ht="15" hidden="false" customHeight="false" outlineLevel="0" collapsed="false">
      <c r="A29" s="2005"/>
      <c r="B29" s="2437" t="n">
        <v>111</v>
      </c>
      <c r="C29" s="2071"/>
      <c r="D29" s="2016" t="n">
        <v>100</v>
      </c>
      <c r="E29" s="2012"/>
      <c r="F29" s="2017" t="n">
        <f aca="false">SUMIF(93:93,E29,94:94)-SUMIF(93:93,C29,94:94)+100</f>
        <v>100</v>
      </c>
      <c r="G29" s="2423"/>
      <c r="H29" s="2017" t="n">
        <f aca="false">SUMIF(93:93,G29,94:94)-SUMIF(93:93,C29,94:94)+100</f>
        <v>100</v>
      </c>
      <c r="I29" s="2012"/>
      <c r="J29" s="2017" t="n">
        <f aca="false">SUMIF(93:93,I29,94:94)-SUMIF(93:93,C29,94:94)+100</f>
        <v>100</v>
      </c>
      <c r="K29" s="2364"/>
      <c r="L29" s="2018"/>
      <c r="M29" s="1954"/>
      <c r="N29" s="1954"/>
      <c r="O29" s="1954"/>
      <c r="P29" s="2032"/>
      <c r="Q29" s="2033" t="n">
        <f aca="false">B29</f>
        <v>111</v>
      </c>
      <c r="R29" s="2034" t="s">
        <v>1277</v>
      </c>
      <c r="S29" s="2035" t="n">
        <f aca="false">F29</f>
        <v>100</v>
      </c>
      <c r="T29" s="2034" t="s">
        <v>1277</v>
      </c>
      <c r="U29" s="2035" t="n">
        <f aca="false">H29</f>
        <v>100</v>
      </c>
      <c r="V29" s="2034" t="s">
        <v>1277</v>
      </c>
      <c r="W29" s="2035" t="n">
        <f aca="false">J29</f>
        <v>100</v>
      </c>
      <c r="X29" s="1958"/>
      <c r="Y29" s="2036"/>
      <c r="Z29" s="2037" t="n">
        <f aca="false">Q29</f>
        <v>111</v>
      </c>
      <c r="AA29" s="2038" t="n">
        <f aca="false">D29/F29</f>
        <v>1</v>
      </c>
      <c r="AB29" s="2038" t="n">
        <f aca="false">D29/H29</f>
        <v>1</v>
      </c>
      <c r="AC29" s="2427" t="n">
        <f aca="false">D29/J29</f>
        <v>1</v>
      </c>
    </row>
    <row r="30" customFormat="false" ht="15" hidden="false" customHeight="false" outlineLevel="0" collapsed="false">
      <c r="A30" s="2005"/>
      <c r="B30" s="2437" t="n">
        <v>111</v>
      </c>
      <c r="C30" s="2071"/>
      <c r="D30" s="2016" t="n">
        <v>100</v>
      </c>
      <c r="E30" s="2012"/>
      <c r="F30" s="2017" t="n">
        <f aca="false">SUMIF(95:95,E30,96:96)-SUMIF(95:95,C30,96:96)+100</f>
        <v>100</v>
      </c>
      <c r="G30" s="2423"/>
      <c r="H30" s="2017" t="n">
        <f aca="false">SUMIF(95:95,G30,96:96)-SUMIF(95:95,C30,96:96)+100</f>
        <v>100</v>
      </c>
      <c r="I30" s="2012"/>
      <c r="J30" s="2017" t="n">
        <f aca="false">SUMIF(95:95,I30,96:96)-SUMIF(95:95,C30,96:96)+100</f>
        <v>100</v>
      </c>
      <c r="K30" s="2364"/>
      <c r="L30" s="2018"/>
      <c r="M30" s="1954"/>
      <c r="N30" s="1954"/>
      <c r="O30" s="1954"/>
      <c r="P30" s="2032"/>
      <c r="Q30" s="2033" t="n">
        <f aca="false">B30</f>
        <v>111</v>
      </c>
      <c r="R30" s="2034" t="s">
        <v>1277</v>
      </c>
      <c r="S30" s="2035" t="n">
        <f aca="false">F30</f>
        <v>100</v>
      </c>
      <c r="T30" s="2034" t="s">
        <v>1277</v>
      </c>
      <c r="U30" s="2035" t="n">
        <f aca="false">H30</f>
        <v>100</v>
      </c>
      <c r="V30" s="2034" t="s">
        <v>1277</v>
      </c>
      <c r="W30" s="2035" t="n">
        <f aca="false">J30</f>
        <v>100</v>
      </c>
      <c r="X30" s="1958"/>
      <c r="Y30" s="2036"/>
      <c r="Z30" s="2037" t="n">
        <f aca="false">Q30</f>
        <v>111</v>
      </c>
      <c r="AA30" s="2038" t="n">
        <f aca="false">D30/F30</f>
        <v>1</v>
      </c>
      <c r="AB30" s="2038" t="n">
        <f aca="false">D30/H30</f>
        <v>1</v>
      </c>
      <c r="AC30" s="2427" t="n">
        <f aca="false">D30/J30</f>
        <v>1</v>
      </c>
    </row>
    <row r="31" customFormat="false" ht="15" hidden="false" customHeight="false" outlineLevel="0" collapsed="false">
      <c r="A31" s="2005"/>
      <c r="B31" s="2437" t="n">
        <v>111</v>
      </c>
      <c r="C31" s="2071"/>
      <c r="D31" s="2016" t="n">
        <v>100</v>
      </c>
      <c r="E31" s="2012"/>
      <c r="F31" s="2017" t="n">
        <f aca="false">SUMIF(97:97,E31,98:98)-SUMIF(97:97,C31,98:98)+100</f>
        <v>100</v>
      </c>
      <c r="G31" s="2423"/>
      <c r="H31" s="2017" t="n">
        <f aca="false">SUMIF(97:97,G31,98:98)-SUMIF(97:97,C31,98:98)+100</f>
        <v>100</v>
      </c>
      <c r="I31" s="2012"/>
      <c r="J31" s="2017" t="n">
        <f aca="false">SUMIF(97:97,I31,98:98)-SUMIF(97:97,C31,98:98)+100</f>
        <v>100</v>
      </c>
      <c r="K31" s="2364"/>
      <c r="L31" s="2018"/>
      <c r="M31" s="1954"/>
      <c r="N31" s="1954"/>
      <c r="O31" s="1954"/>
      <c r="P31" s="2032"/>
      <c r="Q31" s="2033" t="n">
        <f aca="false">B31</f>
        <v>111</v>
      </c>
      <c r="R31" s="2034" t="s">
        <v>1277</v>
      </c>
      <c r="S31" s="2035" t="n">
        <f aca="false">F31</f>
        <v>100</v>
      </c>
      <c r="T31" s="2034" t="s">
        <v>1277</v>
      </c>
      <c r="U31" s="2035" t="n">
        <f aca="false">H31</f>
        <v>100</v>
      </c>
      <c r="V31" s="2034" t="s">
        <v>1277</v>
      </c>
      <c r="W31" s="2035" t="n">
        <f aca="false">J31</f>
        <v>100</v>
      </c>
      <c r="X31" s="1958"/>
      <c r="Y31" s="2036"/>
      <c r="Z31" s="2037" t="n">
        <f aca="false">Q31</f>
        <v>111</v>
      </c>
      <c r="AA31" s="2038" t="n">
        <f aca="false">D31/F31</f>
        <v>1</v>
      </c>
      <c r="AB31" s="2038" t="n">
        <f aca="false">D31/H31</f>
        <v>1</v>
      </c>
      <c r="AC31" s="2427" t="n">
        <f aca="false">D31/J31</f>
        <v>1</v>
      </c>
    </row>
    <row r="32" customFormat="false" ht="15" hidden="false" customHeight="false" outlineLevel="0" collapsed="false">
      <c r="A32" s="2019"/>
      <c r="B32" s="2438" t="n">
        <v>111</v>
      </c>
      <c r="C32" s="2072"/>
      <c r="D32" s="2022" t="n">
        <v>100</v>
      </c>
      <c r="E32" s="2424"/>
      <c r="F32" s="2024" t="n">
        <f aca="false">SUMIF(99:99,E32,100:100)-SUMIF(99:99,C32,100:100)+100</f>
        <v>100</v>
      </c>
      <c r="G32" s="2423"/>
      <c r="H32" s="2024" t="n">
        <f aca="false">SUMIF(99:99,G32,100:100)-SUMIF(99:99,C32,100:100)+100</f>
        <v>100</v>
      </c>
      <c r="I32" s="2012"/>
      <c r="J32" s="2024" t="n">
        <f aca="false">SUMIF(99:99,I32,100:100)-SUMIF(99:99,C32,100:100)+100</f>
        <v>100</v>
      </c>
      <c r="K32" s="2364"/>
      <c r="L32" s="2018"/>
      <c r="M32" s="1954"/>
      <c r="N32" s="1954"/>
      <c r="O32" s="1954"/>
      <c r="P32" s="2032"/>
      <c r="Q32" s="2033" t="n">
        <f aca="false">B32</f>
        <v>111</v>
      </c>
      <c r="R32" s="2034" t="s">
        <v>1277</v>
      </c>
      <c r="S32" s="2035" t="n">
        <f aca="false">F32</f>
        <v>100</v>
      </c>
      <c r="T32" s="2034" t="s">
        <v>1277</v>
      </c>
      <c r="U32" s="2035" t="n">
        <f aca="false">H32</f>
        <v>100</v>
      </c>
      <c r="V32" s="2034" t="s">
        <v>1277</v>
      </c>
      <c r="W32" s="2035" t="n">
        <f aca="false">J32</f>
        <v>100</v>
      </c>
      <c r="X32" s="1958"/>
      <c r="Y32" s="2036"/>
      <c r="Z32" s="2037" t="n">
        <f aca="false">Q32</f>
        <v>111</v>
      </c>
      <c r="AA32" s="2038" t="n">
        <f aca="false">D32/F32</f>
        <v>1</v>
      </c>
      <c r="AB32" s="2038" t="n">
        <f aca="false">D32/H32</f>
        <v>1</v>
      </c>
      <c r="AC32" s="2427" t="n">
        <f aca="false">D32/J32</f>
        <v>1</v>
      </c>
    </row>
    <row r="33" customFormat="false" ht="15" hidden="false" customHeight="true" outlineLevel="0" collapsed="false">
      <c r="A33" s="2025" t="s">
        <v>1292</v>
      </c>
      <c r="B33" s="678" t="s">
        <v>1293</v>
      </c>
      <c r="C33" s="2439"/>
      <c r="D33" s="2074" t="n">
        <v>100</v>
      </c>
      <c r="E33" s="2439"/>
      <c r="F33" s="2076" t="n">
        <f aca="false">SUMIF(101:101,E33,102:102)-SUMIF(101:101,C33,102:102)+100</f>
        <v>100</v>
      </c>
      <c r="G33" s="2439"/>
      <c r="H33" s="2017" t="n">
        <f aca="false">SUMIF(101:101,G33,102:102)-SUMIF(101:101,C33,102:102)+100</f>
        <v>100</v>
      </c>
      <c r="I33" s="2439"/>
      <c r="J33" s="2077" t="n">
        <f aca="false">SUMIF(101:101,I33,102:102)-SUMIF(101:101,C33,102:102)+100</f>
        <v>100</v>
      </c>
      <c r="K33" s="2363"/>
      <c r="L33" s="2018"/>
      <c r="M33" s="1954"/>
      <c r="N33" s="1954"/>
      <c r="O33" s="1954"/>
      <c r="P33" s="2078" t="s">
        <v>1292</v>
      </c>
      <c r="Q33" s="2033" t="str">
        <f aca="false">B33</f>
        <v>建筑类型</v>
      </c>
      <c r="R33" s="2034" t="s">
        <v>1277</v>
      </c>
      <c r="S33" s="2035" t="n">
        <f aca="false">F33</f>
        <v>100</v>
      </c>
      <c r="T33" s="2034" t="s">
        <v>1277</v>
      </c>
      <c r="U33" s="2035" t="n">
        <f aca="false">H33</f>
        <v>100</v>
      </c>
      <c r="V33" s="2034" t="s">
        <v>1277</v>
      </c>
      <c r="W33" s="2035" t="n">
        <f aca="false">J33</f>
        <v>100</v>
      </c>
      <c r="X33" s="1958"/>
      <c r="Y33" s="2079" t="s">
        <v>1292</v>
      </c>
      <c r="Z33" s="2037" t="str">
        <f aca="false">Q33</f>
        <v>建筑类型</v>
      </c>
      <c r="AA33" s="2038" t="n">
        <f aca="false">D33/F33</f>
        <v>1</v>
      </c>
      <c r="AB33" s="2038" t="n">
        <f aca="false">D33/H33</f>
        <v>1</v>
      </c>
      <c r="AC33" s="2427" t="n">
        <f aca="false">D33/J33</f>
        <v>1</v>
      </c>
    </row>
    <row r="34" s="2088" customFormat="true" ht="15" hidden="false" customHeight="false" outlineLevel="0" collapsed="false">
      <c r="A34" s="2080"/>
      <c r="B34" s="1996" t="s">
        <v>1296</v>
      </c>
      <c r="C34" s="2081"/>
      <c r="D34" s="1998" t="n">
        <v>100</v>
      </c>
      <c r="E34" s="2007"/>
      <c r="F34" s="2000" t="e">
        <f aca="false">LOOKUP(E34,104:104,105:105)-LOOKUP(C34,104:104,105:105)+100</f>
        <v>#N/A</v>
      </c>
      <c r="G34" s="2006"/>
      <c r="H34" s="2001" t="e">
        <f aca="false">LOOKUP(G34,104:104,105:105)-LOOKUP(C34,104:104,105:105)+100</f>
        <v>#N/A</v>
      </c>
      <c r="I34" s="2006"/>
      <c r="J34" s="2001" t="e">
        <f aca="false">LOOKUP(I34,104:104,105:105)-LOOKUP(C34,104:104,105:105)+100</f>
        <v>#N/A</v>
      </c>
      <c r="K34" s="2364"/>
      <c r="L34" s="2009"/>
      <c r="M34" s="2082"/>
      <c r="N34" s="2082"/>
      <c r="O34" s="2082"/>
      <c r="P34" s="2078"/>
      <c r="Q34" s="2083" t="str">
        <f aca="false">B34</f>
        <v>项目建筑规模</v>
      </c>
      <c r="R34" s="2084" t="s">
        <v>1277</v>
      </c>
      <c r="S34" s="2085" t="e">
        <f aca="false">F34</f>
        <v>#N/A</v>
      </c>
      <c r="T34" s="2084" t="s">
        <v>1277</v>
      </c>
      <c r="U34" s="2085" t="e">
        <f aca="false">H34</f>
        <v>#N/A</v>
      </c>
      <c r="V34" s="2084" t="s">
        <v>1277</v>
      </c>
      <c r="W34" s="2085" t="e">
        <f aca="false">J34</f>
        <v>#N/A</v>
      </c>
      <c r="X34" s="2086"/>
      <c r="Y34" s="2079"/>
      <c r="Z34" s="2087" t="str">
        <f aca="false">Q34</f>
        <v>项目建筑规模</v>
      </c>
      <c r="AA34" s="2038" t="e">
        <f aca="false">D34/F34</f>
        <v>#N/A</v>
      </c>
      <c r="AB34" s="2038" t="e">
        <f aca="false">D34/H34</f>
        <v>#N/A</v>
      </c>
      <c r="AC34" s="2427" t="e">
        <f aca="false">D34/J34</f>
        <v>#N/A</v>
      </c>
    </row>
    <row r="35" customFormat="false" ht="15" hidden="false" customHeight="false" outlineLevel="0" collapsed="false">
      <c r="A35" s="2089"/>
      <c r="B35" s="1996" t="s">
        <v>1297</v>
      </c>
      <c r="C35" s="2062"/>
      <c r="D35" s="2016" t="n">
        <v>100</v>
      </c>
      <c r="E35" s="2062"/>
      <c r="F35" s="2076" t="n">
        <f aca="false">SUMIF(106:106,E35,107:107)-SUMIF(106:106,C35,107:107)+100</f>
        <v>100</v>
      </c>
      <c r="G35" s="2062"/>
      <c r="H35" s="2017" t="n">
        <f aca="false">SUMIF(106:106,G35,107:107)-SUMIF(106:106,C35,107:107)+100</f>
        <v>100</v>
      </c>
      <c r="I35" s="2062"/>
      <c r="J35" s="2017" t="n">
        <f aca="false">SUMIF(106:106,I35,107:107)-SUMIF(106:106,C35,107:107)+100</f>
        <v>100</v>
      </c>
      <c r="K35" s="2363"/>
      <c r="L35" s="2018"/>
      <c r="M35" s="1954"/>
      <c r="N35" s="1954"/>
      <c r="O35" s="1954"/>
      <c r="P35" s="2078"/>
      <c r="Q35" s="2033" t="str">
        <f aca="false">B35</f>
        <v>建筑结构</v>
      </c>
      <c r="R35" s="2034" t="s">
        <v>1277</v>
      </c>
      <c r="S35" s="2035" t="n">
        <f aca="false">F35</f>
        <v>100</v>
      </c>
      <c r="T35" s="2034" t="s">
        <v>1277</v>
      </c>
      <c r="U35" s="2035" t="n">
        <f aca="false">H35</f>
        <v>100</v>
      </c>
      <c r="V35" s="2034" t="s">
        <v>1277</v>
      </c>
      <c r="W35" s="2035" t="n">
        <f aca="false">J35</f>
        <v>100</v>
      </c>
      <c r="X35" s="1958"/>
      <c r="Y35" s="2079"/>
      <c r="Z35" s="2037" t="str">
        <f aca="false">Q35</f>
        <v>建筑结构</v>
      </c>
      <c r="AA35" s="2038" t="n">
        <f aca="false">D35/F35</f>
        <v>1</v>
      </c>
      <c r="AB35" s="2038" t="n">
        <f aca="false">D35/H35</f>
        <v>1</v>
      </c>
      <c r="AC35" s="2427" t="n">
        <f aca="false">D35/J35</f>
        <v>1</v>
      </c>
    </row>
    <row r="36" customFormat="false" ht="15" hidden="false" customHeight="false" outlineLevel="0" collapsed="false">
      <c r="A36" s="2089"/>
      <c r="B36" s="1996" t="s">
        <v>1300</v>
      </c>
      <c r="C36" s="2062"/>
      <c r="D36" s="2016" t="n">
        <v>100</v>
      </c>
      <c r="E36" s="2062"/>
      <c r="F36" s="2076" t="n">
        <f aca="false">SUMIF(108:108,E36,109:109)-SUMIF(108:108,C36,109:109)+100</f>
        <v>100</v>
      </c>
      <c r="G36" s="2062"/>
      <c r="H36" s="2017" t="n">
        <f aca="false">SUMIF(108:108,G36,109:109)-SUMIF(108:108,C36,109:109)+100</f>
        <v>100</v>
      </c>
      <c r="I36" s="2062"/>
      <c r="J36" s="2017" t="n">
        <f aca="false">SUMIF(108:108,I36,109:109)-SUMIF(108:108,C36,109:109)+100</f>
        <v>100</v>
      </c>
      <c r="K36" s="2363"/>
      <c r="L36" s="2018"/>
      <c r="M36" s="1954"/>
      <c r="N36" s="1954"/>
      <c r="O36" s="1954"/>
      <c r="P36" s="2078"/>
      <c r="Q36" s="2033" t="str">
        <f aca="false">B36</f>
        <v>公共部分装修</v>
      </c>
      <c r="R36" s="2034" t="s">
        <v>1277</v>
      </c>
      <c r="S36" s="2035" t="n">
        <f aca="false">F36</f>
        <v>100</v>
      </c>
      <c r="T36" s="2034" t="s">
        <v>1277</v>
      </c>
      <c r="U36" s="2035" t="n">
        <f aca="false">H36</f>
        <v>100</v>
      </c>
      <c r="V36" s="2034" t="s">
        <v>1277</v>
      </c>
      <c r="W36" s="2035" t="n">
        <f aca="false">J36</f>
        <v>100</v>
      </c>
      <c r="X36" s="1958"/>
      <c r="Y36" s="2079"/>
      <c r="Z36" s="2037" t="str">
        <f aca="false">Q36</f>
        <v>公共部分装修</v>
      </c>
      <c r="AA36" s="2038" t="n">
        <f aca="false">D36/F36</f>
        <v>1</v>
      </c>
      <c r="AB36" s="2038" t="n">
        <f aca="false">D36/H36</f>
        <v>1</v>
      </c>
      <c r="AC36" s="2427" t="n">
        <f aca="false">D36/J36</f>
        <v>1</v>
      </c>
    </row>
    <row r="37" customFormat="false" ht="15" hidden="false" customHeight="false" outlineLevel="0" collapsed="false">
      <c r="A37" s="2089"/>
      <c r="B37" s="1996" t="s">
        <v>567</v>
      </c>
      <c r="C37" s="2093"/>
      <c r="D37" s="2016" t="n">
        <v>100</v>
      </c>
      <c r="E37" s="2093"/>
      <c r="F37" s="2076" t="e">
        <f aca="false">LOOKUP(E37,111:111,112:112)-LOOKUP(C37,111:111,112:112)+100</f>
        <v>#N/A</v>
      </c>
      <c r="G37" s="2093"/>
      <c r="H37" s="2076" t="e">
        <f aca="false">LOOKUP(G37,111:111,112:112)-LOOKUP(C37,111:111,112:112)+100</f>
        <v>#N/A</v>
      </c>
      <c r="I37" s="2093"/>
      <c r="J37" s="2017" t="e">
        <f aca="false">LOOKUP(I37,111:111,112:112)-LOOKUP(C37,111:111,112:112)+100</f>
        <v>#N/A</v>
      </c>
      <c r="K37" s="2363"/>
      <c r="L37" s="2018"/>
      <c r="M37" s="1954"/>
      <c r="N37" s="1954"/>
      <c r="O37" s="1954"/>
      <c r="P37" s="2078"/>
      <c r="Q37" s="2033" t="str">
        <f aca="false">B37</f>
        <v>成新度</v>
      </c>
      <c r="R37" s="2034" t="s">
        <v>1277</v>
      </c>
      <c r="S37" s="2035" t="e">
        <f aca="false">F37</f>
        <v>#N/A</v>
      </c>
      <c r="T37" s="2034" t="s">
        <v>1277</v>
      </c>
      <c r="U37" s="2035" t="e">
        <f aca="false">H37</f>
        <v>#N/A</v>
      </c>
      <c r="V37" s="2034" t="s">
        <v>1277</v>
      </c>
      <c r="W37" s="2035" t="e">
        <f aca="false">J37</f>
        <v>#N/A</v>
      </c>
      <c r="X37" s="1958"/>
      <c r="Y37" s="2079"/>
      <c r="Z37" s="2037" t="str">
        <f aca="false">Q37</f>
        <v>成新度</v>
      </c>
      <c r="AA37" s="2038" t="e">
        <f aca="false">D37/F37</f>
        <v>#N/A</v>
      </c>
      <c r="AB37" s="2038" t="e">
        <f aca="false">D37/H37</f>
        <v>#N/A</v>
      </c>
      <c r="AC37" s="2427" t="e">
        <f aca="false">D37/J37</f>
        <v>#N/A</v>
      </c>
    </row>
    <row r="38" s="1983" customFormat="true" ht="15" hidden="false" customHeight="false" outlineLevel="0" collapsed="false">
      <c r="A38" s="2092"/>
      <c r="B38" s="1996" t="s">
        <v>1556</v>
      </c>
      <c r="C38" s="2062"/>
      <c r="D38" s="1998" t="n">
        <v>100</v>
      </c>
      <c r="E38" s="2062"/>
      <c r="F38" s="2076" t="n">
        <f aca="false">SUMIF(113:113,E38,114:114)-SUMIF(113:113,C38,114:114)+100</f>
        <v>100</v>
      </c>
      <c r="G38" s="2062"/>
      <c r="H38" s="2017" t="n">
        <f aca="false">SUMIF(113:113,G38,114:114)-SUMIF(113:113,C38,114:114)+100</f>
        <v>100</v>
      </c>
      <c r="I38" s="2062"/>
      <c r="J38" s="2017" t="n">
        <f aca="false">SUMIF(113:113,I38,114:114)-SUMIF(113:113,C38,114:114)+100</f>
        <v>100</v>
      </c>
      <c r="K38" s="2363"/>
      <c r="L38" s="1977"/>
      <c r="M38" s="1978"/>
      <c r="N38" s="1978"/>
      <c r="O38" s="1978"/>
      <c r="P38" s="2078"/>
      <c r="Q38" s="510" t="str">
        <f aca="false">B38</f>
        <v>写字楼等级</v>
      </c>
      <c r="R38" s="1980" t="s">
        <v>1277</v>
      </c>
      <c r="S38" s="1981" t="n">
        <f aca="false">F38</f>
        <v>100</v>
      </c>
      <c r="T38" s="1980" t="s">
        <v>1277</v>
      </c>
      <c r="U38" s="1981" t="n">
        <f aca="false">H38</f>
        <v>100</v>
      </c>
      <c r="V38" s="1980" t="s">
        <v>1277</v>
      </c>
      <c r="W38" s="1981" t="n">
        <f aca="false">J38</f>
        <v>100</v>
      </c>
      <c r="X38" s="1982"/>
      <c r="Y38" s="2079"/>
      <c r="Z38" s="540" t="str">
        <f aca="false">Q38</f>
        <v>写字楼等级</v>
      </c>
      <c r="AA38" s="741" t="n">
        <f aca="false">D38/F38</f>
        <v>1</v>
      </c>
      <c r="AB38" s="741" t="n">
        <f aca="false">D38/H38</f>
        <v>1</v>
      </c>
      <c r="AC38" s="2422" t="n">
        <f aca="false">D38/J38</f>
        <v>1</v>
      </c>
    </row>
    <row r="39" customFormat="false" ht="15" hidden="false" customHeight="false" outlineLevel="0" collapsed="false">
      <c r="A39" s="2089"/>
      <c r="B39" s="1996" t="s">
        <v>1302</v>
      </c>
      <c r="C39" s="2062"/>
      <c r="D39" s="2016" t="n">
        <v>100</v>
      </c>
      <c r="E39" s="2062"/>
      <c r="F39" s="2076" t="n">
        <f aca="false">SUMIF(115:115,E39,116:116)-SUMIF(115:115,C39,116:116)+100</f>
        <v>100</v>
      </c>
      <c r="G39" s="2062"/>
      <c r="H39" s="2017" t="n">
        <f aca="false">SUMIF(115:115,G39,116:116)-SUMIF(115:115,C39,116:116)+100</f>
        <v>100</v>
      </c>
      <c r="I39" s="2062"/>
      <c r="J39" s="2017" t="n">
        <f aca="false">SUMIF(115:115,I39,116:116)-SUMIF(115:115,C39,116:116)+100</f>
        <v>100</v>
      </c>
      <c r="K39" s="2363"/>
      <c r="L39" s="2018"/>
      <c r="M39" s="1954"/>
      <c r="N39" s="1954"/>
      <c r="O39" s="1954"/>
      <c r="P39" s="2078" t="s">
        <v>1292</v>
      </c>
      <c r="Q39" s="2033" t="str">
        <f aca="false">B39</f>
        <v>物业管理</v>
      </c>
      <c r="R39" s="2034" t="s">
        <v>1277</v>
      </c>
      <c r="S39" s="2035" t="n">
        <f aca="false">F39</f>
        <v>100</v>
      </c>
      <c r="T39" s="2034" t="s">
        <v>1277</v>
      </c>
      <c r="U39" s="2035" t="n">
        <f aca="false">H39</f>
        <v>100</v>
      </c>
      <c r="V39" s="2034" t="s">
        <v>1277</v>
      </c>
      <c r="W39" s="2035" t="n">
        <f aca="false">J39</f>
        <v>100</v>
      </c>
      <c r="X39" s="1958"/>
      <c r="Y39" s="2079" t="s">
        <v>1292</v>
      </c>
      <c r="Z39" s="2037" t="str">
        <f aca="false">Q39</f>
        <v>物业管理</v>
      </c>
      <c r="AA39" s="2038" t="n">
        <f aca="false">D39/F39</f>
        <v>1</v>
      </c>
      <c r="AB39" s="2038" t="n">
        <f aca="false">D39/H39</f>
        <v>1</v>
      </c>
      <c r="AC39" s="2427" t="n">
        <f aca="false">D39/J39</f>
        <v>1</v>
      </c>
    </row>
    <row r="40" customFormat="false" ht="15" hidden="false" customHeight="false" outlineLevel="0" collapsed="false">
      <c r="A40" s="2089"/>
      <c r="B40" s="1996" t="s">
        <v>1304</v>
      </c>
      <c r="C40" s="2062"/>
      <c r="D40" s="2016" t="n">
        <v>100</v>
      </c>
      <c r="E40" s="2062"/>
      <c r="F40" s="2076" t="n">
        <f aca="false">SUMIF(117:117,E40,118:118)-SUMIF(117:117,C40,118:118)+100</f>
        <v>100</v>
      </c>
      <c r="G40" s="2062"/>
      <c r="H40" s="2017" t="n">
        <f aca="false">SUMIF(117:117,G40,118:118)-SUMIF(117:117,C40,118:118)+100</f>
        <v>100</v>
      </c>
      <c r="I40" s="2062"/>
      <c r="J40" s="2017" t="n">
        <f aca="false">SUMIF(117:117,I40,118:118)-SUMIF(117:117,C40,118:118)+100</f>
        <v>100</v>
      </c>
      <c r="K40" s="2363"/>
      <c r="L40" s="2018"/>
      <c r="M40" s="1954"/>
      <c r="N40" s="1954"/>
      <c r="O40" s="1954"/>
      <c r="P40" s="2078"/>
      <c r="Q40" s="2033" t="str">
        <f aca="false">B40</f>
        <v>市政基础设施</v>
      </c>
      <c r="R40" s="2034" t="s">
        <v>1277</v>
      </c>
      <c r="S40" s="2035" t="n">
        <f aca="false">F40</f>
        <v>100</v>
      </c>
      <c r="T40" s="2034" t="s">
        <v>1277</v>
      </c>
      <c r="U40" s="2035" t="n">
        <f aca="false">H40</f>
        <v>100</v>
      </c>
      <c r="V40" s="2034" t="s">
        <v>1277</v>
      </c>
      <c r="W40" s="2035" t="n">
        <f aca="false">J40</f>
        <v>100</v>
      </c>
      <c r="X40" s="1958"/>
      <c r="Y40" s="2079"/>
      <c r="Z40" s="2037" t="str">
        <f aca="false">Q40</f>
        <v>市政基础设施</v>
      </c>
      <c r="AA40" s="2038" t="n">
        <f aca="false">D40/F40</f>
        <v>1</v>
      </c>
      <c r="AB40" s="2038" t="n">
        <f aca="false">D40/H40</f>
        <v>1</v>
      </c>
      <c r="AC40" s="2427" t="n">
        <f aca="false">D40/J40</f>
        <v>1</v>
      </c>
    </row>
    <row r="41" customFormat="false" ht="15" hidden="false" customHeight="false" outlineLevel="0" collapsed="false">
      <c r="A41" s="2089"/>
      <c r="B41" s="1996" t="s">
        <v>1553</v>
      </c>
      <c r="C41" s="2373"/>
      <c r="D41" s="2016" t="n">
        <v>100</v>
      </c>
      <c r="E41" s="2373"/>
      <c r="F41" s="2076" t="n">
        <f aca="false">SUMIF(119:119,E41,120:120)-SUMIF(119:119,C41,120:120)+100</f>
        <v>100</v>
      </c>
      <c r="G41" s="2373"/>
      <c r="H41" s="2017" t="n">
        <f aca="false">SUMIF(119:119,G41,120:120)-SUMIF(119:119,C41,120:120)+100</f>
        <v>100</v>
      </c>
      <c r="I41" s="2373"/>
      <c r="J41" s="2017" t="n">
        <f aca="false">SUMIF(119:119,I41,120:120)-SUMIF(119:119,C41,120:120)+100</f>
        <v>100</v>
      </c>
      <c r="K41" s="2363"/>
      <c r="L41" s="2018"/>
      <c r="M41" s="1954"/>
      <c r="N41" s="1954"/>
      <c r="O41" s="1954"/>
      <c r="P41" s="2078"/>
      <c r="Q41" s="2033" t="str">
        <f aca="false">B41</f>
        <v>层高</v>
      </c>
      <c r="R41" s="2034" t="s">
        <v>1277</v>
      </c>
      <c r="S41" s="2035" t="n">
        <f aca="false">F41</f>
        <v>100</v>
      </c>
      <c r="T41" s="2034" t="s">
        <v>1277</v>
      </c>
      <c r="U41" s="2035" t="n">
        <f aca="false">H41</f>
        <v>100</v>
      </c>
      <c r="V41" s="2034" t="s">
        <v>1277</v>
      </c>
      <c r="W41" s="2035" t="n">
        <f aca="false">J41</f>
        <v>100</v>
      </c>
      <c r="X41" s="1958"/>
      <c r="Y41" s="2079"/>
      <c r="Z41" s="2037" t="str">
        <f aca="false">Q41</f>
        <v>层高</v>
      </c>
      <c r="AA41" s="2038" t="n">
        <f aca="false">D41/F41</f>
        <v>1</v>
      </c>
      <c r="AB41" s="2038" t="n">
        <f aca="false">D41/H41</f>
        <v>1</v>
      </c>
      <c r="AC41" s="2427" t="n">
        <f aca="false">D41/J41</f>
        <v>1</v>
      </c>
    </row>
    <row r="42" s="2088" customFormat="true" ht="15" hidden="false" customHeight="false" outlineLevel="0" collapsed="false">
      <c r="A42" s="2080"/>
      <c r="B42" s="2378" t="s">
        <v>1554</v>
      </c>
      <c r="C42" s="2015"/>
      <c r="D42" s="2016" t="n">
        <v>100</v>
      </c>
      <c r="E42" s="2015"/>
      <c r="F42" s="2076" t="n">
        <f aca="false">SUMIF(121:121,E42,122:122)-SUMIF(121:121,C42,122:122)+100</f>
        <v>100</v>
      </c>
      <c r="G42" s="2015"/>
      <c r="H42" s="2017" t="n">
        <f aca="false">SUMIF(121:121,G42,122:122)-SUMIF(121:121,C42,122:122)+100</f>
        <v>100</v>
      </c>
      <c r="I42" s="2015"/>
      <c r="J42" s="2017" t="n">
        <f aca="false">SUMIF(121:121,I42,122:122)-SUMIF(121:121,C42,122:122)+100</f>
        <v>100</v>
      </c>
      <c r="K42" s="2364"/>
      <c r="L42" s="2009"/>
      <c r="M42" s="2082"/>
      <c r="N42" s="2082"/>
      <c r="O42" s="2082"/>
      <c r="P42" s="2078"/>
      <c r="Q42" s="2083" t="str">
        <f aca="false">B42</f>
        <v>单套建筑面积</v>
      </c>
      <c r="R42" s="2084" t="s">
        <v>1277</v>
      </c>
      <c r="S42" s="2085" t="n">
        <f aca="false">F42</f>
        <v>100</v>
      </c>
      <c r="T42" s="2084" t="s">
        <v>1277</v>
      </c>
      <c r="U42" s="2085" t="n">
        <f aca="false">H42</f>
        <v>100</v>
      </c>
      <c r="V42" s="2084" t="s">
        <v>1277</v>
      </c>
      <c r="W42" s="2085" t="n">
        <f aca="false">J42</f>
        <v>100</v>
      </c>
      <c r="X42" s="2086"/>
      <c r="Y42" s="2079"/>
      <c r="Z42" s="2087" t="str">
        <f aca="false">Q42</f>
        <v>单套建筑面积</v>
      </c>
      <c r="AA42" s="2038" t="n">
        <f aca="false">D42/F42</f>
        <v>1</v>
      </c>
      <c r="AB42" s="2038" t="n">
        <f aca="false">D42/H42</f>
        <v>1</v>
      </c>
      <c r="AC42" s="2427" t="n">
        <f aca="false">D42/J42</f>
        <v>1</v>
      </c>
    </row>
    <row r="43" customFormat="false" ht="15" hidden="false" customHeight="false" outlineLevel="0" collapsed="false">
      <c r="A43" s="2089"/>
      <c r="B43" s="1996" t="s">
        <v>1306</v>
      </c>
      <c r="C43" s="2062"/>
      <c r="D43" s="2016" t="n">
        <v>100</v>
      </c>
      <c r="E43" s="2062"/>
      <c r="F43" s="2076" t="n">
        <f aca="false">SUMIF(123:123,E43,124:124)-SUMIF(123:123,C43,124:124)+100</f>
        <v>100</v>
      </c>
      <c r="G43" s="2062"/>
      <c r="H43" s="2017" t="n">
        <f aca="false">SUMIF(123:123,G43,124:124)-SUMIF(123:123,C43,124:124)+100</f>
        <v>100</v>
      </c>
      <c r="I43" s="2062"/>
      <c r="J43" s="2017" t="n">
        <f aca="false">SUMIF(123:123,I43,124:124)-SUMIF(123:123,C43,124:124)+100</f>
        <v>100</v>
      </c>
      <c r="K43" s="2363"/>
      <c r="L43" s="2018"/>
      <c r="M43" s="1954"/>
      <c r="N43" s="1954"/>
      <c r="O43" s="1954"/>
      <c r="P43" s="2078"/>
      <c r="Q43" s="2033" t="str">
        <f aca="false">B43</f>
        <v>内部装修</v>
      </c>
      <c r="R43" s="2034" t="s">
        <v>1277</v>
      </c>
      <c r="S43" s="2035" t="n">
        <f aca="false">F43</f>
        <v>100</v>
      </c>
      <c r="T43" s="2034" t="s">
        <v>1277</v>
      </c>
      <c r="U43" s="2035" t="n">
        <f aca="false">H43</f>
        <v>100</v>
      </c>
      <c r="V43" s="2034" t="s">
        <v>1277</v>
      </c>
      <c r="W43" s="2035" t="n">
        <f aca="false">J43</f>
        <v>100</v>
      </c>
      <c r="X43" s="1958"/>
      <c r="Y43" s="2079"/>
      <c r="Z43" s="2037" t="str">
        <f aca="false">Q43</f>
        <v>内部装修</v>
      </c>
      <c r="AA43" s="2038" t="n">
        <f aca="false">D43/F43</f>
        <v>1</v>
      </c>
      <c r="AB43" s="2038" t="n">
        <f aca="false">D43/H43</f>
        <v>1</v>
      </c>
      <c r="AC43" s="2427" t="n">
        <f aca="false">D43/J43</f>
        <v>1</v>
      </c>
    </row>
    <row r="44" customFormat="false" ht="15" hidden="false" customHeight="false" outlineLevel="0" collapsed="false">
      <c r="A44" s="2089"/>
      <c r="B44" s="1996" t="s">
        <v>222</v>
      </c>
      <c r="C44" s="2062"/>
      <c r="D44" s="2016" t="n">
        <v>100</v>
      </c>
      <c r="E44" s="2063"/>
      <c r="F44" s="2076" t="n">
        <f aca="false">SUMIF(125:125,E44,126:126)-SUMIF(125:125,C44,126:126)+100</f>
        <v>100</v>
      </c>
      <c r="G44" s="2063"/>
      <c r="H44" s="2017" t="n">
        <f aca="false">SUMIF(125:125,G44,126:126)-SUMIF(125:125,C44,126:126)+100</f>
        <v>100</v>
      </c>
      <c r="I44" s="2063"/>
      <c r="J44" s="2017" t="n">
        <f aca="false">SUMIF(125:125,I44,126:126)-SUMIF(125:125,C44,126:126)+100</f>
        <v>100</v>
      </c>
      <c r="K44" s="2363"/>
      <c r="L44" s="2018"/>
      <c r="M44" s="1954"/>
      <c r="N44" s="1954"/>
      <c r="O44" s="1954"/>
      <c r="P44" s="2078"/>
      <c r="Q44" s="2033" t="str">
        <f aca="false">B44</f>
        <v>内部装修维护情况</v>
      </c>
      <c r="R44" s="2034" t="s">
        <v>1277</v>
      </c>
      <c r="S44" s="2035" t="n">
        <f aca="false">F44</f>
        <v>100</v>
      </c>
      <c r="T44" s="2034" t="s">
        <v>1277</v>
      </c>
      <c r="U44" s="2035" t="n">
        <f aca="false">H44</f>
        <v>100</v>
      </c>
      <c r="V44" s="2034" t="s">
        <v>1277</v>
      </c>
      <c r="W44" s="2035" t="n">
        <f aca="false">J44</f>
        <v>100</v>
      </c>
      <c r="X44" s="1958"/>
      <c r="Y44" s="2079"/>
      <c r="Z44" s="2037" t="str">
        <f aca="false">Q44</f>
        <v>内部装修维护情况</v>
      </c>
      <c r="AA44" s="2038" t="n">
        <f aca="false">D44/F44</f>
        <v>1</v>
      </c>
      <c r="AB44" s="2038" t="n">
        <f aca="false">D44/H44</f>
        <v>1</v>
      </c>
      <c r="AC44" s="2427" t="n">
        <f aca="false">D44/J44</f>
        <v>1</v>
      </c>
    </row>
    <row r="45" s="1983" customFormat="true" ht="15" hidden="false" customHeight="false" outlineLevel="0" collapsed="false">
      <c r="A45" s="2092"/>
      <c r="B45" s="2070" t="n">
        <v>111</v>
      </c>
      <c r="C45" s="2081"/>
      <c r="D45" s="1998" t="n">
        <v>100</v>
      </c>
      <c r="E45" s="2012"/>
      <c r="F45" s="2000" t="n">
        <f aca="false">SUMIF(127:127,E45,128:128)-SUMIF(127:127,C45,128:128)+100</f>
        <v>100</v>
      </c>
      <c r="G45" s="2012"/>
      <c r="H45" s="2001" t="n">
        <f aca="false">SUMIF(127:127,G45,128:128)-SUMIF(127:127,C45,128:128)+100</f>
        <v>100</v>
      </c>
      <c r="I45" s="2012"/>
      <c r="J45" s="2001" t="n">
        <f aca="false">SUMIF(127:127,I45,128:128)-SUMIF(127:127,C45,128:128)+100</f>
        <v>100</v>
      </c>
      <c r="K45" s="2364"/>
      <c r="L45" s="1977"/>
      <c r="M45" s="1978"/>
      <c r="N45" s="1978"/>
      <c r="O45" s="1978"/>
      <c r="P45" s="2078"/>
      <c r="Q45" s="510" t="n">
        <f aca="false">B45</f>
        <v>111</v>
      </c>
      <c r="R45" s="1980" t="s">
        <v>1277</v>
      </c>
      <c r="S45" s="1981" t="n">
        <f aca="false">F45</f>
        <v>100</v>
      </c>
      <c r="T45" s="1980" t="s">
        <v>1277</v>
      </c>
      <c r="U45" s="1981" t="n">
        <f aca="false">H45</f>
        <v>100</v>
      </c>
      <c r="V45" s="1980" t="s">
        <v>1277</v>
      </c>
      <c r="W45" s="1981" t="n">
        <f aca="false">J45</f>
        <v>100</v>
      </c>
      <c r="X45" s="1982"/>
      <c r="Y45" s="2079"/>
      <c r="Z45" s="540" t="n">
        <f aca="false">Q45</f>
        <v>111</v>
      </c>
      <c r="AA45" s="741" t="n">
        <f aca="false">D45/F45</f>
        <v>1</v>
      </c>
      <c r="AB45" s="741" t="n">
        <f aca="false">D45/H45</f>
        <v>1</v>
      </c>
      <c r="AC45" s="2422" t="n">
        <f aca="false">D45/J45</f>
        <v>1</v>
      </c>
    </row>
    <row r="46" customFormat="false" ht="15" hidden="false" customHeight="false" outlineLevel="0" collapsed="false">
      <c r="A46" s="2089"/>
      <c r="B46" s="2070" t="n">
        <v>111</v>
      </c>
      <c r="C46" s="2015"/>
      <c r="D46" s="2016" t="n">
        <v>100</v>
      </c>
      <c r="E46" s="2012"/>
      <c r="F46" s="2076" t="n">
        <f aca="false">SUMIF(129:129,E46,130:130)-SUMIF(129:129,C46,130:130)+100</f>
        <v>100</v>
      </c>
      <c r="G46" s="2012"/>
      <c r="H46" s="2017" t="n">
        <f aca="false">SUMIF(129:129,G46,130:130)-SUMIF(129:129,C46,130:130)+100</f>
        <v>100</v>
      </c>
      <c r="I46" s="2012"/>
      <c r="J46" s="2017" t="n">
        <f aca="false">SUMIF(129:129,I46,130:130)-SUMIF(129:129,C46,130:130)+100</f>
        <v>100</v>
      </c>
      <c r="K46" s="2364"/>
      <c r="L46" s="2018"/>
      <c r="M46" s="1954"/>
      <c r="N46" s="1954"/>
      <c r="O46" s="1954"/>
      <c r="P46" s="2078"/>
      <c r="Q46" s="2033" t="n">
        <f aca="false">B46</f>
        <v>111</v>
      </c>
      <c r="R46" s="2034" t="s">
        <v>1277</v>
      </c>
      <c r="S46" s="2035" t="n">
        <f aca="false">F46</f>
        <v>100</v>
      </c>
      <c r="T46" s="2034" t="s">
        <v>1277</v>
      </c>
      <c r="U46" s="2035" t="n">
        <f aca="false">H46</f>
        <v>100</v>
      </c>
      <c r="V46" s="2034" t="s">
        <v>1277</v>
      </c>
      <c r="W46" s="2035" t="n">
        <f aca="false">J46</f>
        <v>100</v>
      </c>
      <c r="X46" s="1958"/>
      <c r="Y46" s="2079"/>
      <c r="Z46" s="2037" t="n">
        <f aca="false">Q46</f>
        <v>111</v>
      </c>
      <c r="AA46" s="2038" t="n">
        <f aca="false">D46/F46</f>
        <v>1</v>
      </c>
      <c r="AB46" s="2038" t="n">
        <f aca="false">D46/H46</f>
        <v>1</v>
      </c>
      <c r="AC46" s="2427" t="n">
        <f aca="false">D46/J46</f>
        <v>1</v>
      </c>
    </row>
    <row r="47" customFormat="false" ht="15" hidden="false" customHeight="false" outlineLevel="0" collapsed="false">
      <c r="A47" s="2099"/>
      <c r="B47" s="2020" t="n">
        <v>111</v>
      </c>
      <c r="C47" s="2021"/>
      <c r="D47" s="2022" t="n">
        <v>100</v>
      </c>
      <c r="E47" s="2012"/>
      <c r="F47" s="2023" t="n">
        <f aca="false">SUMIF(131:131,E47,132:132)-SUMIF(131:131,C47,132:132)+100</f>
        <v>100</v>
      </c>
      <c r="G47" s="2012"/>
      <c r="H47" s="2024" t="n">
        <f aca="false">SUMIF(131:131,G47,132:132)-SUMIF(131:131,C47,132:132)+100</f>
        <v>100</v>
      </c>
      <c r="I47" s="2012"/>
      <c r="J47" s="2024" t="n">
        <f aca="false">SUMIF(131:131,I47,132:132)-SUMIF(131:131,C47,132:132)+100</f>
        <v>100</v>
      </c>
      <c r="K47" s="2364"/>
      <c r="L47" s="2018"/>
      <c r="M47" s="1954"/>
      <c r="N47" s="1954"/>
      <c r="O47" s="1954"/>
      <c r="P47" s="2078"/>
      <c r="Q47" s="2033" t="n">
        <f aca="false">B47</f>
        <v>111</v>
      </c>
      <c r="R47" s="2034" t="s">
        <v>1277</v>
      </c>
      <c r="S47" s="2035" t="n">
        <f aca="false">F47</f>
        <v>100</v>
      </c>
      <c r="T47" s="2034" t="s">
        <v>1277</v>
      </c>
      <c r="U47" s="2035" t="n">
        <f aca="false">H47</f>
        <v>100</v>
      </c>
      <c r="V47" s="2034" t="s">
        <v>1277</v>
      </c>
      <c r="W47" s="2035" t="n">
        <f aca="false">J47</f>
        <v>100</v>
      </c>
      <c r="X47" s="1958"/>
      <c r="Y47" s="2079"/>
      <c r="Z47" s="2037" t="n">
        <f aca="false">Q47</f>
        <v>111</v>
      </c>
      <c r="AA47" s="2038" t="n">
        <f aca="false">D47/F47</f>
        <v>1</v>
      </c>
      <c r="AB47" s="2038" t="n">
        <f aca="false">D47/H47</f>
        <v>1</v>
      </c>
      <c r="AC47" s="2427" t="n">
        <f aca="false">D47/J47</f>
        <v>1</v>
      </c>
    </row>
    <row r="48" customFormat="false" ht="15" hidden="false" customHeight="false" outlineLevel="0" collapsed="false">
      <c r="A48" s="2100" t="s">
        <v>1308</v>
      </c>
      <c r="B48" s="2101"/>
      <c r="C48" s="2102" t="s">
        <v>122</v>
      </c>
      <c r="D48" s="2103"/>
      <c r="E48" s="2104"/>
      <c r="F48" s="2105"/>
      <c r="G48" s="2106"/>
      <c r="H48" s="2107"/>
      <c r="I48" s="2104"/>
      <c r="J48" s="2440"/>
      <c r="K48" s="2379"/>
      <c r="L48" s="2109"/>
      <c r="M48" s="1954"/>
      <c r="N48" s="1954"/>
      <c r="O48" s="1954"/>
      <c r="P48" s="2441" t="str">
        <f aca="false">A48</f>
        <v>成交单价（元/平方米）</v>
      </c>
      <c r="Q48" s="2441"/>
      <c r="R48" s="2038" t="n">
        <f aca="false">E48</f>
        <v>0</v>
      </c>
      <c r="S48" s="2038"/>
      <c r="T48" s="2038" t="n">
        <f aca="false">G48</f>
        <v>0</v>
      </c>
      <c r="U48" s="2038"/>
      <c r="V48" s="2038" t="n">
        <f aca="false">I48</f>
        <v>0</v>
      </c>
      <c r="W48" s="2038"/>
      <c r="X48" s="2039"/>
      <c r="Y48" s="2112"/>
      <c r="Z48" s="2039"/>
      <c r="AA48" s="2039"/>
      <c r="AB48" s="2039"/>
      <c r="AC48" s="2428"/>
    </row>
    <row r="49" customFormat="false" ht="15" hidden="false" customHeight="false" outlineLevel="0" collapsed="false">
      <c r="A49" s="2113" t="s">
        <v>1309</v>
      </c>
      <c r="B49" s="2114"/>
      <c r="C49" s="2115" t="e">
        <f aca="false">R50</f>
        <v>#DIV/0!</v>
      </c>
      <c r="D49" s="2116" t="s">
        <v>1310</v>
      </c>
      <c r="E49" s="2117" t="e">
        <f aca="false">R49</f>
        <v>#DIV/0!</v>
      </c>
      <c r="F49" s="2118"/>
      <c r="G49" s="2115" t="e">
        <f aca="false">T49</f>
        <v>#DIV/0!</v>
      </c>
      <c r="H49" s="2118"/>
      <c r="I49" s="2117" t="e">
        <f aca="false">V49</f>
        <v>#DIV/0!</v>
      </c>
      <c r="J49" s="2118"/>
      <c r="K49" s="2380" t="n">
        <f aca="false">F49+H49+J49</f>
        <v>0</v>
      </c>
      <c r="L49" s="2109"/>
      <c r="M49" s="1954"/>
      <c r="N49" s="1954"/>
      <c r="O49" s="1954"/>
      <c r="P49" s="2441" t="str">
        <f aca="false">A49</f>
        <v>比较价值（元/平方米）</v>
      </c>
      <c r="Q49" s="2441"/>
      <c r="R49" s="2038" t="e">
        <f aca="false">IF(F1="售价",ROUND(PRODUCT(R48,AA7:AA47),0),ROUND(PRODUCT(R48,AA7:AA47),1))</f>
        <v>#DIV/0!</v>
      </c>
      <c r="S49" s="2038"/>
      <c r="T49" s="2038" t="e">
        <f aca="false">IF(F1="售价",ROUND(PRODUCT(T48,AB7:AB47),0),ROUND(PRODUCT(T48,AB7:AB47),1))</f>
        <v>#DIV/0!</v>
      </c>
      <c r="U49" s="2038"/>
      <c r="V49" s="2038" t="e">
        <f aca="false">IF(F1="售价",ROUND(PRODUCT(V48,AC7:AC47),0),ROUND(PRODUCT(V48,AC7:AC47),1))</f>
        <v>#DIV/0!</v>
      </c>
      <c r="W49" s="2038"/>
      <c r="X49" s="2039"/>
      <c r="Y49" s="2039"/>
      <c r="Z49" s="2039"/>
      <c r="AA49" s="2039"/>
      <c r="AB49" s="2039"/>
      <c r="AC49" s="2428"/>
    </row>
    <row r="50" customFormat="false" ht="15" hidden="false" customHeight="false" outlineLevel="0" collapsed="false">
      <c r="A50" s="2120" t="s">
        <v>1311</v>
      </c>
      <c r="B50" s="2121"/>
      <c r="C50" s="2123" t="e">
        <f aca="false">R50</f>
        <v>#DIV/0!</v>
      </c>
      <c r="D50" s="2123"/>
      <c r="E50" s="2123"/>
      <c r="F50" s="2123"/>
      <c r="G50" s="2123"/>
      <c r="H50" s="2123"/>
      <c r="I50" s="2123"/>
      <c r="J50" s="2442"/>
      <c r="K50" s="2381"/>
      <c r="L50" s="2109"/>
      <c r="M50" s="1954"/>
      <c r="N50" s="1954"/>
      <c r="O50" s="1954"/>
      <c r="P50" s="2443" t="str">
        <f aca="false">A50</f>
        <v>估价对象XX用房的比较价值（楼面单价，元/平方米）</v>
      </c>
      <c r="Q50" s="2443"/>
      <c r="R50" s="2444" t="e">
        <f aca="false">IF(F1="售价",ROUND(IF(D49="简单平均",AVERAGE(R49:V49),R49*F49+T49*H49+V49*J49),0),ROUND(IF(D49="简单平均",AVERAGE(R49:V49),R49*F49+T49*H49+V49*J49),1))</f>
        <v>#DIV/0!</v>
      </c>
      <c r="S50" s="2444"/>
      <c r="T50" s="2444"/>
      <c r="U50" s="2444"/>
      <c r="V50" s="2444"/>
      <c r="W50" s="2444"/>
      <c r="X50" s="2306"/>
      <c r="Y50" s="2306"/>
      <c r="Z50" s="2306"/>
      <c r="AA50" s="2306"/>
      <c r="AB50" s="2306"/>
      <c r="AC50" s="2307"/>
    </row>
    <row r="51" customFormat="false" ht="14.25" hidden="false" customHeight="false" outlineLevel="0" collapsed="false">
      <c r="A51" s="2110"/>
      <c r="B51" s="2110"/>
      <c r="C51" s="2110"/>
      <c r="D51" s="2110"/>
      <c r="E51" s="2110"/>
      <c r="F51" s="2110"/>
      <c r="G51" s="2126"/>
      <c r="H51" s="2110"/>
      <c r="I51" s="2110"/>
      <c r="J51" s="2110"/>
      <c r="K51" s="2127"/>
      <c r="L51" s="2128"/>
      <c r="M51" s="2110"/>
      <c r="N51" s="2110"/>
      <c r="O51" s="2110"/>
      <c r="P51" s="2445"/>
      <c r="Q51" s="2110"/>
      <c r="R51" s="2110"/>
      <c r="S51" s="2110"/>
      <c r="T51" s="2110"/>
      <c r="U51" s="2110"/>
      <c r="V51" s="2110"/>
      <c r="W51" s="2110"/>
      <c r="X51" s="2110"/>
      <c r="Y51" s="2110"/>
      <c r="Z51" s="2110"/>
      <c r="AA51" s="2110"/>
      <c r="AB51" s="2110"/>
      <c r="AC51" s="2110"/>
    </row>
    <row r="52" customFormat="false" ht="14.25" hidden="false" customHeight="false" outlineLevel="0" collapsed="false">
      <c r="A52" s="2110"/>
      <c r="B52" s="2110"/>
      <c r="C52" s="2110"/>
      <c r="D52" s="2110"/>
      <c r="E52" s="2110"/>
      <c r="F52" s="2110"/>
      <c r="G52" s="2110"/>
      <c r="H52" s="2110"/>
      <c r="I52" s="2110"/>
      <c r="J52" s="2110"/>
      <c r="K52" s="2127"/>
      <c r="L52" s="2128"/>
      <c r="M52" s="2110"/>
      <c r="N52" s="2110"/>
      <c r="O52" s="2110"/>
      <c r="P52" s="2445"/>
      <c r="Q52" s="2110"/>
      <c r="R52" s="2110"/>
      <c r="S52" s="2110"/>
      <c r="T52" s="2110"/>
      <c r="U52" s="2110"/>
      <c r="V52" s="2110"/>
      <c r="W52" s="2110"/>
      <c r="X52" s="2110"/>
      <c r="Y52" s="2110"/>
      <c r="Z52" s="2110"/>
      <c r="AA52" s="2110"/>
      <c r="AB52" s="2110"/>
      <c r="AC52" s="2110"/>
    </row>
    <row r="53" customFormat="false" ht="13.5" hidden="false" customHeight="true" outlineLevel="0" collapsed="false">
      <c r="A53" s="2110"/>
      <c r="B53" s="2110"/>
      <c r="C53" s="2129" t="s">
        <v>1312</v>
      </c>
      <c r="D53" s="2130"/>
      <c r="E53" s="2131" t="e">
        <f aca="false">IF(E48&lt;E49,E49/E48-1,E48/E49-1)</f>
        <v>#DIV/0!</v>
      </c>
      <c r="F53" s="2132" t="e">
        <f aca="false">IF(OR(E53&gt;=0.3,E53&lt;=-0.3),"超过30%","")</f>
        <v>#DIV/0!</v>
      </c>
      <c r="G53" s="2131" t="e">
        <f aca="false">IF(G48&lt;G49,G49/G48-1,G48/G49-1)</f>
        <v>#DIV/0!</v>
      </c>
      <c r="H53" s="2132" t="e">
        <f aca="false">IF(OR(G53&gt;=0.3,G53&lt;=-0.3),"超过30%","")</f>
        <v>#DIV/0!</v>
      </c>
      <c r="I53" s="2131" t="e">
        <f aca="false">IF(I48&lt;I49,I49/I48-1,I48/I49-1)</f>
        <v>#DIV/0!</v>
      </c>
      <c r="J53" s="2132" t="e">
        <f aca="false">IF(OR(I53&gt;=0.3,I53&lt;=-0.3),"超过30%","")</f>
        <v>#DIV/0!</v>
      </c>
      <c r="K53" s="2127"/>
      <c r="L53" s="2128"/>
      <c r="M53" s="2110"/>
      <c r="N53" s="2110"/>
      <c r="O53" s="2110"/>
      <c r="P53" s="2445"/>
      <c r="Q53" s="2110"/>
      <c r="R53" s="2110"/>
      <c r="S53" s="2110"/>
      <c r="T53" s="2110"/>
      <c r="U53" s="2110"/>
      <c r="V53" s="2110"/>
      <c r="W53" s="2110"/>
      <c r="X53" s="2110"/>
      <c r="Y53" s="2110"/>
      <c r="Z53" s="2110"/>
      <c r="AA53" s="2110"/>
      <c r="AB53" s="2110"/>
      <c r="AC53" s="2110"/>
    </row>
    <row r="54" customFormat="false" ht="13.5" hidden="false" customHeight="true" outlineLevel="0" collapsed="false">
      <c r="A54" s="2110"/>
      <c r="B54" s="2110"/>
      <c r="C54" s="2129" t="s">
        <v>1313</v>
      </c>
      <c r="D54" s="2133"/>
      <c r="E54" s="2131" t="e">
        <f aca="false">IF(E49&lt;G49,G49/E49-1,E49/G49-1)</f>
        <v>#DIV/0!</v>
      </c>
      <c r="F54" s="2132" t="e">
        <f aca="false">IF(OR(E54&gt;=0.2,E54&lt;=-0.2),"超过20%","")</f>
        <v>#DIV/0!</v>
      </c>
      <c r="G54" s="2131" t="e">
        <f aca="false">IF(G49&lt;I49,I49/G49-1,G49/I49-1)</f>
        <v>#DIV/0!</v>
      </c>
      <c r="H54" s="2132" t="e">
        <f aca="false">IF(OR(G54&gt;=0.2,G54&lt;=-0.2),"超过20%","")</f>
        <v>#DIV/0!</v>
      </c>
      <c r="I54" s="2131" t="e">
        <f aca="false">IF(I49&lt;E49,E49/I49-1,I49/E49-1)</f>
        <v>#DIV/0!</v>
      </c>
      <c r="J54" s="2132" t="e">
        <f aca="false">IF(OR(I54&gt;=0.2,I54&lt;=-0.2),"超过20%","")</f>
        <v>#DIV/0!</v>
      </c>
      <c r="K54" s="2127"/>
      <c r="L54" s="2128"/>
      <c r="M54" s="2110"/>
      <c r="N54" s="2110"/>
      <c r="O54" s="2110"/>
      <c r="P54" s="2445"/>
      <c r="Q54" s="2110"/>
      <c r="R54" s="2110"/>
      <c r="S54" s="2110"/>
      <c r="T54" s="2110"/>
      <c r="U54" s="2110"/>
      <c r="V54" s="2110"/>
      <c r="W54" s="2110"/>
      <c r="X54" s="2110"/>
      <c r="Y54" s="2110"/>
      <c r="Z54" s="2110"/>
      <c r="AA54" s="2110"/>
      <c r="AB54" s="2110"/>
      <c r="AC54" s="2110"/>
    </row>
    <row r="55" s="2138" customFormat="true" ht="13.5" hidden="false" customHeight="true" outlineLevel="0" collapsed="false">
      <c r="A55" s="2134"/>
      <c r="B55" s="2134"/>
      <c r="C55" s="2129" t="s">
        <v>1314</v>
      </c>
      <c r="D55" s="2133"/>
      <c r="E55" s="2131" t="e">
        <f aca="false">IF(E48&lt;G48,G48/E48-1,E48/G48-1)</f>
        <v>#DIV/0!</v>
      </c>
      <c r="F55" s="2132" t="e">
        <f aca="false">IF(OR(E55&gt;=0.3,E55&lt;=-0.3),"超过30%","")</f>
        <v>#DIV/0!</v>
      </c>
      <c r="G55" s="2131" t="e">
        <f aca="false">IF(G48&lt;I48,I48/G48-1,G48/I48-1)</f>
        <v>#DIV/0!</v>
      </c>
      <c r="H55" s="2132" t="e">
        <f aca="false">IF(OR(G55&gt;=0.3,G55&lt;=-0.3),"超过30%","")</f>
        <v>#DIV/0!</v>
      </c>
      <c r="I55" s="2131" t="e">
        <f aca="false">IF(I48&lt;E48,E48/I48-1,I48/E48-1)</f>
        <v>#DIV/0!</v>
      </c>
      <c r="J55" s="2132" t="e">
        <f aca="false">IF(OR(I55&gt;=0.3,I55&lt;=-0.3),"超过30%","")</f>
        <v>#DIV/0!</v>
      </c>
      <c r="K55" s="2135"/>
      <c r="L55" s="2136"/>
      <c r="M55" s="2134"/>
      <c r="N55" s="2134"/>
      <c r="O55" s="2134"/>
      <c r="P55" s="2446"/>
      <c r="Q55" s="2134"/>
      <c r="R55" s="2134"/>
      <c r="S55" s="2134"/>
      <c r="T55" s="2134"/>
      <c r="U55" s="2134"/>
      <c r="V55" s="2134"/>
      <c r="W55" s="2134"/>
      <c r="X55" s="2134"/>
      <c r="Y55" s="2134"/>
      <c r="Z55" s="2134"/>
      <c r="AA55" s="2134"/>
      <c r="AB55" s="2134"/>
      <c r="AC55" s="2134"/>
    </row>
    <row r="56" s="2138" customFormat="true" ht="14.25" hidden="false" customHeight="false" outlineLevel="0" collapsed="false">
      <c r="A56" s="2134"/>
      <c r="B56" s="2139"/>
      <c r="C56" s="2140"/>
      <c r="D56" s="2134"/>
      <c r="E56" s="2134"/>
      <c r="F56" s="2134"/>
      <c r="G56" s="2134"/>
      <c r="H56" s="2134"/>
      <c r="I56" s="2134"/>
      <c r="J56" s="2134"/>
      <c r="K56" s="2135"/>
      <c r="L56" s="2136"/>
      <c r="M56" s="2134"/>
      <c r="N56" s="2134"/>
      <c r="O56" s="2134"/>
      <c r="P56" s="2446"/>
      <c r="Q56" s="2134"/>
      <c r="R56" s="2134"/>
      <c r="S56" s="2134"/>
      <c r="T56" s="2134"/>
      <c r="U56" s="2134"/>
      <c r="V56" s="2134"/>
      <c r="W56" s="2134"/>
      <c r="X56" s="2134"/>
      <c r="Y56" s="2134"/>
      <c r="Z56" s="2134"/>
      <c r="AA56" s="2134"/>
      <c r="AB56" s="2134"/>
      <c r="AC56" s="2134"/>
    </row>
    <row r="57" customFormat="false" ht="14.25" hidden="false" customHeight="false" outlineLevel="0" collapsed="false">
      <c r="A57" s="2110"/>
      <c r="B57" s="2139"/>
      <c r="C57" s="2140"/>
      <c r="D57" s="2110"/>
      <c r="E57" s="2110"/>
      <c r="F57" s="2110"/>
      <c r="G57" s="2110"/>
      <c r="H57" s="2110"/>
      <c r="I57" s="2110"/>
      <c r="J57" s="2110"/>
      <c r="K57" s="2127"/>
      <c r="L57" s="2128"/>
      <c r="M57" s="2110"/>
      <c r="N57" s="2110"/>
      <c r="O57" s="2110"/>
      <c r="P57" s="2445"/>
      <c r="Q57" s="2110"/>
      <c r="R57" s="2110"/>
      <c r="S57" s="2110"/>
      <c r="T57" s="2110"/>
      <c r="U57" s="2110"/>
      <c r="V57" s="2110"/>
      <c r="W57" s="2110"/>
      <c r="X57" s="2110"/>
      <c r="Y57" s="2110"/>
      <c r="Z57" s="2110"/>
      <c r="AA57" s="2110"/>
      <c r="AB57" s="2110"/>
      <c r="AC57" s="2110"/>
    </row>
    <row r="58" customFormat="false" ht="21" hidden="false" customHeight="false" outlineLevel="0" collapsed="false">
      <c r="A58" s="2141" t="s">
        <v>1315</v>
      </c>
      <c r="B58" s="2111"/>
      <c r="C58" s="2142"/>
      <c r="D58" s="2142"/>
      <c r="E58" s="2142"/>
      <c r="F58" s="2143"/>
      <c r="G58" s="2143"/>
      <c r="H58" s="2142"/>
      <c r="I58" s="2142"/>
      <c r="J58" s="2142"/>
      <c r="K58" s="2384"/>
      <c r="L58" s="2145"/>
      <c r="M58" s="2146"/>
      <c r="N58" s="2447"/>
      <c r="O58" s="2447"/>
      <c r="P58" s="2448"/>
      <c r="Q58" s="2386"/>
      <c r="R58" s="2110"/>
      <c r="S58" s="2110"/>
      <c r="T58" s="2110"/>
      <c r="U58" s="2110"/>
      <c r="V58" s="2110"/>
      <c r="W58" s="2110"/>
      <c r="X58" s="2110"/>
      <c r="Y58" s="2110"/>
      <c r="Z58" s="2110"/>
      <c r="AA58" s="2110"/>
      <c r="AB58" s="2110"/>
      <c r="AC58" s="2110"/>
    </row>
    <row r="59" s="2154" customFormat="true" ht="15" hidden="false" customHeight="false" outlineLevel="0" collapsed="false">
      <c r="A59" s="2149" t="s">
        <v>1276</v>
      </c>
      <c r="B59" s="2150"/>
      <c r="C59" s="2387" t="str">
        <f aca="false">YEAR(C7)&amp;"-"&amp;MONTH(C7)</f>
        <v>2006-11</v>
      </c>
      <c r="D59" s="2152" t="n">
        <f aca="false">EDATE(C59,-1)</f>
        <v>38991</v>
      </c>
      <c r="E59" s="2152" t="n">
        <f aca="false">EDATE(D59,-1)</f>
        <v>38961</v>
      </c>
      <c r="F59" s="2152" t="n">
        <f aca="false">EDATE(E59,-1)</f>
        <v>38930</v>
      </c>
      <c r="G59" s="2152" t="n">
        <f aca="false">EDATE(F59,-1)</f>
        <v>38899</v>
      </c>
      <c r="H59" s="2152" t="n">
        <f aca="false">EDATE(G59,-1)</f>
        <v>38869</v>
      </c>
      <c r="I59" s="2152" t="n">
        <f aca="false">EDATE(H59,-1)</f>
        <v>38838</v>
      </c>
      <c r="J59" s="2152" t="n">
        <f aca="false">EDATE(I59,-1)</f>
        <v>38808</v>
      </c>
      <c r="K59" s="2152" t="n">
        <f aca="false">EDATE(J59,-1)</f>
        <v>38777</v>
      </c>
      <c r="L59" s="2152" t="n">
        <f aca="false">EDATE(K59,-1)</f>
        <v>38749</v>
      </c>
      <c r="M59" s="2152" t="n">
        <f aca="false">EDATE(L59,-1)</f>
        <v>38718</v>
      </c>
      <c r="N59" s="2152" t="n">
        <f aca="false">EDATE(M59,-1)</f>
        <v>38687</v>
      </c>
      <c r="O59" s="2152" t="n">
        <f aca="false">EDATE(N59,-1)</f>
        <v>38657</v>
      </c>
      <c r="P59" s="2449"/>
      <c r="Q59" s="2389"/>
      <c r="R59" s="2389"/>
      <c r="S59" s="2389"/>
      <c r="T59" s="2389"/>
      <c r="U59" s="2389"/>
      <c r="V59" s="2389"/>
      <c r="W59" s="2389"/>
      <c r="X59" s="2389"/>
      <c r="Y59" s="2389"/>
      <c r="Z59" s="2389"/>
      <c r="AA59" s="2389"/>
      <c r="AB59" s="2389"/>
      <c r="AC59" s="2389"/>
    </row>
    <row r="60" s="1983" customFormat="true" ht="15" hidden="false" customHeight="false" outlineLevel="0" collapsed="false">
      <c r="A60" s="2155"/>
      <c r="B60" s="2167"/>
      <c r="C60" s="2157" t="n">
        <v>100</v>
      </c>
      <c r="D60" s="2159"/>
      <c r="E60" s="2159"/>
      <c r="F60" s="2159"/>
      <c r="G60" s="2159"/>
      <c r="H60" s="2159"/>
      <c r="I60" s="2159"/>
      <c r="J60" s="2159"/>
      <c r="K60" s="2159"/>
      <c r="L60" s="2159"/>
      <c r="M60" s="2390"/>
      <c r="N60" s="2159"/>
      <c r="O60" s="2390"/>
      <c r="P60" s="2450"/>
      <c r="Q60" s="529"/>
      <c r="R60" s="529"/>
      <c r="S60" s="529"/>
      <c r="T60" s="529"/>
      <c r="U60" s="529"/>
      <c r="V60" s="529"/>
      <c r="W60" s="529"/>
      <c r="X60" s="529"/>
      <c r="Y60" s="529"/>
      <c r="Z60" s="529"/>
      <c r="AA60" s="529"/>
      <c r="AB60" s="529"/>
      <c r="AC60" s="529"/>
    </row>
    <row r="61" s="1983" customFormat="true" ht="15" hidden="false" customHeight="false" outlineLevel="0" collapsed="false">
      <c r="A61" s="2161" t="s">
        <v>1316</v>
      </c>
      <c r="B61" s="2162"/>
      <c r="C61" s="2163"/>
      <c r="D61" s="2164"/>
      <c r="E61" s="2164"/>
      <c r="F61" s="2164"/>
      <c r="G61" s="2164"/>
      <c r="H61" s="2164"/>
      <c r="I61" s="2164"/>
      <c r="J61" s="2164"/>
      <c r="K61" s="2164"/>
      <c r="L61" s="2164"/>
      <c r="M61" s="2165"/>
      <c r="N61" s="2164"/>
      <c r="O61" s="2165"/>
      <c r="P61" s="2450"/>
      <c r="Q61" s="2386"/>
      <c r="R61" s="529"/>
      <c r="S61" s="529"/>
      <c r="T61" s="529"/>
      <c r="U61" s="529"/>
      <c r="V61" s="529"/>
      <c r="W61" s="529"/>
      <c r="X61" s="529"/>
      <c r="Y61" s="529"/>
      <c r="Z61" s="529"/>
      <c r="AA61" s="529"/>
      <c r="AB61" s="529"/>
      <c r="AC61" s="529"/>
    </row>
    <row r="62" s="1983" customFormat="true" ht="15" hidden="false" customHeight="false" outlineLevel="0" collapsed="false">
      <c r="A62" s="2166" t="s">
        <v>1278</v>
      </c>
      <c r="B62" s="2167"/>
      <c r="C62" s="2168" t="s">
        <v>1279</v>
      </c>
      <c r="D62" s="2169"/>
      <c r="E62" s="2169"/>
      <c r="F62" s="2169"/>
      <c r="G62" s="2169"/>
      <c r="H62" s="2169"/>
      <c r="I62" s="2169"/>
      <c r="J62" s="2169"/>
      <c r="K62" s="2169"/>
      <c r="L62" s="2170"/>
      <c r="M62" s="2171"/>
      <c r="N62" s="2392"/>
      <c r="O62" s="2392"/>
      <c r="P62" s="2451"/>
      <c r="Q62" s="2386"/>
      <c r="R62" s="529"/>
      <c r="S62" s="529"/>
      <c r="T62" s="529"/>
      <c r="U62" s="529"/>
      <c r="V62" s="529"/>
      <c r="W62" s="529"/>
      <c r="X62" s="529"/>
      <c r="Y62" s="529"/>
      <c r="Z62" s="529"/>
      <c r="AA62" s="529"/>
      <c r="AB62" s="529"/>
      <c r="AC62" s="529"/>
    </row>
    <row r="63" s="1983" customFormat="true" ht="15" hidden="false" customHeight="false" outlineLevel="0" collapsed="false">
      <c r="A63" s="2166"/>
      <c r="B63" s="2167"/>
      <c r="C63" s="2158" t="n">
        <v>100</v>
      </c>
      <c r="D63" s="2159"/>
      <c r="E63" s="2159"/>
      <c r="F63" s="2159"/>
      <c r="G63" s="2159"/>
      <c r="H63" s="2159"/>
      <c r="I63" s="2159"/>
      <c r="J63" s="2159"/>
      <c r="K63" s="2159"/>
      <c r="L63" s="2159"/>
      <c r="M63" s="2174"/>
      <c r="N63" s="2392"/>
      <c r="O63" s="2392"/>
      <c r="P63" s="2450"/>
      <c r="Q63" s="2386"/>
      <c r="R63" s="529"/>
      <c r="S63" s="529"/>
      <c r="T63" s="529"/>
      <c r="U63" s="529"/>
      <c r="V63" s="529"/>
      <c r="W63" s="529"/>
      <c r="X63" s="529"/>
      <c r="Y63" s="529"/>
      <c r="Z63" s="529"/>
      <c r="AA63" s="529"/>
      <c r="AB63" s="529"/>
      <c r="AC63" s="529"/>
    </row>
    <row r="64" customFormat="false" ht="14.25" hidden="false" customHeight="false" outlineLevel="0" collapsed="false">
      <c r="A64" s="2175" t="s">
        <v>1280</v>
      </c>
      <c r="B64" s="2176" t="s">
        <v>399</v>
      </c>
      <c r="C64" s="2177" t="n">
        <f aca="false">C9</f>
        <v>0</v>
      </c>
      <c r="D64" s="2178"/>
      <c r="E64" s="2178"/>
      <c r="F64" s="2178"/>
      <c r="G64" s="2178"/>
      <c r="H64" s="2178"/>
      <c r="I64" s="2178"/>
      <c r="J64" s="2178"/>
      <c r="K64" s="2179"/>
      <c r="L64" s="2180"/>
      <c r="M64" s="2181"/>
      <c r="N64" s="2394"/>
      <c r="O64" s="2394"/>
      <c r="P64" s="2452"/>
      <c r="Q64" s="2386"/>
      <c r="R64" s="2110"/>
      <c r="S64" s="2110"/>
      <c r="T64" s="2110"/>
      <c r="U64" s="2110"/>
      <c r="V64" s="2110"/>
      <c r="W64" s="2110"/>
      <c r="X64" s="2110"/>
      <c r="Y64" s="2110"/>
      <c r="Z64" s="2110"/>
      <c r="AA64" s="2110"/>
      <c r="AB64" s="2110"/>
      <c r="AC64" s="2110"/>
    </row>
    <row r="65" customFormat="false" ht="15" hidden="false" customHeight="false" outlineLevel="0" collapsed="false">
      <c r="A65" s="2184"/>
      <c r="B65" s="2185"/>
      <c r="C65" s="2186" t="n">
        <v>100</v>
      </c>
      <c r="D65" s="2186"/>
      <c r="E65" s="2186"/>
      <c r="F65" s="2186"/>
      <c r="G65" s="2186"/>
      <c r="H65" s="2186"/>
      <c r="I65" s="2186"/>
      <c r="J65" s="2186"/>
      <c r="K65" s="2186"/>
      <c r="L65" s="2186"/>
      <c r="M65" s="2187"/>
      <c r="N65" s="2396"/>
      <c r="O65" s="2396"/>
      <c r="P65" s="2452"/>
      <c r="Q65" s="2386"/>
      <c r="R65" s="2110"/>
      <c r="S65" s="2110"/>
      <c r="T65" s="2110"/>
      <c r="U65" s="2110"/>
      <c r="V65" s="2110"/>
      <c r="W65" s="2110"/>
      <c r="X65" s="2110"/>
      <c r="Y65" s="2110"/>
      <c r="Z65" s="2110"/>
      <c r="AA65" s="2110"/>
      <c r="AB65" s="2110"/>
      <c r="AC65" s="2110"/>
    </row>
    <row r="66" customFormat="false" ht="27" hidden="false" customHeight="false" outlineLevel="0" collapsed="false">
      <c r="A66" s="2184"/>
      <c r="B66" s="2189" t="s">
        <v>1281</v>
      </c>
      <c r="C66" s="2190"/>
      <c r="D66" s="2190"/>
      <c r="E66" s="2190"/>
      <c r="F66" s="2190"/>
      <c r="G66" s="2190"/>
      <c r="H66" s="2190"/>
      <c r="I66" s="2190"/>
      <c r="J66" s="2190"/>
      <c r="K66" s="2246"/>
      <c r="L66" s="2247"/>
      <c r="M66" s="2248"/>
      <c r="N66" s="2394"/>
      <c r="O66" s="2394"/>
      <c r="P66" s="2452"/>
      <c r="Q66" s="2386"/>
      <c r="R66" s="2110"/>
      <c r="S66" s="2110"/>
      <c r="T66" s="2110"/>
      <c r="U66" s="2110"/>
      <c r="V66" s="2110"/>
      <c r="W66" s="2110"/>
      <c r="X66" s="2110"/>
      <c r="Y66" s="2110"/>
      <c r="Z66" s="2110"/>
      <c r="AA66" s="2110"/>
      <c r="AB66" s="2110"/>
      <c r="AC66" s="2110"/>
    </row>
    <row r="67" customFormat="false" ht="15" hidden="false" customHeight="false" outlineLevel="0" collapsed="false">
      <c r="A67" s="2184"/>
      <c r="B67" s="2191"/>
      <c r="C67" s="2186"/>
      <c r="D67" s="2186"/>
      <c r="E67" s="2186"/>
      <c r="F67" s="2186"/>
      <c r="G67" s="2186"/>
      <c r="H67" s="2186"/>
      <c r="I67" s="2186"/>
      <c r="J67" s="2186"/>
      <c r="K67" s="2186"/>
      <c r="L67" s="2186"/>
      <c r="M67" s="2187"/>
      <c r="N67" s="2396"/>
      <c r="O67" s="2396"/>
      <c r="P67" s="2452"/>
      <c r="Q67" s="2386"/>
      <c r="R67" s="2110"/>
      <c r="S67" s="2110"/>
      <c r="T67" s="2110"/>
      <c r="U67" s="2110"/>
      <c r="V67" s="2110"/>
      <c r="W67" s="2110"/>
      <c r="X67" s="2110"/>
      <c r="Y67" s="2110"/>
      <c r="Z67" s="2110"/>
      <c r="AA67" s="2110"/>
      <c r="AB67" s="2110"/>
      <c r="AC67" s="2110"/>
    </row>
    <row r="68" customFormat="false" ht="15" hidden="false" customHeight="false" outlineLevel="0" collapsed="false">
      <c r="A68" s="2184"/>
      <c r="B68" s="2192" t="s">
        <v>524</v>
      </c>
      <c r="C68" s="2193" t="str">
        <f aca="false">C69&amp;"（含）"&amp;"-"&amp;D69</f>
        <v>0（含）-3</v>
      </c>
      <c r="D68" s="2193" t="str">
        <f aca="false">D69&amp;"（含）"&amp;"-"&amp;E69</f>
        <v>3（含）-</v>
      </c>
      <c r="E68" s="2193" t="str">
        <f aca="false">E69&amp;"（含）"&amp;"-"&amp;F69</f>
        <v>（含）-</v>
      </c>
      <c r="F68" s="2193" t="str">
        <f aca="false">F69&amp;"（含）"&amp;"-"&amp;G69</f>
        <v>（含）-</v>
      </c>
      <c r="G68" s="2193" t="str">
        <f aca="false">G69&amp;"（含）"&amp;"-"&amp;H69</f>
        <v>（含）-</v>
      </c>
      <c r="H68" s="2193" t="str">
        <f aca="false">H69&amp;"（含）"&amp;"-"&amp;I69</f>
        <v>（含）-</v>
      </c>
      <c r="I68" s="2193" t="str">
        <f aca="false">I69&amp;"（含）"&amp;"-"&amp;J69</f>
        <v>（含）-</v>
      </c>
      <c r="J68" s="2193" t="str">
        <f aca="false">J69&amp;"（含）"&amp;"-"&amp;K69</f>
        <v>（含）-</v>
      </c>
      <c r="K68" s="2193" t="str">
        <f aca="false">K69&amp;"（含）"&amp;"-"&amp;L69</f>
        <v>（含）-</v>
      </c>
      <c r="L68" s="2193" t="str">
        <f aca="false">L69&amp;"（含）"&amp;"-"&amp;M69</f>
        <v>（含）-</v>
      </c>
      <c r="M68" s="2041" t="str">
        <f aca="false">M69&amp;"（含）"&amp;"-"&amp;P69</f>
        <v>（含）-</v>
      </c>
      <c r="N68" s="2396"/>
      <c r="O68" s="2396"/>
      <c r="P68" s="2452"/>
      <c r="Q68" s="2386"/>
      <c r="R68" s="2110"/>
      <c r="S68" s="2110"/>
      <c r="T68" s="2110"/>
      <c r="U68" s="2110"/>
      <c r="V68" s="2110"/>
      <c r="W68" s="2110"/>
      <c r="X68" s="2110"/>
      <c r="Y68" s="2110"/>
      <c r="Z68" s="2110"/>
      <c r="AA68" s="2110"/>
      <c r="AB68" s="2110"/>
      <c r="AC68" s="2110"/>
    </row>
    <row r="69" customFormat="false" ht="15" hidden="false" customHeight="false" outlineLevel="0" collapsed="false">
      <c r="A69" s="2184"/>
      <c r="B69" s="2194"/>
      <c r="C69" s="2195" t="n">
        <v>0</v>
      </c>
      <c r="D69" s="2195" t="n">
        <v>3</v>
      </c>
      <c r="E69" s="2195"/>
      <c r="F69" s="2195"/>
      <c r="G69" s="2195"/>
      <c r="H69" s="2195"/>
      <c r="I69" s="2195"/>
      <c r="J69" s="2195"/>
      <c r="K69" s="2196"/>
      <c r="L69" s="2197"/>
      <c r="M69" s="2198"/>
      <c r="N69" s="2394"/>
      <c r="O69" s="2394"/>
      <c r="P69" s="2452"/>
      <c r="Q69" s="2386"/>
      <c r="R69" s="2110"/>
      <c r="S69" s="2110"/>
      <c r="T69" s="2110"/>
      <c r="U69" s="2110"/>
      <c r="V69" s="2110"/>
      <c r="W69" s="2110"/>
      <c r="X69" s="2110"/>
      <c r="Y69" s="2110"/>
      <c r="Z69" s="2110"/>
      <c r="AA69" s="2110"/>
      <c r="AB69" s="2110"/>
      <c r="AC69" s="2110"/>
    </row>
    <row r="70" customFormat="false" ht="15" hidden="false" customHeight="false" outlineLevel="0" collapsed="false">
      <c r="A70" s="2184"/>
      <c r="B70" s="2185"/>
      <c r="C70" s="2199" t="n">
        <v>100</v>
      </c>
      <c r="D70" s="2199" t="n">
        <f aca="false">C70-$K11</f>
        <v>100</v>
      </c>
      <c r="E70" s="2199" t="n">
        <f aca="false">D70-$K11</f>
        <v>100</v>
      </c>
      <c r="F70" s="2199" t="n">
        <f aca="false">E70-$K11</f>
        <v>100</v>
      </c>
      <c r="G70" s="2199" t="n">
        <f aca="false">F70-$K11</f>
        <v>100</v>
      </c>
      <c r="H70" s="2199" t="n">
        <f aca="false">G70-$K11</f>
        <v>100</v>
      </c>
      <c r="I70" s="2199" t="n">
        <f aca="false">H70-$K11</f>
        <v>100</v>
      </c>
      <c r="J70" s="2199" t="n">
        <f aca="false">I70-$K11</f>
        <v>100</v>
      </c>
      <c r="K70" s="2199" t="n">
        <f aca="false">J70-$K11</f>
        <v>100</v>
      </c>
      <c r="L70" s="2199" t="n">
        <f aca="false">K70-$K11</f>
        <v>100</v>
      </c>
      <c r="M70" s="2200" t="n">
        <f aca="false">L70-$K11</f>
        <v>100</v>
      </c>
      <c r="N70" s="2396"/>
      <c r="O70" s="2396"/>
      <c r="P70" s="2452"/>
      <c r="Q70" s="2386"/>
      <c r="R70" s="2110"/>
      <c r="S70" s="2110"/>
      <c r="T70" s="2110"/>
      <c r="U70" s="2110"/>
      <c r="V70" s="2110"/>
      <c r="W70" s="2110"/>
      <c r="X70" s="2110"/>
      <c r="Y70" s="2110"/>
      <c r="Z70" s="2110"/>
      <c r="AA70" s="2110"/>
      <c r="AB70" s="2110"/>
      <c r="AC70" s="2110"/>
    </row>
    <row r="71" s="2088" customFormat="true" ht="15" hidden="false" customHeight="false" outlineLevel="0" collapsed="false">
      <c r="A71" s="2201"/>
      <c r="B71" s="2189" t="n">
        <f aca="false">B12</f>
        <v>111</v>
      </c>
      <c r="C71" s="2202"/>
      <c r="D71" s="2202"/>
      <c r="E71" s="2202"/>
      <c r="F71" s="2202"/>
      <c r="G71" s="2202"/>
      <c r="H71" s="2203"/>
      <c r="I71" s="2203"/>
      <c r="J71" s="2203"/>
      <c r="K71" s="2203"/>
      <c r="L71" s="2204"/>
      <c r="M71" s="2205"/>
      <c r="N71" s="2397"/>
      <c r="O71" s="2397"/>
      <c r="P71" s="2453"/>
      <c r="Q71" s="2399"/>
      <c r="R71" s="791"/>
      <c r="S71" s="791"/>
      <c r="T71" s="791"/>
      <c r="U71" s="791"/>
      <c r="V71" s="791"/>
      <c r="W71" s="791"/>
      <c r="X71" s="791"/>
      <c r="Y71" s="791"/>
      <c r="Z71" s="791"/>
      <c r="AA71" s="791"/>
      <c r="AB71" s="791"/>
      <c r="AC71" s="791"/>
    </row>
    <row r="72" s="2088" customFormat="true" ht="15" hidden="false" customHeight="false" outlineLevel="0" collapsed="false">
      <c r="A72" s="2201"/>
      <c r="B72" s="2191"/>
      <c r="C72" s="2209"/>
      <c r="D72" s="2186"/>
      <c r="E72" s="2186"/>
      <c r="F72" s="2186"/>
      <c r="G72" s="2186"/>
      <c r="H72" s="2186"/>
      <c r="I72" s="2186"/>
      <c r="J72" s="2186"/>
      <c r="K72" s="2186"/>
      <c r="L72" s="2186"/>
      <c r="M72" s="2187"/>
      <c r="N72" s="2396"/>
      <c r="O72" s="2396"/>
      <c r="P72" s="2453"/>
      <c r="Q72" s="2399"/>
      <c r="R72" s="791"/>
      <c r="S72" s="791"/>
      <c r="T72" s="791"/>
      <c r="U72" s="791"/>
      <c r="V72" s="791"/>
      <c r="W72" s="791"/>
      <c r="X72" s="791"/>
      <c r="Y72" s="791"/>
      <c r="Z72" s="791"/>
      <c r="AA72" s="791"/>
      <c r="AB72" s="791"/>
      <c r="AC72" s="791"/>
    </row>
    <row r="73" s="2088" customFormat="true" ht="15" hidden="false" customHeight="false" outlineLevel="0" collapsed="false">
      <c r="A73" s="2201"/>
      <c r="B73" s="2189" t="n">
        <f aca="false">B13</f>
        <v>111</v>
      </c>
      <c r="C73" s="2202"/>
      <c r="D73" s="2202"/>
      <c r="E73" s="2202"/>
      <c r="F73" s="2202"/>
      <c r="G73" s="2202"/>
      <c r="H73" s="2203"/>
      <c r="I73" s="2203"/>
      <c r="J73" s="2203"/>
      <c r="K73" s="2203"/>
      <c r="L73" s="2204"/>
      <c r="M73" s="2205"/>
      <c r="N73" s="2397"/>
      <c r="O73" s="2397"/>
      <c r="P73" s="2454"/>
      <c r="Q73" s="2401"/>
      <c r="R73" s="791"/>
      <c r="S73" s="791"/>
      <c r="T73" s="791"/>
      <c r="U73" s="791"/>
      <c r="V73" s="791"/>
      <c r="W73" s="791"/>
      <c r="X73" s="791"/>
      <c r="Y73" s="791"/>
      <c r="Z73" s="791"/>
      <c r="AA73" s="791"/>
      <c r="AB73" s="791"/>
      <c r="AC73" s="791"/>
    </row>
    <row r="74" s="2088" customFormat="true" ht="15" hidden="false" customHeight="false" outlineLevel="0" collapsed="false">
      <c r="A74" s="2201"/>
      <c r="B74" s="2191"/>
      <c r="C74" s="2209"/>
      <c r="D74" s="2209"/>
      <c r="E74" s="2209"/>
      <c r="F74" s="2209"/>
      <c r="G74" s="2209"/>
      <c r="H74" s="2212"/>
      <c r="I74" s="2212"/>
      <c r="J74" s="2212"/>
      <c r="K74" s="2212"/>
      <c r="L74" s="2212"/>
      <c r="M74" s="2213"/>
      <c r="N74" s="2397"/>
      <c r="O74" s="2397"/>
      <c r="P74" s="2453"/>
      <c r="Q74" s="2399"/>
      <c r="R74" s="791"/>
      <c r="S74" s="791"/>
      <c r="T74" s="791"/>
      <c r="U74" s="791"/>
      <c r="V74" s="791"/>
      <c r="W74" s="791"/>
      <c r="X74" s="791"/>
      <c r="Y74" s="791"/>
      <c r="Z74" s="791"/>
      <c r="AA74" s="791"/>
      <c r="AB74" s="791"/>
      <c r="AC74" s="791"/>
    </row>
    <row r="75" s="2088" customFormat="true" ht="15" hidden="false" customHeight="false" outlineLevel="0" collapsed="false">
      <c r="A75" s="2201"/>
      <c r="B75" s="2192" t="n">
        <f aca="false">B14</f>
        <v>111</v>
      </c>
      <c r="C75" s="2169"/>
      <c r="D75" s="2169"/>
      <c r="E75" s="2169"/>
      <c r="F75" s="2169"/>
      <c r="G75" s="2169"/>
      <c r="H75" s="2214"/>
      <c r="I75" s="2214"/>
      <c r="J75" s="2214"/>
      <c r="K75" s="2214"/>
      <c r="L75" s="2215"/>
      <c r="M75" s="2216"/>
      <c r="N75" s="2397"/>
      <c r="O75" s="2397"/>
      <c r="P75" s="2455"/>
      <c r="Q75" s="2399"/>
      <c r="R75" s="791"/>
      <c r="S75" s="791"/>
      <c r="T75" s="791"/>
      <c r="U75" s="791"/>
      <c r="V75" s="791"/>
      <c r="W75" s="791"/>
      <c r="X75" s="791"/>
      <c r="Y75" s="791"/>
      <c r="Z75" s="791"/>
      <c r="AA75" s="791"/>
      <c r="AB75" s="791"/>
      <c r="AC75" s="791"/>
    </row>
    <row r="76" s="2088" customFormat="true" ht="15" hidden="false" customHeight="false" outlineLevel="0" collapsed="false">
      <c r="A76" s="2218"/>
      <c r="B76" s="2219"/>
      <c r="C76" s="2220"/>
      <c r="D76" s="2220"/>
      <c r="E76" s="2220"/>
      <c r="F76" s="2220"/>
      <c r="G76" s="2220"/>
      <c r="H76" s="2221"/>
      <c r="I76" s="2221"/>
      <c r="J76" s="2221"/>
      <c r="K76" s="2221"/>
      <c r="L76" s="2221"/>
      <c r="M76" s="2222"/>
      <c r="N76" s="2397"/>
      <c r="O76" s="2397"/>
      <c r="P76" s="2453"/>
      <c r="Q76" s="2399"/>
      <c r="R76" s="791"/>
      <c r="S76" s="791"/>
      <c r="T76" s="791"/>
      <c r="U76" s="791"/>
      <c r="V76" s="791"/>
      <c r="W76" s="791"/>
      <c r="X76" s="791"/>
      <c r="Y76" s="791"/>
      <c r="Z76" s="791"/>
      <c r="AA76" s="791"/>
      <c r="AB76" s="791"/>
      <c r="AC76" s="791"/>
    </row>
    <row r="77" customFormat="false" ht="14.25" hidden="false" customHeight="false" outlineLevel="0" collapsed="false">
      <c r="A77" s="2175" t="s">
        <v>648</v>
      </c>
      <c r="B77" s="2176" t="s">
        <v>214</v>
      </c>
      <c r="C77" s="2223" t="s">
        <v>231</v>
      </c>
      <c r="D77" s="2223" t="s">
        <v>241</v>
      </c>
      <c r="E77" s="2223" t="s">
        <v>250</v>
      </c>
      <c r="F77" s="2223" t="s">
        <v>258</v>
      </c>
      <c r="G77" s="2223" t="s">
        <v>265</v>
      </c>
      <c r="H77" s="2177"/>
      <c r="I77" s="2177"/>
      <c r="J77" s="2177"/>
      <c r="K77" s="2224"/>
      <c r="L77" s="2225"/>
      <c r="M77" s="2226"/>
      <c r="N77" s="2394"/>
      <c r="O77" s="2394"/>
      <c r="P77" s="2456"/>
      <c r="Q77" s="2386"/>
      <c r="R77" s="2110"/>
      <c r="S77" s="2110"/>
      <c r="T77" s="2110"/>
      <c r="U77" s="2110"/>
      <c r="V77" s="2110"/>
      <c r="W77" s="2110"/>
      <c r="X77" s="2110"/>
      <c r="Y77" s="2110"/>
      <c r="Z77" s="2110"/>
      <c r="AA77" s="2110"/>
      <c r="AB77" s="2110"/>
      <c r="AC77" s="2110"/>
    </row>
    <row r="78" customFormat="false" ht="15" hidden="false" customHeight="false" outlineLevel="0" collapsed="false">
      <c r="A78" s="2184"/>
      <c r="B78" s="2191"/>
      <c r="C78" s="2199" t="n">
        <v>100</v>
      </c>
      <c r="D78" s="2199" t="n">
        <f aca="false">C78-$K15</f>
        <v>100</v>
      </c>
      <c r="E78" s="2199" t="n">
        <f aca="false">D78-$K15</f>
        <v>100</v>
      </c>
      <c r="F78" s="2199" t="n">
        <f aca="false">E78-$K15</f>
        <v>100</v>
      </c>
      <c r="G78" s="2199" t="n">
        <f aca="false">F78-$K15</f>
        <v>100</v>
      </c>
      <c r="H78" s="2199"/>
      <c r="I78" s="2199"/>
      <c r="J78" s="2199"/>
      <c r="K78" s="2199"/>
      <c r="L78" s="2199"/>
      <c r="M78" s="2200"/>
      <c r="N78" s="2396"/>
      <c r="O78" s="2396"/>
      <c r="P78" s="2452"/>
      <c r="Q78" s="2386"/>
      <c r="R78" s="2110"/>
      <c r="S78" s="2110"/>
      <c r="T78" s="2110"/>
      <c r="U78" s="2110"/>
      <c r="V78" s="2110"/>
      <c r="W78" s="2110"/>
      <c r="X78" s="2110"/>
      <c r="Y78" s="2110"/>
      <c r="Z78" s="2110"/>
      <c r="AA78" s="2110"/>
      <c r="AB78" s="2110"/>
      <c r="AC78" s="2110"/>
    </row>
    <row r="79" customFormat="false" ht="15" hidden="false" customHeight="false" outlineLevel="0" collapsed="false">
      <c r="A79" s="2184"/>
      <c r="B79" s="2189" t="s">
        <v>216</v>
      </c>
      <c r="C79" s="2228" t="s">
        <v>231</v>
      </c>
      <c r="D79" s="2228" t="s">
        <v>241</v>
      </c>
      <c r="E79" s="2228" t="s">
        <v>250</v>
      </c>
      <c r="F79" s="2228" t="s">
        <v>258</v>
      </c>
      <c r="G79" s="2228" t="s">
        <v>265</v>
      </c>
      <c r="H79" s="2229"/>
      <c r="I79" s="2229"/>
      <c r="J79" s="2229"/>
      <c r="K79" s="2230"/>
      <c r="L79" s="2231"/>
      <c r="M79" s="2232"/>
      <c r="N79" s="2394"/>
      <c r="O79" s="2394"/>
      <c r="P79" s="2452"/>
      <c r="Q79" s="2386"/>
      <c r="R79" s="2110"/>
      <c r="S79" s="2110"/>
      <c r="T79" s="2110"/>
      <c r="U79" s="2110"/>
      <c r="V79" s="2110"/>
      <c r="W79" s="2110"/>
      <c r="X79" s="2110"/>
      <c r="Y79" s="2110"/>
      <c r="Z79" s="2110"/>
      <c r="AA79" s="2110"/>
      <c r="AB79" s="2110"/>
      <c r="AC79" s="2110"/>
    </row>
    <row r="80" customFormat="false" ht="15" hidden="false" customHeight="false" outlineLevel="0" collapsed="false">
      <c r="A80" s="2184"/>
      <c r="B80" s="2191"/>
      <c r="C80" s="2199" t="n">
        <v>100</v>
      </c>
      <c r="D80" s="2199" t="n">
        <f aca="false">C80-$K17</f>
        <v>100</v>
      </c>
      <c r="E80" s="2199" t="n">
        <f aca="false">D80-$K17</f>
        <v>100</v>
      </c>
      <c r="F80" s="2199" t="n">
        <f aca="false">E80-$K17</f>
        <v>100</v>
      </c>
      <c r="G80" s="2199" t="n">
        <f aca="false">F80-$K17</f>
        <v>100</v>
      </c>
      <c r="H80" s="2199"/>
      <c r="I80" s="2199"/>
      <c r="J80" s="2199"/>
      <c r="K80" s="2199"/>
      <c r="L80" s="2199"/>
      <c r="M80" s="2200"/>
      <c r="N80" s="2396"/>
      <c r="O80" s="2396"/>
      <c r="P80" s="2452"/>
      <c r="Q80" s="2386"/>
      <c r="R80" s="2110"/>
      <c r="S80" s="2110"/>
      <c r="T80" s="2110"/>
      <c r="U80" s="2110"/>
      <c r="V80" s="2110"/>
      <c r="W80" s="2110"/>
      <c r="X80" s="2110"/>
      <c r="Y80" s="2110"/>
      <c r="Z80" s="2110"/>
      <c r="AA80" s="2110"/>
      <c r="AB80" s="2110"/>
      <c r="AC80" s="2110"/>
    </row>
    <row r="81" customFormat="false" ht="15" hidden="false" customHeight="false" outlineLevel="0" collapsed="false">
      <c r="A81" s="2184"/>
      <c r="B81" s="2189" t="s">
        <v>218</v>
      </c>
      <c r="C81" s="2228" t="s">
        <v>231</v>
      </c>
      <c r="D81" s="2228" t="s">
        <v>241</v>
      </c>
      <c r="E81" s="2228" t="s">
        <v>250</v>
      </c>
      <c r="F81" s="2228" t="s">
        <v>258</v>
      </c>
      <c r="G81" s="2228" t="s">
        <v>265</v>
      </c>
      <c r="H81" s="2229"/>
      <c r="I81" s="2229"/>
      <c r="J81" s="2229"/>
      <c r="K81" s="2230"/>
      <c r="L81" s="2231"/>
      <c r="M81" s="2232"/>
      <c r="N81" s="2394"/>
      <c r="O81" s="2394"/>
      <c r="P81" s="2452"/>
      <c r="Q81" s="2386"/>
      <c r="R81" s="2110"/>
      <c r="S81" s="2110"/>
      <c r="T81" s="2110"/>
      <c r="U81" s="2110"/>
      <c r="V81" s="2110"/>
      <c r="W81" s="2110"/>
      <c r="X81" s="2110"/>
      <c r="Y81" s="2110"/>
      <c r="Z81" s="2110"/>
      <c r="AA81" s="2110"/>
      <c r="AB81" s="2110"/>
      <c r="AC81" s="2110"/>
    </row>
    <row r="82" customFormat="false" ht="15" hidden="false" customHeight="false" outlineLevel="0" collapsed="false">
      <c r="A82" s="2184"/>
      <c r="B82" s="2191"/>
      <c r="C82" s="2199" t="n">
        <v>100</v>
      </c>
      <c r="D82" s="2199" t="n">
        <f aca="false">C82-$K19</f>
        <v>100</v>
      </c>
      <c r="E82" s="2199" t="n">
        <f aca="false">D82-$K19</f>
        <v>100</v>
      </c>
      <c r="F82" s="2199" t="n">
        <f aca="false">E82-$K19</f>
        <v>100</v>
      </c>
      <c r="G82" s="2199" t="n">
        <f aca="false">F82-$K19</f>
        <v>100</v>
      </c>
      <c r="H82" s="2199"/>
      <c r="I82" s="2199"/>
      <c r="J82" s="2199"/>
      <c r="K82" s="2199"/>
      <c r="L82" s="2199"/>
      <c r="M82" s="2200"/>
      <c r="N82" s="2396"/>
      <c r="O82" s="2396"/>
      <c r="P82" s="2452"/>
      <c r="Q82" s="2386"/>
      <c r="R82" s="2110"/>
      <c r="S82" s="2110"/>
      <c r="T82" s="2110"/>
      <c r="U82" s="2110"/>
      <c r="V82" s="2110"/>
      <c r="W82" s="2110"/>
      <c r="X82" s="2110"/>
      <c r="Y82" s="2110"/>
      <c r="Z82" s="2110"/>
      <c r="AA82" s="2110"/>
      <c r="AB82" s="2110"/>
      <c r="AC82" s="2110"/>
    </row>
    <row r="83" customFormat="false" ht="15" hidden="false" customHeight="false" outlineLevel="0" collapsed="false">
      <c r="A83" s="2184"/>
      <c r="B83" s="2192" t="s">
        <v>219</v>
      </c>
      <c r="C83" s="2404" t="s">
        <v>232</v>
      </c>
      <c r="D83" s="2404" t="s">
        <v>242</v>
      </c>
      <c r="E83" s="2404" t="s">
        <v>251</v>
      </c>
      <c r="F83" s="2404" t="s">
        <v>259</v>
      </c>
      <c r="G83" s="2404" t="s">
        <v>266</v>
      </c>
      <c r="H83" s="2229"/>
      <c r="I83" s="2229"/>
      <c r="J83" s="2229"/>
      <c r="K83" s="2229"/>
      <c r="L83" s="2229"/>
      <c r="M83" s="2234"/>
      <c r="N83" s="2396"/>
      <c r="O83" s="2396"/>
      <c r="P83" s="2452"/>
      <c r="Q83" s="2386"/>
      <c r="R83" s="2110"/>
      <c r="S83" s="2110"/>
      <c r="T83" s="2110"/>
      <c r="U83" s="2110"/>
      <c r="V83" s="2110"/>
      <c r="W83" s="2110"/>
      <c r="X83" s="2110"/>
      <c r="Y83" s="2110"/>
      <c r="Z83" s="2110"/>
      <c r="AA83" s="2110"/>
      <c r="AB83" s="2110"/>
      <c r="AC83" s="2110"/>
    </row>
    <row r="84" customFormat="false" ht="15" hidden="false" customHeight="false" outlineLevel="0" collapsed="false">
      <c r="A84" s="2184"/>
      <c r="B84" s="2192"/>
      <c r="C84" s="2199" t="n">
        <v>100</v>
      </c>
      <c r="D84" s="2199" t="n">
        <f aca="false">C84-$K21</f>
        <v>100</v>
      </c>
      <c r="E84" s="2199" t="n">
        <f aca="false">D84-$K21</f>
        <v>100</v>
      </c>
      <c r="F84" s="2199" t="n">
        <f aca="false">E84-$K21</f>
        <v>100</v>
      </c>
      <c r="G84" s="2199" t="n">
        <f aca="false">F84-$K21</f>
        <v>100</v>
      </c>
      <c r="H84" s="2235"/>
      <c r="I84" s="2235"/>
      <c r="J84" s="2235"/>
      <c r="K84" s="2235"/>
      <c r="L84" s="2235"/>
      <c r="M84" s="2048"/>
      <c r="N84" s="2396"/>
      <c r="O84" s="2396"/>
      <c r="P84" s="2452"/>
      <c r="Q84" s="2386"/>
      <c r="R84" s="2110"/>
      <c r="S84" s="2110"/>
      <c r="T84" s="2110"/>
      <c r="U84" s="2110"/>
      <c r="V84" s="2110"/>
      <c r="W84" s="2110"/>
      <c r="X84" s="2110"/>
      <c r="Y84" s="2110"/>
      <c r="Z84" s="2110"/>
      <c r="AA84" s="2110"/>
      <c r="AB84" s="2110"/>
      <c r="AC84" s="2110"/>
    </row>
    <row r="85" customFormat="false" ht="15" hidden="false" customHeight="false" outlineLevel="0" collapsed="false">
      <c r="A85" s="2184"/>
      <c r="B85" s="2189" t="s">
        <v>220</v>
      </c>
      <c r="C85" s="2228" t="s">
        <v>231</v>
      </c>
      <c r="D85" s="2228" t="s">
        <v>241</v>
      </c>
      <c r="E85" s="2228" t="s">
        <v>250</v>
      </c>
      <c r="F85" s="2228" t="s">
        <v>258</v>
      </c>
      <c r="G85" s="2228" t="s">
        <v>265</v>
      </c>
      <c r="H85" s="2229"/>
      <c r="I85" s="2229"/>
      <c r="J85" s="2229"/>
      <c r="K85" s="2230"/>
      <c r="L85" s="2231"/>
      <c r="M85" s="2232"/>
      <c r="N85" s="2394"/>
      <c r="O85" s="2394"/>
      <c r="P85" s="2452"/>
      <c r="Q85" s="2386"/>
      <c r="R85" s="2110"/>
      <c r="S85" s="2110"/>
      <c r="T85" s="2110"/>
      <c r="U85" s="2110"/>
      <c r="V85" s="2110"/>
      <c r="W85" s="2110"/>
      <c r="X85" s="2110"/>
      <c r="Y85" s="2110"/>
      <c r="Z85" s="2110"/>
      <c r="AA85" s="2110"/>
      <c r="AB85" s="2110"/>
      <c r="AC85" s="2110"/>
    </row>
    <row r="86" customFormat="false" ht="15" hidden="false" customHeight="false" outlineLevel="0" collapsed="false">
      <c r="A86" s="2184"/>
      <c r="B86" s="2191"/>
      <c r="C86" s="2199" t="n">
        <v>100</v>
      </c>
      <c r="D86" s="2199" t="n">
        <f aca="false">C86-$K23</f>
        <v>100</v>
      </c>
      <c r="E86" s="2199" t="n">
        <f aca="false">D86-$K23</f>
        <v>100</v>
      </c>
      <c r="F86" s="2199" t="n">
        <f aca="false">E86-$K23</f>
        <v>100</v>
      </c>
      <c r="G86" s="2199" t="n">
        <f aca="false">F86-$K23</f>
        <v>100</v>
      </c>
      <c r="H86" s="2199"/>
      <c r="I86" s="2199"/>
      <c r="J86" s="2199"/>
      <c r="K86" s="2199"/>
      <c r="L86" s="2199"/>
      <c r="M86" s="2200"/>
      <c r="N86" s="2396"/>
      <c r="O86" s="2396"/>
      <c r="P86" s="2452"/>
      <c r="Q86" s="2386"/>
      <c r="R86" s="2110"/>
      <c r="S86" s="2110"/>
      <c r="T86" s="2110"/>
      <c r="U86" s="2110"/>
      <c r="V86" s="2110"/>
      <c r="W86" s="2110"/>
      <c r="X86" s="2110"/>
      <c r="Y86" s="2110"/>
      <c r="Z86" s="2110"/>
      <c r="AA86" s="2110"/>
      <c r="AB86" s="2110"/>
      <c r="AC86" s="2110"/>
    </row>
    <row r="87" s="1983" customFormat="true" ht="27" hidden="false" customHeight="false" outlineLevel="0" collapsed="false">
      <c r="A87" s="2236"/>
      <c r="B87" s="2189" t="s">
        <v>660</v>
      </c>
      <c r="C87" s="2202"/>
      <c r="D87" s="2202"/>
      <c r="E87" s="2202"/>
      <c r="F87" s="2202"/>
      <c r="G87" s="2202"/>
      <c r="H87" s="2202"/>
      <c r="I87" s="2202"/>
      <c r="J87" s="2202"/>
      <c r="K87" s="2202"/>
      <c r="L87" s="2237"/>
      <c r="M87" s="2238"/>
      <c r="N87" s="2392"/>
      <c r="O87" s="2392"/>
      <c r="P87" s="2452"/>
      <c r="Q87" s="2386"/>
      <c r="R87" s="529"/>
      <c r="S87" s="529"/>
      <c r="T87" s="529"/>
      <c r="U87" s="529"/>
      <c r="V87" s="529"/>
      <c r="W87" s="529"/>
      <c r="X87" s="529"/>
      <c r="Y87" s="529"/>
      <c r="Z87" s="529"/>
      <c r="AA87" s="529"/>
      <c r="AB87" s="529"/>
      <c r="AC87" s="529"/>
    </row>
    <row r="88" s="1983" customFormat="true" ht="15" hidden="false" customHeight="false" outlineLevel="0" collapsed="false">
      <c r="A88" s="2236"/>
      <c r="B88" s="2191"/>
      <c r="C88" s="2239" t="n">
        <v>100</v>
      </c>
      <c r="D88" s="2199" t="n">
        <f aca="false">C88-$K25</f>
        <v>100</v>
      </c>
      <c r="E88" s="2199" t="n">
        <f aca="false">D88-$K25</f>
        <v>100</v>
      </c>
      <c r="F88" s="2199" t="n">
        <f aca="false">E88-$K25</f>
        <v>100</v>
      </c>
      <c r="G88" s="2199" t="n">
        <f aca="false">F88-$K25</f>
        <v>100</v>
      </c>
      <c r="H88" s="2199" t="n">
        <f aca="false">G88-$K25</f>
        <v>100</v>
      </c>
      <c r="I88" s="2199" t="n">
        <f aca="false">H88-$K25</f>
        <v>100</v>
      </c>
      <c r="J88" s="2199" t="n">
        <f aca="false">I88-$K25</f>
        <v>100</v>
      </c>
      <c r="K88" s="2199" t="n">
        <f aca="false">J88-$K25</f>
        <v>100</v>
      </c>
      <c r="L88" s="2199" t="n">
        <f aca="false">K88-$K25</f>
        <v>100</v>
      </c>
      <c r="M88" s="2199" t="n">
        <f aca="false">L88-$K25</f>
        <v>100</v>
      </c>
      <c r="N88" s="2396"/>
      <c r="O88" s="2396"/>
      <c r="P88" s="2452"/>
      <c r="Q88" s="2386"/>
      <c r="R88" s="529"/>
      <c r="S88" s="529"/>
      <c r="T88" s="529"/>
      <c r="U88" s="529"/>
      <c r="V88" s="529"/>
      <c r="W88" s="529"/>
      <c r="X88" s="529"/>
      <c r="Y88" s="529"/>
      <c r="Z88" s="529"/>
      <c r="AA88" s="529"/>
      <c r="AB88" s="529"/>
      <c r="AC88" s="529"/>
    </row>
    <row r="89" s="1983" customFormat="true" ht="15" hidden="false" customHeight="false" outlineLevel="0" collapsed="false">
      <c r="A89" s="2236"/>
      <c r="B89" s="2189" t="str">
        <f aca="false">B27</f>
        <v>楼层</v>
      </c>
      <c r="C89" s="2202"/>
      <c r="D89" s="2202"/>
      <c r="E89" s="2202"/>
      <c r="F89" s="2405"/>
      <c r="G89" s="2202"/>
      <c r="H89" s="2202"/>
      <c r="I89" s="2202"/>
      <c r="J89" s="2202"/>
      <c r="K89" s="2202"/>
      <c r="L89" s="2202"/>
      <c r="M89" s="2238"/>
      <c r="N89" s="2392"/>
      <c r="O89" s="2392"/>
      <c r="P89" s="2452"/>
      <c r="Q89" s="2386"/>
      <c r="R89" s="529"/>
      <c r="S89" s="529"/>
      <c r="T89" s="529"/>
      <c r="U89" s="529"/>
      <c r="V89" s="529"/>
      <c r="W89" s="529"/>
      <c r="X89" s="529"/>
      <c r="Y89" s="529"/>
      <c r="Z89" s="529"/>
      <c r="AA89" s="529"/>
      <c r="AB89" s="529"/>
      <c r="AC89" s="529"/>
    </row>
    <row r="90" s="1983" customFormat="true" ht="15" hidden="false" customHeight="false" outlineLevel="0" collapsed="false">
      <c r="A90" s="2236"/>
      <c r="B90" s="2191"/>
      <c r="C90" s="2239" t="n">
        <v>100</v>
      </c>
      <c r="D90" s="2199" t="n">
        <f aca="false">C90-$K27</f>
        <v>100</v>
      </c>
      <c r="E90" s="2199" t="n">
        <f aca="false">D90-$K27</f>
        <v>100</v>
      </c>
      <c r="F90" s="2199" t="n">
        <f aca="false">E90-$K27</f>
        <v>100</v>
      </c>
      <c r="G90" s="2199" t="n">
        <f aca="false">F90-$K27</f>
        <v>100</v>
      </c>
      <c r="H90" s="2199" t="n">
        <f aca="false">G90-$K27</f>
        <v>100</v>
      </c>
      <c r="I90" s="2199" t="n">
        <f aca="false">H90-$K27</f>
        <v>100</v>
      </c>
      <c r="J90" s="2199" t="n">
        <f aca="false">I90-$K27</f>
        <v>100</v>
      </c>
      <c r="K90" s="2199" t="n">
        <f aca="false">J90-$K27</f>
        <v>100</v>
      </c>
      <c r="L90" s="2199" t="n">
        <f aca="false">K90-$K27</f>
        <v>100</v>
      </c>
      <c r="M90" s="2199" t="n">
        <f aca="false">L90-$K27</f>
        <v>100</v>
      </c>
      <c r="N90" s="2396"/>
      <c r="O90" s="2396"/>
      <c r="P90" s="2452"/>
      <c r="Q90" s="2386"/>
      <c r="R90" s="529"/>
      <c r="S90" s="529"/>
      <c r="T90" s="529"/>
      <c r="U90" s="529"/>
      <c r="V90" s="529"/>
      <c r="W90" s="529"/>
      <c r="X90" s="529"/>
      <c r="Y90" s="529"/>
      <c r="Z90" s="529"/>
      <c r="AA90" s="529"/>
      <c r="AB90" s="529"/>
      <c r="AC90" s="529"/>
    </row>
    <row r="91" s="2088" customFormat="true" ht="15" hidden="false" customHeight="false" outlineLevel="0" collapsed="false">
      <c r="A91" s="2201"/>
      <c r="B91" s="2189" t="str">
        <f aca="false">B28</f>
        <v>朝向</v>
      </c>
      <c r="C91" s="2202"/>
      <c r="D91" s="2202"/>
      <c r="E91" s="2202"/>
      <c r="F91" s="2202"/>
      <c r="G91" s="2202"/>
      <c r="H91" s="2203"/>
      <c r="I91" s="2203"/>
      <c r="J91" s="2203"/>
      <c r="K91" s="2203"/>
      <c r="L91" s="2204"/>
      <c r="M91" s="2205"/>
      <c r="N91" s="2397"/>
      <c r="O91" s="2397"/>
      <c r="P91" s="2453"/>
      <c r="Q91" s="2399"/>
      <c r="R91" s="791"/>
      <c r="S91" s="791"/>
      <c r="T91" s="791"/>
      <c r="U91" s="791"/>
      <c r="V91" s="791"/>
      <c r="W91" s="791"/>
      <c r="X91" s="791"/>
      <c r="Y91" s="791"/>
      <c r="Z91" s="791"/>
      <c r="AA91" s="791"/>
      <c r="AB91" s="791"/>
      <c r="AC91" s="791"/>
    </row>
    <row r="92" s="2088" customFormat="true" ht="15" hidden="false" customHeight="false" outlineLevel="0" collapsed="false">
      <c r="A92" s="2201"/>
      <c r="B92" s="2191"/>
      <c r="C92" s="2239" t="n">
        <v>100</v>
      </c>
      <c r="D92" s="2199" t="n">
        <f aca="false">C92-$K28</f>
        <v>100</v>
      </c>
      <c r="E92" s="2199" t="n">
        <f aca="false">D92-$K28</f>
        <v>100</v>
      </c>
      <c r="F92" s="2199" t="n">
        <f aca="false">E92-$K28</f>
        <v>100</v>
      </c>
      <c r="G92" s="2199" t="n">
        <f aca="false">F92-$K28</f>
        <v>100</v>
      </c>
      <c r="H92" s="2199" t="n">
        <f aca="false">G92-$K28</f>
        <v>100</v>
      </c>
      <c r="I92" s="2199" t="n">
        <f aca="false">H92-$K28</f>
        <v>100</v>
      </c>
      <c r="J92" s="2199" t="n">
        <f aca="false">I92-$K28</f>
        <v>100</v>
      </c>
      <c r="K92" s="2199" t="n">
        <f aca="false">J92-$K28</f>
        <v>100</v>
      </c>
      <c r="L92" s="2199" t="n">
        <f aca="false">K92-$K28</f>
        <v>100</v>
      </c>
      <c r="M92" s="2199" t="n">
        <f aca="false">L92-$K28</f>
        <v>100</v>
      </c>
      <c r="N92" s="2397"/>
      <c r="O92" s="2397"/>
      <c r="P92" s="2453"/>
      <c r="Q92" s="2399"/>
      <c r="R92" s="791"/>
      <c r="S92" s="791"/>
      <c r="T92" s="791"/>
      <c r="U92" s="791"/>
      <c r="V92" s="791"/>
      <c r="W92" s="791"/>
      <c r="X92" s="791"/>
      <c r="Y92" s="791"/>
      <c r="Z92" s="791"/>
      <c r="AA92" s="791"/>
      <c r="AB92" s="791"/>
      <c r="AC92" s="791"/>
    </row>
    <row r="93" customFormat="false" ht="15" hidden="false" customHeight="false" outlineLevel="0" collapsed="false">
      <c r="A93" s="2184"/>
      <c r="B93" s="2189" t="n">
        <f aca="false">B29</f>
        <v>111</v>
      </c>
      <c r="C93" s="2202"/>
      <c r="D93" s="2202"/>
      <c r="E93" s="2202"/>
      <c r="F93" s="2202"/>
      <c r="G93" s="2202"/>
      <c r="H93" s="2202"/>
      <c r="I93" s="2202"/>
      <c r="J93" s="2202"/>
      <c r="K93" s="2202"/>
      <c r="L93" s="2237"/>
      <c r="M93" s="2238"/>
      <c r="N93" s="2394"/>
      <c r="O93" s="2394"/>
      <c r="P93" s="2452"/>
      <c r="Q93" s="2386"/>
      <c r="R93" s="2110"/>
      <c r="S93" s="2110"/>
      <c r="T93" s="2110"/>
      <c r="U93" s="2110"/>
      <c r="V93" s="2110"/>
      <c r="W93" s="2110"/>
      <c r="X93" s="2110"/>
      <c r="Y93" s="2110"/>
      <c r="Z93" s="2110"/>
      <c r="AA93" s="2110"/>
      <c r="AB93" s="2110"/>
      <c r="AC93" s="2110"/>
    </row>
    <row r="94" customFormat="false" ht="15" hidden="false" customHeight="false" outlineLevel="0" collapsed="false">
      <c r="A94" s="2184"/>
      <c r="B94" s="2191"/>
      <c r="C94" s="2209"/>
      <c r="D94" s="2186"/>
      <c r="E94" s="2186"/>
      <c r="F94" s="2186"/>
      <c r="G94" s="2186"/>
      <c r="H94" s="2186"/>
      <c r="I94" s="2186"/>
      <c r="J94" s="2186"/>
      <c r="K94" s="2186"/>
      <c r="L94" s="2186"/>
      <c r="M94" s="2187"/>
      <c r="N94" s="2396"/>
      <c r="O94" s="2396"/>
      <c r="P94" s="2452"/>
      <c r="Q94" s="2386"/>
      <c r="R94" s="2110"/>
      <c r="S94" s="2110"/>
      <c r="T94" s="2110"/>
      <c r="U94" s="2110"/>
      <c r="V94" s="2110"/>
      <c r="W94" s="2110"/>
      <c r="X94" s="2110"/>
      <c r="Y94" s="2110"/>
      <c r="Z94" s="2110"/>
      <c r="AA94" s="2110"/>
      <c r="AB94" s="2110"/>
      <c r="AC94" s="2110"/>
    </row>
    <row r="95" customFormat="false" ht="15" hidden="false" customHeight="false" outlineLevel="0" collapsed="false">
      <c r="A95" s="2184"/>
      <c r="B95" s="2189" t="n">
        <f aca="false">B30</f>
        <v>111</v>
      </c>
      <c r="C95" s="2202"/>
      <c r="D95" s="2202"/>
      <c r="E95" s="2202"/>
      <c r="F95" s="2202"/>
      <c r="G95" s="2190"/>
      <c r="H95" s="2190"/>
      <c r="I95" s="2190"/>
      <c r="J95" s="2190"/>
      <c r="K95" s="2246"/>
      <c r="L95" s="2247"/>
      <c r="M95" s="2248"/>
      <c r="N95" s="2394"/>
      <c r="O95" s="2394"/>
      <c r="P95" s="2452"/>
      <c r="Q95" s="2386"/>
      <c r="R95" s="2110"/>
      <c r="S95" s="2110"/>
      <c r="T95" s="2110"/>
      <c r="U95" s="2110"/>
      <c r="V95" s="2110"/>
      <c r="W95" s="2110"/>
      <c r="X95" s="2110"/>
      <c r="Y95" s="2110"/>
      <c r="Z95" s="2110"/>
      <c r="AA95" s="2110"/>
      <c r="AB95" s="2110"/>
      <c r="AC95" s="2110"/>
    </row>
    <row r="96" customFormat="false" ht="15" hidden="false" customHeight="false" outlineLevel="0" collapsed="false">
      <c r="A96" s="2184"/>
      <c r="B96" s="2191"/>
      <c r="C96" s="2209"/>
      <c r="D96" s="2209"/>
      <c r="E96" s="2209"/>
      <c r="F96" s="2209"/>
      <c r="G96" s="2186"/>
      <c r="H96" s="2186"/>
      <c r="I96" s="2186"/>
      <c r="J96" s="2186"/>
      <c r="K96" s="2186"/>
      <c r="L96" s="2186"/>
      <c r="M96" s="2187"/>
      <c r="N96" s="2396"/>
      <c r="O96" s="2396"/>
      <c r="P96" s="2452"/>
      <c r="Q96" s="2386"/>
      <c r="R96" s="2110"/>
      <c r="S96" s="2110"/>
      <c r="T96" s="2110"/>
      <c r="U96" s="2110"/>
      <c r="V96" s="2110"/>
      <c r="W96" s="2110"/>
      <c r="X96" s="2110"/>
      <c r="Y96" s="2110"/>
      <c r="Z96" s="2110"/>
      <c r="AA96" s="2110"/>
      <c r="AB96" s="2110"/>
      <c r="AC96" s="2110"/>
    </row>
    <row r="97" customFormat="false" ht="15" hidden="false" customHeight="false" outlineLevel="0" collapsed="false">
      <c r="A97" s="2184"/>
      <c r="B97" s="2189" t="n">
        <f aca="false">B31</f>
        <v>111</v>
      </c>
      <c r="C97" s="2202"/>
      <c r="D97" s="2202"/>
      <c r="E97" s="2202"/>
      <c r="F97" s="2202"/>
      <c r="G97" s="2190"/>
      <c r="H97" s="2190"/>
      <c r="I97" s="2190"/>
      <c r="J97" s="2190"/>
      <c r="K97" s="2246"/>
      <c r="L97" s="2247"/>
      <c r="M97" s="2248"/>
      <c r="N97" s="2394"/>
      <c r="O97" s="2394"/>
      <c r="P97" s="2452"/>
      <c r="Q97" s="2386"/>
      <c r="R97" s="2110"/>
      <c r="S97" s="2110"/>
      <c r="T97" s="2110"/>
      <c r="U97" s="2110"/>
      <c r="V97" s="2110"/>
      <c r="W97" s="2110"/>
      <c r="X97" s="2110"/>
      <c r="Y97" s="2110"/>
      <c r="Z97" s="2110"/>
      <c r="AA97" s="2110"/>
      <c r="AB97" s="2110"/>
      <c r="AC97" s="2110"/>
    </row>
    <row r="98" customFormat="false" ht="15" hidden="false" customHeight="false" outlineLevel="0" collapsed="false">
      <c r="A98" s="2184"/>
      <c r="B98" s="2191"/>
      <c r="C98" s="2209"/>
      <c r="D98" s="2186"/>
      <c r="E98" s="2186"/>
      <c r="F98" s="2186"/>
      <c r="G98" s="2186"/>
      <c r="H98" s="2186"/>
      <c r="I98" s="2186"/>
      <c r="J98" s="2186"/>
      <c r="K98" s="2186"/>
      <c r="L98" s="2186"/>
      <c r="M98" s="2187"/>
      <c r="N98" s="2396"/>
      <c r="O98" s="2396"/>
      <c r="P98" s="2452"/>
      <c r="Q98" s="2386"/>
      <c r="R98" s="2110"/>
      <c r="S98" s="2110"/>
      <c r="T98" s="2110"/>
      <c r="U98" s="2110"/>
      <c r="V98" s="2110"/>
      <c r="W98" s="2110"/>
      <c r="X98" s="2110"/>
      <c r="Y98" s="2110"/>
      <c r="Z98" s="2110"/>
      <c r="AA98" s="2110"/>
      <c r="AB98" s="2110"/>
      <c r="AC98" s="2110"/>
    </row>
    <row r="99" customFormat="false" ht="15" hidden="false" customHeight="false" outlineLevel="0" collapsed="false">
      <c r="A99" s="2184"/>
      <c r="B99" s="2192" t="n">
        <f aca="false">B32</f>
        <v>111</v>
      </c>
      <c r="C99" s="2169"/>
      <c r="D99" s="2169"/>
      <c r="E99" s="2169"/>
      <c r="F99" s="2169"/>
      <c r="G99" s="2249"/>
      <c r="H99" s="2249"/>
      <c r="I99" s="2249"/>
      <c r="J99" s="2249"/>
      <c r="K99" s="2250"/>
      <c r="L99" s="2251"/>
      <c r="M99" s="2252"/>
      <c r="N99" s="2394"/>
      <c r="O99" s="2394"/>
      <c r="P99" s="2452"/>
      <c r="Q99" s="2386"/>
      <c r="R99" s="2110"/>
      <c r="S99" s="2110"/>
      <c r="T99" s="2110"/>
      <c r="U99" s="2110"/>
      <c r="V99" s="2110"/>
      <c r="W99" s="2110"/>
      <c r="X99" s="2110"/>
      <c r="Y99" s="2110"/>
      <c r="Z99" s="2110"/>
      <c r="AA99" s="2110"/>
      <c r="AB99" s="2110"/>
      <c r="AC99" s="2110"/>
    </row>
    <row r="100" customFormat="false" ht="15" hidden="false" customHeight="false" outlineLevel="0" collapsed="false">
      <c r="A100" s="2253"/>
      <c r="B100" s="2219"/>
      <c r="C100" s="2220"/>
      <c r="D100" s="2220"/>
      <c r="E100" s="2220"/>
      <c r="F100" s="2220"/>
      <c r="G100" s="2254"/>
      <c r="H100" s="2254"/>
      <c r="I100" s="2254"/>
      <c r="J100" s="2254"/>
      <c r="K100" s="2254"/>
      <c r="L100" s="2254"/>
      <c r="M100" s="2255"/>
      <c r="N100" s="2396"/>
      <c r="O100" s="2396"/>
      <c r="P100" s="2452"/>
      <c r="Q100" s="2386"/>
      <c r="R100" s="2110"/>
      <c r="S100" s="2110"/>
      <c r="T100" s="2110"/>
      <c r="U100" s="2110"/>
      <c r="V100" s="2110"/>
      <c r="W100" s="2110"/>
      <c r="X100" s="2110"/>
      <c r="Y100" s="2110"/>
      <c r="Z100" s="2110"/>
      <c r="AA100" s="2110"/>
      <c r="AB100" s="2110"/>
      <c r="AC100" s="2110"/>
    </row>
    <row r="101" customFormat="false" ht="14.25" hidden="false" customHeight="false" outlineLevel="0" collapsed="false">
      <c r="A101" s="2175" t="s">
        <v>1292</v>
      </c>
      <c r="B101" s="2176" t="s">
        <v>1293</v>
      </c>
      <c r="C101" s="2178"/>
      <c r="D101" s="2178"/>
      <c r="E101" s="2178"/>
      <c r="F101" s="2178"/>
      <c r="G101" s="2178"/>
      <c r="H101" s="2178"/>
      <c r="I101" s="2178"/>
      <c r="J101" s="2178"/>
      <c r="K101" s="2179"/>
      <c r="L101" s="2180"/>
      <c r="M101" s="2181"/>
      <c r="N101" s="2394"/>
      <c r="O101" s="2394"/>
      <c r="P101" s="2452"/>
      <c r="Q101" s="2386"/>
      <c r="R101" s="2110"/>
      <c r="S101" s="2110"/>
      <c r="T101" s="2110"/>
      <c r="U101" s="2110"/>
      <c r="V101" s="2110"/>
      <c r="W101" s="2110"/>
      <c r="X101" s="2110"/>
      <c r="Y101" s="2110"/>
      <c r="Z101" s="2110"/>
      <c r="AA101" s="2110"/>
      <c r="AB101" s="2110"/>
      <c r="AC101" s="2110"/>
    </row>
    <row r="102" customFormat="false" ht="15" hidden="false" customHeight="false" outlineLevel="0" collapsed="false">
      <c r="A102" s="2184"/>
      <c r="B102" s="2191"/>
      <c r="C102" s="2199" t="n">
        <v>100</v>
      </c>
      <c r="D102" s="2199" t="n">
        <f aca="false">C102-$K33</f>
        <v>100</v>
      </c>
      <c r="E102" s="2199" t="n">
        <f aca="false">D102-$K33</f>
        <v>100</v>
      </c>
      <c r="F102" s="2199" t="n">
        <f aca="false">E102-$K33</f>
        <v>100</v>
      </c>
      <c r="G102" s="2199" t="n">
        <f aca="false">F102-$K33</f>
        <v>100</v>
      </c>
      <c r="H102" s="2199" t="n">
        <f aca="false">G102-$K33</f>
        <v>100</v>
      </c>
      <c r="I102" s="2199" t="n">
        <f aca="false">H102-$K33</f>
        <v>100</v>
      </c>
      <c r="J102" s="2199" t="n">
        <f aca="false">I102-$K33</f>
        <v>100</v>
      </c>
      <c r="K102" s="2199" t="n">
        <f aca="false">J102-$K33</f>
        <v>100</v>
      </c>
      <c r="L102" s="2199" t="n">
        <f aca="false">K102-$K33</f>
        <v>100</v>
      </c>
      <c r="M102" s="2200" t="n">
        <f aca="false">L102-$K33</f>
        <v>100</v>
      </c>
      <c r="N102" s="2396"/>
      <c r="O102" s="2396"/>
      <c r="P102" s="2452"/>
      <c r="Q102" s="2386"/>
      <c r="R102" s="2110"/>
      <c r="S102" s="2110"/>
      <c r="T102" s="2110"/>
      <c r="U102" s="2110"/>
      <c r="V102" s="2110"/>
      <c r="W102" s="2110"/>
      <c r="X102" s="2110"/>
      <c r="Y102" s="2110"/>
      <c r="Z102" s="2110"/>
      <c r="AA102" s="2110"/>
      <c r="AB102" s="2110"/>
      <c r="AC102" s="2110"/>
    </row>
    <row r="103" customFormat="false" ht="15" hidden="false" customHeight="false" outlineLevel="0" collapsed="false">
      <c r="A103" s="2184"/>
      <c r="B103" s="2189" t="s">
        <v>1296</v>
      </c>
      <c r="C103" s="2228" t="str">
        <f aca="false">C104&amp;"(含)"&amp;"-"&amp;D104</f>
        <v>(含)-</v>
      </c>
      <c r="D103" s="2228" t="str">
        <f aca="false">D104&amp;"(含)"&amp;"-"&amp;E104</f>
        <v>(含)-</v>
      </c>
      <c r="E103" s="2228" t="str">
        <f aca="false">E104&amp;"(含)"&amp;"-"&amp;F104</f>
        <v>(含)-</v>
      </c>
      <c r="F103" s="2228" t="str">
        <f aca="false">F104&amp;"(含)"&amp;"-"&amp;G104</f>
        <v>(含)-</v>
      </c>
      <c r="G103" s="2228" t="str">
        <f aca="false">G104&amp;"(含)"&amp;"-"&amp;H104</f>
        <v>(含)-</v>
      </c>
      <c r="H103" s="2228" t="str">
        <f aca="false">H104&amp;"(含)"&amp;"-"&amp;I104</f>
        <v>(含)-</v>
      </c>
      <c r="I103" s="2228" t="str">
        <f aca="false">I104&amp;"(含)"&amp;"-"&amp;J104</f>
        <v>(含)-</v>
      </c>
      <c r="J103" s="2228" t="str">
        <f aca="false">J104&amp;"(含)"&amp;"-"&amp;K104</f>
        <v>(含)-</v>
      </c>
      <c r="K103" s="2228" t="str">
        <f aca="false">K104&amp;"(含)"&amp;"-"&amp;L104</f>
        <v>(含)-</v>
      </c>
      <c r="L103" s="2228" t="str">
        <f aca="false">L104&amp;"(含)"&amp;"-"&amp;M104</f>
        <v>(含)-</v>
      </c>
      <c r="M103" s="2406" t="str">
        <f aca="false">M104&amp;"(含)"&amp;"-"&amp;P104</f>
        <v>(含)-</v>
      </c>
      <c r="N103" s="2392"/>
      <c r="O103" s="2392"/>
      <c r="P103" s="2452"/>
      <c r="Q103" s="2386"/>
      <c r="R103" s="2110"/>
      <c r="S103" s="2110"/>
      <c r="T103" s="2110"/>
      <c r="U103" s="2110"/>
      <c r="V103" s="2110"/>
      <c r="W103" s="2110"/>
      <c r="X103" s="2110"/>
      <c r="Y103" s="2110"/>
      <c r="Z103" s="2110"/>
      <c r="AA103" s="2110"/>
      <c r="AB103" s="2110"/>
      <c r="AC103" s="2110"/>
    </row>
    <row r="104" s="2088" customFormat="true" ht="14.25" hidden="false" customHeight="false" outlineLevel="0" collapsed="false">
      <c r="A104" s="2257"/>
      <c r="B104" s="2258"/>
      <c r="C104" s="2259"/>
      <c r="D104" s="2259"/>
      <c r="E104" s="2259"/>
      <c r="F104" s="2259"/>
      <c r="G104" s="2259"/>
      <c r="H104" s="2259"/>
      <c r="I104" s="2259"/>
      <c r="J104" s="2260"/>
      <c r="K104" s="2260"/>
      <c r="L104" s="2261"/>
      <c r="M104" s="2262"/>
      <c r="N104" s="2397"/>
      <c r="O104" s="2397"/>
      <c r="P104" s="2453"/>
      <c r="Q104" s="2399"/>
      <c r="R104" s="791"/>
      <c r="S104" s="791"/>
      <c r="T104" s="791"/>
      <c r="U104" s="791"/>
      <c r="V104" s="791"/>
      <c r="W104" s="791"/>
      <c r="X104" s="791"/>
      <c r="Y104" s="791"/>
      <c r="Z104" s="791"/>
      <c r="AA104" s="791"/>
      <c r="AB104" s="791"/>
      <c r="AC104" s="791"/>
    </row>
    <row r="105" s="2088" customFormat="true" ht="15" hidden="false" customHeight="false" outlineLevel="0" collapsed="false">
      <c r="A105" s="2201"/>
      <c r="B105" s="2191"/>
      <c r="C105" s="2209"/>
      <c r="D105" s="2186"/>
      <c r="E105" s="2186"/>
      <c r="F105" s="2186"/>
      <c r="G105" s="2186"/>
      <c r="H105" s="2186"/>
      <c r="I105" s="2186"/>
      <c r="J105" s="2186"/>
      <c r="K105" s="2186"/>
      <c r="L105" s="2186"/>
      <c r="M105" s="2187"/>
      <c r="N105" s="2396"/>
      <c r="O105" s="2396"/>
      <c r="P105" s="2453"/>
      <c r="Q105" s="2399"/>
      <c r="R105" s="791"/>
      <c r="S105" s="791"/>
      <c r="T105" s="791"/>
      <c r="U105" s="791"/>
      <c r="V105" s="791"/>
      <c r="W105" s="791"/>
      <c r="X105" s="791"/>
      <c r="Y105" s="791"/>
      <c r="Z105" s="791"/>
      <c r="AA105" s="791"/>
      <c r="AB105" s="791"/>
      <c r="AC105" s="791"/>
    </row>
    <row r="106" customFormat="false" ht="14.25" hidden="false" customHeight="false" outlineLevel="0" collapsed="false">
      <c r="A106" s="2263"/>
      <c r="B106" s="2189" t="s">
        <v>1297</v>
      </c>
      <c r="C106" s="2202"/>
      <c r="D106" s="2202"/>
      <c r="E106" s="2190"/>
      <c r="F106" s="2190"/>
      <c r="G106" s="2190"/>
      <c r="H106" s="2190"/>
      <c r="I106" s="2190"/>
      <c r="J106" s="2190"/>
      <c r="K106" s="2246"/>
      <c r="L106" s="2247"/>
      <c r="M106" s="2248"/>
      <c r="N106" s="2394"/>
      <c r="O106" s="2394"/>
      <c r="P106" s="2452"/>
      <c r="Q106" s="2386"/>
      <c r="R106" s="2110"/>
      <c r="S106" s="2110"/>
      <c r="T106" s="2110"/>
      <c r="U106" s="2110"/>
      <c r="V106" s="2110"/>
      <c r="W106" s="2110"/>
      <c r="X106" s="2110"/>
      <c r="Y106" s="2110"/>
      <c r="Z106" s="2110"/>
      <c r="AA106" s="2110"/>
      <c r="AB106" s="2110"/>
      <c r="AC106" s="2110"/>
    </row>
    <row r="107" customFormat="false" ht="15" hidden="false" customHeight="false" outlineLevel="0" collapsed="false">
      <c r="A107" s="2184"/>
      <c r="B107" s="2191"/>
      <c r="C107" s="2199" t="n">
        <v>100</v>
      </c>
      <c r="D107" s="2199" t="n">
        <f aca="false">C107-$K35</f>
        <v>100</v>
      </c>
      <c r="E107" s="2199" t="n">
        <f aca="false">D107-$K35</f>
        <v>100</v>
      </c>
      <c r="F107" s="2199" t="n">
        <f aca="false">E107-$K35</f>
        <v>100</v>
      </c>
      <c r="G107" s="2199" t="n">
        <f aca="false">F107-$K35</f>
        <v>100</v>
      </c>
      <c r="H107" s="2199" t="n">
        <f aca="false">G107-$K35</f>
        <v>100</v>
      </c>
      <c r="I107" s="2199" t="n">
        <f aca="false">H107-$K35</f>
        <v>100</v>
      </c>
      <c r="J107" s="2199" t="n">
        <f aca="false">I107-$K35</f>
        <v>100</v>
      </c>
      <c r="K107" s="2199" t="n">
        <f aca="false">J107-$K35</f>
        <v>100</v>
      </c>
      <c r="L107" s="2199" t="n">
        <f aca="false">K107-$K35</f>
        <v>100</v>
      </c>
      <c r="M107" s="2200" t="n">
        <f aca="false">L107-$K35</f>
        <v>100</v>
      </c>
      <c r="N107" s="2396"/>
      <c r="O107" s="2396"/>
      <c r="P107" s="2452"/>
      <c r="Q107" s="2386"/>
      <c r="R107" s="2110"/>
      <c r="S107" s="2110"/>
      <c r="T107" s="2110"/>
      <c r="U107" s="2110"/>
      <c r="V107" s="2110"/>
      <c r="W107" s="2110"/>
      <c r="X107" s="2110"/>
      <c r="Y107" s="2110"/>
      <c r="Z107" s="2110"/>
      <c r="AA107" s="2110"/>
      <c r="AB107" s="2110"/>
      <c r="AC107" s="2110"/>
    </row>
    <row r="108" customFormat="false" ht="14.25" hidden="false" customHeight="false" outlineLevel="0" collapsed="false">
      <c r="A108" s="2263"/>
      <c r="B108" s="2189" t="s">
        <v>1300</v>
      </c>
      <c r="C108" s="2202"/>
      <c r="D108" s="2202"/>
      <c r="E108" s="2202"/>
      <c r="F108" s="2190"/>
      <c r="G108" s="2190"/>
      <c r="H108" s="2190"/>
      <c r="I108" s="2190"/>
      <c r="J108" s="2190"/>
      <c r="K108" s="2246"/>
      <c r="L108" s="2247"/>
      <c r="M108" s="2248"/>
      <c r="N108" s="2394"/>
      <c r="O108" s="2394"/>
      <c r="P108" s="2452"/>
      <c r="Q108" s="2386"/>
      <c r="R108" s="2110"/>
      <c r="S108" s="2110"/>
      <c r="T108" s="2110"/>
      <c r="U108" s="2110"/>
      <c r="V108" s="2110"/>
      <c r="W108" s="2110"/>
      <c r="X108" s="2110"/>
      <c r="Y108" s="2110"/>
      <c r="Z108" s="2110"/>
      <c r="AA108" s="2110"/>
      <c r="AB108" s="2110"/>
      <c r="AC108" s="2110"/>
    </row>
    <row r="109" customFormat="false" ht="15" hidden="false" customHeight="false" outlineLevel="0" collapsed="false">
      <c r="A109" s="2184"/>
      <c r="B109" s="2191"/>
      <c r="C109" s="2199" t="n">
        <v>100</v>
      </c>
      <c r="D109" s="2199" t="n">
        <f aca="false">C109-$K36</f>
        <v>100</v>
      </c>
      <c r="E109" s="2199" t="n">
        <f aca="false">D109-$K36</f>
        <v>100</v>
      </c>
      <c r="F109" s="2199" t="n">
        <f aca="false">E109-$K36</f>
        <v>100</v>
      </c>
      <c r="G109" s="2199" t="n">
        <f aca="false">F109-$K36</f>
        <v>100</v>
      </c>
      <c r="H109" s="2199" t="n">
        <f aca="false">G109-$K36</f>
        <v>100</v>
      </c>
      <c r="I109" s="2199" t="n">
        <f aca="false">H109-$K36</f>
        <v>100</v>
      </c>
      <c r="J109" s="2199" t="n">
        <f aca="false">I109-$K36</f>
        <v>100</v>
      </c>
      <c r="K109" s="2199" t="n">
        <f aca="false">J109-$K36</f>
        <v>100</v>
      </c>
      <c r="L109" s="2199" t="n">
        <f aca="false">K109-$K36</f>
        <v>100</v>
      </c>
      <c r="M109" s="2200" t="n">
        <f aca="false">L109-$K36</f>
        <v>100</v>
      </c>
      <c r="N109" s="2396"/>
      <c r="O109" s="2396"/>
      <c r="P109" s="2452"/>
      <c r="Q109" s="2386"/>
      <c r="R109" s="2110"/>
      <c r="S109" s="2110"/>
      <c r="T109" s="2110"/>
      <c r="U109" s="2110"/>
      <c r="V109" s="2110"/>
      <c r="W109" s="2110"/>
      <c r="X109" s="2110"/>
      <c r="Y109" s="2110"/>
      <c r="Z109" s="2110"/>
      <c r="AA109" s="2110"/>
      <c r="AB109" s="2110"/>
      <c r="AC109" s="2110"/>
    </row>
    <row r="110" customFormat="false" ht="14.25" hidden="false" customHeight="false" outlineLevel="0" collapsed="false">
      <c r="A110" s="2263"/>
      <c r="B110" s="2189" t="s">
        <v>567</v>
      </c>
      <c r="C110" s="2228" t="str">
        <f aca="false">C111&amp;"(含)"&amp;"-"&amp;D111</f>
        <v>0.5(含)-0.6</v>
      </c>
      <c r="D110" s="2228" t="str">
        <f aca="false">D111&amp;"(含)"&amp;"-"&amp;E111</f>
        <v>0.6(含)-0.7</v>
      </c>
      <c r="E110" s="2228" t="str">
        <f aca="false">E111&amp;"(含)"&amp;"-"&amp;F111</f>
        <v>0.7(含)-0.8</v>
      </c>
      <c r="F110" s="2228" t="str">
        <f aca="false">F111&amp;"(含)"&amp;"-"&amp;G111</f>
        <v>0.8(含)-0.9</v>
      </c>
      <c r="G110" s="2228" t="str">
        <f aca="false">G111&amp;"(含)"&amp;"-"&amp;ROUND(H111,0)&amp;"(含)"</f>
        <v>0.9(含)-1(含)</v>
      </c>
      <c r="H110" s="2228"/>
      <c r="I110" s="2190"/>
      <c r="J110" s="2190"/>
      <c r="K110" s="2246"/>
      <c r="L110" s="2247"/>
      <c r="M110" s="2248"/>
      <c r="N110" s="2394"/>
      <c r="O110" s="2394"/>
      <c r="P110" s="2452"/>
      <c r="Q110" s="2386"/>
      <c r="R110" s="2110"/>
      <c r="S110" s="2110"/>
      <c r="T110" s="2110"/>
      <c r="U110" s="2110"/>
      <c r="V110" s="2110"/>
      <c r="W110" s="2110"/>
      <c r="X110" s="2110"/>
      <c r="Y110" s="2110"/>
      <c r="Z110" s="2110"/>
      <c r="AA110" s="2110"/>
      <c r="AB110" s="2110"/>
      <c r="AC110" s="2110"/>
    </row>
    <row r="111" customFormat="false" ht="14.25" hidden="false" customHeight="false" outlineLevel="0" collapsed="false">
      <c r="A111" s="2263"/>
      <c r="B111" s="2192"/>
      <c r="C111" s="2268" t="n">
        <v>0.5</v>
      </c>
      <c r="D111" s="2268" t="n">
        <v>0.6</v>
      </c>
      <c r="E111" s="2268" t="n">
        <v>0.7</v>
      </c>
      <c r="F111" s="2268" t="n">
        <v>0.8</v>
      </c>
      <c r="G111" s="2268" t="n">
        <v>0.9</v>
      </c>
      <c r="H111" s="2268" t="n">
        <v>1.0001</v>
      </c>
      <c r="I111" s="2407"/>
      <c r="J111" s="2407"/>
      <c r="K111" s="2408"/>
      <c r="L111" s="2409"/>
      <c r="M111" s="2410"/>
      <c r="N111" s="2394"/>
      <c r="O111" s="2394"/>
      <c r="P111" s="2452"/>
      <c r="Q111" s="2386"/>
      <c r="R111" s="2110"/>
      <c r="S111" s="2110"/>
      <c r="T111" s="2110"/>
      <c r="U111" s="2110"/>
      <c r="V111" s="2110"/>
      <c r="W111" s="2110"/>
      <c r="X111" s="2110"/>
      <c r="Y111" s="2110"/>
      <c r="Z111" s="2110"/>
      <c r="AA111" s="2110"/>
      <c r="AB111" s="2110"/>
      <c r="AC111" s="2110"/>
    </row>
    <row r="112" customFormat="false" ht="15" hidden="false" customHeight="false" outlineLevel="0" collapsed="false">
      <c r="A112" s="2184"/>
      <c r="B112" s="2191"/>
      <c r="C112" s="2239" t="n">
        <v>100</v>
      </c>
      <c r="D112" s="2199" t="n">
        <f aca="false">C112+$K37</f>
        <v>100</v>
      </c>
      <c r="E112" s="2199" t="n">
        <f aca="false">D112+$K37</f>
        <v>100</v>
      </c>
      <c r="F112" s="2199" t="n">
        <f aca="false">E112+$K37</f>
        <v>100</v>
      </c>
      <c r="G112" s="2199" t="n">
        <f aca="false">F112+$K37</f>
        <v>100</v>
      </c>
      <c r="H112" s="2199" t="n">
        <f aca="false">G112+$K37</f>
        <v>100</v>
      </c>
      <c r="I112" s="2199" t="n">
        <f aca="false">H112+$K37</f>
        <v>100</v>
      </c>
      <c r="J112" s="2199" t="n">
        <f aca="false">I112+$K37</f>
        <v>100</v>
      </c>
      <c r="K112" s="2199" t="n">
        <f aca="false">J112+$K37</f>
        <v>100</v>
      </c>
      <c r="L112" s="2199" t="n">
        <f aca="false">K112+$K37</f>
        <v>100</v>
      </c>
      <c r="M112" s="2199" t="n">
        <f aca="false">L112+$K37</f>
        <v>100</v>
      </c>
      <c r="N112" s="2396"/>
      <c r="O112" s="2396"/>
      <c r="P112" s="2452"/>
      <c r="Q112" s="2386"/>
      <c r="R112" s="2110"/>
      <c r="S112" s="2110"/>
      <c r="T112" s="2110"/>
      <c r="U112" s="2110"/>
      <c r="V112" s="2110"/>
      <c r="W112" s="2110"/>
      <c r="X112" s="2110"/>
      <c r="Y112" s="2110"/>
      <c r="Z112" s="2110"/>
      <c r="AA112" s="2110"/>
      <c r="AB112" s="2110"/>
      <c r="AC112" s="2110"/>
    </row>
    <row r="113" s="2088" customFormat="true" ht="14.25" hidden="false" customHeight="false" outlineLevel="0" collapsed="false">
      <c r="A113" s="2257"/>
      <c r="B113" s="2189" t="s">
        <v>1556</v>
      </c>
      <c r="C113" s="2202"/>
      <c r="D113" s="2202"/>
      <c r="E113" s="2202"/>
      <c r="F113" s="2202"/>
      <c r="G113" s="2202"/>
      <c r="H113" s="2190"/>
      <c r="I113" s="2190"/>
      <c r="J113" s="2190"/>
      <c r="K113" s="2246"/>
      <c r="L113" s="2247"/>
      <c r="M113" s="2248"/>
      <c r="N113" s="2397"/>
      <c r="O113" s="2397"/>
      <c r="P113" s="2453"/>
      <c r="Q113" s="2399"/>
      <c r="R113" s="791"/>
      <c r="S113" s="791"/>
      <c r="T113" s="791"/>
      <c r="U113" s="791"/>
      <c r="V113" s="791"/>
      <c r="W113" s="791"/>
      <c r="X113" s="791"/>
      <c r="Y113" s="791"/>
      <c r="Z113" s="791"/>
      <c r="AA113" s="791"/>
      <c r="AB113" s="791"/>
      <c r="AC113" s="791"/>
    </row>
    <row r="114" s="2088" customFormat="true" ht="15" hidden="false" customHeight="false" outlineLevel="0" collapsed="false">
      <c r="A114" s="2201"/>
      <c r="B114" s="2191"/>
      <c r="C114" s="2199" t="n">
        <v>100</v>
      </c>
      <c r="D114" s="2199" t="n">
        <f aca="false">C114-$K38</f>
        <v>100</v>
      </c>
      <c r="E114" s="2199" t="n">
        <f aca="false">D114-$K38</f>
        <v>100</v>
      </c>
      <c r="F114" s="2199" t="n">
        <f aca="false">E114-$K38</f>
        <v>100</v>
      </c>
      <c r="G114" s="2199" t="n">
        <f aca="false">F114-$K38</f>
        <v>100</v>
      </c>
      <c r="H114" s="2199" t="n">
        <f aca="false">G114-$K38</f>
        <v>100</v>
      </c>
      <c r="I114" s="2199" t="n">
        <f aca="false">H114-$K38</f>
        <v>100</v>
      </c>
      <c r="J114" s="2199" t="n">
        <f aca="false">I114-$K38</f>
        <v>100</v>
      </c>
      <c r="K114" s="2199" t="n">
        <f aca="false">J114-$K38</f>
        <v>100</v>
      </c>
      <c r="L114" s="2199" t="n">
        <f aca="false">K114-$K38</f>
        <v>100</v>
      </c>
      <c r="M114" s="2199" t="n">
        <f aca="false">L114-$K38</f>
        <v>100</v>
      </c>
      <c r="N114" s="2397"/>
      <c r="O114" s="2397"/>
      <c r="P114" s="2453"/>
      <c r="Q114" s="2399"/>
      <c r="R114" s="791"/>
      <c r="S114" s="791"/>
      <c r="T114" s="791"/>
      <c r="U114" s="791"/>
      <c r="V114" s="791"/>
      <c r="W114" s="791"/>
      <c r="X114" s="791"/>
      <c r="Y114" s="791"/>
      <c r="Z114" s="791"/>
      <c r="AA114" s="791"/>
      <c r="AB114" s="791"/>
      <c r="AC114" s="791"/>
    </row>
    <row r="115" customFormat="false" ht="14.25" hidden="false" customHeight="false" outlineLevel="0" collapsed="false">
      <c r="A115" s="2263"/>
      <c r="B115" s="2189" t="s">
        <v>1302</v>
      </c>
      <c r="C115" s="2202"/>
      <c r="D115" s="2202"/>
      <c r="E115" s="2190"/>
      <c r="F115" s="2190"/>
      <c r="G115" s="2190"/>
      <c r="H115" s="2190"/>
      <c r="I115" s="2190"/>
      <c r="J115" s="2190"/>
      <c r="K115" s="2246"/>
      <c r="L115" s="2247"/>
      <c r="M115" s="2248"/>
      <c r="N115" s="2394"/>
      <c r="O115" s="2394"/>
      <c r="P115" s="2452"/>
      <c r="Q115" s="2386"/>
      <c r="R115" s="2110"/>
      <c r="S115" s="2110"/>
      <c r="T115" s="2110"/>
      <c r="U115" s="2110"/>
      <c r="V115" s="2110"/>
      <c r="W115" s="2110"/>
      <c r="X115" s="2110"/>
      <c r="Y115" s="2110"/>
      <c r="Z115" s="2110"/>
      <c r="AA115" s="2110"/>
      <c r="AB115" s="2110"/>
      <c r="AC115" s="2110"/>
    </row>
    <row r="116" customFormat="false" ht="15" hidden="false" customHeight="false" outlineLevel="0" collapsed="false">
      <c r="A116" s="2184"/>
      <c r="B116" s="2191"/>
      <c r="C116" s="2199" t="n">
        <v>100</v>
      </c>
      <c r="D116" s="2199" t="n">
        <f aca="false">C116-$K39</f>
        <v>100</v>
      </c>
      <c r="E116" s="2199" t="n">
        <f aca="false">D116-$K39</f>
        <v>100</v>
      </c>
      <c r="F116" s="2199" t="n">
        <f aca="false">E116-$K39</f>
        <v>100</v>
      </c>
      <c r="G116" s="2199" t="n">
        <f aca="false">F116-$K39</f>
        <v>100</v>
      </c>
      <c r="H116" s="2199" t="n">
        <f aca="false">G116-$K39</f>
        <v>100</v>
      </c>
      <c r="I116" s="2199" t="n">
        <f aca="false">H116-$K39</f>
        <v>100</v>
      </c>
      <c r="J116" s="2199" t="n">
        <f aca="false">I116-$K39</f>
        <v>100</v>
      </c>
      <c r="K116" s="2199" t="n">
        <f aca="false">J116-$K39</f>
        <v>100</v>
      </c>
      <c r="L116" s="2199" t="n">
        <f aca="false">K116-$K39</f>
        <v>100</v>
      </c>
      <c r="M116" s="2200" t="n">
        <f aca="false">L116-$K39</f>
        <v>100</v>
      </c>
      <c r="N116" s="2396"/>
      <c r="O116" s="2396"/>
      <c r="P116" s="2452"/>
      <c r="Q116" s="2386"/>
      <c r="R116" s="2110"/>
      <c r="S116" s="2110"/>
      <c r="T116" s="2110"/>
      <c r="U116" s="2110"/>
      <c r="V116" s="2110"/>
      <c r="W116" s="2110"/>
      <c r="X116" s="2110"/>
      <c r="Y116" s="2110"/>
      <c r="Z116" s="2110"/>
      <c r="AA116" s="2110"/>
      <c r="AB116" s="2110"/>
      <c r="AC116" s="2110"/>
    </row>
    <row r="117" customFormat="false" ht="14.25" hidden="false" customHeight="false" outlineLevel="0" collapsed="false">
      <c r="A117" s="2263"/>
      <c r="B117" s="2189" t="s">
        <v>1304</v>
      </c>
      <c r="C117" s="2202"/>
      <c r="D117" s="2202"/>
      <c r="E117" s="2202"/>
      <c r="F117" s="2202"/>
      <c r="G117" s="2202"/>
      <c r="H117" s="2190"/>
      <c r="I117" s="2190"/>
      <c r="J117" s="2190"/>
      <c r="K117" s="2246"/>
      <c r="L117" s="2247"/>
      <c r="M117" s="2248"/>
      <c r="N117" s="2394"/>
      <c r="O117" s="2394"/>
      <c r="P117" s="2452"/>
      <c r="Q117" s="2386"/>
      <c r="R117" s="2110"/>
      <c r="S117" s="2110"/>
      <c r="T117" s="2110"/>
      <c r="U117" s="2110"/>
      <c r="V117" s="2110"/>
      <c r="W117" s="2110"/>
      <c r="X117" s="2110"/>
      <c r="Y117" s="2110"/>
      <c r="Z117" s="2110"/>
      <c r="AA117" s="2110"/>
      <c r="AB117" s="2110"/>
      <c r="AC117" s="2110"/>
    </row>
    <row r="118" customFormat="false" ht="15" hidden="false" customHeight="false" outlineLevel="0" collapsed="false">
      <c r="A118" s="2184"/>
      <c r="B118" s="2191"/>
      <c r="C118" s="2199" t="n">
        <v>100</v>
      </c>
      <c r="D118" s="2199" t="n">
        <f aca="false">C118-$K40</f>
        <v>100</v>
      </c>
      <c r="E118" s="2199" t="n">
        <f aca="false">D118-$K40</f>
        <v>100</v>
      </c>
      <c r="F118" s="2199" t="n">
        <f aca="false">E118-$K40</f>
        <v>100</v>
      </c>
      <c r="G118" s="2199" t="n">
        <f aca="false">F118-$K40</f>
        <v>100</v>
      </c>
      <c r="H118" s="2199"/>
      <c r="I118" s="2199"/>
      <c r="J118" s="2199"/>
      <c r="K118" s="2199"/>
      <c r="L118" s="2199"/>
      <c r="M118" s="2200"/>
      <c r="N118" s="2396"/>
      <c r="O118" s="2396"/>
      <c r="P118" s="2452"/>
      <c r="Q118" s="2386"/>
      <c r="R118" s="2110"/>
      <c r="S118" s="2110"/>
      <c r="T118" s="2110"/>
      <c r="U118" s="2110"/>
      <c r="V118" s="2110"/>
      <c r="W118" s="2110"/>
      <c r="X118" s="2110"/>
      <c r="Y118" s="2110"/>
      <c r="Z118" s="2110"/>
      <c r="AA118" s="2110"/>
      <c r="AB118" s="2110"/>
      <c r="AC118" s="2110"/>
    </row>
    <row r="119" customFormat="false" ht="14.25" hidden="false" customHeight="false" outlineLevel="0" collapsed="false">
      <c r="A119" s="2263"/>
      <c r="B119" s="2457" t="s">
        <v>1553</v>
      </c>
      <c r="C119" s="2190"/>
      <c r="D119" s="2190"/>
      <c r="E119" s="2190"/>
      <c r="F119" s="2190"/>
      <c r="G119" s="2190"/>
      <c r="H119" s="2190"/>
      <c r="I119" s="2190"/>
      <c r="J119" s="2190"/>
      <c r="K119" s="2190"/>
      <c r="L119" s="2458"/>
      <c r="M119" s="2459"/>
      <c r="N119" s="2396"/>
      <c r="O119" s="2396"/>
      <c r="P119" s="2460"/>
      <c r="Q119" s="2461"/>
      <c r="R119" s="2110"/>
      <c r="S119" s="2110"/>
      <c r="T119" s="2110"/>
      <c r="U119" s="2110"/>
      <c r="V119" s="2110"/>
      <c r="W119" s="2110"/>
      <c r="X119" s="2110"/>
      <c r="Y119" s="2110"/>
      <c r="Z119" s="2110"/>
      <c r="AA119" s="2110"/>
      <c r="AB119" s="2110"/>
      <c r="AC119" s="2110"/>
    </row>
    <row r="120" customFormat="false" ht="15" hidden="false" customHeight="false" outlineLevel="0" collapsed="false">
      <c r="A120" s="2184"/>
      <c r="B120" s="2191"/>
      <c r="C120" s="2239" t="n">
        <v>100</v>
      </c>
      <c r="D120" s="2199" t="n">
        <f aca="false">C120-$K41</f>
        <v>100</v>
      </c>
      <c r="E120" s="2199" t="n">
        <f aca="false">D120-$K41</f>
        <v>100</v>
      </c>
      <c r="F120" s="2199" t="n">
        <f aca="false">E120-$K41</f>
        <v>100</v>
      </c>
      <c r="G120" s="2199" t="n">
        <f aca="false">F120-$K41</f>
        <v>100</v>
      </c>
      <c r="H120" s="2199" t="n">
        <f aca="false">G120-$K41</f>
        <v>100</v>
      </c>
      <c r="I120" s="2199" t="n">
        <f aca="false">H120-$K41</f>
        <v>100</v>
      </c>
      <c r="J120" s="2199" t="n">
        <f aca="false">I120-$K41</f>
        <v>100</v>
      </c>
      <c r="K120" s="2199" t="n">
        <f aca="false">J120-$K41</f>
        <v>100</v>
      </c>
      <c r="L120" s="2199" t="n">
        <f aca="false">K120-$K41</f>
        <v>100</v>
      </c>
      <c r="M120" s="2199" t="n">
        <f aca="false">L120-$K41</f>
        <v>100</v>
      </c>
      <c r="N120" s="2396"/>
      <c r="O120" s="2396"/>
      <c r="P120" s="2452"/>
      <c r="Q120" s="2386"/>
      <c r="R120" s="2110"/>
      <c r="S120" s="2110"/>
      <c r="T120" s="2110"/>
      <c r="U120" s="2110"/>
      <c r="V120" s="2110"/>
      <c r="W120" s="2110"/>
      <c r="X120" s="2110"/>
      <c r="Y120" s="2110"/>
      <c r="Z120" s="2110"/>
      <c r="AA120" s="2110"/>
      <c r="AB120" s="2110"/>
      <c r="AC120" s="2110"/>
    </row>
    <row r="121" s="2088" customFormat="true" ht="14.25" hidden="false" customHeight="false" outlineLevel="0" collapsed="false">
      <c r="A121" s="2257"/>
      <c r="B121" s="2189" t="s">
        <v>1554</v>
      </c>
      <c r="C121" s="2202"/>
      <c r="D121" s="2202"/>
      <c r="E121" s="2202"/>
      <c r="F121" s="2190"/>
      <c r="G121" s="2203"/>
      <c r="H121" s="2203"/>
      <c r="I121" s="2203"/>
      <c r="J121" s="2203"/>
      <c r="K121" s="2203"/>
      <c r="L121" s="2204"/>
      <c r="M121" s="2205"/>
      <c r="N121" s="2397"/>
      <c r="O121" s="2397"/>
      <c r="P121" s="2453"/>
      <c r="Q121" s="2399"/>
      <c r="R121" s="791"/>
      <c r="S121" s="791"/>
      <c r="T121" s="791"/>
      <c r="U121" s="791"/>
      <c r="V121" s="791"/>
      <c r="W121" s="791"/>
      <c r="X121" s="791"/>
      <c r="Y121" s="791"/>
      <c r="Z121" s="791"/>
      <c r="AA121" s="791"/>
      <c r="AB121" s="791"/>
      <c r="AC121" s="791"/>
    </row>
    <row r="122" s="2088" customFormat="true" ht="15" hidden="false" customHeight="false" outlineLevel="0" collapsed="false">
      <c r="A122" s="2201"/>
      <c r="B122" s="2185"/>
      <c r="C122" s="2209"/>
      <c r="D122" s="2209"/>
      <c r="E122" s="2209"/>
      <c r="F122" s="2209"/>
      <c r="G122" s="2209"/>
      <c r="H122" s="2209"/>
      <c r="I122" s="2209"/>
      <c r="J122" s="2209"/>
      <c r="K122" s="2209"/>
      <c r="L122" s="2209"/>
      <c r="M122" s="2209"/>
      <c r="N122" s="2397"/>
      <c r="O122" s="2397"/>
      <c r="P122" s="2453"/>
      <c r="Q122" s="2399"/>
      <c r="R122" s="791"/>
      <c r="S122" s="791"/>
      <c r="T122" s="791"/>
      <c r="U122" s="791"/>
      <c r="V122" s="791"/>
      <c r="W122" s="791"/>
      <c r="X122" s="791"/>
      <c r="Y122" s="791"/>
      <c r="Z122" s="791"/>
      <c r="AA122" s="791"/>
      <c r="AB122" s="791"/>
      <c r="AC122" s="791"/>
    </row>
    <row r="123" customFormat="false" ht="14.25" hidden="false" customHeight="false" outlineLevel="0" collapsed="false">
      <c r="A123" s="2263"/>
      <c r="B123" s="2189" t="s">
        <v>1306</v>
      </c>
      <c r="C123" s="2202"/>
      <c r="D123" s="2202"/>
      <c r="E123" s="2202"/>
      <c r="F123" s="2190"/>
      <c r="G123" s="2190"/>
      <c r="H123" s="2190"/>
      <c r="I123" s="2190"/>
      <c r="J123" s="2190"/>
      <c r="K123" s="2246"/>
      <c r="L123" s="2247"/>
      <c r="M123" s="2248"/>
      <c r="N123" s="2394"/>
      <c r="O123" s="2394"/>
      <c r="P123" s="2452"/>
      <c r="Q123" s="2386"/>
      <c r="R123" s="2110"/>
      <c r="S123" s="2110"/>
      <c r="T123" s="2110"/>
      <c r="U123" s="2110"/>
      <c r="V123" s="2110"/>
      <c r="W123" s="2110"/>
      <c r="X123" s="2110"/>
      <c r="Y123" s="2110"/>
      <c r="Z123" s="2110"/>
      <c r="AA123" s="2110"/>
      <c r="AB123" s="2110"/>
      <c r="AC123" s="2110"/>
    </row>
    <row r="124" customFormat="false" ht="15" hidden="false" customHeight="false" outlineLevel="0" collapsed="false">
      <c r="A124" s="2184"/>
      <c r="B124" s="2191"/>
      <c r="C124" s="2199" t="n">
        <v>100</v>
      </c>
      <c r="D124" s="2199" t="n">
        <f aca="false">C124-$K43</f>
        <v>100</v>
      </c>
      <c r="E124" s="2199" t="n">
        <f aca="false">D124-$K43</f>
        <v>100</v>
      </c>
      <c r="F124" s="2199" t="n">
        <f aca="false">E124-$K43</f>
        <v>100</v>
      </c>
      <c r="G124" s="2199" t="n">
        <f aca="false">F124-$K43</f>
        <v>100</v>
      </c>
      <c r="H124" s="2199" t="n">
        <f aca="false">G124-$K43</f>
        <v>100</v>
      </c>
      <c r="I124" s="2199" t="n">
        <f aca="false">H124-$K43</f>
        <v>100</v>
      </c>
      <c r="J124" s="2199" t="n">
        <f aca="false">I124-$K43</f>
        <v>100</v>
      </c>
      <c r="K124" s="2199" t="n">
        <f aca="false">J124-$K43</f>
        <v>100</v>
      </c>
      <c r="L124" s="2199" t="n">
        <f aca="false">K124-$K43</f>
        <v>100</v>
      </c>
      <c r="M124" s="2200" t="n">
        <f aca="false">L124-$K43</f>
        <v>100</v>
      </c>
      <c r="N124" s="2396"/>
      <c r="O124" s="2396"/>
      <c r="P124" s="2452"/>
      <c r="Q124" s="2386"/>
      <c r="R124" s="2110"/>
      <c r="S124" s="2110"/>
      <c r="T124" s="2110"/>
      <c r="U124" s="2110"/>
      <c r="V124" s="2110"/>
      <c r="W124" s="2110"/>
      <c r="X124" s="2110"/>
      <c r="Y124" s="2110"/>
      <c r="Z124" s="2110"/>
      <c r="AA124" s="2110"/>
      <c r="AB124" s="2110"/>
      <c r="AC124" s="2110"/>
    </row>
    <row r="125" customFormat="false" ht="14.25" hidden="false" customHeight="false" outlineLevel="0" collapsed="false">
      <c r="A125" s="2263"/>
      <c r="B125" s="2189" t="s">
        <v>222</v>
      </c>
      <c r="C125" s="2228" t="s">
        <v>231</v>
      </c>
      <c r="D125" s="2228" t="s">
        <v>241</v>
      </c>
      <c r="E125" s="2228" t="s">
        <v>250</v>
      </c>
      <c r="F125" s="2228" t="s">
        <v>258</v>
      </c>
      <c r="G125" s="2228" t="s">
        <v>265</v>
      </c>
      <c r="H125" s="2229"/>
      <c r="I125" s="2229"/>
      <c r="J125" s="2229"/>
      <c r="K125" s="2230"/>
      <c r="L125" s="2231"/>
      <c r="M125" s="2232"/>
      <c r="N125" s="2394"/>
      <c r="O125" s="2394"/>
      <c r="P125" s="2453"/>
      <c r="Q125" s="2386"/>
      <c r="R125" s="2110"/>
      <c r="S125" s="2110"/>
      <c r="T125" s="2110"/>
      <c r="U125" s="2110"/>
      <c r="V125" s="2110"/>
      <c r="W125" s="2110"/>
      <c r="X125" s="2110"/>
      <c r="Y125" s="2110"/>
      <c r="Z125" s="2110"/>
      <c r="AA125" s="2110"/>
      <c r="AB125" s="2110"/>
      <c r="AC125" s="2110"/>
    </row>
    <row r="126" customFormat="false" ht="15" hidden="false" customHeight="false" outlineLevel="0" collapsed="false">
      <c r="A126" s="2184"/>
      <c r="B126" s="2191"/>
      <c r="C126" s="2199" t="n">
        <v>100</v>
      </c>
      <c r="D126" s="2199" t="n">
        <f aca="false">C126-$K44</f>
        <v>100</v>
      </c>
      <c r="E126" s="2199" t="n">
        <f aca="false">D126-$K44</f>
        <v>100</v>
      </c>
      <c r="F126" s="2199" t="n">
        <f aca="false">E126-$K44</f>
        <v>100</v>
      </c>
      <c r="G126" s="2199" t="n">
        <f aca="false">F126-$K44</f>
        <v>100</v>
      </c>
      <c r="H126" s="2199"/>
      <c r="I126" s="2199"/>
      <c r="J126" s="2199"/>
      <c r="K126" s="2199"/>
      <c r="L126" s="2199"/>
      <c r="M126" s="2200"/>
      <c r="N126" s="2396"/>
      <c r="O126" s="2396"/>
      <c r="P126" s="2452"/>
      <c r="Q126" s="2386"/>
      <c r="R126" s="2110"/>
      <c r="S126" s="2110"/>
      <c r="T126" s="2110"/>
      <c r="U126" s="2110"/>
      <c r="V126" s="2110"/>
      <c r="W126" s="2110"/>
      <c r="X126" s="2110"/>
      <c r="Y126" s="2110"/>
      <c r="Z126" s="2110"/>
      <c r="AA126" s="2110"/>
      <c r="AB126" s="2110"/>
      <c r="AC126" s="2110"/>
    </row>
    <row r="127" s="2088" customFormat="true" ht="14.25" hidden="false" customHeight="false" outlineLevel="0" collapsed="false">
      <c r="A127" s="2257"/>
      <c r="B127" s="2189" t="n">
        <f aca="false">B45</f>
        <v>111</v>
      </c>
      <c r="C127" s="2202"/>
      <c r="D127" s="2202"/>
      <c r="E127" s="2202"/>
      <c r="F127" s="2202"/>
      <c r="G127" s="2202"/>
      <c r="H127" s="2203"/>
      <c r="I127" s="2203"/>
      <c r="J127" s="2203"/>
      <c r="K127" s="2203"/>
      <c r="L127" s="2204"/>
      <c r="M127" s="2205"/>
      <c r="N127" s="2397"/>
      <c r="O127" s="2397"/>
      <c r="P127" s="2453"/>
      <c r="Q127" s="2399"/>
      <c r="R127" s="791"/>
      <c r="S127" s="791"/>
      <c r="T127" s="791"/>
      <c r="U127" s="791"/>
      <c r="V127" s="791"/>
      <c r="W127" s="791"/>
      <c r="X127" s="791"/>
      <c r="Y127" s="791"/>
      <c r="Z127" s="791"/>
      <c r="AA127" s="791"/>
      <c r="AB127" s="791"/>
      <c r="AC127" s="791"/>
    </row>
    <row r="128" s="2088" customFormat="true" ht="15" hidden="false" customHeight="false" outlineLevel="0" collapsed="false">
      <c r="A128" s="2201"/>
      <c r="B128" s="2191"/>
      <c r="C128" s="2209"/>
      <c r="D128" s="2186"/>
      <c r="E128" s="2186"/>
      <c r="F128" s="2186"/>
      <c r="G128" s="2209"/>
      <c r="H128" s="2212"/>
      <c r="I128" s="2212"/>
      <c r="J128" s="2212"/>
      <c r="K128" s="2212"/>
      <c r="L128" s="2212"/>
      <c r="M128" s="2213"/>
      <c r="N128" s="2397"/>
      <c r="O128" s="2397"/>
      <c r="P128" s="2453"/>
      <c r="Q128" s="2399"/>
      <c r="R128" s="791"/>
      <c r="S128" s="791"/>
      <c r="T128" s="791"/>
      <c r="U128" s="791"/>
      <c r="V128" s="791"/>
      <c r="W128" s="791"/>
      <c r="X128" s="791"/>
      <c r="Y128" s="791"/>
      <c r="Z128" s="791"/>
      <c r="AA128" s="791"/>
      <c r="AB128" s="791"/>
      <c r="AC128" s="791"/>
    </row>
    <row r="129" customFormat="false" ht="14.25" hidden="false" customHeight="false" outlineLevel="0" collapsed="false">
      <c r="A129" s="2263"/>
      <c r="B129" s="2189" t="n">
        <f aca="false">B46</f>
        <v>111</v>
      </c>
      <c r="C129" s="2202"/>
      <c r="D129" s="2202"/>
      <c r="E129" s="2202"/>
      <c r="F129" s="2202"/>
      <c r="G129" s="2190"/>
      <c r="H129" s="2190"/>
      <c r="I129" s="2190"/>
      <c r="J129" s="2190"/>
      <c r="K129" s="2246"/>
      <c r="L129" s="2247"/>
      <c r="M129" s="2248"/>
      <c r="N129" s="2394"/>
      <c r="O129" s="2394"/>
      <c r="P129" s="2452"/>
      <c r="Q129" s="2386"/>
      <c r="R129" s="2110"/>
      <c r="S129" s="2110"/>
      <c r="T129" s="2110"/>
      <c r="U129" s="2110"/>
      <c r="V129" s="2110"/>
      <c r="W129" s="2110"/>
      <c r="X129" s="2110"/>
      <c r="Y129" s="2110"/>
      <c r="Z129" s="2110"/>
      <c r="AA129" s="2110"/>
      <c r="AB129" s="2110"/>
      <c r="AC129" s="2110"/>
    </row>
    <row r="130" customFormat="false" ht="15" hidden="false" customHeight="false" outlineLevel="0" collapsed="false">
      <c r="A130" s="2184"/>
      <c r="B130" s="2191"/>
      <c r="C130" s="2209"/>
      <c r="D130" s="2209"/>
      <c r="E130" s="2209"/>
      <c r="F130" s="2209"/>
      <c r="G130" s="2186"/>
      <c r="H130" s="2186"/>
      <c r="I130" s="2186"/>
      <c r="J130" s="2186"/>
      <c r="K130" s="2186"/>
      <c r="L130" s="2186"/>
      <c r="M130" s="2187"/>
      <c r="N130" s="2396"/>
      <c r="O130" s="2396"/>
      <c r="P130" s="2452"/>
      <c r="Q130" s="2386"/>
      <c r="R130" s="2110"/>
      <c r="S130" s="2110"/>
      <c r="T130" s="2110"/>
      <c r="U130" s="2110"/>
      <c r="V130" s="2110"/>
      <c r="W130" s="2110"/>
      <c r="X130" s="2110"/>
      <c r="Y130" s="2110"/>
      <c r="Z130" s="2110"/>
      <c r="AA130" s="2110"/>
      <c r="AB130" s="2110"/>
      <c r="AC130" s="2110"/>
    </row>
    <row r="131" customFormat="false" ht="14.25" hidden="false" customHeight="false" outlineLevel="0" collapsed="false">
      <c r="A131" s="2263"/>
      <c r="B131" s="2192" t="n">
        <f aca="false">B47</f>
        <v>111</v>
      </c>
      <c r="C131" s="2169"/>
      <c r="D131" s="2169"/>
      <c r="E131" s="2169"/>
      <c r="F131" s="2169"/>
      <c r="G131" s="2249"/>
      <c r="H131" s="2249"/>
      <c r="I131" s="2249"/>
      <c r="J131" s="2249"/>
      <c r="K131" s="2169"/>
      <c r="L131" s="2170"/>
      <c r="M131" s="2252"/>
      <c r="N131" s="2394"/>
      <c r="O131" s="2394"/>
      <c r="P131" s="2452"/>
      <c r="Q131" s="2386"/>
      <c r="R131" s="2110"/>
      <c r="S131" s="2110"/>
      <c r="T131" s="2110"/>
      <c r="U131" s="2110"/>
      <c r="V131" s="2110"/>
      <c r="W131" s="2110"/>
      <c r="X131" s="2110"/>
      <c r="Y131" s="2110"/>
      <c r="Z131" s="2110"/>
      <c r="AA131" s="2110"/>
      <c r="AB131" s="2110"/>
      <c r="AC131" s="2110"/>
    </row>
    <row r="132" customFormat="false" ht="15" hidden="false" customHeight="false" outlineLevel="0" collapsed="false">
      <c r="A132" s="2253"/>
      <c r="B132" s="2219"/>
      <c r="C132" s="2220"/>
      <c r="D132" s="2220"/>
      <c r="E132" s="2220"/>
      <c r="F132" s="2220"/>
      <c r="G132" s="2254"/>
      <c r="H132" s="2254"/>
      <c r="I132" s="2254"/>
      <c r="J132" s="2254"/>
      <c r="K132" s="2254"/>
      <c r="L132" s="2254"/>
      <c r="M132" s="2255"/>
      <c r="N132" s="2396"/>
      <c r="O132" s="2396"/>
      <c r="P132" s="2452"/>
      <c r="Q132" s="2386"/>
      <c r="R132" s="2110"/>
      <c r="S132" s="2110"/>
      <c r="T132" s="2110"/>
      <c r="U132" s="2110"/>
      <c r="V132" s="2110"/>
      <c r="W132" s="2110"/>
      <c r="X132" s="2110"/>
      <c r="Y132" s="2110"/>
      <c r="Z132" s="2110"/>
      <c r="AA132" s="2110"/>
      <c r="AB132" s="2110"/>
      <c r="AC132" s="2110"/>
    </row>
  </sheetData>
  <sheetProtection sheet="true" password="cee9" objects="true" scenarios="true" formatCells="false" formatColumns="false" formatRows="false"/>
  <mergeCells count="40">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4"/>
    <mergeCell ref="Y9:Y14"/>
    <mergeCell ref="P15:P32"/>
    <mergeCell ref="Y15:Y32"/>
    <mergeCell ref="P33:P47"/>
    <mergeCell ref="Y33:Y47"/>
    <mergeCell ref="P48:Q48"/>
    <mergeCell ref="R48:S48"/>
    <mergeCell ref="T48:U48"/>
    <mergeCell ref="V48:W48"/>
    <mergeCell ref="P49:Q49"/>
    <mergeCell ref="R49:S49"/>
    <mergeCell ref="T49:U49"/>
    <mergeCell ref="V49:W49"/>
    <mergeCell ref="P50:Q50"/>
    <mergeCell ref="R50:W50"/>
  </mergeCells>
  <conditionalFormatting sqref="F49">
    <cfRule type="expression" priority="2" aboveAverage="0" equalAverage="0" bottom="0" percent="0" rank="0" text="" dxfId="113">
      <formula>$D$49="简单平均"</formula>
    </cfRule>
  </conditionalFormatting>
  <conditionalFormatting sqref="H49">
    <cfRule type="expression" priority="3" aboveAverage="0" equalAverage="0" bottom="0" percent="0" rank="0" text="" dxfId="114">
      <formula>$D$49="简单平均"</formula>
    </cfRule>
  </conditionalFormatting>
  <conditionalFormatting sqref="J49">
    <cfRule type="expression" priority="4" aboveAverage="0" equalAverage="0" bottom="0" percent="0" rank="0" text="" dxfId="115">
      <formula>$D$49="简单平均"</formula>
    </cfRule>
  </conditionalFormatting>
  <conditionalFormatting sqref="E53">
    <cfRule type="expression" priority="5" aboveAverage="0" equalAverage="0" bottom="0" percent="0" rank="0" text="" dxfId="116">
      <formula>$F$53="超过30%"</formula>
    </cfRule>
  </conditionalFormatting>
  <conditionalFormatting sqref="G53">
    <cfRule type="expression" priority="6" aboveAverage="0" equalAverage="0" bottom="0" percent="0" rank="0" text="" dxfId="117">
      <formula>$H$53="超过30%"</formula>
    </cfRule>
  </conditionalFormatting>
  <conditionalFormatting sqref="I53">
    <cfRule type="expression" priority="7" aboveAverage="0" equalAverage="0" bottom="0" percent="0" rank="0" text="" dxfId="118">
      <formula>$J$53="超过30%"</formula>
    </cfRule>
  </conditionalFormatting>
  <conditionalFormatting sqref="J53">
    <cfRule type="containsText" priority="8" operator="containsText" aboveAverage="0" equalAverage="0" bottom="0" percent="0" rank="0" text="超过" dxfId="119">
      <formula>NOT(ISERROR(SEARCH("超过",J53)))</formula>
    </cfRule>
  </conditionalFormatting>
  <conditionalFormatting sqref="E54">
    <cfRule type="expression" priority="9" aboveAverage="0" equalAverage="0" bottom="0" percent="0" rank="0" text="" dxfId="120">
      <formula>$F$54="超过20%"</formula>
    </cfRule>
  </conditionalFormatting>
  <conditionalFormatting sqref="G54">
    <cfRule type="expression" priority="10" aboveAverage="0" equalAverage="0" bottom="0" percent="0" rank="0" text="" dxfId="121">
      <formula>$H$54="超过20%"</formula>
    </cfRule>
  </conditionalFormatting>
  <conditionalFormatting sqref="I54">
    <cfRule type="expression" priority="11" aboveAverage="0" equalAverage="0" bottom="0" percent="0" rank="0" text="" dxfId="122">
      <formula>$J$53+$J$54="超过20%"</formula>
    </cfRule>
  </conditionalFormatting>
  <conditionalFormatting sqref="J54">
    <cfRule type="containsText" priority="12" operator="containsText" aboveAverage="0" equalAverage="0" bottom="0" percent="0" rank="0" text="超过" dxfId="123">
      <formula>NOT(ISERROR(SEARCH("超过",J54)))</formula>
    </cfRule>
  </conditionalFormatting>
  <conditionalFormatting sqref="E55">
    <cfRule type="expression" priority="13" aboveAverage="0" equalAverage="0" bottom="0" percent="0" rank="0" text="" dxfId="124">
      <formula>$F$55="超过30%"</formula>
    </cfRule>
  </conditionalFormatting>
  <conditionalFormatting sqref="F55">
    <cfRule type="containsText" priority="14" operator="containsText" aboveAverage="0" equalAverage="0" bottom="0" percent="0" rank="0" text="超过" dxfId="125">
      <formula>NOT(ISERROR(SEARCH("超过",F55)))</formula>
    </cfRule>
  </conditionalFormatting>
  <conditionalFormatting sqref="G55">
    <cfRule type="expression" priority="15" aboveAverage="0" equalAverage="0" bottom="0" percent="0" rank="0" text="" dxfId="126">
      <formula>$H$55="超过30%"</formula>
    </cfRule>
  </conditionalFormatting>
  <conditionalFormatting sqref="H55">
    <cfRule type="containsText" priority="16" operator="containsText" aboveAverage="0" equalAverage="0" bottom="0" percent="0" rank="0" text="超过" dxfId="127">
      <formula>NOT(ISERROR(SEARCH("超过",H55)))</formula>
    </cfRule>
  </conditionalFormatting>
  <conditionalFormatting sqref="I55">
    <cfRule type="expression" priority="17" aboveAverage="0" equalAverage="0" bottom="0" percent="0" rank="0" text="" dxfId="128">
      <formula>$J$55="超过30%"</formula>
    </cfRule>
  </conditionalFormatting>
  <conditionalFormatting sqref="J55">
    <cfRule type="containsText" priority="18" operator="containsText" aboveAverage="0" equalAverage="0" bottom="0" percent="0" rank="0" text="超过" dxfId="129">
      <formula>NOT(ISERROR(SEARCH("超过",J55)))</formula>
    </cfRule>
  </conditionalFormatting>
  <conditionalFormatting sqref="F7:F47 H7:H47 J7:J47">
    <cfRule type="cellIs" priority="19" operator="notEqual" aboveAverage="0" equalAverage="0" bottom="0" percent="0" rank="0" text="" dxfId="130">
      <formula>100</formula>
    </cfRule>
  </conditionalFormatting>
  <conditionalFormatting sqref="F53 H53">
    <cfRule type="containsText" priority="20" operator="containsText" aboveAverage="0" equalAverage="0" bottom="0" percent="0" rank="0" text="超过" dxfId="131">
      <formula>NOT(ISERROR(SEARCH("超过",F53)))</formula>
    </cfRule>
  </conditionalFormatting>
  <conditionalFormatting sqref="F54 H54">
    <cfRule type="containsText" priority="21" operator="containsText" aboveAverage="0" equalAverage="0" bottom="0" percent="0" rank="0" text="超过" dxfId="132">
      <formula>NOT(ISERROR(SEARCH("超过",F54)))</formula>
    </cfRule>
  </conditionalFormatting>
  <dataValidations count="25">
    <dataValidation allowBlank="true" operator="between" showDropDown="false" showErrorMessage="true" showInputMessage="true" sqref="C39 E39 G39 I39" type="list">
      <formula1>办公物业管理</formula1>
      <formula2>0</formula2>
    </dataValidation>
    <dataValidation allowBlank="true" operator="between" showDropDown="false" showErrorMessage="true" showInputMessage="true" sqref="E1" type="list">
      <formula1>"项目模式,单套模式"</formula1>
      <formula2>0</formula2>
    </dataValidation>
    <dataValidation allowBlank="true" operator="between" showDropDown="false" showErrorMessage="true" showInputMessage="true" sqref="D1" type="list">
      <formula1>项目类型</formula1>
      <formula2>0</formula2>
    </dataValidation>
    <dataValidation allowBlank="true" operator="between" showDropDown="false" showErrorMessage="true" showInputMessage="true" sqref="F1" type="list">
      <formula1>"售价,租金"</formula1>
      <formula2>0</formula2>
    </dataValidation>
    <dataValidation allowBlank="true" operator="between" showDropDown="false" showErrorMessage="true" showInputMessage="true" sqref="F2" type="list">
      <formula1>估价方法</formula1>
      <formula2>0</formula2>
    </dataValidation>
    <dataValidation allowBlank="true" operator="between" showDropDown="false" showErrorMessage="true" showInputMessage="true" sqref="C2" type="list">
      <formula1>"需扣减承租人权益,——"</formula1>
      <formula2>0</formula2>
    </dataValidation>
    <dataValidation allowBlank="true" operator="between" showDropDown="false" showErrorMessage="true" showInputMessage="true" sqref="C35 E35 G35 I35" type="list">
      <formula1>办公建筑结构</formula1>
      <formula2>0</formula2>
    </dataValidation>
    <dataValidation allowBlank="true" operator="between" showDropDown="false" showErrorMessage="true" showInputMessage="true" sqref="C8 E8 G8 I8" type="list">
      <formula1>办公交易情况</formula1>
      <formula2>0</formula2>
    </dataValidation>
    <dataValidation allowBlank="true" operator="between" showDropDown="false" showErrorMessage="true" showInputMessage="true" sqref="E9 G9 I9" type="list">
      <formula1>办公用途</formula1>
      <formula2>0</formula2>
    </dataValidation>
    <dataValidation allowBlank="true" operator="between" showDropDown="false" showErrorMessage="true" showInputMessage="true" sqref="C16 E16 G16 I16" type="list">
      <formula1>办公集聚程度</formula1>
      <formula2>0</formula2>
    </dataValidation>
    <dataValidation allowBlank="true" operator="between" showDropDown="false" showErrorMessage="true" showInputMessage="true" sqref="C18 E18 G18 I18" type="list">
      <formula1>交通便捷度</formula1>
      <formula2>0</formula2>
    </dataValidation>
    <dataValidation allowBlank="true" operator="between" showDropDown="false" showErrorMessage="true" showInputMessage="true" sqref="C20 E20 G20 I20" type="list">
      <formula1>公共配套设施</formula1>
      <formula2>0</formula2>
    </dataValidation>
    <dataValidation allowBlank="true" operator="between" showDropDown="false" showErrorMessage="true" showInputMessage="true" sqref="C22 E22 G22 I22" type="list">
      <formula1>基础设施水平</formula1>
      <formula2>0</formula2>
    </dataValidation>
    <dataValidation allowBlank="true" operator="between" showDropDown="false" showErrorMessage="true" showInputMessage="true" sqref="C38 E38 G38 I38" type="list">
      <formula1>写字楼等级</formula1>
      <formula2>0</formula2>
    </dataValidation>
    <dataValidation allowBlank="true" operator="between" showDropDown="false" showErrorMessage="true" showInputMessage="true" sqref="C24 E24 G24 I24" type="list">
      <formula1>环境</formula1>
      <formula2>0</formula2>
    </dataValidation>
    <dataValidation allowBlank="true" operator="between" showDropDown="false" showErrorMessage="true" showInputMessage="true" sqref="C41 E41 G41 I41" type="list">
      <formula1>办公层高</formula1>
      <formula2>0</formula2>
    </dataValidation>
    <dataValidation allowBlank="true" operator="between" showDropDown="false" showErrorMessage="true" showInputMessage="true" sqref="C26 E26 G26 I26" type="list">
      <formula1>办公道路级别</formula1>
      <formula2>0</formula2>
    </dataValidation>
    <dataValidation allowBlank="true" operator="between" showDropDown="false" showErrorMessage="true" showInputMessage="true" sqref="C27 E27 G27 I27" type="list">
      <formula1>办公楼层</formula1>
      <formula2>0</formula2>
    </dataValidation>
    <dataValidation allowBlank="true" operator="between" showDropDown="false" showErrorMessage="true" showInputMessage="true" sqref="C28 E28 G28 I28" type="list">
      <formula1>办公朝向</formula1>
      <formula2>0</formula2>
    </dataValidation>
    <dataValidation allowBlank="true" operator="between" showDropDown="false" showErrorMessage="true" showInputMessage="true" sqref="C33 E33 G33 I33" type="list">
      <formula1>办公建筑类型</formula1>
      <formula2>0</formula2>
    </dataValidation>
    <dataValidation allowBlank="true" operator="between" showDropDown="false" showErrorMessage="true" showInputMessage="true" sqref="C36 E36 G36 I36" type="list">
      <formula1>办公公共部分装修</formula1>
      <formula2>0</formula2>
    </dataValidation>
    <dataValidation allowBlank="true" operator="between" showDropDown="false" showErrorMessage="true" showInputMessage="true" sqref="C40 E40 G40 I40" type="list">
      <formula1>办公基础设施水平</formula1>
      <formula2>0</formula2>
    </dataValidation>
    <dataValidation allowBlank="true" operator="between" showDropDown="false" showErrorMessage="true" showInputMessage="true" sqref="D49" type="list">
      <formula1>"简单平均,加权平均"</formula1>
      <formula2>0</formula2>
    </dataValidation>
    <dataValidation allowBlank="true" operator="between" showDropDown="false" showErrorMessage="true" showInputMessage="true" sqref="C43 E43 G43 I43" type="list">
      <formula1>办公内部装修</formula1>
      <formula2>0</formula2>
    </dataValidation>
    <dataValidation allowBlank="true" operator="between" showDropDown="false" showErrorMessage="true" showInputMessage="true" sqref="C44 E44 G44 I44" type="list">
      <formula1>内部装修维护情况</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A48"/>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A14" activeCellId="0" sqref="A14"/>
    </sheetView>
  </sheetViews>
  <sheetFormatPr defaultRowHeight="14.25" zeroHeight="false" outlineLevelRow="0" outlineLevelCol="0"/>
  <cols>
    <col collapsed="false" customWidth="true" hidden="false" outlineLevel="0" max="1" min="1" style="24" width="84.01"/>
    <col collapsed="false" customWidth="true" hidden="false" outlineLevel="0" max="1025" min="2" style="24" width="9"/>
  </cols>
  <sheetData>
    <row r="1" customFormat="false" ht="23.25" hidden="false" customHeight="false" outlineLevel="0" collapsed="false">
      <c r="A1" s="25" t="s">
        <v>82</v>
      </c>
    </row>
    <row r="2" customFormat="false" ht="14.25" hidden="false" customHeight="false" outlineLevel="0" collapsed="false">
      <c r="A2" s="26"/>
    </row>
    <row r="3" customFormat="false" ht="18" hidden="false" customHeight="false" outlineLevel="0" collapsed="false">
      <c r="A3" s="27" t="str">
        <f aca="false">项目基本情况!B5&amp;"："</f>
        <v>：</v>
      </c>
    </row>
    <row r="4" customFormat="false" ht="18" hidden="false" customHeight="false" outlineLevel="0" collapsed="false">
      <c r="A4" s="28" t="str">
        <f aca="false">"受贵公司委托，我公司对"&amp;项目基本情况!S1&amp;"进行了预评估。"</f>
        <v>受贵公司委托，我公司对北京市房地产市场价值进行了预评估。</v>
      </c>
    </row>
    <row r="5" customFormat="false" ht="18.75" hidden="false" customHeight="false" outlineLevel="0" collapsed="false">
      <c r="A5" s="29" t="s">
        <v>83</v>
      </c>
    </row>
    <row r="6" customFormat="false" ht="18.75" hidden="false" customHeight="false" outlineLevel="0" collapsed="false">
      <c r="A6" s="30" t="s">
        <v>84</v>
      </c>
    </row>
    <row r="7" customFormat="false" ht="36" hidden="false" customHeight="false" outlineLevel="0" collapsed="false">
      <c r="A7" s="28" t="str">
        <f aca="false">"估价对象为"&amp;项目基本情况!S2&amp;"，为"&amp;项目基本情况!C11&amp;"所有。"&amp;IF(项目基本情况!A18="——","根据"&amp;项目基本情况!E18&amp;"，估价对象（分摊）出让国有建设用地使用权面积为"&amp;项目基本情况!C18&amp;"平方米。根据"&amp;项目基本情况!E17&amp;"，估价对象建筑面积为"&amp;项目基本情况!C17&amp;"平方米。","根据"&amp;项目基本情况!E18&amp;"，估价对象（分摊）出让国有建设用地使用权面积为"&amp;项目基本情况!C18&amp;"平方米，建筑面积为"&amp;项目基本情况!C17&amp;"平方米。")</f>
        <v>估价对象为北京市房地产，为所有。根据《国有土地使用证》[]，估价对象（分摊）出让国有建设用地使用权面积为0平方米，建筑面积为58.3平方米。</v>
      </c>
    </row>
    <row r="8" customFormat="false" ht="57.75" hidden="false" customHeight="false" outlineLevel="0" collapsed="false">
      <c r="A8" s="31" t="s">
        <v>85</v>
      </c>
    </row>
    <row r="9" customFormat="false" ht="18.75" hidden="false" customHeight="false" outlineLevel="0" collapsed="false">
      <c r="A9" s="30" t="s">
        <v>86</v>
      </c>
    </row>
    <row r="10" customFormat="false" ht="54" hidden="false" customHeight="false" outlineLevel="0" collapsed="false">
      <c r="A10" s="28" t="str">
        <f aca="false">"估价对象为"&amp;项目基本情况!S2&amp;IF(结果表!I1="项目全部",",为",",属")&amp;项目基本情况!C11&amp;"开发建设的"&amp;项目基本情况!C27&amp;"，该项目尚在开发建设中。"&amp;IF(项目基本情况!A18="——","根据"&amp;项目基本情况!E18&amp;"，估价对象（分摊）出让国有建设用地使用权面积为"&amp;项目基本情况!C18&amp;"平方米。根据"&amp;项目基本情况!E17&amp;"，估价对象规划建筑面积为"&amp;项目基本情况!C17&amp;"平方米。","根据"&amp;项目基本情况!E18&amp;"，估价对象（分摊）出让国有建设用地使用权面积为"&amp;项目基本情况!C18&amp;"平方米，规划建筑面积为"&amp;项目基本情况!C17&amp;"平方米。")</f>
        <v>估价对象为北京市房地产,属开发建设的，该项目尚在开发建设中。根据《国有土地使用证》[]，估价对象（分摊）出让国有建设用地使用权面积为0平方米，规划建筑面积为58.3平方米。</v>
      </c>
    </row>
    <row r="11" customFormat="false" ht="76.5" hidden="false" customHeight="false" outlineLevel="0" collapsed="false">
      <c r="A11" s="31" t="s">
        <v>87</v>
      </c>
    </row>
    <row r="12" customFormat="false" ht="18.75" hidden="false" customHeight="false" outlineLevel="0" collapsed="false">
      <c r="A12" s="29" t="s">
        <v>88</v>
      </c>
    </row>
    <row r="13" customFormat="false" ht="38.25" hidden="false" customHeight="true" outlineLevel="0" collapsed="false">
      <c r="A13" s="32" t="str">
        <f aca="false">IF(项目基本情况!B8="抵押",IF(项目基本情况!B5=项目基本情况!B6,定义!C51,定义!B51),定义!D51)</f>
        <v>为估价委托人了解估价对象房地产市场价值提供参考依据。</v>
      </c>
    </row>
    <row r="14" customFormat="false" ht="18.75" hidden="false" customHeight="false" outlineLevel="0" collapsed="false">
      <c r="A14" s="29" t="s">
        <v>89</v>
      </c>
    </row>
    <row r="15" customFormat="false" ht="18" hidden="false" customHeight="false" outlineLevel="0" collapsed="false">
      <c r="A15" s="33" t="str">
        <f aca="false">TEXT(项目基本情况!D3,"yyyy年m月d日;;")&amp;IF(项目基本情况!D3=项目基本情况!B3,"（评估专业人员实地查勘之日）","")</f>
        <v>2006年11月10日</v>
      </c>
    </row>
    <row r="16" customFormat="false" ht="18.75" hidden="false" customHeight="false" outlineLevel="0" collapsed="false">
      <c r="A16" s="29" t="s">
        <v>90</v>
      </c>
    </row>
    <row r="17" customFormat="false" ht="75" hidden="false" customHeight="false" outlineLevel="0" collapsed="false">
      <c r="A17" s="34" t="s">
        <v>91</v>
      </c>
    </row>
    <row r="18" customFormat="false" ht="54" hidden="false" customHeight="false" outlineLevel="0" collapsed="false">
      <c r="A18" s="34" t="str">
        <f aca="false">IF(项目基本情况!A13="出让","本次估价的“房地产价值”是指在正常市场情况下，在价值时点"&amp;TEXT(项目基本情况!D3,"yyyy年m月d日;;")&amp;"，估价对象规划用途为"&amp;项目基本情况!B16&amp;"，土地取得方式为"&amp;项目基本情况!A13&amp;"，出让国有建设用地使用权剩余土地使用年限为"&amp;项目基本情况!F16&amp;"，假定未设立法定优先受偿款下的房地产市场价值。","本次估价的“房地产价值”是指在正常市场情况下，在价值时点"&amp;TEXT(项目基本情况!D3,"yyyy年m月d日;;")&amp;"，估价对象规划用途为"&amp;项目基本情况!B16&amp;"，土地取得方式为"&amp;项目基本情况!A13&amp;"，假定未设立法定优先受偿款下的房地产市场价值。")</f>
        <v>本次估价的“房地产价值”是指在正常市场情况下，在价值时点2006年11月10日，估价对象规划用途为，土地取得方式为划拨，假定未设立法定优先受偿款下的房地产市场价值。</v>
      </c>
    </row>
    <row r="19" customFormat="false" ht="157.5" hidden="false" customHeight="true" outlineLevel="0" collapsed="false">
      <c r="A19" s="34" t="str">
        <f aca="false">IF(项目基本情况!A13="出让","其中，“出让国有建设用地使用权价值”是指估价对象用途为"&amp;项目基本情况!B16&amp;"，实际开发程度为宗地红线外“"&amp;项目基本情况!T34&amp;"”（即"&amp;项目基本情况!T35&amp;"）、红线内场地平整条件下，剩余土地使用年限为"&amp;项目基本情况!F16&amp;"的出让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其中，“划拨国有建设用地使用权价值”是指估价对象用途为"&amp;项目基本情况!B16&amp;"，实际开发程度为宗地红线外“"&amp;项目基本情况!T34&amp;"”（即"&amp;项目基本情况!T35&amp;"）、红线内场地平整条件下，土地性质为划拨的国有建设用地使用权价值；"&amp;IF(结果表!F116="建筑物价值","“建筑物价值”是指在综合考虑估价对象特定用途、建设材料、建设技术、建设成本及建筑物建设期间产生的利润的基础上，确定的与估价对象具有同等功能效用并在相同成新度下的建筑物的正常价值。","“在建建筑物价值”是指在综合考虑估价对象特定用途、建设材料、建设技术、建设成本及建筑物建设期间产生的利润的基础上，确定的与估价对象具有同等功能效用并在相同工程形象进度下的建筑物的正常价值。"))</f>
        <v>其中，“划拨国有建设用地使用权价值”是指估价对象用途为，实际开发程度为宗地红线外“七通”（即、、、、、、）、红线内场地平整条件下，土地性质为划拨的国有建设用地使用权价值；“在建建筑物价值”是指在综合考虑估价对象特定用途、建设材料、建设技术、建设成本及建筑物建设期间产生的利润的基础上，确定的与估价对象具有同等功能效用并在相同工程形象进度下的建筑物的正常价值。</v>
      </c>
    </row>
    <row r="20" customFormat="false" ht="18" hidden="false" customHeight="false" outlineLevel="0" collapsed="false">
      <c r="A20" s="34" t="str">
        <f aca="false">IF(项目基本情况!B9="房地产市场价值","——",IF(项目基本情况!E8="房地产抵押价值",定义!C54,IF(项目基本情况!E8="已注销",定义!C55,定义!C56)))</f>
        <v>——</v>
      </c>
    </row>
    <row r="21" customFormat="false" ht="18" hidden="false" customHeight="false" outlineLevel="0" collapsed="false">
      <c r="A21" s="34" t="str">
        <f aca="false">IF(项目基本情况!B9="房地产市场价值","——","法定优先受偿款是指假定在价值时点实现抵押权时，法律规定优先于本次抵押贷款受偿的款额，包括发包人拖欠承包人的建筑工程款，已抵押担保的债权数额以及其他法定优先受偿款。")</f>
        <v>——</v>
      </c>
    </row>
    <row r="22" customFormat="false" ht="18" hidden="false" customHeight="false" outlineLevel="0" collapsed="false">
      <c r="A22" s="34" t="str">
        <f aca="false">IF(项目基本情况!B9="房地产市场价值","——",IF(项目基本情况!E9="——","",定义!C57))</f>
        <v>——</v>
      </c>
    </row>
    <row r="23" customFormat="false" ht="18.75" hidden="false" customHeight="false" outlineLevel="0" collapsed="false">
      <c r="A23" s="29" t="s">
        <v>92</v>
      </c>
    </row>
    <row r="24" customFormat="false" ht="18" hidden="false" customHeight="false" outlineLevel="0" collapsed="false">
      <c r="A24" s="35" t="str">
        <f aca="false">"本次评估采用的主估价方法为"&amp;结果表!K4&amp;"和"&amp;结果表!L4&amp;"。"</f>
        <v>本次评估采用的主估价方法为比较法和成本法。</v>
      </c>
    </row>
    <row r="25" customFormat="false" ht="18" hidden="false" customHeight="false" outlineLevel="0" collapsed="false">
      <c r="A25" s="35"/>
    </row>
    <row r="26" customFormat="false" ht="18.75" hidden="false" customHeight="false" outlineLevel="0" collapsed="false">
      <c r="A26" s="36" t="s">
        <v>93</v>
      </c>
    </row>
    <row r="27" customFormat="false" ht="14.25" hidden="false" customHeight="false" outlineLevel="0" collapsed="false">
      <c r="A27" s="37"/>
    </row>
    <row r="28" customFormat="false" ht="14.25" hidden="false" customHeight="false" outlineLevel="0" collapsed="false">
      <c r="A28" s="37"/>
    </row>
    <row r="29" customFormat="false" ht="14.25" hidden="false" customHeight="false" outlineLevel="0" collapsed="false">
      <c r="A29" s="37"/>
    </row>
    <row r="30" customFormat="false" ht="14.25" hidden="false" customHeight="false" outlineLevel="0" collapsed="false">
      <c r="A30" s="37"/>
    </row>
    <row r="31" customFormat="false" ht="14.25" hidden="false" customHeight="false" outlineLevel="0" collapsed="false">
      <c r="A31" s="37"/>
    </row>
    <row r="32" customFormat="false" ht="14.25" hidden="false" customHeight="false" outlineLevel="0" collapsed="false">
      <c r="A32" s="37"/>
    </row>
    <row r="33" customFormat="false" ht="14.25" hidden="false" customHeight="false" outlineLevel="0" collapsed="false">
      <c r="A33" s="37"/>
    </row>
    <row r="34" customFormat="false" ht="14.25" hidden="false" customHeight="false" outlineLevel="0" collapsed="false">
      <c r="A34" s="37"/>
    </row>
    <row r="35" customFormat="false" ht="14.25" hidden="false" customHeight="false" outlineLevel="0" collapsed="false">
      <c r="A35" s="37"/>
    </row>
    <row r="36" customFormat="false" ht="14.25" hidden="false" customHeight="false" outlineLevel="0" collapsed="false">
      <c r="A36" s="37"/>
    </row>
    <row r="37" customFormat="false" ht="14.25" hidden="false" customHeight="false" outlineLevel="0" collapsed="false">
      <c r="A37" s="37"/>
    </row>
    <row r="38" customFormat="false" ht="14.25" hidden="false" customHeight="false" outlineLevel="0" collapsed="false">
      <c r="A38" s="37"/>
    </row>
    <row r="39" customFormat="false" ht="14.25" hidden="false" customHeight="false" outlineLevel="0" collapsed="false">
      <c r="A39" s="37"/>
    </row>
    <row r="40" customFormat="false" ht="14.25" hidden="false" customHeight="false" outlineLevel="0" collapsed="false">
      <c r="A40" s="37"/>
    </row>
    <row r="41" customFormat="false" ht="14.25" hidden="false" customHeight="false" outlineLevel="0" collapsed="false">
      <c r="A41" s="37"/>
    </row>
    <row r="42" customFormat="false" ht="14.25" hidden="false" customHeight="false" outlineLevel="0" collapsed="false">
      <c r="A42" s="37"/>
    </row>
    <row r="43" customFormat="false" ht="14.25" hidden="false" customHeight="false" outlineLevel="0" collapsed="false">
      <c r="A43" s="37"/>
    </row>
    <row r="44" customFormat="false" ht="14.25" hidden="false" customHeight="false" outlineLevel="0" collapsed="false">
      <c r="A44" s="37"/>
    </row>
    <row r="45" customFormat="false" ht="14.25" hidden="false" customHeight="false" outlineLevel="0" collapsed="false">
      <c r="A45" s="37"/>
    </row>
    <row r="46" customFormat="false" ht="14.25" hidden="false" customHeight="false" outlineLevel="0" collapsed="false">
      <c r="A46" s="37"/>
    </row>
    <row r="47" customFormat="false" ht="14.25" hidden="false" customHeight="false" outlineLevel="0" collapsed="false">
      <c r="A47" s="37"/>
    </row>
    <row r="48" customFormat="false" ht="14.25" hidden="false" customHeight="false" outlineLevel="0" collapsed="false">
      <c r="A48" s="37"/>
    </row>
  </sheetData>
  <sheetProtection sheet="true" objects="true" scenarios="true" formatCells="false" formatRows="false"/>
  <dataValidations count="1">
    <dataValidation allowBlank="true" operator="between" showDropDown="false" showErrorMessage="true" showInputMessage="true" sqref="A26" type="list">
      <formula1>"（转下页）,（本页下方空白无内容）"</formula1>
      <formula2>0</formula2>
    </dataValidation>
  </dataValidations>
  <printOptions headings="false" gridLines="false" gridLinesSet="true" horizontalCentered="false" verticalCentered="false"/>
  <pageMargins left="0.984027777777778" right="0.7875" top="0.83125" bottom="0.984027777777778" header="0.590277777777778"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oddFooter>
  </headerFooter>
</worksheet>
</file>

<file path=xl/worksheets/sheet30.xml><?xml version="1.0" encoding="utf-8"?>
<worksheet xmlns="http://schemas.openxmlformats.org/spreadsheetml/2006/main" xmlns:r="http://schemas.openxmlformats.org/officeDocument/2006/relationships">
  <sheetPr filterMode="false">
    <pageSetUpPr fitToPage="true"/>
  </sheetPr>
  <dimension ref="A1:AC113"/>
  <sheetViews>
    <sheetView showFormulas="false" showGridLines="true" showRowColHeaders="true" showZeros="true" rightToLeft="false" tabSelected="false" showOutlineSymbols="true" defaultGridColor="true" view="pageBreakPreview" topLeftCell="A1" colorId="64" zoomScale="100" zoomScaleNormal="6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1913" width="10.5"/>
    <col collapsed="false" customWidth="true" hidden="false" outlineLevel="0" max="2" min="2" style="1913" width="15.76"/>
    <col collapsed="false" customWidth="true" hidden="false" outlineLevel="0" max="3" min="3" style="1913" width="14.38"/>
    <col collapsed="false" customWidth="true" hidden="false" outlineLevel="0" max="4" min="4" style="1913" width="12.26"/>
    <col collapsed="false" customWidth="true" hidden="false" outlineLevel="0" max="5" min="5" style="1913" width="14.38"/>
    <col collapsed="false" customWidth="true" hidden="false" outlineLevel="0" max="6" min="6" style="1913" width="12.26"/>
    <col collapsed="false" customWidth="true" hidden="false" outlineLevel="0" max="7" min="7" style="1913" width="14.5"/>
    <col collapsed="false" customWidth="true" hidden="false" outlineLevel="0" max="8" min="8" style="1913" width="12.26"/>
    <col collapsed="false" customWidth="true" hidden="false" outlineLevel="0" max="9" min="9" style="1913" width="14.5"/>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1913"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1930" customFormat="true" ht="28.5" hidden="false" customHeight="true" outlineLevel="0" collapsed="false">
      <c r="A1" s="1917" t="s">
        <v>1264</v>
      </c>
      <c r="B1" s="2412" t="s">
        <v>159</v>
      </c>
      <c r="C1" s="2413" t="s">
        <v>1265</v>
      </c>
      <c r="D1" s="1920"/>
      <c r="E1" s="1920"/>
      <c r="F1" s="1922"/>
      <c r="G1" s="1923" t="s">
        <v>1268</v>
      </c>
      <c r="H1" s="1924"/>
      <c r="I1" s="1924"/>
      <c r="J1" s="1924"/>
      <c r="K1" s="1925"/>
      <c r="L1" s="1926"/>
      <c r="M1" s="1919"/>
      <c r="N1" s="1919"/>
      <c r="O1" s="1919"/>
      <c r="P1" s="1928"/>
      <c r="Q1" s="1928"/>
      <c r="R1" s="1928"/>
      <c r="S1" s="1928"/>
      <c r="T1" s="1928"/>
      <c r="U1" s="1928"/>
      <c r="V1" s="1928"/>
      <c r="W1" s="1928"/>
      <c r="X1" s="1928"/>
      <c r="Y1" s="1928"/>
      <c r="Z1" s="1928"/>
      <c r="AA1" s="1928"/>
      <c r="AB1" s="1928"/>
      <c r="AC1" s="1929"/>
    </row>
    <row r="2" s="2354" customFormat="true" ht="28.5" hidden="false" customHeight="true" outlineLevel="0" collapsed="false">
      <c r="A2" s="1931" t="s">
        <v>97</v>
      </c>
      <c r="B2" s="2347" t="n">
        <f aca="false">IF(E1="项目模式",IF(C2="——",ROUND(C43*D3/10000,0),ROUND(C43*D3/10000,0)-D2),IF(E1="单套模式",IF(C2="——",ROUND(C43*D3/10000,4),ROUND(C43*D3/10000,4)-D2)))</f>
        <v>0</v>
      </c>
      <c r="C2" s="1933"/>
      <c r="D2" s="1937" t="e">
        <f aca="true">IF(E1="项目模式",SUMIF(INDIRECT("'"&amp;F2&amp;"'"&amp;"!A:A"),"承租人权益价值",INDIRECT("'"&amp;F2&amp;"'"&amp;"!c:c")),SUMIF(INDIRECT("'"&amp;F2&amp;"'"&amp;"!A:A"),"承租人权益价值（单套）",INDIRECT("'"&amp;F2&amp;"'"&amp;"!c:c")))</f>
        <v>#REF!</v>
      </c>
      <c r="E2" s="1935" t="s">
        <v>722</v>
      </c>
      <c r="F2" s="1936"/>
      <c r="G2" s="2348"/>
      <c r="H2" s="2348"/>
      <c r="I2" s="2348"/>
      <c r="J2" s="2348"/>
      <c r="K2" s="2348"/>
      <c r="L2" s="2462"/>
      <c r="M2" s="2352"/>
      <c r="N2" s="2352"/>
      <c r="O2" s="2352"/>
      <c r="P2" s="2414"/>
      <c r="Q2" s="2414"/>
      <c r="R2" s="2414"/>
      <c r="S2" s="2414"/>
      <c r="T2" s="2414"/>
      <c r="U2" s="2414"/>
      <c r="V2" s="2414"/>
      <c r="W2" s="2414"/>
      <c r="X2" s="2414"/>
      <c r="Y2" s="2414"/>
      <c r="Z2" s="2414"/>
      <c r="AA2" s="2414"/>
      <c r="AB2" s="2414"/>
      <c r="AC2" s="1443"/>
    </row>
    <row r="3" s="2354" customFormat="true" ht="28.5" hidden="false" customHeight="true" outlineLevel="0" collapsed="false">
      <c r="A3" s="1261" t="s">
        <v>110</v>
      </c>
      <c r="B3" s="2355" t="n">
        <f aca="false">IF(C2="——",C43,ROUND(B2*10000/D3,0))</f>
        <v>0</v>
      </c>
      <c r="C3" s="1946" t="s">
        <v>107</v>
      </c>
      <c r="D3" s="1945" t="n">
        <f aca="false">IF(D1="",'数据-汇总表'!E3,SUMIF('数据-汇总表'!$C19:$C33,D1,'数据-汇总表'!$E19:$E33))</f>
        <v>58.3</v>
      </c>
      <c r="E3" s="2348"/>
      <c r="F3" s="2357"/>
      <c r="G3" s="2348"/>
      <c r="H3" s="2348"/>
      <c r="I3" s="2348"/>
      <c r="J3" s="2348"/>
      <c r="K3" s="2358"/>
      <c r="L3" s="2462"/>
      <c r="M3" s="2352"/>
      <c r="N3" s="2352"/>
      <c r="O3" s="2352"/>
      <c r="P3" s="2414"/>
      <c r="Q3" s="2414"/>
      <c r="R3" s="2414"/>
      <c r="S3" s="2414"/>
      <c r="T3" s="2414"/>
      <c r="U3" s="2414"/>
      <c r="V3" s="2414"/>
      <c r="W3" s="2414"/>
      <c r="X3" s="2414"/>
      <c r="Y3" s="2414"/>
      <c r="Z3" s="2414"/>
      <c r="AA3" s="2414"/>
      <c r="AB3" s="2463"/>
      <c r="AC3" s="1443"/>
    </row>
    <row r="4" customFormat="false" ht="15" hidden="false" customHeight="true" outlineLevel="0" collapsed="false">
      <c r="A4" s="1948" t="s">
        <v>1269</v>
      </c>
      <c r="B4" s="1949"/>
      <c r="C4" s="1950" t="s">
        <v>373</v>
      </c>
      <c r="D4" s="1950"/>
      <c r="E4" s="1951" t="s">
        <v>1270</v>
      </c>
      <c r="F4" s="1951"/>
      <c r="G4" s="1950" t="s">
        <v>1271</v>
      </c>
      <c r="H4" s="1950"/>
      <c r="I4" s="1950" t="s">
        <v>1272</v>
      </c>
      <c r="J4" s="1950"/>
      <c r="K4" s="2359" t="s">
        <v>376</v>
      </c>
      <c r="L4" s="2464"/>
      <c r="M4" s="2465"/>
      <c r="N4" s="2465"/>
      <c r="O4" s="2465"/>
      <c r="P4" s="1955" t="s">
        <v>1269</v>
      </c>
      <c r="Q4" s="1955"/>
      <c r="R4" s="1956" t="s">
        <v>1270</v>
      </c>
      <c r="S4" s="1956"/>
      <c r="T4" s="1957" t="s">
        <v>1271</v>
      </c>
      <c r="U4" s="1957"/>
      <c r="V4" s="1957" t="s">
        <v>1272</v>
      </c>
      <c r="W4" s="1957"/>
      <c r="X4" s="1958"/>
      <c r="Y4" s="1957" t="s">
        <v>1269</v>
      </c>
      <c r="Z4" s="1957"/>
      <c r="AA4" s="1957" t="s">
        <v>1270</v>
      </c>
      <c r="AB4" s="2466" t="s">
        <v>1271</v>
      </c>
      <c r="AC4" s="1957" t="s">
        <v>1272</v>
      </c>
    </row>
    <row r="5" customFormat="false" ht="15" hidden="false" customHeight="true" outlineLevel="0" collapsed="false">
      <c r="A5" s="1959"/>
      <c r="B5" s="1960"/>
      <c r="C5" s="1961" t="s">
        <v>1273</v>
      </c>
      <c r="D5" s="1961"/>
      <c r="E5" s="2360" t="s">
        <v>1546</v>
      </c>
      <c r="F5" s="2360"/>
      <c r="G5" s="1961" t="s">
        <v>1547</v>
      </c>
      <c r="H5" s="1961"/>
      <c r="I5" s="1961" t="s">
        <v>1548</v>
      </c>
      <c r="J5" s="1961"/>
      <c r="K5" s="2359"/>
      <c r="L5" s="2464"/>
      <c r="M5" s="2465"/>
      <c r="N5" s="2465"/>
      <c r="O5" s="2465"/>
      <c r="P5" s="1955"/>
      <c r="Q5" s="1955"/>
      <c r="R5" s="1956"/>
      <c r="S5" s="1956"/>
      <c r="T5" s="1957"/>
      <c r="U5" s="1957"/>
      <c r="V5" s="1957"/>
      <c r="W5" s="1957"/>
      <c r="X5" s="1958"/>
      <c r="Y5" s="1957"/>
      <c r="Z5" s="1957"/>
      <c r="AA5" s="1957"/>
      <c r="AB5" s="1957"/>
      <c r="AC5" s="1957"/>
    </row>
    <row r="6" customFormat="false" ht="15" hidden="false" customHeight="true" outlineLevel="0" collapsed="false">
      <c r="A6" s="1964"/>
      <c r="B6" s="1965"/>
      <c r="C6" s="1966" t="s">
        <v>1274</v>
      </c>
      <c r="D6" s="1966"/>
      <c r="E6" s="1967" t="s">
        <v>1274</v>
      </c>
      <c r="F6" s="1967"/>
      <c r="G6" s="1966" t="s">
        <v>1274</v>
      </c>
      <c r="H6" s="1966"/>
      <c r="I6" s="1966" t="s">
        <v>1274</v>
      </c>
      <c r="J6" s="1966"/>
      <c r="K6" s="2359" t="s">
        <v>1275</v>
      </c>
      <c r="L6" s="2464"/>
      <c r="M6" s="2465"/>
      <c r="N6" s="2465"/>
      <c r="O6" s="2465"/>
      <c r="P6" s="1955"/>
      <c r="Q6" s="1955"/>
      <c r="R6" s="1956"/>
      <c r="S6" s="1956"/>
      <c r="T6" s="1957"/>
      <c r="U6" s="1957"/>
      <c r="V6" s="1957"/>
      <c r="W6" s="1957"/>
      <c r="X6" s="1958"/>
      <c r="Y6" s="1957"/>
      <c r="Z6" s="1957"/>
      <c r="AA6" s="1957"/>
      <c r="AB6" s="1957"/>
      <c r="AC6" s="1957"/>
    </row>
    <row r="7" s="1983" customFormat="true" ht="15" hidden="false" customHeight="false" outlineLevel="0" collapsed="false">
      <c r="A7" s="1969" t="s">
        <v>1276</v>
      </c>
      <c r="B7" s="1970"/>
      <c r="C7" s="1971" t="n">
        <f aca="false">'数据-取费表'!B2</f>
        <v>39031</v>
      </c>
      <c r="D7" s="1972" t="n">
        <v>100</v>
      </c>
      <c r="E7" s="1973"/>
      <c r="F7" s="1974" t="n">
        <f aca="false">SUMIF(52:52,YEAR(E7)&amp;"-"&amp;MONTH(E7),53:53)</f>
        <v>0</v>
      </c>
      <c r="G7" s="1973"/>
      <c r="H7" s="1975" t="n">
        <f aca="false">SUMIF(52:52,YEAR(G7)&amp;"-"&amp;MONTH(G7),53:53)</f>
        <v>0</v>
      </c>
      <c r="I7" s="1973"/>
      <c r="J7" s="1975" t="n">
        <f aca="false">SUMIF(52:52,YEAR(I7)&amp;"-"&amp;MONTH(I7),53:53)</f>
        <v>0</v>
      </c>
      <c r="K7" s="2361"/>
      <c r="L7" s="2467"/>
      <c r="M7" s="160"/>
      <c r="N7" s="160"/>
      <c r="O7" s="160"/>
      <c r="P7" s="1979" t="s">
        <v>1276</v>
      </c>
      <c r="Q7" s="1979"/>
      <c r="R7" s="1980" t="s">
        <v>1277</v>
      </c>
      <c r="S7" s="1981" t="n">
        <f aca="false">F7</f>
        <v>0</v>
      </c>
      <c r="T7" s="1980" t="s">
        <v>1277</v>
      </c>
      <c r="U7" s="1981" t="n">
        <f aca="false">H7</f>
        <v>0</v>
      </c>
      <c r="V7" s="1980" t="s">
        <v>1277</v>
      </c>
      <c r="W7" s="1981" t="n">
        <f aca="false">J7</f>
        <v>0</v>
      </c>
      <c r="X7" s="1982"/>
      <c r="Y7" s="540" t="s">
        <v>1276</v>
      </c>
      <c r="Z7" s="540"/>
      <c r="AA7" s="741" t="e">
        <f aca="false">D7/F7</f>
        <v>#DIV/0!</v>
      </c>
      <c r="AB7" s="741" t="e">
        <f aca="false">D7/H7</f>
        <v>#DIV/0!</v>
      </c>
      <c r="AC7" s="741" t="e">
        <f aca="false">D7/J7</f>
        <v>#DIV/0!</v>
      </c>
    </row>
    <row r="8" s="1983" customFormat="true" ht="15" hidden="false" customHeight="false" outlineLevel="0" collapsed="false">
      <c r="A8" s="1969" t="s">
        <v>1278</v>
      </c>
      <c r="B8" s="1970"/>
      <c r="C8" s="1984"/>
      <c r="D8" s="1972" t="n">
        <v>100</v>
      </c>
      <c r="E8" s="1984"/>
      <c r="F8" s="1974" t="n">
        <f aca="false">SUMIF(55:55,E8,56:56)-SUMIF(55:55,C8,56:56)+100</f>
        <v>100</v>
      </c>
      <c r="G8" s="1984"/>
      <c r="H8" s="1975" t="n">
        <f aca="false">SUMIF(55:55,G8,56:56)-SUMIF(55:55,C8,56:56)+100</f>
        <v>100</v>
      </c>
      <c r="I8" s="1984"/>
      <c r="J8" s="1975" t="n">
        <f aca="false">SUMIF(55:55,I8,56:56)-SUMIF(55:55,C8,56:56)+100</f>
        <v>100</v>
      </c>
      <c r="K8" s="2361"/>
      <c r="L8" s="2467"/>
      <c r="M8" s="160"/>
      <c r="N8" s="160"/>
      <c r="O8" s="160"/>
      <c r="P8" s="540" t="s">
        <v>1278</v>
      </c>
      <c r="Q8" s="540"/>
      <c r="R8" s="1980" t="s">
        <v>1277</v>
      </c>
      <c r="S8" s="1981" t="n">
        <f aca="false">F8</f>
        <v>100</v>
      </c>
      <c r="T8" s="1980" t="s">
        <v>1277</v>
      </c>
      <c r="U8" s="1981" t="n">
        <f aca="false">H8</f>
        <v>100</v>
      </c>
      <c r="V8" s="1980" t="s">
        <v>1277</v>
      </c>
      <c r="W8" s="1981" t="n">
        <f aca="false">J8</f>
        <v>100</v>
      </c>
      <c r="X8" s="1982"/>
      <c r="Y8" s="540" t="s">
        <v>1278</v>
      </c>
      <c r="Z8" s="540"/>
      <c r="AA8" s="741" t="n">
        <f aca="false">D8/F8</f>
        <v>1</v>
      </c>
      <c r="AB8" s="741" t="n">
        <f aca="false">D8/H8</f>
        <v>1</v>
      </c>
      <c r="AC8" s="741" t="n">
        <f aca="false">D8/J8</f>
        <v>1</v>
      </c>
    </row>
    <row r="9" s="1983" customFormat="true" ht="14.25" hidden="false" customHeight="true" outlineLevel="0" collapsed="false">
      <c r="A9" s="1986" t="s">
        <v>1280</v>
      </c>
      <c r="B9" s="678" t="s">
        <v>399</v>
      </c>
      <c r="C9" s="2362"/>
      <c r="D9" s="1988" t="n">
        <v>100</v>
      </c>
      <c r="E9" s="1991"/>
      <c r="F9" s="1992" t="n">
        <f aca="false">SUMIF(57:57,E9,58:58)-SUMIF(57:57,C9,58:58)+100</f>
        <v>100</v>
      </c>
      <c r="G9" s="1989"/>
      <c r="H9" s="1992" t="n">
        <f aca="false">SUMIF(57:57,G9,58:58)-SUMIF(57:57,C9,58:58)+100</f>
        <v>100</v>
      </c>
      <c r="I9" s="1989"/>
      <c r="J9" s="1992" t="n">
        <f aca="false">SUMIF(57:57,I9,58:58)-SUMIF(57:57,C9,58:58)+100</f>
        <v>100</v>
      </c>
      <c r="K9" s="2361"/>
      <c r="L9" s="2467"/>
      <c r="M9" s="160"/>
      <c r="N9" s="160"/>
      <c r="O9" s="2468"/>
      <c r="P9" s="1955"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540" t="str">
        <f aca="false">Q9</f>
        <v>用途</v>
      </c>
      <c r="AA9" s="741" t="n">
        <f aca="false">D9/F9</f>
        <v>1</v>
      </c>
      <c r="AB9" s="741" t="n">
        <f aca="false">D9/H9</f>
        <v>1</v>
      </c>
      <c r="AC9" s="741" t="n">
        <f aca="false">D9/J9</f>
        <v>1</v>
      </c>
    </row>
    <row r="10" s="2004" customFormat="true" ht="27" hidden="false" customHeight="false" outlineLevel="0" collapsed="false">
      <c r="A10" s="1995"/>
      <c r="B10" s="1996" t="s">
        <v>1281</v>
      </c>
      <c r="C10" s="1997"/>
      <c r="D10" s="1998" t="n">
        <v>100</v>
      </c>
      <c r="E10" s="1997"/>
      <c r="F10" s="2001" t="n">
        <f aca="false">SUMIF(59:59,E10,60:60)-SUMIF(59:59,C10,60:60)+100</f>
        <v>100</v>
      </c>
      <c r="G10" s="1999"/>
      <c r="H10" s="2001" t="n">
        <f aca="false">SUMIF(59:59,G10,60:60)-SUMIF(59:59,C10,60:60)+100</f>
        <v>100</v>
      </c>
      <c r="I10" s="1997"/>
      <c r="J10" s="2001" t="n">
        <f aca="false">SUMIF(59:59,I10,60:60)-SUMIF(59:59,C10,60:60)+100</f>
        <v>100</v>
      </c>
      <c r="K10" s="2361"/>
      <c r="L10" s="2469"/>
      <c r="M10" s="2470"/>
      <c r="N10" s="2470"/>
      <c r="O10" s="2471"/>
      <c r="P10" s="1955"/>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540" t="str">
        <f aca="false">Q10</f>
        <v>土地使用年限（年）</v>
      </c>
      <c r="AA10" s="741" t="n">
        <f aca="false">D10/F10</f>
        <v>1</v>
      </c>
      <c r="AB10" s="741" t="n">
        <f aca="false">D10/H10</f>
        <v>1</v>
      </c>
      <c r="AC10" s="741" t="n">
        <f aca="false">D10/J10</f>
        <v>1</v>
      </c>
    </row>
    <row r="11" customFormat="false" ht="15" hidden="false" customHeight="false" outlineLevel="0" collapsed="false">
      <c r="A11" s="2005"/>
      <c r="B11" s="1996" t="s">
        <v>524</v>
      </c>
      <c r="C11" s="2006"/>
      <c r="D11" s="1998" t="n">
        <v>100</v>
      </c>
      <c r="E11" s="2006"/>
      <c r="F11" s="2001" t="n">
        <f aca="false">LOOKUP(E11,62:62,63:63)-LOOKUP(C11,62:62,63:63)+100</f>
        <v>100</v>
      </c>
      <c r="G11" s="2007"/>
      <c r="H11" s="2001" t="n">
        <f aca="false">LOOKUP(G11,62:62,63:63)-LOOKUP(C11,62:62,63:63)+100</f>
        <v>100</v>
      </c>
      <c r="I11" s="2006"/>
      <c r="J11" s="2001" t="n">
        <f aca="false">LOOKUP(I11,62:62,63:63)-LOOKUP(C11,62:62,63:63)+100</f>
        <v>100</v>
      </c>
      <c r="K11" s="2363"/>
      <c r="L11" s="2472"/>
      <c r="M11" s="2465"/>
      <c r="N11" s="2465"/>
      <c r="O11" s="2473"/>
      <c r="P11" s="1955"/>
      <c r="Q11" s="510" t="str">
        <f aca="false">B11</f>
        <v>容积率</v>
      </c>
      <c r="R11" s="1980" t="s">
        <v>1277</v>
      </c>
      <c r="S11" s="1981" t="n">
        <f aca="false">F11</f>
        <v>100</v>
      </c>
      <c r="T11" s="1980" t="s">
        <v>1277</v>
      </c>
      <c r="U11" s="1981" t="n">
        <f aca="false">H11</f>
        <v>100</v>
      </c>
      <c r="V11" s="1980" t="s">
        <v>1277</v>
      </c>
      <c r="W11" s="1981" t="n">
        <f aca="false">J11</f>
        <v>100</v>
      </c>
      <c r="X11" s="1982"/>
      <c r="Y11" s="1994"/>
      <c r="Z11" s="540" t="str">
        <f aca="false">Q11</f>
        <v>容积率</v>
      </c>
      <c r="AA11" s="741" t="n">
        <f aca="false">D11/F11</f>
        <v>1</v>
      </c>
      <c r="AB11" s="741" t="n">
        <f aca="false">D11/H11</f>
        <v>1</v>
      </c>
      <c r="AC11" s="741" t="n">
        <f aca="false">D11/J11</f>
        <v>1</v>
      </c>
    </row>
    <row r="12" s="1983" customFormat="true" ht="15" hidden="false" customHeight="false" outlineLevel="0" collapsed="false">
      <c r="A12" s="2010"/>
      <c r="B12" s="2011" t="n">
        <v>111</v>
      </c>
      <c r="C12" s="2012"/>
      <c r="D12" s="2013" t="n">
        <v>100</v>
      </c>
      <c r="E12" s="2015"/>
      <c r="F12" s="2001" t="n">
        <f aca="false">SUMIF(64:64,E12,65:65)-SUMIF(64:64,C12,65:65)+100</f>
        <v>100</v>
      </c>
      <c r="G12" s="2474"/>
      <c r="H12" s="2001" t="n">
        <f aca="false">SUMIF(64:64,G12,65:65)-SUMIF(64:64,C12,65:65)+100</f>
        <v>100</v>
      </c>
      <c r="I12" s="2081"/>
      <c r="J12" s="2001" t="n">
        <f aca="false">SUMIF(64:64,I12,65:65)-SUMIF(64:64,C12,65:65)+100</f>
        <v>100</v>
      </c>
      <c r="K12" s="2364"/>
      <c r="L12" s="2467"/>
      <c r="M12" s="160"/>
      <c r="N12" s="160"/>
      <c r="O12" s="2468"/>
      <c r="P12" s="1955"/>
      <c r="Q12" s="510" t="n">
        <f aca="false">B12</f>
        <v>111</v>
      </c>
      <c r="R12" s="1980" t="s">
        <v>1277</v>
      </c>
      <c r="S12" s="1981" t="n">
        <f aca="false">F12</f>
        <v>100</v>
      </c>
      <c r="T12" s="1980" t="s">
        <v>1277</v>
      </c>
      <c r="U12" s="1981" t="n">
        <f aca="false">H12</f>
        <v>100</v>
      </c>
      <c r="V12" s="1980" t="s">
        <v>1277</v>
      </c>
      <c r="W12" s="1981" t="n">
        <f aca="false">J12</f>
        <v>100</v>
      </c>
      <c r="X12" s="1982"/>
      <c r="Y12" s="1994"/>
      <c r="Z12" s="540" t="n">
        <f aca="false">Q12</f>
        <v>111</v>
      </c>
      <c r="AA12" s="741" t="n">
        <f aca="false">D12/F12</f>
        <v>1</v>
      </c>
      <c r="AB12" s="741" t="n">
        <f aca="false">D12/H12</f>
        <v>1</v>
      </c>
      <c r="AC12" s="741" t="n">
        <f aca="false">D12/J12</f>
        <v>1</v>
      </c>
    </row>
    <row r="13" customFormat="false" ht="15" hidden="false" customHeight="false" outlineLevel="0" collapsed="false">
      <c r="A13" s="2005"/>
      <c r="B13" s="2011" t="n">
        <v>111</v>
      </c>
      <c r="C13" s="2015"/>
      <c r="D13" s="2016" t="n">
        <v>100</v>
      </c>
      <c r="E13" s="2015"/>
      <c r="F13" s="2001" t="n">
        <f aca="false">SUMIF(66:66,E13,67:67)-SUMIF(66:66,C13,67:67)+100</f>
        <v>100</v>
      </c>
      <c r="G13" s="2474"/>
      <c r="H13" s="2017" t="n">
        <f aca="false">SUMIF(66:66,G13,67:67)-SUMIF(66:66,C13,67:67)+100</f>
        <v>100</v>
      </c>
      <c r="I13" s="2081"/>
      <c r="J13" s="2017" t="n">
        <f aca="false">SUMIF(66:66,I13,67:67)-SUMIF(66:66,C13,67:67)+100</f>
        <v>100</v>
      </c>
      <c r="K13" s="2364"/>
      <c r="L13" s="2475"/>
      <c r="M13" s="2465"/>
      <c r="N13" s="2465"/>
      <c r="O13" s="2473"/>
      <c r="P13" s="1955"/>
      <c r="Q13" s="510" t="n">
        <f aca="false">B13</f>
        <v>111</v>
      </c>
      <c r="R13" s="1980" t="s">
        <v>1277</v>
      </c>
      <c r="S13" s="1981" t="n">
        <f aca="false">F13</f>
        <v>100</v>
      </c>
      <c r="T13" s="1980" t="s">
        <v>1277</v>
      </c>
      <c r="U13" s="1981" t="n">
        <f aca="false">H13</f>
        <v>100</v>
      </c>
      <c r="V13" s="1980" t="s">
        <v>1277</v>
      </c>
      <c r="W13" s="1981" t="n">
        <f aca="false">J13</f>
        <v>100</v>
      </c>
      <c r="X13" s="1982"/>
      <c r="Y13" s="1994"/>
      <c r="Z13" s="540" t="n">
        <f aca="false">Q13</f>
        <v>111</v>
      </c>
      <c r="AA13" s="741" t="n">
        <f aca="false">D13/F13</f>
        <v>1</v>
      </c>
      <c r="AB13" s="741" t="n">
        <f aca="false">D13/H13</f>
        <v>1</v>
      </c>
      <c r="AC13" s="741" t="n">
        <f aca="false">D13/J13</f>
        <v>1</v>
      </c>
    </row>
    <row r="14" customFormat="false" ht="15" hidden="false" customHeight="false" outlineLevel="0" collapsed="false">
      <c r="A14" s="2019"/>
      <c r="B14" s="2020" t="n">
        <v>111</v>
      </c>
      <c r="C14" s="2021"/>
      <c r="D14" s="2022" t="n">
        <v>100</v>
      </c>
      <c r="E14" s="2021"/>
      <c r="F14" s="2024" t="n">
        <f aca="false">SUMIF(68:68,E14,69:69)-SUMIF(68:68,C14,69:69)+100</f>
        <v>100</v>
      </c>
      <c r="G14" s="2474"/>
      <c r="H14" s="2024" t="n">
        <f aca="false">SUMIF(68:68,G14,69:69)-SUMIF(68:68,C14,69:69)+100</f>
        <v>100</v>
      </c>
      <c r="I14" s="2081"/>
      <c r="J14" s="2024" t="n">
        <f aca="false">SUMIF(68:68,I14,69:69)-SUMIF(68:68,C14,69:69)+100</f>
        <v>100</v>
      </c>
      <c r="K14" s="2364"/>
      <c r="L14" s="2475"/>
      <c r="M14" s="2465"/>
      <c r="N14" s="2465"/>
      <c r="O14" s="2473"/>
      <c r="P14" s="1955"/>
      <c r="Q14" s="510" t="n">
        <f aca="false">B14</f>
        <v>111</v>
      </c>
      <c r="R14" s="1980" t="s">
        <v>1277</v>
      </c>
      <c r="S14" s="1981" t="n">
        <f aca="false">F14</f>
        <v>100</v>
      </c>
      <c r="T14" s="1980" t="s">
        <v>1277</v>
      </c>
      <c r="U14" s="1981" t="n">
        <f aca="false">H14</f>
        <v>100</v>
      </c>
      <c r="V14" s="1980" t="s">
        <v>1277</v>
      </c>
      <c r="W14" s="1981" t="n">
        <f aca="false">J14</f>
        <v>100</v>
      </c>
      <c r="X14" s="1982"/>
      <c r="Y14" s="1994"/>
      <c r="Z14" s="540" t="n">
        <f aca="false">Q14</f>
        <v>111</v>
      </c>
      <c r="AA14" s="741" t="n">
        <f aca="false">D14/F14</f>
        <v>1</v>
      </c>
      <c r="AB14" s="741" t="n">
        <f aca="false">D14/H14</f>
        <v>1</v>
      </c>
      <c r="AC14" s="741" t="n">
        <f aca="false">D14/J14</f>
        <v>1</v>
      </c>
    </row>
    <row r="15" customFormat="false" ht="57" hidden="false" customHeight="true" outlineLevel="0" collapsed="false">
      <c r="A15" s="2025" t="s">
        <v>648</v>
      </c>
      <c r="B15" s="671" t="s">
        <v>215</v>
      </c>
      <c r="C15" s="2476" t="str">
        <f aca="false">估价对象房地状况!G3</f>
        <v>估价对象位于XX开发区，园区建设成熟度XX，产业集聚程度XX</v>
      </c>
      <c r="D15" s="2027" t="n">
        <v>100</v>
      </c>
      <c r="E15" s="2030"/>
      <c r="F15" s="2365" t="n">
        <f aca="false">SUMIF(70:70,E16,71:71)-SUMIF(70:70,C16,71:71)+100</f>
        <v>100</v>
      </c>
      <c r="G15" s="2028"/>
      <c r="H15" s="2029" t="n">
        <f aca="false">SUMIF(70:70,G16,71:71)-SUMIF(70:70,C16,71:71)+100</f>
        <v>100</v>
      </c>
      <c r="I15" s="2030"/>
      <c r="J15" s="2029" t="n">
        <f aca="false">SUMIF(70:70,I16,71:71)-SUMIF(70:70,C16,71:71)+100</f>
        <v>100</v>
      </c>
      <c r="K15" s="2366"/>
      <c r="L15" s="2475"/>
      <c r="M15" s="2465"/>
      <c r="N15" s="2465"/>
      <c r="O15" s="2473"/>
      <c r="P15" s="2036" t="s">
        <v>648</v>
      </c>
      <c r="Q15" s="2033" t="str">
        <f aca="false">B15</f>
        <v>产业集聚程度</v>
      </c>
      <c r="R15" s="2034" t="s">
        <v>1277</v>
      </c>
      <c r="S15" s="2035" t="n">
        <f aca="false">F15</f>
        <v>100</v>
      </c>
      <c r="T15" s="2034" t="s">
        <v>1277</v>
      </c>
      <c r="U15" s="2035" t="n">
        <f aca="false">H15</f>
        <v>100</v>
      </c>
      <c r="V15" s="2034" t="s">
        <v>1277</v>
      </c>
      <c r="W15" s="2035" t="n">
        <f aca="false">J15</f>
        <v>100</v>
      </c>
      <c r="X15" s="1958"/>
      <c r="Y15" s="2036" t="s">
        <v>648</v>
      </c>
      <c r="Z15" s="2037" t="str">
        <f aca="false">Q15</f>
        <v>产业集聚程度</v>
      </c>
      <c r="AA15" s="2038" t="n">
        <f aca="false">D15/F15</f>
        <v>1</v>
      </c>
      <c r="AB15" s="2038" t="n">
        <f aca="false">D15/H15</f>
        <v>1</v>
      </c>
      <c r="AC15" s="2038" t="n">
        <f aca="false">D15/J15</f>
        <v>1</v>
      </c>
    </row>
    <row r="16" customFormat="false" ht="15" hidden="false" customHeight="false" outlineLevel="0" collapsed="false">
      <c r="A16" s="2005"/>
      <c r="B16" s="2039"/>
      <c r="C16" s="2040"/>
      <c r="D16" s="2041"/>
      <c r="E16" s="2040"/>
      <c r="F16" s="2367"/>
      <c r="G16" s="2040"/>
      <c r="H16" s="2044"/>
      <c r="I16" s="2040"/>
      <c r="J16" s="2041"/>
      <c r="K16" s="2368"/>
      <c r="L16" s="2475"/>
      <c r="M16" s="2465"/>
      <c r="N16" s="2465"/>
      <c r="O16" s="2473"/>
      <c r="P16" s="2036"/>
      <c r="Q16" s="2033"/>
      <c r="R16" s="2034"/>
      <c r="S16" s="2035"/>
      <c r="T16" s="2034"/>
      <c r="U16" s="2035"/>
      <c r="V16" s="2034"/>
      <c r="W16" s="2035"/>
      <c r="X16" s="1958"/>
      <c r="Y16" s="2036"/>
      <c r="Z16" s="2037"/>
      <c r="AA16" s="2038" t="n">
        <v>1</v>
      </c>
      <c r="AB16" s="2038" t="n">
        <v>1</v>
      </c>
      <c r="AC16" s="2038" t="n">
        <v>1</v>
      </c>
    </row>
    <row r="17" customFormat="false" ht="85.5" hidden="false" customHeight="false" outlineLevel="0" collapsed="false">
      <c r="A17" s="2005"/>
      <c r="B17" s="2046" t="s">
        <v>216</v>
      </c>
      <c r="C17" s="2047" t="str">
        <f aca="false">估价对象房地状况!G4</f>
        <v>估价对象周边道路状况、公共交通通达情况、停车便捷程度，综合评价交通便捷度较好</v>
      </c>
      <c r="D17" s="2048" t="n">
        <v>100</v>
      </c>
      <c r="E17" s="2050"/>
      <c r="F17" s="2369" t="n">
        <f aca="false">SUMIF(72:72,E18,73:73)-SUMIF(72:72,C18,73:73)+100</f>
        <v>100</v>
      </c>
      <c r="G17" s="2049"/>
      <c r="H17" s="2051" t="n">
        <f aca="false">SUMIF(72:72,G18,73:73)-SUMIF(72:72,C18,73:73)+100</f>
        <v>100</v>
      </c>
      <c r="I17" s="2050"/>
      <c r="J17" s="2051" t="n">
        <f aca="false">SUMIF(72:72,I18,73:73)-SUMIF(72:72,C18,73:73)+100</f>
        <v>100</v>
      </c>
      <c r="K17" s="2366"/>
      <c r="L17" s="2475"/>
      <c r="M17" s="2465"/>
      <c r="N17" s="2465"/>
      <c r="O17" s="2473"/>
      <c r="P17" s="2036"/>
      <c r="Q17" s="2033" t="str">
        <f aca="false">B17</f>
        <v>交通便捷度</v>
      </c>
      <c r="R17" s="2034" t="s">
        <v>1277</v>
      </c>
      <c r="S17" s="2035" t="n">
        <f aca="false">F17</f>
        <v>100</v>
      </c>
      <c r="T17" s="2034" t="s">
        <v>1277</v>
      </c>
      <c r="U17" s="2035" t="n">
        <f aca="false">H17</f>
        <v>100</v>
      </c>
      <c r="V17" s="2034" t="s">
        <v>1277</v>
      </c>
      <c r="W17" s="2035" t="n">
        <f aca="false">J17</f>
        <v>100</v>
      </c>
      <c r="X17" s="1958"/>
      <c r="Y17" s="2036"/>
      <c r="Z17" s="2037" t="str">
        <f aca="false">Q17</f>
        <v>交通便捷度</v>
      </c>
      <c r="AA17" s="2038" t="n">
        <f aca="false">D17/F17</f>
        <v>1</v>
      </c>
      <c r="AB17" s="2038" t="n">
        <f aca="false">D17/H17</f>
        <v>1</v>
      </c>
      <c r="AC17" s="2038" t="n">
        <f aca="false">D17/J17</f>
        <v>1</v>
      </c>
    </row>
    <row r="18" customFormat="false" ht="15" hidden="false" customHeight="false" outlineLevel="0" collapsed="false">
      <c r="A18" s="2005"/>
      <c r="B18" s="2052"/>
      <c r="C18" s="2053"/>
      <c r="D18" s="2048"/>
      <c r="E18" s="2055"/>
      <c r="F18" s="2369"/>
      <c r="G18" s="2054"/>
      <c r="H18" s="2041"/>
      <c r="I18" s="2055"/>
      <c r="J18" s="2041"/>
      <c r="K18" s="2368"/>
      <c r="L18" s="2475"/>
      <c r="M18" s="2465"/>
      <c r="N18" s="2465"/>
      <c r="O18" s="2473"/>
      <c r="P18" s="2036"/>
      <c r="Q18" s="2033"/>
      <c r="R18" s="2034"/>
      <c r="S18" s="2035"/>
      <c r="T18" s="2034"/>
      <c r="U18" s="2035"/>
      <c r="V18" s="2034"/>
      <c r="W18" s="2035"/>
      <c r="X18" s="1958"/>
      <c r="Y18" s="2036"/>
      <c r="Z18" s="2037"/>
      <c r="AA18" s="2038" t="n">
        <v>1</v>
      </c>
      <c r="AB18" s="2038" t="n">
        <v>1</v>
      </c>
      <c r="AC18" s="2038" t="n">
        <v>1</v>
      </c>
    </row>
    <row r="19" customFormat="false" ht="42.75" hidden="false" customHeight="false" outlineLevel="0" collapsed="false">
      <c r="A19" s="2005"/>
      <c r="B19" s="2046" t="s">
        <v>218</v>
      </c>
      <c r="C19" s="2047" t="str">
        <f aca="false">估价对象房地状况!G5</f>
        <v>估价对象所在区域公共配套设施齐备情况</v>
      </c>
      <c r="D19" s="2056" t="n">
        <v>100</v>
      </c>
      <c r="E19" s="2058"/>
      <c r="F19" s="2370" t="n">
        <f aca="false">SUMIF(74:74,E20,75:75)-SUMIF(74:74,C20,75:75)+100</f>
        <v>100</v>
      </c>
      <c r="G19" s="2057"/>
      <c r="H19" s="2044" t="n">
        <f aca="false">SUMIF(74:74,G20,75:75)-SUMIF(74:74,C20,75:75)+100</f>
        <v>100</v>
      </c>
      <c r="I19" s="2058"/>
      <c r="J19" s="2044" t="n">
        <f aca="false">SUMIF(74:74,I20,75:75)-SUMIF(74:74,C20,75:75)+100</f>
        <v>100</v>
      </c>
      <c r="K19" s="2366"/>
      <c r="L19" s="2475"/>
      <c r="M19" s="2465"/>
      <c r="N19" s="2465"/>
      <c r="O19" s="2473"/>
      <c r="P19" s="2036"/>
      <c r="Q19" s="2033" t="str">
        <f aca="false">B19</f>
        <v>公共配套设施</v>
      </c>
      <c r="R19" s="2034" t="s">
        <v>1277</v>
      </c>
      <c r="S19" s="2035" t="n">
        <f aca="false">F19</f>
        <v>100</v>
      </c>
      <c r="T19" s="2034" t="s">
        <v>1277</v>
      </c>
      <c r="U19" s="2035" t="n">
        <f aca="false">H19</f>
        <v>100</v>
      </c>
      <c r="V19" s="2034" t="s">
        <v>1277</v>
      </c>
      <c r="W19" s="2035" t="n">
        <f aca="false">J19</f>
        <v>100</v>
      </c>
      <c r="X19" s="1958"/>
      <c r="Y19" s="2036"/>
      <c r="Z19" s="2037" t="str">
        <f aca="false">Q19</f>
        <v>公共配套设施</v>
      </c>
      <c r="AA19" s="2038" t="n">
        <f aca="false">D19/F19</f>
        <v>1</v>
      </c>
      <c r="AB19" s="2038" t="n">
        <f aca="false">D19/H19</f>
        <v>1</v>
      </c>
      <c r="AC19" s="2038" t="n">
        <f aca="false">D19/J19</f>
        <v>1</v>
      </c>
    </row>
    <row r="20" customFormat="false" ht="15" hidden="false" customHeight="false" outlineLevel="0" collapsed="false">
      <c r="A20" s="2005"/>
      <c r="B20" s="2052"/>
      <c r="C20" s="2040"/>
      <c r="D20" s="2041"/>
      <c r="E20" s="2043"/>
      <c r="F20" s="2367"/>
      <c r="G20" s="2042"/>
      <c r="H20" s="2041"/>
      <c r="I20" s="2043"/>
      <c r="J20" s="2041"/>
      <c r="K20" s="2368"/>
      <c r="L20" s="2475"/>
      <c r="M20" s="2465"/>
      <c r="N20" s="2465"/>
      <c r="O20" s="2473"/>
      <c r="P20" s="2036"/>
      <c r="Q20" s="2033"/>
      <c r="R20" s="2034"/>
      <c r="S20" s="2035"/>
      <c r="T20" s="2034"/>
      <c r="U20" s="2035"/>
      <c r="V20" s="2034"/>
      <c r="W20" s="2035"/>
      <c r="X20" s="1958"/>
      <c r="Y20" s="2036"/>
      <c r="Z20" s="2037"/>
      <c r="AA20" s="2038" t="n">
        <v>1</v>
      </c>
      <c r="AB20" s="2038" t="n">
        <v>1</v>
      </c>
      <c r="AC20" s="2038" t="n">
        <v>1</v>
      </c>
    </row>
    <row r="21" customFormat="false" ht="28.5" hidden="false" customHeight="false" outlineLevel="0" collapsed="false">
      <c r="A21" s="2005"/>
      <c r="B21" s="2059" t="s">
        <v>219</v>
      </c>
      <c r="C21" s="2047" t="str">
        <f aca="false">估价对象房地状况!G6</f>
        <v>估价对象所在区域基础设施水平</v>
      </c>
      <c r="D21" s="2048" t="n">
        <v>100</v>
      </c>
      <c r="E21" s="2058"/>
      <c r="F21" s="2370" t="n">
        <f aca="false">SUMIF(76:76,E22,77:77)-SUMIF(76:76,C22,77:77)+100</f>
        <v>100</v>
      </c>
      <c r="G21" s="2057"/>
      <c r="H21" s="2044" t="n">
        <f aca="false">SUMIF(76:76,G22,77:77)-SUMIF(76:76,C22,77:77)+100</f>
        <v>100</v>
      </c>
      <c r="I21" s="2058"/>
      <c r="J21" s="2044" t="n">
        <f aca="false">SUMIF(76:76,I22,77:77)-SUMIF(76:76,C22,77:77)+100</f>
        <v>100</v>
      </c>
      <c r="K21" s="2366"/>
      <c r="L21" s="2475"/>
      <c r="M21" s="2465"/>
      <c r="N21" s="2465"/>
      <c r="O21" s="2473"/>
      <c r="P21" s="2036"/>
      <c r="Q21" s="2033" t="str">
        <f aca="false">B21</f>
        <v>基础设施水平</v>
      </c>
      <c r="R21" s="2034" t="s">
        <v>1277</v>
      </c>
      <c r="S21" s="2035" t="n">
        <f aca="false">F21</f>
        <v>100</v>
      </c>
      <c r="T21" s="2034" t="s">
        <v>1277</v>
      </c>
      <c r="U21" s="2035" t="n">
        <f aca="false">H21</f>
        <v>100</v>
      </c>
      <c r="V21" s="2034" t="s">
        <v>1277</v>
      </c>
      <c r="W21" s="2035" t="n">
        <f aca="false">J21</f>
        <v>100</v>
      </c>
      <c r="X21" s="1958"/>
      <c r="Y21" s="2036"/>
      <c r="Z21" s="2037" t="str">
        <f aca="false">Q21</f>
        <v>基础设施水平</v>
      </c>
      <c r="AA21" s="2038" t="n">
        <f aca="false">D21/F21</f>
        <v>1</v>
      </c>
      <c r="AB21" s="2038" t="n">
        <f aca="false">D21/H21</f>
        <v>1</v>
      </c>
      <c r="AC21" s="2038" t="n">
        <f aca="false">D21/J21</f>
        <v>1</v>
      </c>
    </row>
    <row r="22" customFormat="false" ht="15" hidden="false" customHeight="false" outlineLevel="0" collapsed="false">
      <c r="A22" s="2005"/>
      <c r="B22" s="2059"/>
      <c r="C22" s="2053"/>
      <c r="D22" s="2041"/>
      <c r="E22" s="2040"/>
      <c r="F22" s="2367"/>
      <c r="G22" s="2040"/>
      <c r="H22" s="2041"/>
      <c r="I22" s="2040"/>
      <c r="J22" s="2041"/>
      <c r="K22" s="2371"/>
      <c r="L22" s="2475"/>
      <c r="M22" s="2465"/>
      <c r="N22" s="2465"/>
      <c r="O22" s="2473"/>
      <c r="P22" s="2036"/>
      <c r="Q22" s="2033"/>
      <c r="R22" s="2034"/>
      <c r="S22" s="2035"/>
      <c r="T22" s="2034"/>
      <c r="U22" s="2035"/>
      <c r="V22" s="2034"/>
      <c r="W22" s="2035"/>
      <c r="X22" s="1958"/>
      <c r="Y22" s="2036"/>
      <c r="Z22" s="2037"/>
      <c r="AA22" s="2038" t="n">
        <v>1</v>
      </c>
      <c r="AB22" s="2038" t="n">
        <v>1</v>
      </c>
      <c r="AC22" s="2038" t="n">
        <v>1</v>
      </c>
    </row>
    <row r="23" customFormat="false" ht="71.25" hidden="false" customHeight="false" outlineLevel="0" collapsed="false">
      <c r="A23" s="2005"/>
      <c r="B23" s="2046" t="s">
        <v>220</v>
      </c>
      <c r="C23" s="2047" t="str">
        <f aca="false">估价对象房地状况!G7</f>
        <v>该园区内是否有污染型企业，绿化情况，卫生条件，整体环境状况判断</v>
      </c>
      <c r="D23" s="2048" t="n">
        <v>100</v>
      </c>
      <c r="E23" s="2050"/>
      <c r="F23" s="2369" t="n">
        <f aca="false">SUMIF(78:78,E24,79:79)-SUMIF(78:78,C24,79:79)+100</f>
        <v>100</v>
      </c>
      <c r="G23" s="2049"/>
      <c r="H23" s="2044" t="n">
        <f aca="false">SUMIF(78:78,G24,79:79)-SUMIF(78:78,C24,79:79)+100</f>
        <v>100</v>
      </c>
      <c r="I23" s="2050"/>
      <c r="J23" s="2044" t="n">
        <f aca="false">SUMIF(78:78,I24,79:79)-SUMIF(78:78,C24,79:79)+100</f>
        <v>100</v>
      </c>
      <c r="K23" s="2366"/>
      <c r="L23" s="2475"/>
      <c r="M23" s="2465"/>
      <c r="N23" s="2465"/>
      <c r="O23" s="2473"/>
      <c r="P23" s="2036"/>
      <c r="Q23" s="2033" t="str">
        <f aca="false">B23</f>
        <v>环境质量</v>
      </c>
      <c r="R23" s="2034" t="s">
        <v>1277</v>
      </c>
      <c r="S23" s="2035" t="n">
        <f aca="false">F23</f>
        <v>100</v>
      </c>
      <c r="T23" s="2034" t="s">
        <v>1277</v>
      </c>
      <c r="U23" s="2035" t="n">
        <f aca="false">H23</f>
        <v>100</v>
      </c>
      <c r="V23" s="2034" t="s">
        <v>1277</v>
      </c>
      <c r="W23" s="2035" t="n">
        <f aca="false">J23</f>
        <v>100</v>
      </c>
      <c r="X23" s="1958"/>
      <c r="Y23" s="2036"/>
      <c r="Z23" s="2037" t="str">
        <f aca="false">Q23</f>
        <v>环境质量</v>
      </c>
      <c r="AA23" s="2038" t="n">
        <f aca="false">D23/F23</f>
        <v>1</v>
      </c>
      <c r="AB23" s="2038" t="n">
        <f aca="false">D23/H23</f>
        <v>1</v>
      </c>
      <c r="AC23" s="2038" t="n">
        <f aca="false">D23/J23</f>
        <v>1</v>
      </c>
    </row>
    <row r="24" customFormat="false" ht="15" hidden="false" customHeight="false" outlineLevel="0" collapsed="false">
      <c r="A24" s="2005"/>
      <c r="B24" s="2059"/>
      <c r="C24" s="2040"/>
      <c r="D24" s="2041"/>
      <c r="E24" s="2043"/>
      <c r="F24" s="2367"/>
      <c r="G24" s="2042"/>
      <c r="H24" s="2041"/>
      <c r="I24" s="2043"/>
      <c r="J24" s="2041"/>
      <c r="K24" s="2368"/>
      <c r="L24" s="2475"/>
      <c r="M24" s="2465"/>
      <c r="N24" s="2465"/>
      <c r="O24" s="2473"/>
      <c r="P24" s="2036"/>
      <c r="Q24" s="2033"/>
      <c r="R24" s="2034"/>
      <c r="S24" s="2035"/>
      <c r="T24" s="2034"/>
      <c r="U24" s="2035"/>
      <c r="V24" s="2034"/>
      <c r="W24" s="2035"/>
      <c r="X24" s="1958"/>
      <c r="Y24" s="2036"/>
      <c r="Z24" s="2037"/>
      <c r="AA24" s="2038" t="n">
        <v>1</v>
      </c>
      <c r="AB24" s="2038" t="n">
        <v>1</v>
      </c>
      <c r="AC24" s="2038" t="n">
        <v>1</v>
      </c>
    </row>
    <row r="25" customFormat="false" ht="15" hidden="false" customHeight="false" outlineLevel="0" collapsed="false">
      <c r="A25" s="1959"/>
      <c r="B25" s="2070" t="n">
        <v>111</v>
      </c>
      <c r="C25" s="2015" t="n">
        <v>111</v>
      </c>
      <c r="D25" s="2016" t="n">
        <v>100</v>
      </c>
      <c r="E25" s="2015"/>
      <c r="F25" s="2076" t="n">
        <f aca="false">SUMIF(80:80,E25,81:81)-SUMIF(80:80,C25,81:81)+100</f>
        <v>100</v>
      </c>
      <c r="G25" s="2015"/>
      <c r="H25" s="2017" t="n">
        <f aca="false">SUMIF(80:80,G25,81:81)-SUMIF(80:80,C25,81:81)+100</f>
        <v>100</v>
      </c>
      <c r="I25" s="2015"/>
      <c r="J25" s="2017" t="n">
        <f aca="false">SUMIF(80:80,I25,81:81)-SUMIF(80:80,C25,81:81)+100</f>
        <v>100</v>
      </c>
      <c r="K25" s="2364"/>
      <c r="L25" s="2475"/>
      <c r="M25" s="2465"/>
      <c r="N25" s="2465"/>
      <c r="O25" s="2473"/>
      <c r="P25" s="2036"/>
      <c r="Q25" s="2033" t="n">
        <f aca="false">B25</f>
        <v>111</v>
      </c>
      <c r="R25" s="2034" t="s">
        <v>1277</v>
      </c>
      <c r="S25" s="2035" t="n">
        <f aca="false">F25</f>
        <v>100</v>
      </c>
      <c r="T25" s="2034" t="s">
        <v>1277</v>
      </c>
      <c r="U25" s="2035" t="n">
        <f aca="false">H25</f>
        <v>100</v>
      </c>
      <c r="V25" s="2034" t="s">
        <v>1277</v>
      </c>
      <c r="W25" s="2035" t="n">
        <f aca="false">J25</f>
        <v>100</v>
      </c>
      <c r="X25" s="1958"/>
      <c r="Y25" s="2036"/>
      <c r="Z25" s="2037" t="n">
        <f aca="false">Q25</f>
        <v>111</v>
      </c>
      <c r="AA25" s="2038" t="n">
        <f aca="false">D25/F25</f>
        <v>1</v>
      </c>
      <c r="AB25" s="2038" t="n">
        <f aca="false">D25/H25</f>
        <v>1</v>
      </c>
      <c r="AC25" s="2038" t="n">
        <f aca="false">D25/J25</f>
        <v>1</v>
      </c>
    </row>
    <row r="26" customFormat="false" ht="15" hidden="false" customHeight="false" outlineLevel="0" collapsed="false">
      <c r="A26" s="2005"/>
      <c r="B26" s="2070" t="n">
        <v>111</v>
      </c>
      <c r="C26" s="2015" t="n">
        <v>111</v>
      </c>
      <c r="D26" s="2016" t="n">
        <v>100</v>
      </c>
      <c r="E26" s="2015"/>
      <c r="F26" s="2076" t="n">
        <f aca="false">SUMIF(82:82,E26,83:83)-SUMIF(82:82,C26,83:83)+100</f>
        <v>100</v>
      </c>
      <c r="G26" s="2015"/>
      <c r="H26" s="2017" t="n">
        <f aca="false">SUMIF(82:82,G26,83:83)-SUMIF(82:82,C26,83:83)+100</f>
        <v>100</v>
      </c>
      <c r="I26" s="2015"/>
      <c r="J26" s="2017" t="n">
        <f aca="false">SUMIF(82:82,I26,83:83)-SUMIF(82:82,C26,83:83)+100</f>
        <v>100</v>
      </c>
      <c r="K26" s="2364"/>
      <c r="L26" s="2475"/>
      <c r="M26" s="2465"/>
      <c r="N26" s="2465"/>
      <c r="O26" s="2473"/>
      <c r="P26" s="2036"/>
      <c r="Q26" s="2033" t="n">
        <f aca="false">B26</f>
        <v>111</v>
      </c>
      <c r="R26" s="2034" t="s">
        <v>1277</v>
      </c>
      <c r="S26" s="2035" t="n">
        <f aca="false">F26</f>
        <v>100</v>
      </c>
      <c r="T26" s="2034" t="s">
        <v>1277</v>
      </c>
      <c r="U26" s="2035" t="n">
        <f aca="false">H26</f>
        <v>100</v>
      </c>
      <c r="V26" s="2034" t="s">
        <v>1277</v>
      </c>
      <c r="W26" s="2035" t="n">
        <f aca="false">J26</f>
        <v>100</v>
      </c>
      <c r="X26" s="1958"/>
      <c r="Y26" s="2036"/>
      <c r="Z26" s="2037" t="n">
        <f aca="false">Q26</f>
        <v>111</v>
      </c>
      <c r="AA26" s="2038" t="n">
        <f aca="false">D26/F26</f>
        <v>1</v>
      </c>
      <c r="AB26" s="2038" t="n">
        <f aca="false">D26/H26</f>
        <v>1</v>
      </c>
      <c r="AC26" s="2038" t="n">
        <f aca="false">D26/J26</f>
        <v>1</v>
      </c>
    </row>
    <row r="27" s="1983" customFormat="true" ht="15" hidden="false" customHeight="false" outlineLevel="0" collapsed="false">
      <c r="A27" s="2010"/>
      <c r="B27" s="2070" t="n">
        <v>111</v>
      </c>
      <c r="C27" s="2015" t="n">
        <v>111</v>
      </c>
      <c r="D27" s="2067" t="n">
        <v>100</v>
      </c>
      <c r="E27" s="2015"/>
      <c r="F27" s="2375" t="n">
        <f aca="false">SUMIF(84:84,E27,85:85)-SUMIF(84:84,C27,85:85)+100</f>
        <v>100</v>
      </c>
      <c r="G27" s="2015"/>
      <c r="H27" s="2068" t="n">
        <f aca="false">SUMIF(84:84,G27,85:85)-SUMIF(84:84,C27,85:85)+100</f>
        <v>100</v>
      </c>
      <c r="I27" s="2015"/>
      <c r="J27" s="2068" t="n">
        <f aca="false">SUMIF(84:84,I27,85:85)-SUMIF(84:84,C27,85:85)+100</f>
        <v>100</v>
      </c>
      <c r="K27" s="2364"/>
      <c r="L27" s="2467"/>
      <c r="M27" s="160"/>
      <c r="N27" s="160"/>
      <c r="O27" s="2468"/>
      <c r="P27" s="2036"/>
      <c r="Q27" s="510" t="n">
        <f aca="false">B27</f>
        <v>111</v>
      </c>
      <c r="R27" s="1980" t="s">
        <v>1277</v>
      </c>
      <c r="S27" s="1981" t="n">
        <f aca="false">F27</f>
        <v>100</v>
      </c>
      <c r="T27" s="1980" t="s">
        <v>1277</v>
      </c>
      <c r="U27" s="1981" t="n">
        <f aca="false">H27</f>
        <v>100</v>
      </c>
      <c r="V27" s="1980" t="s">
        <v>1277</v>
      </c>
      <c r="W27" s="1981" t="n">
        <f aca="false">J27</f>
        <v>100</v>
      </c>
      <c r="X27" s="1982"/>
      <c r="Y27" s="2036"/>
      <c r="Z27" s="540" t="n">
        <f aca="false">Q27</f>
        <v>111</v>
      </c>
      <c r="AA27" s="2038" t="n">
        <f aca="false">D27/F27</f>
        <v>1</v>
      </c>
      <c r="AB27" s="2038" t="n">
        <f aca="false">D27/H27</f>
        <v>1</v>
      </c>
      <c r="AC27" s="2038" t="n">
        <f aca="false">D27/J27</f>
        <v>1</v>
      </c>
    </row>
    <row r="28" customFormat="false" ht="15" hidden="false" customHeight="false" outlineLevel="0" collapsed="false">
      <c r="A28" s="2019"/>
      <c r="B28" s="2070" t="n">
        <v>111</v>
      </c>
      <c r="C28" s="2021" t="n">
        <v>111</v>
      </c>
      <c r="D28" s="2022" t="n">
        <v>100</v>
      </c>
      <c r="E28" s="2015"/>
      <c r="F28" s="2023" t="n">
        <f aca="false">SUMIF(86:86,E28,87:87)-SUMIF(86:86,C28,87:87)+100</f>
        <v>100</v>
      </c>
      <c r="G28" s="2081"/>
      <c r="H28" s="2024" t="n">
        <f aca="false">SUMIF(86:86,G28,87:87)-SUMIF(86:86,C28,87:87)+100</f>
        <v>100</v>
      </c>
      <c r="I28" s="2081"/>
      <c r="J28" s="2024" t="n">
        <f aca="false">SUMIF(86:86,I28,87:87)-SUMIF(86:86,C28,87:87)+100</f>
        <v>100</v>
      </c>
      <c r="K28" s="2364"/>
      <c r="L28" s="2475"/>
      <c r="M28" s="2465"/>
      <c r="N28" s="2465"/>
      <c r="O28" s="2473"/>
      <c r="P28" s="2036"/>
      <c r="Q28" s="2033" t="n">
        <f aca="false">B28</f>
        <v>111</v>
      </c>
      <c r="R28" s="2034" t="s">
        <v>1277</v>
      </c>
      <c r="S28" s="2035" t="n">
        <f aca="false">F28</f>
        <v>100</v>
      </c>
      <c r="T28" s="2034" t="s">
        <v>1277</v>
      </c>
      <c r="U28" s="2035" t="n">
        <f aca="false">H28</f>
        <v>100</v>
      </c>
      <c r="V28" s="2034" t="s">
        <v>1277</v>
      </c>
      <c r="W28" s="2035" t="n">
        <f aca="false">J28</f>
        <v>100</v>
      </c>
      <c r="X28" s="1958"/>
      <c r="Y28" s="2036"/>
      <c r="Z28" s="2037" t="n">
        <f aca="false">Q28</f>
        <v>111</v>
      </c>
      <c r="AA28" s="2038" t="n">
        <f aca="false">D28/F28</f>
        <v>1</v>
      </c>
      <c r="AB28" s="2038" t="n">
        <f aca="false">D28/H28</f>
        <v>1</v>
      </c>
      <c r="AC28" s="2038" t="n">
        <f aca="false">D28/J28</f>
        <v>1</v>
      </c>
    </row>
    <row r="29" customFormat="false" ht="28.5" hidden="false" customHeight="true" outlineLevel="0" collapsed="false">
      <c r="A29" s="2477" t="s">
        <v>1292</v>
      </c>
      <c r="B29" s="678" t="s">
        <v>1293</v>
      </c>
      <c r="C29" s="2439"/>
      <c r="D29" s="2074" t="n">
        <v>100</v>
      </c>
      <c r="E29" s="2439"/>
      <c r="F29" s="2076" t="n">
        <f aca="false">SUMIF(88:88,E29,89:89)-SUMIF(88:88,C29,89:89)+100</f>
        <v>100</v>
      </c>
      <c r="G29" s="2439"/>
      <c r="H29" s="2017" t="n">
        <f aca="false">SUMIF(88:88,G29,89:89)-SUMIF(88:88,C29,89:89)+100</f>
        <v>100</v>
      </c>
      <c r="I29" s="2439"/>
      <c r="J29" s="2077" t="n">
        <f aca="false">SUMIF(88:88,I29,89:89)-SUMIF(88:88,C29,89:89)+100</f>
        <v>100</v>
      </c>
      <c r="K29" s="2363"/>
      <c r="L29" s="2475"/>
      <c r="M29" s="2465"/>
      <c r="N29" s="2465"/>
      <c r="O29" s="2473"/>
      <c r="P29" s="2478" t="s">
        <v>1292</v>
      </c>
      <c r="Q29" s="2033" t="str">
        <f aca="false">B29</f>
        <v>建筑类型</v>
      </c>
      <c r="R29" s="2034" t="s">
        <v>1277</v>
      </c>
      <c r="S29" s="2035" t="n">
        <f aca="false">F29</f>
        <v>100</v>
      </c>
      <c r="T29" s="2034" t="s">
        <v>1277</v>
      </c>
      <c r="U29" s="2035" t="n">
        <f aca="false">H29</f>
        <v>100</v>
      </c>
      <c r="V29" s="2034" t="s">
        <v>1277</v>
      </c>
      <c r="W29" s="2035" t="n">
        <f aca="false">J29</f>
        <v>100</v>
      </c>
      <c r="X29" s="1958"/>
      <c r="Y29" s="2079" t="s">
        <v>1292</v>
      </c>
      <c r="Z29" s="2037" t="str">
        <f aca="false">Q29</f>
        <v>建筑类型</v>
      </c>
      <c r="AA29" s="2038" t="n">
        <f aca="false">D29/F29</f>
        <v>1</v>
      </c>
      <c r="AB29" s="2038" t="n">
        <f aca="false">D29/H29</f>
        <v>1</v>
      </c>
      <c r="AC29" s="2038" t="n">
        <f aca="false">D29/J29</f>
        <v>1</v>
      </c>
    </row>
    <row r="30" s="2088" customFormat="true" ht="15" hidden="false" customHeight="false" outlineLevel="0" collapsed="false">
      <c r="A30" s="2080"/>
      <c r="B30" s="1996" t="s">
        <v>1296</v>
      </c>
      <c r="C30" s="2081"/>
      <c r="D30" s="1998" t="n">
        <v>100</v>
      </c>
      <c r="E30" s="2007"/>
      <c r="F30" s="2000" t="e">
        <f aca="false">LOOKUP(E30,91:91,92:92)-LOOKUP(C30,91:91,92:92)+100</f>
        <v>#N/A</v>
      </c>
      <c r="G30" s="2006"/>
      <c r="H30" s="2001" t="e">
        <f aca="false">LOOKUP(G30,91:91,92:92)-LOOKUP(C30,91:91,92:92)+100</f>
        <v>#N/A</v>
      </c>
      <c r="I30" s="2006"/>
      <c r="J30" s="2001" t="e">
        <f aca="false">LOOKUP(I30,91:91,92:92)-LOOKUP(C30,91:91,92:92)+100</f>
        <v>#N/A</v>
      </c>
      <c r="K30" s="2364"/>
      <c r="L30" s="2472"/>
      <c r="M30" s="2479"/>
      <c r="N30" s="2479"/>
      <c r="O30" s="2480"/>
      <c r="P30" s="2478"/>
      <c r="Q30" s="2083" t="str">
        <f aca="false">B30</f>
        <v>项目建筑规模</v>
      </c>
      <c r="R30" s="2084" t="s">
        <v>1277</v>
      </c>
      <c r="S30" s="2085" t="e">
        <f aca="false">F30</f>
        <v>#N/A</v>
      </c>
      <c r="T30" s="2084" t="s">
        <v>1277</v>
      </c>
      <c r="U30" s="2085" t="e">
        <f aca="false">H30</f>
        <v>#N/A</v>
      </c>
      <c r="V30" s="2084" t="s">
        <v>1277</v>
      </c>
      <c r="W30" s="2085" t="e">
        <f aca="false">J30</f>
        <v>#N/A</v>
      </c>
      <c r="X30" s="2086"/>
      <c r="Y30" s="2079"/>
      <c r="Z30" s="2087" t="str">
        <f aca="false">Q30</f>
        <v>项目建筑规模</v>
      </c>
      <c r="AA30" s="2038" t="e">
        <f aca="false">D30/F30</f>
        <v>#N/A</v>
      </c>
      <c r="AB30" s="2038" t="e">
        <f aca="false">D30/H30</f>
        <v>#N/A</v>
      </c>
      <c r="AC30" s="2038" t="e">
        <f aca="false">D30/J30</f>
        <v>#N/A</v>
      </c>
    </row>
    <row r="31" customFormat="false" ht="15" hidden="false" customHeight="false" outlineLevel="0" collapsed="false">
      <c r="A31" s="2089"/>
      <c r="B31" s="1996" t="s">
        <v>1297</v>
      </c>
      <c r="C31" s="2062"/>
      <c r="D31" s="2016" t="n">
        <v>100</v>
      </c>
      <c r="E31" s="2062"/>
      <c r="F31" s="2076" t="n">
        <f aca="false">SUMIF(93:93,E31,94:94)-SUMIF(93:93,C31,94:94)+100</f>
        <v>100</v>
      </c>
      <c r="G31" s="2062"/>
      <c r="H31" s="2017" t="n">
        <f aca="false">SUMIF(93:93,G31,94:94)-SUMIF(93:93,C31,94:94)+100</f>
        <v>100</v>
      </c>
      <c r="I31" s="2062"/>
      <c r="J31" s="2017" t="n">
        <f aca="false">SUMIF(93:93,I31,94:94)-SUMIF(93:93,C31,94:94)+100</f>
        <v>100</v>
      </c>
      <c r="K31" s="2363"/>
      <c r="L31" s="2475"/>
      <c r="M31" s="2465"/>
      <c r="N31" s="2465"/>
      <c r="O31" s="2473"/>
      <c r="P31" s="2478"/>
      <c r="Q31" s="2033" t="str">
        <f aca="false">B31</f>
        <v>建筑结构</v>
      </c>
      <c r="R31" s="2034" t="s">
        <v>1277</v>
      </c>
      <c r="S31" s="2035" t="n">
        <f aca="false">F31</f>
        <v>100</v>
      </c>
      <c r="T31" s="2034" t="s">
        <v>1277</v>
      </c>
      <c r="U31" s="2035" t="n">
        <f aca="false">H31</f>
        <v>100</v>
      </c>
      <c r="V31" s="2034" t="s">
        <v>1277</v>
      </c>
      <c r="W31" s="2035" t="n">
        <f aca="false">J31</f>
        <v>100</v>
      </c>
      <c r="X31" s="1958"/>
      <c r="Y31" s="2079"/>
      <c r="Z31" s="2037" t="str">
        <f aca="false">Q31</f>
        <v>建筑结构</v>
      </c>
      <c r="AA31" s="2038" t="n">
        <f aca="false">D31/F31</f>
        <v>1</v>
      </c>
      <c r="AB31" s="2038" t="n">
        <f aca="false">D31/H31</f>
        <v>1</v>
      </c>
      <c r="AC31" s="2038" t="n">
        <f aca="false">D31/J31</f>
        <v>1</v>
      </c>
    </row>
    <row r="32" customFormat="false" ht="15" hidden="false" customHeight="false" outlineLevel="0" collapsed="false">
      <c r="A32" s="2089"/>
      <c r="B32" s="1996" t="s">
        <v>1300</v>
      </c>
      <c r="C32" s="2062"/>
      <c r="D32" s="2016" t="n">
        <v>100</v>
      </c>
      <c r="E32" s="2062"/>
      <c r="F32" s="2076" t="n">
        <f aca="false">SUMIF(95:95,E32,96:96)-SUMIF(95:95,C32,96:96)+100</f>
        <v>100</v>
      </c>
      <c r="G32" s="2062"/>
      <c r="H32" s="2017" t="n">
        <f aca="false">SUMIF(95:95,G32,96:96)-SUMIF(95:95,C32,96:96)+100</f>
        <v>100</v>
      </c>
      <c r="I32" s="2062"/>
      <c r="J32" s="2017" t="n">
        <f aca="false">SUMIF(95:95,I32,96:96)-SUMIF(95:95,C32,96:96)+100</f>
        <v>100</v>
      </c>
      <c r="K32" s="2363"/>
      <c r="L32" s="2475"/>
      <c r="M32" s="2465"/>
      <c r="N32" s="2465"/>
      <c r="O32" s="2473"/>
      <c r="P32" s="2478"/>
      <c r="Q32" s="2033" t="str">
        <f aca="false">B32</f>
        <v>公共部分装修</v>
      </c>
      <c r="R32" s="2034" t="s">
        <v>1277</v>
      </c>
      <c r="S32" s="2035" t="n">
        <f aca="false">F32</f>
        <v>100</v>
      </c>
      <c r="T32" s="2034" t="s">
        <v>1277</v>
      </c>
      <c r="U32" s="2035" t="n">
        <f aca="false">H32</f>
        <v>100</v>
      </c>
      <c r="V32" s="2034" t="s">
        <v>1277</v>
      </c>
      <c r="W32" s="2035" t="n">
        <f aca="false">J32</f>
        <v>100</v>
      </c>
      <c r="X32" s="1958"/>
      <c r="Y32" s="2079"/>
      <c r="Z32" s="2037" t="str">
        <f aca="false">Q32</f>
        <v>公共部分装修</v>
      </c>
      <c r="AA32" s="2038" t="n">
        <f aca="false">D32/F32</f>
        <v>1</v>
      </c>
      <c r="AB32" s="2038" t="n">
        <f aca="false">D32/H32</f>
        <v>1</v>
      </c>
      <c r="AC32" s="2038" t="n">
        <f aca="false">D32/J32</f>
        <v>1</v>
      </c>
    </row>
    <row r="33" customFormat="false" ht="15" hidden="false" customHeight="false" outlineLevel="0" collapsed="false">
      <c r="A33" s="2089"/>
      <c r="B33" s="1996" t="s">
        <v>567</v>
      </c>
      <c r="C33" s="2081"/>
      <c r="D33" s="2016" t="n">
        <v>100</v>
      </c>
      <c r="E33" s="2093"/>
      <c r="F33" s="2076" t="e">
        <f aca="false">LOOKUP(E33,98:98,99:99)-LOOKUP(C33,98:98,99:99)+100</f>
        <v>#N/A</v>
      </c>
      <c r="G33" s="2093"/>
      <c r="H33" s="2076" t="e">
        <f aca="false">LOOKUP(G33,98:98,99:99)-LOOKUP(C33,98:98,99:99)+100</f>
        <v>#N/A</v>
      </c>
      <c r="I33" s="2093"/>
      <c r="J33" s="2017" t="e">
        <f aca="false">LOOKUP(I33,98:98,99:99)-LOOKUP(C33,98:98,99:99)+100</f>
        <v>#N/A</v>
      </c>
      <c r="K33" s="2363"/>
      <c r="L33" s="2475"/>
      <c r="M33" s="2465"/>
      <c r="N33" s="2465"/>
      <c r="O33" s="2473"/>
      <c r="P33" s="2478"/>
      <c r="Q33" s="2033" t="str">
        <f aca="false">B33</f>
        <v>成新度</v>
      </c>
      <c r="R33" s="2034" t="s">
        <v>1277</v>
      </c>
      <c r="S33" s="2035" t="e">
        <f aca="false">F33</f>
        <v>#N/A</v>
      </c>
      <c r="T33" s="2034" t="s">
        <v>1277</v>
      </c>
      <c r="U33" s="2035" t="e">
        <f aca="false">H33</f>
        <v>#N/A</v>
      </c>
      <c r="V33" s="2034" t="s">
        <v>1277</v>
      </c>
      <c r="W33" s="2035" t="e">
        <f aca="false">J33</f>
        <v>#N/A</v>
      </c>
      <c r="X33" s="1958"/>
      <c r="Y33" s="2079"/>
      <c r="Z33" s="2037" t="str">
        <f aca="false">Q33</f>
        <v>成新度</v>
      </c>
      <c r="AA33" s="2038" t="e">
        <f aca="false">D33/F33</f>
        <v>#N/A</v>
      </c>
      <c r="AB33" s="2038" t="e">
        <f aca="false">D33/H33</f>
        <v>#N/A</v>
      </c>
      <c r="AC33" s="2038" t="e">
        <f aca="false">D33/J33</f>
        <v>#N/A</v>
      </c>
    </row>
    <row r="34" s="1983" customFormat="true" ht="15" hidden="false" customHeight="false" outlineLevel="0" collapsed="false">
      <c r="A34" s="2092"/>
      <c r="B34" s="1996" t="s">
        <v>1302</v>
      </c>
      <c r="C34" s="2062"/>
      <c r="D34" s="1998" t="n">
        <v>100</v>
      </c>
      <c r="E34" s="2062"/>
      <c r="F34" s="2076" t="n">
        <f aca="false">SUMIF(100:100,E34,101:101)-SUMIF(100:100,C34,101:101)+100</f>
        <v>100</v>
      </c>
      <c r="G34" s="2062"/>
      <c r="H34" s="2017" t="n">
        <f aca="false">SUMIF(100:100,G34,101:101)-SUMIF(100:100,C34,101:101)+100</f>
        <v>100</v>
      </c>
      <c r="I34" s="2062"/>
      <c r="J34" s="2017" t="n">
        <f aca="false">SUMIF(100:100,I34,101:101)-SUMIF(100:100,C34,101:101)+100</f>
        <v>100</v>
      </c>
      <c r="K34" s="2363"/>
      <c r="L34" s="2467"/>
      <c r="M34" s="160"/>
      <c r="N34" s="160"/>
      <c r="O34" s="2468"/>
      <c r="P34" s="2478"/>
      <c r="Q34" s="510" t="str">
        <f aca="false">B34</f>
        <v>物业管理</v>
      </c>
      <c r="R34" s="1980" t="s">
        <v>1277</v>
      </c>
      <c r="S34" s="1981" t="n">
        <f aca="false">F34</f>
        <v>100</v>
      </c>
      <c r="T34" s="1980" t="s">
        <v>1277</v>
      </c>
      <c r="U34" s="1981" t="n">
        <f aca="false">H34</f>
        <v>100</v>
      </c>
      <c r="V34" s="1980" t="s">
        <v>1277</v>
      </c>
      <c r="W34" s="1981" t="n">
        <f aca="false">J34</f>
        <v>100</v>
      </c>
      <c r="X34" s="1982"/>
      <c r="Y34" s="2079"/>
      <c r="Z34" s="540" t="str">
        <f aca="false">Q34</f>
        <v>物业管理</v>
      </c>
      <c r="AA34" s="741" t="n">
        <f aca="false">D34/F34</f>
        <v>1</v>
      </c>
      <c r="AB34" s="741" t="n">
        <f aca="false">D34/H34</f>
        <v>1</v>
      </c>
      <c r="AC34" s="741" t="n">
        <f aca="false">D34/J34</f>
        <v>1</v>
      </c>
    </row>
    <row r="35" customFormat="false" ht="15" hidden="false" customHeight="false" outlineLevel="0" collapsed="false">
      <c r="A35" s="2089"/>
      <c r="B35" s="1996" t="s">
        <v>1304</v>
      </c>
      <c r="C35" s="2062"/>
      <c r="D35" s="2016" t="n">
        <v>100</v>
      </c>
      <c r="E35" s="2062"/>
      <c r="F35" s="2076" t="n">
        <f aca="false">SUMIF(102:102,E35,103:103)-SUMIF(102:102,C35,103:103)+100</f>
        <v>100</v>
      </c>
      <c r="G35" s="2062"/>
      <c r="H35" s="2017" t="n">
        <f aca="false">SUMIF(102:102,G35,103:103)-SUMIF(102:102,C35,103:103)+100</f>
        <v>100</v>
      </c>
      <c r="I35" s="2062"/>
      <c r="J35" s="2017" t="n">
        <f aca="false">SUMIF(102:102,I35,103:103)-SUMIF(102:102,C35,103:103)+100</f>
        <v>100</v>
      </c>
      <c r="K35" s="2363"/>
      <c r="L35" s="2475"/>
      <c r="M35" s="2465"/>
      <c r="N35" s="2465"/>
      <c r="O35" s="2473"/>
      <c r="P35" s="2478" t="s">
        <v>1292</v>
      </c>
      <c r="Q35" s="2033" t="str">
        <f aca="false">B35</f>
        <v>市政基础设施</v>
      </c>
      <c r="R35" s="2034" t="s">
        <v>1277</v>
      </c>
      <c r="S35" s="2035" t="n">
        <f aca="false">F35</f>
        <v>100</v>
      </c>
      <c r="T35" s="2034" t="s">
        <v>1277</v>
      </c>
      <c r="U35" s="2035" t="n">
        <f aca="false">H35</f>
        <v>100</v>
      </c>
      <c r="V35" s="2034" t="s">
        <v>1277</v>
      </c>
      <c r="W35" s="2035" t="n">
        <f aca="false">J35</f>
        <v>100</v>
      </c>
      <c r="X35" s="1958"/>
      <c r="Y35" s="2079" t="s">
        <v>1292</v>
      </c>
      <c r="Z35" s="2037" t="str">
        <f aca="false">Q35</f>
        <v>市政基础设施</v>
      </c>
      <c r="AA35" s="2038" t="n">
        <f aca="false">D35/F35</f>
        <v>1</v>
      </c>
      <c r="AB35" s="2038" t="n">
        <f aca="false">D35/H35</f>
        <v>1</v>
      </c>
      <c r="AC35" s="2038" t="n">
        <f aca="false">D35/J35</f>
        <v>1</v>
      </c>
    </row>
    <row r="36" customFormat="false" ht="15" hidden="false" customHeight="false" outlineLevel="0" collapsed="false">
      <c r="A36" s="2089"/>
      <c r="B36" s="1996" t="s">
        <v>1306</v>
      </c>
      <c r="C36" s="2062"/>
      <c r="D36" s="2016" t="n">
        <v>100</v>
      </c>
      <c r="E36" s="2062"/>
      <c r="F36" s="2076" t="n">
        <f aca="false">SUMIF(104:104,E36,105:105)-SUMIF(104:104,C36,105:105)+100</f>
        <v>100</v>
      </c>
      <c r="G36" s="2062"/>
      <c r="H36" s="2017" t="n">
        <f aca="false">SUMIF(104:104,G36,105:105)-SUMIF(104:104,C36,105:105)+100</f>
        <v>100</v>
      </c>
      <c r="I36" s="2062"/>
      <c r="J36" s="2017" t="n">
        <f aca="false">SUMIF(104:104,I36,105:105)-SUMIF(104:104,C36,105:105)+100</f>
        <v>100</v>
      </c>
      <c r="K36" s="2363"/>
      <c r="L36" s="2475"/>
      <c r="M36" s="2465"/>
      <c r="N36" s="2465"/>
      <c r="O36" s="2473"/>
      <c r="P36" s="2478"/>
      <c r="Q36" s="2033" t="str">
        <f aca="false">B36</f>
        <v>内部装修</v>
      </c>
      <c r="R36" s="2034" t="s">
        <v>1277</v>
      </c>
      <c r="S36" s="2035" t="n">
        <f aca="false">F36</f>
        <v>100</v>
      </c>
      <c r="T36" s="2034" t="s">
        <v>1277</v>
      </c>
      <c r="U36" s="2035" t="n">
        <f aca="false">H36</f>
        <v>100</v>
      </c>
      <c r="V36" s="2034" t="s">
        <v>1277</v>
      </c>
      <c r="W36" s="2035" t="n">
        <f aca="false">J36</f>
        <v>100</v>
      </c>
      <c r="X36" s="1958"/>
      <c r="Y36" s="2079"/>
      <c r="Z36" s="2037" t="str">
        <f aca="false">Q36</f>
        <v>内部装修</v>
      </c>
      <c r="AA36" s="2038" t="n">
        <f aca="false">D36/F36</f>
        <v>1</v>
      </c>
      <c r="AB36" s="2038" t="n">
        <f aca="false">D36/H36</f>
        <v>1</v>
      </c>
      <c r="AC36" s="2038" t="n">
        <f aca="false">D36/J36</f>
        <v>1</v>
      </c>
    </row>
    <row r="37" customFormat="false" ht="15" hidden="false" customHeight="false" outlineLevel="0" collapsed="false">
      <c r="A37" s="2089"/>
      <c r="B37" s="1996" t="s">
        <v>1557</v>
      </c>
      <c r="C37" s="2373"/>
      <c r="D37" s="2016" t="n">
        <v>100</v>
      </c>
      <c r="E37" s="2373"/>
      <c r="F37" s="2076" t="n">
        <f aca="false">SUMIF(106:106,E37,107:107)-SUMIF(106:106,C37,107:107)+100</f>
        <v>100</v>
      </c>
      <c r="G37" s="2373"/>
      <c r="H37" s="2017" t="n">
        <f aca="false">SUMIF(106:106,G37,107:107)-SUMIF(106:106,C37,107:107)+100</f>
        <v>100</v>
      </c>
      <c r="I37" s="2373"/>
      <c r="J37" s="2017" t="n">
        <f aca="false">SUMIF(106:106,I37,107:107)-SUMIF(106:106,C37,107:107)+100</f>
        <v>100</v>
      </c>
      <c r="K37" s="2363"/>
      <c r="L37" s="2475"/>
      <c r="M37" s="2465"/>
      <c r="N37" s="2465"/>
      <c r="O37" s="2473"/>
      <c r="P37" s="2478"/>
      <c r="Q37" s="2033" t="str">
        <f aca="false">B37</f>
        <v>内部装修状况</v>
      </c>
      <c r="R37" s="2034" t="s">
        <v>1277</v>
      </c>
      <c r="S37" s="2035" t="n">
        <f aca="false">F37</f>
        <v>100</v>
      </c>
      <c r="T37" s="2034" t="s">
        <v>1277</v>
      </c>
      <c r="U37" s="2035" t="n">
        <f aca="false">H37</f>
        <v>100</v>
      </c>
      <c r="V37" s="2034" t="s">
        <v>1277</v>
      </c>
      <c r="W37" s="2035" t="n">
        <f aca="false">J37</f>
        <v>100</v>
      </c>
      <c r="X37" s="1958"/>
      <c r="Y37" s="2079"/>
      <c r="Z37" s="2037" t="str">
        <f aca="false">Q37</f>
        <v>内部装修状况</v>
      </c>
      <c r="AA37" s="2038" t="n">
        <f aca="false">D37/F37</f>
        <v>1</v>
      </c>
      <c r="AB37" s="2038" t="n">
        <f aca="false">D37/H37</f>
        <v>1</v>
      </c>
      <c r="AC37" s="2038" t="n">
        <f aca="false">D37/J37</f>
        <v>1</v>
      </c>
    </row>
    <row r="38" s="2088" customFormat="true" ht="15" hidden="false" customHeight="false" outlineLevel="0" collapsed="false">
      <c r="A38" s="2080"/>
      <c r="B38" s="2070" t="n">
        <v>111</v>
      </c>
      <c r="C38" s="2081"/>
      <c r="D38" s="2016" t="n">
        <v>100</v>
      </c>
      <c r="E38" s="2015"/>
      <c r="F38" s="2076" t="n">
        <f aca="false">SUMIF(108:108,E38,109:109)-SUMIF(108:108,C38,109:109)+100</f>
        <v>100</v>
      </c>
      <c r="G38" s="2081"/>
      <c r="H38" s="2017" t="n">
        <f aca="false">SUMIF(108:108,G38,109:109)-SUMIF(108:108,C38,109:109)+100</f>
        <v>100</v>
      </c>
      <c r="I38" s="2081"/>
      <c r="J38" s="2017" t="n">
        <f aca="false">SUMIF(108:108,I38,109:1038)-SUMIF(108:108,C38,109:109)+100</f>
        <v>100</v>
      </c>
      <c r="K38" s="2364"/>
      <c r="L38" s="2472"/>
      <c r="M38" s="2479"/>
      <c r="N38" s="2479"/>
      <c r="O38" s="2480"/>
      <c r="P38" s="2478"/>
      <c r="Q38" s="2083" t="n">
        <f aca="false">B38</f>
        <v>111</v>
      </c>
      <c r="R38" s="2084" t="s">
        <v>1277</v>
      </c>
      <c r="S38" s="2085" t="n">
        <f aca="false">F38</f>
        <v>100</v>
      </c>
      <c r="T38" s="2084" t="s">
        <v>1277</v>
      </c>
      <c r="U38" s="2085" t="n">
        <f aca="false">H38</f>
        <v>100</v>
      </c>
      <c r="V38" s="2084" t="s">
        <v>1277</v>
      </c>
      <c r="W38" s="2085" t="n">
        <f aca="false">J38</f>
        <v>100</v>
      </c>
      <c r="X38" s="2086"/>
      <c r="Y38" s="2079"/>
      <c r="Z38" s="2087" t="n">
        <f aca="false">Q38</f>
        <v>111</v>
      </c>
      <c r="AA38" s="2038" t="n">
        <f aca="false">D38/F38</f>
        <v>1</v>
      </c>
      <c r="AB38" s="2038" t="n">
        <f aca="false">D38/H38</f>
        <v>1</v>
      </c>
      <c r="AC38" s="2038" t="n">
        <f aca="false">D38/J38</f>
        <v>1</v>
      </c>
    </row>
    <row r="39" customFormat="false" ht="15" hidden="false" customHeight="false" outlineLevel="0" collapsed="false">
      <c r="A39" s="2089"/>
      <c r="B39" s="2070" t="n">
        <v>111</v>
      </c>
      <c r="C39" s="2081"/>
      <c r="D39" s="2016" t="n">
        <v>100</v>
      </c>
      <c r="E39" s="2015"/>
      <c r="F39" s="2076" t="n">
        <f aca="false">SUMIF(110:110,E39,111:111)-SUMIF(110:110,C39,111:111)+100</f>
        <v>100</v>
      </c>
      <c r="G39" s="2081"/>
      <c r="H39" s="2017" t="n">
        <f aca="false">SUMIF(110:110,G39,111:111)-SUMIF(110:110,C39,111:111)+100</f>
        <v>100</v>
      </c>
      <c r="I39" s="2081"/>
      <c r="J39" s="2017" t="n">
        <f aca="false">SUMIF(110:110,I39,111:111)-SUMIF(110:110,C39,111:111)+100</f>
        <v>100</v>
      </c>
      <c r="K39" s="2364"/>
      <c r="L39" s="2475"/>
      <c r="M39" s="2465"/>
      <c r="N39" s="2465"/>
      <c r="O39" s="2473"/>
      <c r="P39" s="2478"/>
      <c r="Q39" s="2033" t="n">
        <f aca="false">B39</f>
        <v>111</v>
      </c>
      <c r="R39" s="2034" t="s">
        <v>1277</v>
      </c>
      <c r="S39" s="2035" t="n">
        <f aca="false">F39</f>
        <v>100</v>
      </c>
      <c r="T39" s="2034" t="s">
        <v>1277</v>
      </c>
      <c r="U39" s="2035" t="n">
        <f aca="false">H39</f>
        <v>100</v>
      </c>
      <c r="V39" s="2034" t="s">
        <v>1277</v>
      </c>
      <c r="W39" s="2035" t="n">
        <f aca="false">J39</f>
        <v>100</v>
      </c>
      <c r="X39" s="1958"/>
      <c r="Y39" s="2079"/>
      <c r="Z39" s="2037" t="n">
        <f aca="false">Q39</f>
        <v>111</v>
      </c>
      <c r="AA39" s="2038" t="n">
        <f aca="false">D39/F39</f>
        <v>1</v>
      </c>
      <c r="AB39" s="2038" t="n">
        <f aca="false">D39/H39</f>
        <v>1</v>
      </c>
      <c r="AC39" s="2038" t="n">
        <f aca="false">D39/J39</f>
        <v>1</v>
      </c>
    </row>
    <row r="40" customFormat="false" ht="15" hidden="false" customHeight="false" outlineLevel="0" collapsed="false">
      <c r="A40" s="2099"/>
      <c r="B40" s="2020" t="n">
        <v>111</v>
      </c>
      <c r="C40" s="2021"/>
      <c r="D40" s="2022" t="n">
        <v>100</v>
      </c>
      <c r="E40" s="2015"/>
      <c r="F40" s="2023" t="n">
        <f aca="false">SUMIF(112:112,E40,113:113)-SUMIF(112:112,C40,113:113)+100</f>
        <v>100</v>
      </c>
      <c r="G40" s="2081"/>
      <c r="H40" s="2024" t="n">
        <f aca="false">SUMIF(112:112,G40,113:113)-SUMIF(112:112,C40,113:113)+100</f>
        <v>100</v>
      </c>
      <c r="I40" s="2081"/>
      <c r="J40" s="2024" t="n">
        <f aca="false">SUMIF(112:112,I40,113:113)-SUMIF(112:112,C40,113:113)+100</f>
        <v>100</v>
      </c>
      <c r="K40" s="2364"/>
      <c r="L40" s="2475"/>
      <c r="M40" s="2465"/>
      <c r="N40" s="2465"/>
      <c r="O40" s="2473"/>
      <c r="P40" s="2478"/>
      <c r="Q40" s="2033" t="n">
        <f aca="false">B40</f>
        <v>111</v>
      </c>
      <c r="R40" s="2034" t="s">
        <v>1277</v>
      </c>
      <c r="S40" s="2035" t="n">
        <f aca="false">F40</f>
        <v>100</v>
      </c>
      <c r="T40" s="2034" t="s">
        <v>1277</v>
      </c>
      <c r="U40" s="2035" t="n">
        <f aca="false">H40</f>
        <v>100</v>
      </c>
      <c r="V40" s="2034" t="s">
        <v>1277</v>
      </c>
      <c r="W40" s="2035" t="n">
        <f aca="false">J40</f>
        <v>100</v>
      </c>
      <c r="X40" s="1958"/>
      <c r="Y40" s="2079"/>
      <c r="Z40" s="2037" t="n">
        <f aca="false">Q40</f>
        <v>111</v>
      </c>
      <c r="AA40" s="2038" t="n">
        <f aca="false">D40/F40</f>
        <v>1</v>
      </c>
      <c r="AB40" s="2038" t="n">
        <f aca="false">D40/H40</f>
        <v>1</v>
      </c>
      <c r="AC40" s="2038" t="n">
        <f aca="false">D40/J40</f>
        <v>1</v>
      </c>
    </row>
    <row r="41" customFormat="false" ht="15" hidden="false" customHeight="false" outlineLevel="0" collapsed="false">
      <c r="A41" s="2100" t="s">
        <v>1308</v>
      </c>
      <c r="B41" s="2101"/>
      <c r="C41" s="2102" t="s">
        <v>122</v>
      </c>
      <c r="D41" s="2103"/>
      <c r="E41" s="2104"/>
      <c r="F41" s="2105"/>
      <c r="G41" s="2106"/>
      <c r="H41" s="2107"/>
      <c r="I41" s="2104"/>
      <c r="J41" s="2107"/>
      <c r="K41" s="2379"/>
      <c r="L41" s="2481"/>
      <c r="M41" s="2482"/>
      <c r="N41" s="2465"/>
      <c r="O41" s="2482"/>
      <c r="P41" s="2033" t="str">
        <f aca="false">A41</f>
        <v>成交单价（元/平方米）</v>
      </c>
      <c r="Q41" s="2033"/>
      <c r="R41" s="2038" t="n">
        <f aca="false">E41</f>
        <v>0</v>
      </c>
      <c r="S41" s="2038"/>
      <c r="T41" s="2038" t="n">
        <f aca="false">G41</f>
        <v>0</v>
      </c>
      <c r="U41" s="2038"/>
      <c r="V41" s="2038" t="n">
        <f aca="false">I41</f>
        <v>0</v>
      </c>
      <c r="W41" s="2038"/>
      <c r="X41" s="2111"/>
      <c r="Y41" s="2112"/>
      <c r="Z41" s="2111"/>
      <c r="AA41" s="2111"/>
      <c r="AB41" s="2111"/>
      <c r="AC41" s="2111"/>
    </row>
    <row r="42" customFormat="false" ht="15" hidden="false" customHeight="false" outlineLevel="0" collapsed="false">
      <c r="A42" s="2113" t="s">
        <v>1309</v>
      </c>
      <c r="B42" s="2114"/>
      <c r="C42" s="2115" t="e">
        <f aca="false">R43</f>
        <v>#DIV/0!</v>
      </c>
      <c r="D42" s="2116" t="s">
        <v>1310</v>
      </c>
      <c r="E42" s="2117" t="e">
        <f aca="false">R42</f>
        <v>#DIV/0!</v>
      </c>
      <c r="F42" s="2118"/>
      <c r="G42" s="2115" t="e">
        <f aca="false">T42</f>
        <v>#DIV/0!</v>
      </c>
      <c r="H42" s="2118"/>
      <c r="I42" s="2117" t="e">
        <f aca="false">V42</f>
        <v>#DIV/0!</v>
      </c>
      <c r="J42" s="2118"/>
      <c r="K42" s="2380" t="n">
        <f aca="false">F42+H42+J42</f>
        <v>0</v>
      </c>
      <c r="L42" s="2481"/>
      <c r="M42" s="2482"/>
      <c r="N42" s="2465"/>
      <c r="O42" s="2482"/>
      <c r="P42" s="2033" t="str">
        <f aca="false">A42</f>
        <v>比较价值（元/平方米）</v>
      </c>
      <c r="Q42" s="2033"/>
      <c r="R42" s="2038" t="e">
        <f aca="false">IF(F1="售价",ROUND(PRODUCT(R41,AA7:AA40),0),ROUND(PRODUCT(R41,AA7:AA40),1))</f>
        <v>#DIV/0!</v>
      </c>
      <c r="S42" s="2038"/>
      <c r="T42" s="2038" t="e">
        <f aca="false">IF(F1="售价",ROUND(PRODUCT(T41,AB7:AB40),0),ROUND(PRODUCT(T41,AB7:AB40),1))</f>
        <v>#DIV/0!</v>
      </c>
      <c r="U42" s="2038"/>
      <c r="V42" s="2038" t="e">
        <f aca="false">IF(F1="售价",ROUND(PRODUCT(V41,AC7:AC40),0),ROUND(PRODUCT(V41,AC7:AC40),1))</f>
        <v>#DIV/0!</v>
      </c>
      <c r="W42" s="2038"/>
      <c r="X42" s="2111"/>
      <c r="Y42" s="2111"/>
      <c r="Z42" s="2111"/>
      <c r="AA42" s="2111"/>
      <c r="AB42" s="2111"/>
      <c r="AC42" s="2111"/>
    </row>
    <row r="43" customFormat="false" ht="15" hidden="false" customHeight="false" outlineLevel="0" collapsed="false">
      <c r="A43" s="2120" t="s">
        <v>1311</v>
      </c>
      <c r="B43" s="2121"/>
      <c r="C43" s="2123" t="e">
        <f aca="false">R43</f>
        <v>#DIV/0!</v>
      </c>
      <c r="D43" s="2123"/>
      <c r="E43" s="2123"/>
      <c r="F43" s="2123"/>
      <c r="G43" s="2123"/>
      <c r="H43" s="2123"/>
      <c r="I43" s="2123"/>
      <c r="J43" s="2123"/>
      <c r="K43" s="2381"/>
      <c r="L43" s="2481"/>
      <c r="M43" s="2482"/>
      <c r="N43" s="2482"/>
      <c r="O43" s="2482"/>
      <c r="P43" s="2033" t="str">
        <f aca="false">A43</f>
        <v>估价对象XX用房的比较价值（楼面单价，元/平方米）</v>
      </c>
      <c r="Q43" s="2033"/>
      <c r="R43" s="2125" t="e">
        <f aca="false">IF(F1="售价",ROUND(IF(D42="简单平均",AVERAGE(R42:V42),R42*F42+T42*H42+V42*J42),0),ROUND(IF(D42="简单平均",AVERAGE(R42:V42),R42*F42+T42*H42+V42*J42),1))</f>
        <v>#DIV/0!</v>
      </c>
      <c r="S43" s="2125"/>
      <c r="T43" s="2125"/>
      <c r="U43" s="2125"/>
      <c r="V43" s="2125"/>
      <c r="W43" s="2125"/>
      <c r="X43" s="2111"/>
      <c r="Y43" s="2111"/>
      <c r="Z43" s="2111"/>
      <c r="AA43" s="2111"/>
      <c r="AB43" s="2111"/>
      <c r="AC43" s="2111"/>
    </row>
    <row r="44" customFormat="false" ht="14.25" hidden="false" customHeight="false" outlineLevel="0" collapsed="false">
      <c r="A44" s="2110"/>
      <c r="B44" s="2110"/>
      <c r="C44" s="2110"/>
      <c r="D44" s="2110"/>
      <c r="E44" s="2110"/>
      <c r="F44" s="2110"/>
      <c r="G44" s="2126"/>
      <c r="H44" s="2110"/>
      <c r="I44" s="2110"/>
      <c r="J44" s="2110"/>
      <c r="K44" s="2127"/>
      <c r="L44" s="2483"/>
      <c r="M44" s="2482"/>
      <c r="N44" s="2482"/>
      <c r="O44" s="2482"/>
    </row>
    <row r="45" customFormat="false" ht="14.25" hidden="false" customHeight="false" outlineLevel="0" collapsed="false">
      <c r="A45" s="2110"/>
      <c r="B45" s="2110"/>
      <c r="C45" s="2110"/>
      <c r="D45" s="2110"/>
      <c r="E45" s="2110"/>
      <c r="F45" s="2110"/>
      <c r="G45" s="2110"/>
      <c r="H45" s="2110"/>
      <c r="I45" s="2110"/>
      <c r="J45" s="2110"/>
      <c r="K45" s="2127"/>
      <c r="L45" s="2483"/>
      <c r="M45" s="2482"/>
      <c r="N45" s="2482"/>
      <c r="O45" s="2482"/>
    </row>
    <row r="46" customFormat="false" ht="13.5" hidden="false" customHeight="true" outlineLevel="0" collapsed="false">
      <c r="A46" s="2110"/>
      <c r="B46" s="2110"/>
      <c r="C46" s="2129" t="s">
        <v>1312</v>
      </c>
      <c r="D46" s="2130"/>
      <c r="E46" s="2131" t="e">
        <f aca="false">IF(E41&lt;E42,E42/E41-1,E41/E42-1)</f>
        <v>#DIV/0!</v>
      </c>
      <c r="F46" s="2132" t="e">
        <f aca="false">IF(OR(E46&gt;=0.3,E46&lt;=-0.3),"超过30%","")</f>
        <v>#DIV/0!</v>
      </c>
      <c r="G46" s="2131" t="e">
        <f aca="false">IF(G41&lt;G42,G42/G41-1,G41/G42-1)</f>
        <v>#DIV/0!</v>
      </c>
      <c r="H46" s="2132" t="e">
        <f aca="false">IF(OR(G46&gt;=0.3,G46&lt;=-0.3),"超过30%","")</f>
        <v>#DIV/0!</v>
      </c>
      <c r="I46" s="2131" t="e">
        <f aca="false">IF(I41&lt;I42,I42/I41-1,I41/I42-1)</f>
        <v>#DIV/0!</v>
      </c>
      <c r="J46" s="2132" t="e">
        <f aca="false">IF(OR(I46&gt;=0.3,I46&lt;=-0.3),"超过30%","")</f>
        <v>#DIV/0!</v>
      </c>
      <c r="K46" s="2127"/>
      <c r="L46" s="2483"/>
      <c r="M46" s="2482"/>
      <c r="N46" s="2482"/>
      <c r="O46" s="2482"/>
    </row>
    <row r="47" customFormat="false" ht="13.5" hidden="false" customHeight="true" outlineLevel="0" collapsed="false">
      <c r="A47" s="2110"/>
      <c r="B47" s="2110"/>
      <c r="C47" s="2129" t="s">
        <v>1313</v>
      </c>
      <c r="D47" s="2133"/>
      <c r="E47" s="2131" t="e">
        <f aca="false">IF(E42&lt;G42,G42/E42-1,E42/G42-1)</f>
        <v>#DIV/0!</v>
      </c>
      <c r="F47" s="2132" t="e">
        <f aca="false">IF(OR(E47&gt;=0.2,E47&lt;=-0.2),"超过20%","")</f>
        <v>#DIV/0!</v>
      </c>
      <c r="G47" s="2131" t="e">
        <f aca="false">IF(G42&lt;I42,I42/G42-1,G42/I42-1)</f>
        <v>#DIV/0!</v>
      </c>
      <c r="H47" s="2132" t="e">
        <f aca="false">IF(OR(G47&gt;=0.2,G47&lt;=-0.2),"超过20%","")</f>
        <v>#DIV/0!</v>
      </c>
      <c r="I47" s="2131" t="e">
        <f aca="false">IF(I42&lt;E42,E42/I42-1,I42/E42-1)</f>
        <v>#DIV/0!</v>
      </c>
      <c r="J47" s="2132" t="e">
        <f aca="false">IF(OR(I47&gt;=0.2,I47&lt;=-0.2),"超过20%","")</f>
        <v>#DIV/0!</v>
      </c>
      <c r="K47" s="2127"/>
      <c r="L47" s="2483"/>
      <c r="M47" s="2482"/>
      <c r="N47" s="2482"/>
      <c r="O47" s="2482"/>
    </row>
    <row r="48" s="2138" customFormat="true" ht="13.5" hidden="false" customHeight="true" outlineLevel="0" collapsed="false">
      <c r="A48" s="2134"/>
      <c r="B48" s="2134"/>
      <c r="C48" s="2129" t="s">
        <v>1314</v>
      </c>
      <c r="D48" s="2133"/>
      <c r="E48" s="2131" t="e">
        <f aca="false">IF(E41&lt;G41,G41/E41-1,E41/G41-1)</f>
        <v>#DIV/0!</v>
      </c>
      <c r="F48" s="2132" t="e">
        <f aca="false">IF(OR(E48&gt;=0.3,E48&lt;=-0.3),"超过30%","")</f>
        <v>#DIV/0!</v>
      </c>
      <c r="G48" s="2131" t="e">
        <f aca="false">IF(G41&lt;I41,I41/G41-1,G41/I41-1)</f>
        <v>#DIV/0!</v>
      </c>
      <c r="H48" s="2132" t="e">
        <f aca="false">IF(OR(G48&gt;=0.3,G48&lt;=-0.3),"超过30%","")</f>
        <v>#DIV/0!</v>
      </c>
      <c r="I48" s="2131" t="e">
        <f aca="false">IF(I41&lt;E41,E41/I41-1,I41/E41-1)</f>
        <v>#DIV/0!</v>
      </c>
      <c r="J48" s="2132" t="e">
        <f aca="false">IF(OR(I48&gt;=0.3,I48&lt;=-0.3),"超过30%","")</f>
        <v>#DIV/0!</v>
      </c>
      <c r="K48" s="2135"/>
      <c r="L48" s="2484"/>
      <c r="M48" s="2485"/>
      <c r="N48" s="2485"/>
      <c r="O48" s="2485"/>
    </row>
    <row r="49" s="2138" customFormat="true" ht="14.25" hidden="false" customHeight="false" outlineLevel="0" collapsed="false">
      <c r="A49" s="2134"/>
      <c r="B49" s="2139"/>
      <c r="C49" s="2140"/>
      <c r="D49" s="2134"/>
      <c r="E49" s="2134"/>
      <c r="F49" s="2134"/>
      <c r="G49" s="2134"/>
      <c r="H49" s="2134"/>
      <c r="I49" s="2134"/>
      <c r="J49" s="2134"/>
      <c r="K49" s="2135"/>
      <c r="L49" s="2484"/>
      <c r="M49" s="2485"/>
      <c r="N49" s="2485"/>
      <c r="O49" s="2485"/>
    </row>
    <row r="50" customFormat="false" ht="14.25" hidden="false" customHeight="false" outlineLevel="0" collapsed="false">
      <c r="A50" s="2110"/>
      <c r="B50" s="2139"/>
      <c r="C50" s="2140"/>
      <c r="D50" s="2110"/>
      <c r="E50" s="2110"/>
      <c r="F50" s="2110"/>
      <c r="G50" s="2110"/>
      <c r="H50" s="2110"/>
      <c r="I50" s="2110"/>
      <c r="J50" s="2110"/>
      <c r="K50" s="2127"/>
      <c r="L50" s="2483"/>
      <c r="M50" s="2482"/>
      <c r="N50" s="2482"/>
      <c r="O50" s="2482"/>
    </row>
    <row r="51" customFormat="false" ht="21" hidden="false" customHeight="false" outlineLevel="0" collapsed="false">
      <c r="A51" s="2141" t="s">
        <v>1315</v>
      </c>
      <c r="B51" s="2111"/>
      <c r="C51" s="2142"/>
      <c r="D51" s="2142"/>
      <c r="E51" s="2142"/>
      <c r="F51" s="2143"/>
      <c r="G51" s="2143"/>
      <c r="H51" s="2142"/>
      <c r="I51" s="2142"/>
      <c r="J51" s="2142"/>
      <c r="K51" s="2144"/>
      <c r="L51" s="2145"/>
      <c r="M51" s="2146"/>
      <c r="N51" s="2146"/>
      <c r="O51" s="2146"/>
      <c r="P51" s="2486"/>
      <c r="Q51" s="2148"/>
    </row>
    <row r="52" s="2154" customFormat="true" ht="15" hidden="false" customHeight="false" outlineLevel="0" collapsed="false">
      <c r="A52" s="2149" t="s">
        <v>1276</v>
      </c>
      <c r="B52" s="2150"/>
      <c r="C52" s="2387" t="str">
        <f aca="false">YEAR(C7)&amp;"-"&amp;MONTH(C7)</f>
        <v>2006-11</v>
      </c>
      <c r="D52" s="2152" t="n">
        <f aca="false">EDATE(C52,-1)</f>
        <v>38991</v>
      </c>
      <c r="E52" s="2152" t="n">
        <f aca="false">EDATE(D52,-1)</f>
        <v>38961</v>
      </c>
      <c r="F52" s="2152" t="n">
        <f aca="false">EDATE(E52,-1)</f>
        <v>38930</v>
      </c>
      <c r="G52" s="2152" t="n">
        <f aca="false">EDATE(F52,-1)</f>
        <v>38899</v>
      </c>
      <c r="H52" s="2152" t="n">
        <f aca="false">EDATE(G52,-1)</f>
        <v>38869</v>
      </c>
      <c r="I52" s="2152" t="n">
        <f aca="false">EDATE(H52,-1)</f>
        <v>38838</v>
      </c>
      <c r="J52" s="2152" t="n">
        <f aca="false">EDATE(I52,-1)</f>
        <v>38808</v>
      </c>
      <c r="K52" s="2152" t="n">
        <f aca="false">EDATE(J52,-1)</f>
        <v>38777</v>
      </c>
      <c r="L52" s="2152" t="n">
        <f aca="false">EDATE(K52,-1)</f>
        <v>38749</v>
      </c>
      <c r="M52" s="2152" t="n">
        <f aca="false">EDATE(L52,-1)</f>
        <v>38718</v>
      </c>
      <c r="N52" s="2152" t="n">
        <f aca="false">EDATE(M52,-1)</f>
        <v>38687</v>
      </c>
      <c r="O52" s="2152" t="n">
        <f aca="false">EDATE(N52,-1)</f>
        <v>38657</v>
      </c>
      <c r="P52" s="2487"/>
    </row>
    <row r="53" s="1983" customFormat="true" ht="15" hidden="false" customHeight="false" outlineLevel="0" collapsed="false">
      <c r="A53" s="2155"/>
      <c r="B53" s="2167"/>
      <c r="C53" s="2157" t="n">
        <v>100</v>
      </c>
      <c r="D53" s="2159"/>
      <c r="E53" s="2159"/>
      <c r="F53" s="2159"/>
      <c r="G53" s="2159"/>
      <c r="H53" s="2159"/>
      <c r="I53" s="2159"/>
      <c r="J53" s="2159"/>
      <c r="K53" s="2159"/>
      <c r="L53" s="2159"/>
      <c r="M53" s="2390"/>
      <c r="N53" s="2159"/>
      <c r="O53" s="2174"/>
      <c r="P53" s="2148"/>
    </row>
    <row r="54" s="1983" customFormat="true" ht="15" hidden="false" customHeight="false" outlineLevel="0" collapsed="false">
      <c r="A54" s="2161" t="s">
        <v>1316</v>
      </c>
      <c r="B54" s="2162"/>
      <c r="C54" s="2163"/>
      <c r="D54" s="2164"/>
      <c r="E54" s="2164"/>
      <c r="F54" s="2164"/>
      <c r="G54" s="2164"/>
      <c r="H54" s="2164"/>
      <c r="I54" s="2164"/>
      <c r="J54" s="2164"/>
      <c r="K54" s="2164"/>
      <c r="L54" s="2164"/>
      <c r="M54" s="2165"/>
      <c r="N54" s="2488"/>
      <c r="O54" s="2489"/>
      <c r="P54" s="2148"/>
      <c r="Q54" s="2148"/>
    </row>
    <row r="55" s="1983" customFormat="true" ht="15" hidden="false" customHeight="false" outlineLevel="0" collapsed="false">
      <c r="A55" s="2166" t="s">
        <v>1278</v>
      </c>
      <c r="B55" s="2167"/>
      <c r="C55" s="2168" t="s">
        <v>1279</v>
      </c>
      <c r="D55" s="2169"/>
      <c r="E55" s="2169"/>
      <c r="F55" s="2169"/>
      <c r="G55" s="2169"/>
      <c r="H55" s="2169"/>
      <c r="I55" s="2169"/>
      <c r="J55" s="2169"/>
      <c r="K55" s="2169"/>
      <c r="L55" s="2170"/>
      <c r="M55" s="2171"/>
      <c r="N55" s="2172"/>
      <c r="O55" s="2172"/>
      <c r="P55" s="2490"/>
      <c r="Q55" s="2148"/>
    </row>
    <row r="56" s="1983" customFormat="true" ht="15" hidden="false" customHeight="false" outlineLevel="0" collapsed="false">
      <c r="A56" s="2166"/>
      <c r="B56" s="2167"/>
      <c r="C56" s="2491" t="n">
        <v>100</v>
      </c>
      <c r="D56" s="2159"/>
      <c r="E56" s="2159"/>
      <c r="F56" s="2159"/>
      <c r="G56" s="2159"/>
      <c r="H56" s="2159"/>
      <c r="I56" s="2159"/>
      <c r="J56" s="2159"/>
      <c r="K56" s="2159"/>
      <c r="L56" s="2159"/>
      <c r="M56" s="2174"/>
      <c r="N56" s="2172"/>
      <c r="O56" s="2172"/>
      <c r="P56" s="2148"/>
      <c r="Q56" s="2148"/>
    </row>
    <row r="57" customFormat="false" ht="14.25" hidden="false" customHeight="false" outlineLevel="0" collapsed="false">
      <c r="A57" s="2175" t="s">
        <v>1280</v>
      </c>
      <c r="B57" s="2176" t="s">
        <v>399</v>
      </c>
      <c r="C57" s="2177" t="n">
        <f aca="false">C9</f>
        <v>0</v>
      </c>
      <c r="D57" s="2178"/>
      <c r="E57" s="2178"/>
      <c r="F57" s="2178"/>
      <c r="G57" s="2178"/>
      <c r="H57" s="2178"/>
      <c r="I57" s="2178"/>
      <c r="J57" s="2178"/>
      <c r="K57" s="2179"/>
      <c r="L57" s="2180"/>
      <c r="M57" s="2181"/>
      <c r="N57" s="2182"/>
      <c r="O57" s="2182"/>
      <c r="P57" s="2492"/>
      <c r="Q57" s="2148"/>
    </row>
    <row r="58" customFormat="false" ht="15" hidden="false" customHeight="false" outlineLevel="0" collapsed="false">
      <c r="A58" s="2184"/>
      <c r="B58" s="2185"/>
      <c r="C58" s="2186" t="n">
        <v>100</v>
      </c>
      <c r="D58" s="2186"/>
      <c r="E58" s="2186"/>
      <c r="F58" s="2186"/>
      <c r="G58" s="2186"/>
      <c r="H58" s="2186"/>
      <c r="I58" s="2186"/>
      <c r="J58" s="2186"/>
      <c r="K58" s="2186"/>
      <c r="L58" s="2186"/>
      <c r="M58" s="2187"/>
      <c r="N58" s="2188"/>
      <c r="O58" s="2188"/>
      <c r="P58" s="2492"/>
      <c r="Q58" s="2148"/>
    </row>
    <row r="59" customFormat="false" ht="27" hidden="false" customHeight="false" outlineLevel="0" collapsed="false">
      <c r="A59" s="2184"/>
      <c r="B59" s="2189" t="s">
        <v>1281</v>
      </c>
      <c r="C59" s="2190"/>
      <c r="D59" s="2190"/>
      <c r="E59" s="2190"/>
      <c r="F59" s="2190"/>
      <c r="G59" s="2190"/>
      <c r="H59" s="2190"/>
      <c r="I59" s="2190"/>
      <c r="J59" s="2190"/>
      <c r="K59" s="2246"/>
      <c r="L59" s="2247"/>
      <c r="M59" s="2248"/>
      <c r="N59" s="2182"/>
      <c r="O59" s="2182"/>
      <c r="P59" s="2492"/>
      <c r="Q59" s="2148"/>
    </row>
    <row r="60" customFormat="false" ht="15" hidden="false" customHeight="false" outlineLevel="0" collapsed="false">
      <c r="A60" s="2184"/>
      <c r="B60" s="2191"/>
      <c r="C60" s="2186"/>
      <c r="D60" s="2186"/>
      <c r="E60" s="2186"/>
      <c r="F60" s="2186"/>
      <c r="G60" s="2186"/>
      <c r="H60" s="2186"/>
      <c r="I60" s="2186"/>
      <c r="J60" s="2186"/>
      <c r="K60" s="2186"/>
      <c r="L60" s="2186"/>
      <c r="M60" s="2187"/>
      <c r="N60" s="2188"/>
      <c r="O60" s="2188"/>
      <c r="P60" s="2492"/>
      <c r="Q60" s="2148"/>
    </row>
    <row r="61" customFormat="false" ht="15" hidden="false" customHeight="false" outlineLevel="0" collapsed="false">
      <c r="A61" s="2184"/>
      <c r="B61" s="2192" t="s">
        <v>524</v>
      </c>
      <c r="C61" s="2193" t="str">
        <f aca="false">C62&amp;"（含）"&amp;"-"&amp;D62</f>
        <v>0（含）-2</v>
      </c>
      <c r="D61" s="2193" t="str">
        <f aca="false">D62&amp;"（含）"&amp;"-"&amp;E62</f>
        <v>2（含）-</v>
      </c>
      <c r="E61" s="2193" t="str">
        <f aca="false">E62&amp;"（含）"&amp;"-"&amp;F62</f>
        <v>（含）-</v>
      </c>
      <c r="F61" s="2193" t="str">
        <f aca="false">F62&amp;"（含）"&amp;"-"&amp;G62</f>
        <v>（含）-</v>
      </c>
      <c r="G61" s="2193" t="str">
        <f aca="false">G62&amp;"（含）"&amp;"-"&amp;H62</f>
        <v>（含）-</v>
      </c>
      <c r="H61" s="2193" t="str">
        <f aca="false">H62&amp;"（含）"&amp;"-"&amp;I62</f>
        <v>（含）-</v>
      </c>
      <c r="I61" s="2193" t="str">
        <f aca="false">I62&amp;"（含）"&amp;"-"&amp;J62</f>
        <v>（含）-</v>
      </c>
      <c r="J61" s="2193" t="str">
        <f aca="false">J62&amp;"（含）"&amp;"-"&amp;K62</f>
        <v>（含）-</v>
      </c>
      <c r="K61" s="2193" t="str">
        <f aca="false">K62&amp;"（含）"&amp;"-"&amp;L62</f>
        <v>（含）-</v>
      </c>
      <c r="L61" s="2193" t="str">
        <f aca="false">L62&amp;"（含）"&amp;"-"&amp;M62</f>
        <v>（含）-</v>
      </c>
      <c r="M61" s="2041" t="str">
        <f aca="false">M62&amp;"（含）"&amp;"-"&amp;P62</f>
        <v>（含）-</v>
      </c>
      <c r="N61" s="2188"/>
      <c r="O61" s="2188"/>
      <c r="P61" s="2492"/>
      <c r="Q61" s="2148"/>
    </row>
    <row r="62" customFormat="false" ht="15" hidden="false" customHeight="false" outlineLevel="0" collapsed="false">
      <c r="A62" s="2184"/>
      <c r="B62" s="2194"/>
      <c r="C62" s="2195" t="n">
        <v>0</v>
      </c>
      <c r="D62" s="2195" t="n">
        <v>2</v>
      </c>
      <c r="E62" s="2195"/>
      <c r="F62" s="2195"/>
      <c r="G62" s="2195"/>
      <c r="H62" s="2195"/>
      <c r="I62" s="2195"/>
      <c r="J62" s="2195"/>
      <c r="K62" s="2196"/>
      <c r="L62" s="2197"/>
      <c r="M62" s="2198"/>
      <c r="N62" s="2182"/>
      <c r="O62" s="2182"/>
      <c r="P62" s="2492"/>
      <c r="Q62" s="2148"/>
    </row>
    <row r="63" customFormat="false" ht="15" hidden="false" customHeight="false" outlineLevel="0" collapsed="false">
      <c r="A63" s="2184"/>
      <c r="B63" s="2185"/>
      <c r="C63" s="2199" t="n">
        <v>100</v>
      </c>
      <c r="D63" s="2199" t="n">
        <f aca="false">C63-$K11</f>
        <v>100</v>
      </c>
      <c r="E63" s="2199" t="n">
        <f aca="false">D63-$K11</f>
        <v>100</v>
      </c>
      <c r="F63" s="2199" t="n">
        <f aca="false">E63-$K11</f>
        <v>100</v>
      </c>
      <c r="G63" s="2199" t="n">
        <f aca="false">F63-$K11</f>
        <v>100</v>
      </c>
      <c r="H63" s="2199" t="n">
        <f aca="false">G63-$K11</f>
        <v>100</v>
      </c>
      <c r="I63" s="2199" t="n">
        <f aca="false">H63-$K11</f>
        <v>100</v>
      </c>
      <c r="J63" s="2199" t="n">
        <f aca="false">I63-$K11</f>
        <v>100</v>
      </c>
      <c r="K63" s="2199" t="n">
        <f aca="false">J63-$K11</f>
        <v>100</v>
      </c>
      <c r="L63" s="2199" t="n">
        <f aca="false">K63-$K11</f>
        <v>100</v>
      </c>
      <c r="M63" s="2200" t="n">
        <f aca="false">L63-$K11</f>
        <v>100</v>
      </c>
      <c r="N63" s="2188"/>
      <c r="O63" s="2188"/>
      <c r="P63" s="2492"/>
      <c r="Q63" s="2148"/>
    </row>
    <row r="64" s="2088" customFormat="true" ht="15" hidden="false" customHeight="false" outlineLevel="0" collapsed="false">
      <c r="A64" s="2201"/>
      <c r="B64" s="2189" t="n">
        <f aca="false">B12</f>
        <v>111</v>
      </c>
      <c r="C64" s="2202"/>
      <c r="D64" s="2202"/>
      <c r="E64" s="2202"/>
      <c r="F64" s="2202"/>
      <c r="G64" s="2202"/>
      <c r="H64" s="2203"/>
      <c r="I64" s="2203"/>
      <c r="J64" s="2203"/>
      <c r="K64" s="2203"/>
      <c r="L64" s="2204"/>
      <c r="M64" s="2205"/>
      <c r="N64" s="2206"/>
      <c r="O64" s="2206"/>
      <c r="P64" s="2493"/>
      <c r="Q64" s="2208"/>
    </row>
    <row r="65" s="2088" customFormat="true" ht="15" hidden="false" customHeight="false" outlineLevel="0" collapsed="false">
      <c r="A65" s="2201"/>
      <c r="B65" s="2191"/>
      <c r="C65" s="2209"/>
      <c r="D65" s="2186"/>
      <c r="E65" s="2186"/>
      <c r="F65" s="2186"/>
      <c r="G65" s="2186"/>
      <c r="H65" s="2186"/>
      <c r="I65" s="2186"/>
      <c r="J65" s="2186"/>
      <c r="K65" s="2186"/>
      <c r="L65" s="2186"/>
      <c r="M65" s="2187"/>
      <c r="N65" s="2188"/>
      <c r="O65" s="2188"/>
      <c r="P65" s="2493"/>
      <c r="Q65" s="2208"/>
    </row>
    <row r="66" s="2088" customFormat="true" ht="15" hidden="false" customHeight="false" outlineLevel="0" collapsed="false">
      <c r="A66" s="2201"/>
      <c r="B66" s="2189" t="n">
        <f aca="false">B13</f>
        <v>111</v>
      </c>
      <c r="C66" s="2202"/>
      <c r="D66" s="2202"/>
      <c r="E66" s="2202"/>
      <c r="F66" s="2202"/>
      <c r="G66" s="2202"/>
      <c r="H66" s="2203"/>
      <c r="I66" s="2203"/>
      <c r="J66" s="2203"/>
      <c r="K66" s="2203"/>
      <c r="L66" s="2204"/>
      <c r="M66" s="2205"/>
      <c r="N66" s="2206"/>
      <c r="O66" s="2206"/>
      <c r="P66" s="2494"/>
      <c r="Q66" s="2211"/>
    </row>
    <row r="67" s="2088" customFormat="true" ht="15" hidden="false" customHeight="false" outlineLevel="0" collapsed="false">
      <c r="A67" s="2201"/>
      <c r="B67" s="2191"/>
      <c r="C67" s="2209"/>
      <c r="D67" s="2186"/>
      <c r="E67" s="2186"/>
      <c r="F67" s="2186"/>
      <c r="G67" s="2209"/>
      <c r="H67" s="2212"/>
      <c r="I67" s="2212"/>
      <c r="J67" s="2212"/>
      <c r="K67" s="2212"/>
      <c r="L67" s="2212"/>
      <c r="M67" s="2213"/>
      <c r="N67" s="2206"/>
      <c r="O67" s="2206"/>
      <c r="P67" s="2493"/>
      <c r="Q67" s="2208"/>
    </row>
    <row r="68" s="2088" customFormat="true" ht="15" hidden="false" customHeight="false" outlineLevel="0" collapsed="false">
      <c r="A68" s="2201"/>
      <c r="B68" s="2192" t="n">
        <f aca="false">B14</f>
        <v>111</v>
      </c>
      <c r="C68" s="2169"/>
      <c r="D68" s="2169"/>
      <c r="E68" s="2169"/>
      <c r="F68" s="2169"/>
      <c r="G68" s="2169"/>
      <c r="H68" s="2214"/>
      <c r="I68" s="2214"/>
      <c r="J68" s="2214"/>
      <c r="K68" s="2214"/>
      <c r="L68" s="2215"/>
      <c r="M68" s="2216"/>
      <c r="N68" s="2206"/>
      <c r="O68" s="2206"/>
      <c r="P68" s="2495"/>
      <c r="Q68" s="2208"/>
    </row>
    <row r="69" s="2088" customFormat="true" ht="15" hidden="false" customHeight="false" outlineLevel="0" collapsed="false">
      <c r="A69" s="2218"/>
      <c r="B69" s="2219"/>
      <c r="C69" s="2220"/>
      <c r="D69" s="2220"/>
      <c r="E69" s="2220"/>
      <c r="F69" s="2220"/>
      <c r="G69" s="2220"/>
      <c r="H69" s="2221"/>
      <c r="I69" s="2221"/>
      <c r="J69" s="2221"/>
      <c r="K69" s="2221"/>
      <c r="L69" s="2221"/>
      <c r="M69" s="2222"/>
      <c r="N69" s="2206"/>
      <c r="O69" s="2206"/>
      <c r="P69" s="2493"/>
      <c r="Q69" s="2208"/>
    </row>
    <row r="70" customFormat="false" ht="14.25" hidden="false" customHeight="false" outlineLevel="0" collapsed="false">
      <c r="A70" s="2175" t="s">
        <v>648</v>
      </c>
      <c r="B70" s="2176" t="s">
        <v>215</v>
      </c>
      <c r="C70" s="2223" t="s">
        <v>231</v>
      </c>
      <c r="D70" s="2223" t="s">
        <v>241</v>
      </c>
      <c r="E70" s="2223" t="s">
        <v>250</v>
      </c>
      <c r="F70" s="2223" t="s">
        <v>258</v>
      </c>
      <c r="G70" s="2223" t="s">
        <v>265</v>
      </c>
      <c r="H70" s="2177"/>
      <c r="I70" s="2177"/>
      <c r="J70" s="2177"/>
      <c r="K70" s="2224"/>
      <c r="L70" s="2225"/>
      <c r="M70" s="2226"/>
      <c r="N70" s="2182"/>
      <c r="O70" s="2182"/>
      <c r="P70" s="2496"/>
      <c r="Q70" s="2148"/>
    </row>
    <row r="71" customFormat="false" ht="15" hidden="false" customHeight="false" outlineLevel="0" collapsed="false">
      <c r="A71" s="2184"/>
      <c r="B71" s="2191"/>
      <c r="C71" s="2199" t="n">
        <v>100</v>
      </c>
      <c r="D71" s="2199" t="n">
        <f aca="false">C71-$K15</f>
        <v>100</v>
      </c>
      <c r="E71" s="2199" t="n">
        <f aca="false">D71-$K15</f>
        <v>100</v>
      </c>
      <c r="F71" s="2199" t="n">
        <f aca="false">E71-$K15</f>
        <v>100</v>
      </c>
      <c r="G71" s="2199" t="n">
        <f aca="false">F71-$K15</f>
        <v>100</v>
      </c>
      <c r="H71" s="2199"/>
      <c r="I71" s="2199"/>
      <c r="J71" s="2199"/>
      <c r="K71" s="2199"/>
      <c r="L71" s="2199"/>
      <c r="M71" s="2200"/>
      <c r="N71" s="2188"/>
      <c r="O71" s="2188"/>
      <c r="P71" s="2492"/>
      <c r="Q71" s="2148"/>
    </row>
    <row r="72" customFormat="false" ht="15" hidden="false" customHeight="false" outlineLevel="0" collapsed="false">
      <c r="A72" s="2184"/>
      <c r="B72" s="2189" t="s">
        <v>216</v>
      </c>
      <c r="C72" s="2228" t="s">
        <v>231</v>
      </c>
      <c r="D72" s="2228" t="s">
        <v>241</v>
      </c>
      <c r="E72" s="2228" t="s">
        <v>250</v>
      </c>
      <c r="F72" s="2228" t="s">
        <v>258</v>
      </c>
      <c r="G72" s="2228" t="s">
        <v>265</v>
      </c>
      <c r="H72" s="2229"/>
      <c r="I72" s="2229"/>
      <c r="J72" s="2229"/>
      <c r="K72" s="2230"/>
      <c r="L72" s="2231"/>
      <c r="M72" s="2232"/>
      <c r="N72" s="2182"/>
      <c r="O72" s="2182"/>
      <c r="P72" s="2492"/>
      <c r="Q72" s="2148"/>
    </row>
    <row r="73" customFormat="false" ht="15" hidden="false" customHeight="false" outlineLevel="0" collapsed="false">
      <c r="A73" s="2184"/>
      <c r="B73" s="2191"/>
      <c r="C73" s="2199" t="n">
        <v>100</v>
      </c>
      <c r="D73" s="2199" t="n">
        <f aca="false">C73-$K17</f>
        <v>100</v>
      </c>
      <c r="E73" s="2199" t="n">
        <f aca="false">D73-$K17</f>
        <v>100</v>
      </c>
      <c r="F73" s="2199" t="n">
        <f aca="false">E73-$K17</f>
        <v>100</v>
      </c>
      <c r="G73" s="2199" t="n">
        <f aca="false">F73-$K17</f>
        <v>100</v>
      </c>
      <c r="H73" s="2199"/>
      <c r="I73" s="2199"/>
      <c r="J73" s="2199"/>
      <c r="K73" s="2199"/>
      <c r="L73" s="2199"/>
      <c r="M73" s="2200"/>
      <c r="N73" s="2188"/>
      <c r="O73" s="2188"/>
      <c r="P73" s="2492"/>
      <c r="Q73" s="2148"/>
    </row>
    <row r="74" customFormat="false" ht="15" hidden="false" customHeight="false" outlineLevel="0" collapsed="false">
      <c r="A74" s="2184"/>
      <c r="B74" s="2189" t="s">
        <v>218</v>
      </c>
      <c r="C74" s="2228" t="s">
        <v>231</v>
      </c>
      <c r="D74" s="2228" t="s">
        <v>241</v>
      </c>
      <c r="E74" s="2228" t="s">
        <v>250</v>
      </c>
      <c r="F74" s="2228" t="s">
        <v>258</v>
      </c>
      <c r="G74" s="2228" t="s">
        <v>265</v>
      </c>
      <c r="H74" s="2229"/>
      <c r="I74" s="2229"/>
      <c r="J74" s="2229"/>
      <c r="K74" s="2230"/>
      <c r="L74" s="2231"/>
      <c r="M74" s="2232"/>
      <c r="N74" s="2182"/>
      <c r="O74" s="2182"/>
      <c r="P74" s="2492"/>
      <c r="Q74" s="2148"/>
    </row>
    <row r="75" customFormat="false" ht="15" hidden="false" customHeight="false" outlineLevel="0" collapsed="false">
      <c r="A75" s="2184"/>
      <c r="B75" s="2191"/>
      <c r="C75" s="2199" t="n">
        <v>100</v>
      </c>
      <c r="D75" s="2199" t="n">
        <f aca="false">C75-$K19</f>
        <v>100</v>
      </c>
      <c r="E75" s="2199" t="n">
        <f aca="false">D75-$K19</f>
        <v>100</v>
      </c>
      <c r="F75" s="2199" t="n">
        <f aca="false">E75-$K19</f>
        <v>100</v>
      </c>
      <c r="G75" s="2199" t="n">
        <f aca="false">F75-$K19</f>
        <v>100</v>
      </c>
      <c r="H75" s="2199"/>
      <c r="I75" s="2199"/>
      <c r="J75" s="2199"/>
      <c r="K75" s="2199"/>
      <c r="L75" s="2199"/>
      <c r="M75" s="2200"/>
      <c r="N75" s="2188"/>
      <c r="O75" s="2188"/>
      <c r="P75" s="2492"/>
      <c r="Q75" s="2148"/>
    </row>
    <row r="76" customFormat="false" ht="15" hidden="false" customHeight="false" outlineLevel="0" collapsed="false">
      <c r="A76" s="2184"/>
      <c r="B76" s="2192" t="s">
        <v>219</v>
      </c>
      <c r="C76" s="2404" t="s">
        <v>232</v>
      </c>
      <c r="D76" s="2404" t="s">
        <v>242</v>
      </c>
      <c r="E76" s="2404" t="s">
        <v>251</v>
      </c>
      <c r="F76" s="2404" t="s">
        <v>259</v>
      </c>
      <c r="G76" s="2404" t="s">
        <v>266</v>
      </c>
      <c r="H76" s="2229"/>
      <c r="I76" s="2229"/>
      <c r="J76" s="2229"/>
      <c r="K76" s="2229"/>
      <c r="L76" s="2229"/>
      <c r="M76" s="2234"/>
      <c r="N76" s="2188"/>
      <c r="O76" s="2188"/>
      <c r="P76" s="2492"/>
      <c r="Q76" s="2148"/>
    </row>
    <row r="77" customFormat="false" ht="15" hidden="false" customHeight="false" outlineLevel="0" collapsed="false">
      <c r="A77" s="2184"/>
      <c r="B77" s="2192"/>
      <c r="C77" s="2199" t="n">
        <v>100</v>
      </c>
      <c r="D77" s="2199" t="n">
        <f aca="false">C77-$K21</f>
        <v>100</v>
      </c>
      <c r="E77" s="2199" t="n">
        <f aca="false">D77-$K21</f>
        <v>100</v>
      </c>
      <c r="F77" s="2199" t="n">
        <f aca="false">E77-$K21</f>
        <v>100</v>
      </c>
      <c r="G77" s="2199" t="n">
        <f aca="false">F77-$K21</f>
        <v>100</v>
      </c>
      <c r="H77" s="2235"/>
      <c r="I77" s="2235"/>
      <c r="J77" s="2235"/>
      <c r="K77" s="2235"/>
      <c r="L77" s="2235"/>
      <c r="M77" s="2048"/>
      <c r="N77" s="2188"/>
      <c r="O77" s="2188"/>
      <c r="P77" s="2492"/>
      <c r="Q77" s="2148"/>
    </row>
    <row r="78" customFormat="false" ht="15" hidden="false" customHeight="false" outlineLevel="0" collapsed="false">
      <c r="A78" s="2184"/>
      <c r="B78" s="2189" t="s">
        <v>220</v>
      </c>
      <c r="C78" s="2228" t="s">
        <v>231</v>
      </c>
      <c r="D78" s="2228" t="s">
        <v>241</v>
      </c>
      <c r="E78" s="2228" t="s">
        <v>250</v>
      </c>
      <c r="F78" s="2228" t="s">
        <v>258</v>
      </c>
      <c r="G78" s="2228" t="s">
        <v>265</v>
      </c>
      <c r="H78" s="2229"/>
      <c r="I78" s="2229"/>
      <c r="J78" s="2229"/>
      <c r="K78" s="2230"/>
      <c r="L78" s="2231"/>
      <c r="M78" s="2232"/>
      <c r="N78" s="2182"/>
      <c r="O78" s="2182"/>
      <c r="P78" s="2492"/>
      <c r="Q78" s="2148"/>
    </row>
    <row r="79" customFormat="false" ht="15" hidden="false" customHeight="false" outlineLevel="0" collapsed="false">
      <c r="A79" s="2184"/>
      <c r="B79" s="2191"/>
      <c r="C79" s="2199" t="n">
        <v>100</v>
      </c>
      <c r="D79" s="2199" t="n">
        <f aca="false">C79-$K23</f>
        <v>100</v>
      </c>
      <c r="E79" s="2199" t="n">
        <f aca="false">D79-$K23</f>
        <v>100</v>
      </c>
      <c r="F79" s="2199" t="n">
        <f aca="false">E79-$K23</f>
        <v>100</v>
      </c>
      <c r="G79" s="2199" t="n">
        <f aca="false">F79-$K23</f>
        <v>100</v>
      </c>
      <c r="H79" s="2199"/>
      <c r="I79" s="2199"/>
      <c r="J79" s="2199"/>
      <c r="K79" s="2199"/>
      <c r="L79" s="2199"/>
      <c r="M79" s="2200"/>
      <c r="N79" s="2188"/>
      <c r="O79" s="2188"/>
      <c r="P79" s="2492"/>
      <c r="Q79" s="2148"/>
    </row>
    <row r="80" s="1983" customFormat="true" ht="15" hidden="false" customHeight="false" outlineLevel="0" collapsed="false">
      <c r="A80" s="2236"/>
      <c r="B80" s="2189" t="n">
        <f aca="false">B25</f>
        <v>111</v>
      </c>
      <c r="C80" s="2202"/>
      <c r="D80" s="2202"/>
      <c r="E80" s="2202"/>
      <c r="F80" s="2202"/>
      <c r="G80" s="2202"/>
      <c r="H80" s="2202"/>
      <c r="I80" s="2202"/>
      <c r="J80" s="2202"/>
      <c r="K80" s="2202"/>
      <c r="L80" s="2237"/>
      <c r="M80" s="2238"/>
      <c r="N80" s="2172"/>
      <c r="O80" s="2172"/>
      <c r="P80" s="2492"/>
      <c r="Q80" s="2148"/>
    </row>
    <row r="81" s="1983" customFormat="true" ht="15" hidden="false" customHeight="false" outlineLevel="0" collapsed="false">
      <c r="A81" s="2236"/>
      <c r="B81" s="2191"/>
      <c r="C81" s="2209"/>
      <c r="D81" s="2186"/>
      <c r="E81" s="2186"/>
      <c r="F81" s="2186"/>
      <c r="G81" s="2186"/>
      <c r="H81" s="2186"/>
      <c r="I81" s="2186"/>
      <c r="J81" s="2186"/>
      <c r="K81" s="2186"/>
      <c r="L81" s="2186"/>
      <c r="M81" s="2187"/>
      <c r="N81" s="2188"/>
      <c r="O81" s="2188"/>
      <c r="P81" s="2492"/>
      <c r="Q81" s="2148"/>
    </row>
    <row r="82" s="1983" customFormat="true" ht="15" hidden="false" customHeight="false" outlineLevel="0" collapsed="false">
      <c r="A82" s="2236"/>
      <c r="B82" s="2189" t="n">
        <f aca="false">B26</f>
        <v>111</v>
      </c>
      <c r="C82" s="2202"/>
      <c r="D82" s="2202"/>
      <c r="E82" s="2202"/>
      <c r="F82" s="2202"/>
      <c r="G82" s="2202"/>
      <c r="H82" s="2202"/>
      <c r="I82" s="2202"/>
      <c r="J82" s="2202"/>
      <c r="K82" s="2202"/>
      <c r="L82" s="2237"/>
      <c r="M82" s="2238"/>
      <c r="N82" s="2172"/>
      <c r="O82" s="2172"/>
      <c r="P82" s="2492"/>
      <c r="Q82" s="2148"/>
    </row>
    <row r="83" s="1983" customFormat="true" ht="15" hidden="false" customHeight="false" outlineLevel="0" collapsed="false">
      <c r="A83" s="2236"/>
      <c r="B83" s="2191"/>
      <c r="C83" s="2209"/>
      <c r="D83" s="2186"/>
      <c r="E83" s="2186"/>
      <c r="F83" s="2186"/>
      <c r="G83" s="2186"/>
      <c r="H83" s="2186"/>
      <c r="I83" s="2186"/>
      <c r="J83" s="2186"/>
      <c r="K83" s="2186"/>
      <c r="L83" s="2186"/>
      <c r="M83" s="2187"/>
      <c r="N83" s="2188"/>
      <c r="O83" s="2188"/>
      <c r="P83" s="2492"/>
      <c r="Q83" s="2148"/>
    </row>
    <row r="84" s="2088" customFormat="true" ht="15" hidden="false" customHeight="false" outlineLevel="0" collapsed="false">
      <c r="A84" s="2201"/>
      <c r="B84" s="2189" t="n">
        <f aca="false">B27</f>
        <v>111</v>
      </c>
      <c r="C84" s="2202"/>
      <c r="D84" s="2202"/>
      <c r="E84" s="2202"/>
      <c r="F84" s="2202"/>
      <c r="G84" s="2202"/>
      <c r="H84" s="2202"/>
      <c r="I84" s="2202"/>
      <c r="J84" s="2202"/>
      <c r="K84" s="2202"/>
      <c r="L84" s="2237"/>
      <c r="M84" s="2238"/>
      <c r="N84" s="2206"/>
      <c r="O84" s="2206"/>
      <c r="P84" s="2493"/>
      <c r="Q84" s="2208"/>
    </row>
    <row r="85" s="2088" customFormat="true" ht="15" hidden="false" customHeight="false" outlineLevel="0" collapsed="false">
      <c r="A85" s="2201"/>
      <c r="B85" s="2191"/>
      <c r="C85" s="2209"/>
      <c r="D85" s="2186"/>
      <c r="E85" s="2186"/>
      <c r="F85" s="2186"/>
      <c r="G85" s="2186"/>
      <c r="H85" s="2186"/>
      <c r="I85" s="2186"/>
      <c r="J85" s="2186"/>
      <c r="K85" s="2186"/>
      <c r="L85" s="2186"/>
      <c r="M85" s="2187"/>
      <c r="N85" s="2206"/>
      <c r="O85" s="2206"/>
      <c r="P85" s="2493"/>
      <c r="Q85" s="2208"/>
    </row>
    <row r="86" customFormat="false" ht="15" hidden="false" customHeight="false" outlineLevel="0" collapsed="false">
      <c r="A86" s="2184"/>
      <c r="B86" s="2192" t="n">
        <f aca="false">B28</f>
        <v>111</v>
      </c>
      <c r="C86" s="2169"/>
      <c r="D86" s="2169"/>
      <c r="E86" s="2169"/>
      <c r="F86" s="2169"/>
      <c r="G86" s="2249"/>
      <c r="H86" s="2249"/>
      <c r="I86" s="2249"/>
      <c r="J86" s="2249"/>
      <c r="K86" s="2250"/>
      <c r="L86" s="2251"/>
      <c r="M86" s="2252"/>
      <c r="N86" s="2182"/>
      <c r="O86" s="2182"/>
      <c r="P86" s="2492"/>
      <c r="Q86" s="2148"/>
    </row>
    <row r="87" customFormat="false" ht="15" hidden="false" customHeight="false" outlineLevel="0" collapsed="false">
      <c r="A87" s="2253"/>
      <c r="B87" s="2219"/>
      <c r="C87" s="2220"/>
      <c r="D87" s="2220"/>
      <c r="E87" s="2220"/>
      <c r="F87" s="2220"/>
      <c r="G87" s="2254"/>
      <c r="H87" s="2254"/>
      <c r="I87" s="2254"/>
      <c r="J87" s="2254"/>
      <c r="K87" s="2254"/>
      <c r="L87" s="2254"/>
      <c r="M87" s="2255"/>
      <c r="N87" s="2188"/>
      <c r="O87" s="2188"/>
      <c r="P87" s="2492"/>
      <c r="Q87" s="2148"/>
    </row>
    <row r="88" customFormat="false" ht="14.25" hidden="false" customHeight="false" outlineLevel="0" collapsed="false">
      <c r="A88" s="2175" t="s">
        <v>1292</v>
      </c>
      <c r="B88" s="2176" t="s">
        <v>1293</v>
      </c>
      <c r="C88" s="2178"/>
      <c r="D88" s="2178"/>
      <c r="E88" s="2178"/>
      <c r="F88" s="2178"/>
      <c r="G88" s="2178"/>
      <c r="H88" s="2178"/>
      <c r="I88" s="2178"/>
      <c r="J88" s="2178"/>
      <c r="K88" s="2179"/>
      <c r="L88" s="2180"/>
      <c r="M88" s="2181"/>
      <c r="N88" s="2182"/>
      <c r="O88" s="2182"/>
      <c r="P88" s="2492"/>
      <c r="Q88" s="2148"/>
    </row>
    <row r="89" customFormat="false" ht="15" hidden="false" customHeight="false" outlineLevel="0" collapsed="false">
      <c r="A89" s="2184"/>
      <c r="B89" s="2191"/>
      <c r="C89" s="2199" t="n">
        <v>100</v>
      </c>
      <c r="D89" s="2199" t="n">
        <f aca="false">C89-$K29</f>
        <v>100</v>
      </c>
      <c r="E89" s="2199" t="n">
        <f aca="false">D89-$K29</f>
        <v>100</v>
      </c>
      <c r="F89" s="2199" t="n">
        <f aca="false">E89-$K29</f>
        <v>100</v>
      </c>
      <c r="G89" s="2199" t="n">
        <f aca="false">F89-$K29</f>
        <v>100</v>
      </c>
      <c r="H89" s="2199" t="n">
        <f aca="false">G89-$K29</f>
        <v>100</v>
      </c>
      <c r="I89" s="2199" t="n">
        <f aca="false">H89-$K29</f>
        <v>100</v>
      </c>
      <c r="J89" s="2199" t="n">
        <f aca="false">I89-$K29</f>
        <v>100</v>
      </c>
      <c r="K89" s="2199" t="n">
        <f aca="false">J89-$K29</f>
        <v>100</v>
      </c>
      <c r="L89" s="2199" t="n">
        <f aca="false">K89-$K29</f>
        <v>100</v>
      </c>
      <c r="M89" s="2200" t="n">
        <f aca="false">L89-$K29</f>
        <v>100</v>
      </c>
      <c r="N89" s="2188"/>
      <c r="O89" s="2188"/>
      <c r="P89" s="2492"/>
      <c r="Q89" s="2148"/>
    </row>
    <row r="90" customFormat="false" ht="15" hidden="false" customHeight="false" outlineLevel="0" collapsed="false">
      <c r="A90" s="2184"/>
      <c r="B90" s="2189" t="s">
        <v>1296</v>
      </c>
      <c r="C90" s="2228" t="str">
        <f aca="false">C91&amp;"(含)"&amp;"-"&amp;D91</f>
        <v>(含)-</v>
      </c>
      <c r="D90" s="2228" t="str">
        <f aca="false">D91&amp;"(含)"&amp;"-"&amp;E91</f>
        <v>(含)-</v>
      </c>
      <c r="E90" s="2228" t="str">
        <f aca="false">E91&amp;"(含)"&amp;"-"&amp;F91</f>
        <v>(含)-</v>
      </c>
      <c r="F90" s="2228" t="str">
        <f aca="false">F91&amp;"(含)"&amp;"-"&amp;G91</f>
        <v>(含)-</v>
      </c>
      <c r="G90" s="2228" t="str">
        <f aca="false">G91&amp;"(含)"&amp;"-"&amp;H91</f>
        <v>(含)-</v>
      </c>
      <c r="H90" s="2228" t="str">
        <f aca="false">H91&amp;"(含)"&amp;"-"&amp;I91</f>
        <v>(含)-</v>
      </c>
      <c r="I90" s="2228" t="str">
        <f aca="false">I91&amp;"(含)"&amp;"-"&amp;J91</f>
        <v>(含)-</v>
      </c>
      <c r="J90" s="2228" t="str">
        <f aca="false">J91&amp;"(含)"&amp;"-"&amp;K91</f>
        <v>(含)-</v>
      </c>
      <c r="K90" s="2228" t="str">
        <f aca="false">K91&amp;"(含)"&amp;"-"&amp;L91</f>
        <v>(含)-</v>
      </c>
      <c r="L90" s="2228" t="str">
        <f aca="false">L91&amp;"(含)"&amp;"-"&amp;M91</f>
        <v>(含)-</v>
      </c>
      <c r="M90" s="2406" t="str">
        <f aca="false">M91&amp;"(含)"&amp;"-"&amp;P91</f>
        <v>(含)-</v>
      </c>
      <c r="N90" s="2172"/>
      <c r="O90" s="2172"/>
      <c r="P90" s="2492"/>
      <c r="Q90" s="2148"/>
    </row>
    <row r="91" s="2088" customFormat="true" ht="14.25" hidden="false" customHeight="false" outlineLevel="0" collapsed="false">
      <c r="A91" s="2257"/>
      <c r="B91" s="2258"/>
      <c r="C91" s="2259"/>
      <c r="D91" s="2259"/>
      <c r="E91" s="2259"/>
      <c r="F91" s="2259"/>
      <c r="G91" s="2259"/>
      <c r="H91" s="2259"/>
      <c r="I91" s="2259"/>
      <c r="J91" s="2260"/>
      <c r="K91" s="2260"/>
      <c r="L91" s="2261"/>
      <c r="M91" s="2262"/>
      <c r="N91" s="2206"/>
      <c r="O91" s="2206"/>
      <c r="P91" s="2493"/>
      <c r="Q91" s="2208"/>
    </row>
    <row r="92" s="2088" customFormat="true" ht="15" hidden="false" customHeight="false" outlineLevel="0" collapsed="false">
      <c r="A92" s="2201"/>
      <c r="B92" s="2191"/>
      <c r="C92" s="2209"/>
      <c r="D92" s="2186"/>
      <c r="E92" s="2186"/>
      <c r="F92" s="2186"/>
      <c r="G92" s="2186"/>
      <c r="H92" s="2186"/>
      <c r="I92" s="2186"/>
      <c r="J92" s="2186"/>
      <c r="K92" s="2186"/>
      <c r="L92" s="2186"/>
      <c r="M92" s="2187"/>
      <c r="N92" s="2188"/>
      <c r="O92" s="2188"/>
      <c r="P92" s="2493"/>
      <c r="Q92" s="2208"/>
    </row>
    <row r="93" customFormat="false" ht="14.25" hidden="false" customHeight="false" outlineLevel="0" collapsed="false">
      <c r="A93" s="2263"/>
      <c r="B93" s="2189" t="s">
        <v>1297</v>
      </c>
      <c r="C93" s="2202"/>
      <c r="D93" s="2202"/>
      <c r="E93" s="2190"/>
      <c r="F93" s="2190"/>
      <c r="G93" s="2190"/>
      <c r="H93" s="2190"/>
      <c r="I93" s="2190"/>
      <c r="J93" s="2190"/>
      <c r="K93" s="2246"/>
      <c r="L93" s="2247"/>
      <c r="M93" s="2248"/>
      <c r="N93" s="2182"/>
      <c r="O93" s="2182"/>
      <c r="P93" s="2492"/>
      <c r="Q93" s="2148"/>
    </row>
    <row r="94" customFormat="false" ht="15" hidden="false" customHeight="false" outlineLevel="0" collapsed="false">
      <c r="A94" s="2184"/>
      <c r="B94" s="2191"/>
      <c r="C94" s="2199" t="n">
        <v>100</v>
      </c>
      <c r="D94" s="2199" t="n">
        <f aca="false">C94-$K31</f>
        <v>100</v>
      </c>
      <c r="E94" s="2199" t="n">
        <f aca="false">D94-$K31</f>
        <v>100</v>
      </c>
      <c r="F94" s="2199" t="n">
        <f aca="false">E94-$K31</f>
        <v>100</v>
      </c>
      <c r="G94" s="2199" t="n">
        <f aca="false">F94-$K31</f>
        <v>100</v>
      </c>
      <c r="H94" s="2199" t="n">
        <f aca="false">G94-$K31</f>
        <v>100</v>
      </c>
      <c r="I94" s="2199" t="n">
        <f aca="false">H94-$K31</f>
        <v>100</v>
      </c>
      <c r="J94" s="2199" t="n">
        <f aca="false">I94-$K31</f>
        <v>100</v>
      </c>
      <c r="K94" s="2199" t="n">
        <f aca="false">J94-$K31</f>
        <v>100</v>
      </c>
      <c r="L94" s="2199" t="n">
        <f aca="false">K94-$K31</f>
        <v>100</v>
      </c>
      <c r="M94" s="2200" t="n">
        <f aca="false">L94-$K31</f>
        <v>100</v>
      </c>
      <c r="N94" s="2188"/>
      <c r="O94" s="2188"/>
      <c r="P94" s="2492"/>
      <c r="Q94" s="2148"/>
    </row>
    <row r="95" customFormat="false" ht="14.25" hidden="false" customHeight="false" outlineLevel="0" collapsed="false">
      <c r="A95" s="2263"/>
      <c r="B95" s="2189" t="s">
        <v>1300</v>
      </c>
      <c r="C95" s="2202"/>
      <c r="D95" s="2202"/>
      <c r="E95" s="2202"/>
      <c r="F95" s="2190"/>
      <c r="G95" s="2190"/>
      <c r="H95" s="2190"/>
      <c r="I95" s="2190"/>
      <c r="J95" s="2190"/>
      <c r="K95" s="2246"/>
      <c r="L95" s="2247"/>
      <c r="M95" s="2248"/>
      <c r="N95" s="2182"/>
      <c r="O95" s="2182"/>
      <c r="P95" s="2492"/>
      <c r="Q95" s="2148"/>
    </row>
    <row r="96" customFormat="false" ht="15" hidden="false" customHeight="false" outlineLevel="0" collapsed="false">
      <c r="A96" s="2184"/>
      <c r="B96" s="2191"/>
      <c r="C96" s="2199" t="n">
        <v>100</v>
      </c>
      <c r="D96" s="2199" t="n">
        <f aca="false">C96-$K32</f>
        <v>100</v>
      </c>
      <c r="E96" s="2199" t="n">
        <f aca="false">D96-$K32</f>
        <v>100</v>
      </c>
      <c r="F96" s="2199" t="n">
        <f aca="false">E96-$K32</f>
        <v>100</v>
      </c>
      <c r="G96" s="2199" t="n">
        <f aca="false">F96-$K32</f>
        <v>100</v>
      </c>
      <c r="H96" s="2199" t="n">
        <f aca="false">G96-$K32</f>
        <v>100</v>
      </c>
      <c r="I96" s="2199" t="n">
        <f aca="false">H96-$K32</f>
        <v>100</v>
      </c>
      <c r="J96" s="2199" t="n">
        <f aca="false">I96-$K32</f>
        <v>100</v>
      </c>
      <c r="K96" s="2199" t="n">
        <f aca="false">J96-$K32</f>
        <v>100</v>
      </c>
      <c r="L96" s="2199" t="n">
        <f aca="false">K96-$K32</f>
        <v>100</v>
      </c>
      <c r="M96" s="2200" t="n">
        <f aca="false">L96-$K32</f>
        <v>100</v>
      </c>
      <c r="N96" s="2188"/>
      <c r="O96" s="2188"/>
      <c r="P96" s="2492"/>
      <c r="Q96" s="2148"/>
    </row>
    <row r="97" customFormat="false" ht="14.25" hidden="false" customHeight="false" outlineLevel="0" collapsed="false">
      <c r="A97" s="2263"/>
      <c r="B97" s="2189" t="s">
        <v>567</v>
      </c>
      <c r="C97" s="2228" t="str">
        <f aca="false">C98&amp;"(含)"&amp;"-"&amp;D98</f>
        <v>0.5(含)-0.6</v>
      </c>
      <c r="D97" s="2228" t="str">
        <f aca="false">D98&amp;"(含)"&amp;"-"&amp;E98</f>
        <v>0.6(含)-0.7</v>
      </c>
      <c r="E97" s="2228" t="str">
        <f aca="false">E98&amp;"(含)"&amp;"-"&amp;F98</f>
        <v>0.7(含)-0.8</v>
      </c>
      <c r="F97" s="2228" t="str">
        <f aca="false">F98&amp;"(含)"&amp;"-"&amp;G98</f>
        <v>0.8(含)-0.9</v>
      </c>
      <c r="G97" s="2228" t="str">
        <f aca="false">G98&amp;"(含)"&amp;"-"&amp;ROUND(H98,0)&amp;"(含)"</f>
        <v>0.9(含)-1(含)</v>
      </c>
      <c r="H97" s="2228"/>
      <c r="I97" s="2190"/>
      <c r="J97" s="2190"/>
      <c r="K97" s="2246"/>
      <c r="L97" s="2247"/>
      <c r="M97" s="2248"/>
      <c r="N97" s="2182"/>
      <c r="O97" s="2182"/>
      <c r="P97" s="2492"/>
      <c r="Q97" s="2148"/>
    </row>
    <row r="98" customFormat="false" ht="14.25" hidden="false" customHeight="false" outlineLevel="0" collapsed="false">
      <c r="A98" s="2263"/>
      <c r="B98" s="2192"/>
      <c r="C98" s="2268" t="n">
        <v>0.5</v>
      </c>
      <c r="D98" s="2268" t="n">
        <v>0.6</v>
      </c>
      <c r="E98" s="2268" t="n">
        <v>0.7</v>
      </c>
      <c r="F98" s="2268" t="n">
        <v>0.8</v>
      </c>
      <c r="G98" s="2268" t="n">
        <v>0.9</v>
      </c>
      <c r="H98" s="2268" t="n">
        <v>1.0001</v>
      </c>
      <c r="I98" s="2407"/>
      <c r="J98" s="2407"/>
      <c r="K98" s="2408"/>
      <c r="L98" s="2409"/>
      <c r="M98" s="2410"/>
      <c r="N98" s="2182"/>
      <c r="O98" s="2182"/>
      <c r="P98" s="2492"/>
      <c r="Q98" s="2148"/>
    </row>
    <row r="99" customFormat="false" ht="15" hidden="false" customHeight="false" outlineLevel="0" collapsed="false">
      <c r="A99" s="2184"/>
      <c r="B99" s="2191"/>
      <c r="C99" s="2239" t="n">
        <v>100</v>
      </c>
      <c r="D99" s="2199" t="n">
        <f aca="false">C99+$K33</f>
        <v>100</v>
      </c>
      <c r="E99" s="2199" t="n">
        <f aca="false">D99+$K33</f>
        <v>100</v>
      </c>
      <c r="F99" s="2199" t="n">
        <f aca="false">E99+$K33</f>
        <v>100</v>
      </c>
      <c r="G99" s="2199" t="n">
        <f aca="false">F99+$K33</f>
        <v>100</v>
      </c>
      <c r="H99" s="2199" t="n">
        <f aca="false">G99+$K33</f>
        <v>100</v>
      </c>
      <c r="I99" s="2199" t="n">
        <f aca="false">H99+$K33</f>
        <v>100</v>
      </c>
      <c r="J99" s="2199" t="n">
        <f aca="false">I99+$K33</f>
        <v>100</v>
      </c>
      <c r="K99" s="2199" t="n">
        <f aca="false">J99+$K33</f>
        <v>100</v>
      </c>
      <c r="L99" s="2199" t="n">
        <f aca="false">K99+$K33</f>
        <v>100</v>
      </c>
      <c r="M99" s="2199" t="n">
        <f aca="false">L99+$K33</f>
        <v>100</v>
      </c>
      <c r="N99" s="2188"/>
      <c r="O99" s="2188"/>
      <c r="P99" s="2492"/>
      <c r="Q99" s="2148"/>
    </row>
    <row r="100" s="2088" customFormat="true" ht="14.25" hidden="false" customHeight="false" outlineLevel="0" collapsed="false">
      <c r="A100" s="2257"/>
      <c r="B100" s="2189" t="s">
        <v>1302</v>
      </c>
      <c r="C100" s="2202"/>
      <c r="D100" s="2202"/>
      <c r="E100" s="2202"/>
      <c r="F100" s="2202"/>
      <c r="G100" s="2202"/>
      <c r="H100" s="2190"/>
      <c r="I100" s="2190"/>
      <c r="J100" s="2190"/>
      <c r="K100" s="2246"/>
      <c r="L100" s="2247"/>
      <c r="M100" s="2248"/>
      <c r="N100" s="2206"/>
      <c r="O100" s="2206"/>
      <c r="P100" s="2493"/>
      <c r="Q100" s="2208"/>
    </row>
    <row r="101" s="2088" customFormat="true" ht="15" hidden="false" customHeight="false" outlineLevel="0" collapsed="false">
      <c r="A101" s="2201"/>
      <c r="B101" s="2191"/>
      <c r="C101" s="2199" t="n">
        <v>100</v>
      </c>
      <c r="D101" s="2199" t="n">
        <f aca="false">C101-$K34</f>
        <v>100</v>
      </c>
      <c r="E101" s="2199" t="n">
        <f aca="false">D101-$K34</f>
        <v>100</v>
      </c>
      <c r="F101" s="2199" t="n">
        <f aca="false">E101-$K34</f>
        <v>100</v>
      </c>
      <c r="G101" s="2199" t="n">
        <f aca="false">F101-$K34</f>
        <v>100</v>
      </c>
      <c r="H101" s="2199" t="n">
        <f aca="false">G101-$K34</f>
        <v>100</v>
      </c>
      <c r="I101" s="2199" t="n">
        <f aca="false">H101-$K34</f>
        <v>100</v>
      </c>
      <c r="J101" s="2199" t="n">
        <f aca="false">I101-$K34</f>
        <v>100</v>
      </c>
      <c r="K101" s="2199" t="n">
        <f aca="false">J101-$K34</f>
        <v>100</v>
      </c>
      <c r="L101" s="2199" t="n">
        <f aca="false">K101-$K34</f>
        <v>100</v>
      </c>
      <c r="M101" s="2199" t="n">
        <f aca="false">L101-$K34</f>
        <v>100</v>
      </c>
      <c r="N101" s="2206"/>
      <c r="O101" s="2206"/>
      <c r="P101" s="2493"/>
      <c r="Q101" s="2208"/>
    </row>
    <row r="102" customFormat="false" ht="14.25" hidden="false" customHeight="false" outlineLevel="0" collapsed="false">
      <c r="A102" s="2263"/>
      <c r="B102" s="2189" t="s">
        <v>1304</v>
      </c>
      <c r="C102" s="2202"/>
      <c r="D102" s="2202"/>
      <c r="E102" s="2202"/>
      <c r="F102" s="2202"/>
      <c r="G102" s="2202"/>
      <c r="H102" s="2190"/>
      <c r="I102" s="2190"/>
      <c r="J102" s="2190"/>
      <c r="K102" s="2246"/>
      <c r="L102" s="2247"/>
      <c r="M102" s="2248"/>
      <c r="N102" s="2182"/>
      <c r="O102" s="2182"/>
      <c r="P102" s="2492"/>
      <c r="Q102" s="2148"/>
    </row>
    <row r="103" customFormat="false" ht="15" hidden="false" customHeight="false" outlineLevel="0" collapsed="false">
      <c r="A103" s="2184"/>
      <c r="B103" s="2191"/>
      <c r="C103" s="2199" t="n">
        <v>100</v>
      </c>
      <c r="D103" s="2199" t="n">
        <f aca="false">C103-$K35</f>
        <v>100</v>
      </c>
      <c r="E103" s="2199" t="n">
        <f aca="false">D103-$K35</f>
        <v>100</v>
      </c>
      <c r="F103" s="2199" t="n">
        <f aca="false">E103-$K35</f>
        <v>100</v>
      </c>
      <c r="G103" s="2199" t="n">
        <f aca="false">F103-$K35</f>
        <v>100</v>
      </c>
      <c r="H103" s="2199" t="n">
        <f aca="false">G103-$K35</f>
        <v>100</v>
      </c>
      <c r="I103" s="2199" t="n">
        <f aca="false">H103-$K35</f>
        <v>100</v>
      </c>
      <c r="J103" s="2199" t="n">
        <f aca="false">I103-$K35</f>
        <v>100</v>
      </c>
      <c r="K103" s="2199" t="n">
        <f aca="false">J103-$K35</f>
        <v>100</v>
      </c>
      <c r="L103" s="2199" t="n">
        <f aca="false">K103-$K35</f>
        <v>100</v>
      </c>
      <c r="M103" s="2200" t="n">
        <f aca="false">L103-$K35</f>
        <v>100</v>
      </c>
      <c r="N103" s="2188"/>
      <c r="O103" s="2188"/>
      <c r="P103" s="2492"/>
      <c r="Q103" s="2148"/>
    </row>
    <row r="104" customFormat="false" ht="14.25" hidden="false" customHeight="false" outlineLevel="0" collapsed="false">
      <c r="A104" s="2263"/>
      <c r="B104" s="2189" t="s">
        <v>1306</v>
      </c>
      <c r="C104" s="2202"/>
      <c r="D104" s="2202"/>
      <c r="E104" s="2202"/>
      <c r="F104" s="2202"/>
      <c r="G104" s="2202"/>
      <c r="H104" s="2190"/>
      <c r="I104" s="2190"/>
      <c r="J104" s="2190"/>
      <c r="K104" s="2246"/>
      <c r="L104" s="2247"/>
      <c r="M104" s="2248"/>
      <c r="N104" s="2182"/>
      <c r="O104" s="2182"/>
      <c r="P104" s="2492"/>
      <c r="Q104" s="2148"/>
    </row>
    <row r="105" customFormat="false" ht="15" hidden="false" customHeight="false" outlineLevel="0" collapsed="false">
      <c r="A105" s="2184"/>
      <c r="B105" s="2191"/>
      <c r="C105" s="2199" t="n">
        <v>100</v>
      </c>
      <c r="D105" s="2199" t="n">
        <f aca="false">C105-$K36</f>
        <v>100</v>
      </c>
      <c r="E105" s="2199" t="n">
        <f aca="false">D105-$K36</f>
        <v>100</v>
      </c>
      <c r="F105" s="2199" t="n">
        <f aca="false">E105-$K36</f>
        <v>100</v>
      </c>
      <c r="G105" s="2199" t="n">
        <f aca="false">F105-$K36</f>
        <v>100</v>
      </c>
      <c r="H105" s="2199"/>
      <c r="I105" s="2199"/>
      <c r="J105" s="2199"/>
      <c r="K105" s="2199"/>
      <c r="L105" s="2199"/>
      <c r="M105" s="2200"/>
      <c r="N105" s="2188"/>
      <c r="O105" s="2188"/>
      <c r="P105" s="2492"/>
      <c r="Q105" s="2148"/>
    </row>
    <row r="106" customFormat="false" ht="14.25" hidden="false" customHeight="false" outlineLevel="0" collapsed="false">
      <c r="A106" s="2263"/>
      <c r="B106" s="2457" t="s">
        <v>1558</v>
      </c>
      <c r="C106" s="2228" t="s">
        <v>231</v>
      </c>
      <c r="D106" s="2228" t="s">
        <v>241</v>
      </c>
      <c r="E106" s="2228" t="s">
        <v>250</v>
      </c>
      <c r="F106" s="2228" t="s">
        <v>258</v>
      </c>
      <c r="G106" s="2228" t="s">
        <v>265</v>
      </c>
      <c r="H106" s="2229"/>
      <c r="I106" s="2229"/>
      <c r="J106" s="2229"/>
      <c r="K106" s="2230"/>
      <c r="L106" s="2231"/>
      <c r="M106" s="2232"/>
      <c r="N106" s="2188"/>
      <c r="O106" s="2188"/>
      <c r="P106" s="2497"/>
      <c r="Q106" s="2498"/>
    </row>
    <row r="107" customFormat="false" ht="15" hidden="false" customHeight="false" outlineLevel="0" collapsed="false">
      <c r="A107" s="2184"/>
      <c r="B107" s="2191"/>
      <c r="C107" s="2239" t="n">
        <v>100</v>
      </c>
      <c r="D107" s="2199" t="n">
        <f aca="false">C107-$K37</f>
        <v>100</v>
      </c>
      <c r="E107" s="2199" t="n">
        <f aca="false">D107-$K37</f>
        <v>100</v>
      </c>
      <c r="F107" s="2199" t="n">
        <f aca="false">E107-$K37</f>
        <v>100</v>
      </c>
      <c r="G107" s="2199" t="n">
        <f aca="false">F107-$K37</f>
        <v>100</v>
      </c>
      <c r="H107" s="2199" t="n">
        <f aca="false">G107-$K37</f>
        <v>100</v>
      </c>
      <c r="I107" s="2199" t="n">
        <f aca="false">H107-$K37</f>
        <v>100</v>
      </c>
      <c r="J107" s="2199" t="n">
        <f aca="false">I107-$K37</f>
        <v>100</v>
      </c>
      <c r="K107" s="2199" t="n">
        <f aca="false">J107-$K37</f>
        <v>100</v>
      </c>
      <c r="L107" s="2199" t="n">
        <f aca="false">K107-$K37</f>
        <v>100</v>
      </c>
      <c r="M107" s="2199" t="n">
        <f aca="false">L107-$K37</f>
        <v>100</v>
      </c>
      <c r="N107" s="2188"/>
      <c r="O107" s="2188"/>
      <c r="P107" s="2492"/>
      <c r="Q107" s="2148"/>
    </row>
    <row r="108" s="2088" customFormat="true" ht="14.25" hidden="false" customHeight="false" outlineLevel="0" collapsed="false">
      <c r="A108" s="2257"/>
      <c r="B108" s="2189" t="n">
        <f aca="false">B38</f>
        <v>111</v>
      </c>
      <c r="C108" s="2202"/>
      <c r="D108" s="2202"/>
      <c r="E108" s="2202"/>
      <c r="F108" s="2202"/>
      <c r="G108" s="2202"/>
      <c r="H108" s="2203"/>
      <c r="I108" s="2203"/>
      <c r="J108" s="2203"/>
      <c r="K108" s="2203"/>
      <c r="L108" s="2204"/>
      <c r="M108" s="2205"/>
      <c r="N108" s="2206"/>
      <c r="O108" s="2206"/>
      <c r="P108" s="2493"/>
      <c r="Q108" s="2208"/>
    </row>
    <row r="109" s="2088" customFormat="true" ht="15" hidden="false" customHeight="false" outlineLevel="0" collapsed="false">
      <c r="A109" s="2201"/>
      <c r="B109" s="2185"/>
      <c r="C109" s="2209"/>
      <c r="D109" s="2186"/>
      <c r="E109" s="2186"/>
      <c r="F109" s="2186"/>
      <c r="G109" s="2209"/>
      <c r="H109" s="2212"/>
      <c r="I109" s="2212"/>
      <c r="J109" s="2212"/>
      <c r="K109" s="2212"/>
      <c r="L109" s="2212"/>
      <c r="M109" s="2213"/>
      <c r="N109" s="2206"/>
      <c r="O109" s="2206"/>
      <c r="P109" s="2493"/>
      <c r="Q109" s="2208"/>
    </row>
    <row r="110" customFormat="false" ht="14.25" hidden="false" customHeight="false" outlineLevel="0" collapsed="false">
      <c r="A110" s="2263"/>
      <c r="B110" s="2189" t="n">
        <f aca="false">B39</f>
        <v>111</v>
      </c>
      <c r="C110" s="2202"/>
      <c r="D110" s="2202"/>
      <c r="E110" s="2202"/>
      <c r="F110" s="2202"/>
      <c r="G110" s="2202"/>
      <c r="H110" s="2203"/>
      <c r="I110" s="2203"/>
      <c r="J110" s="2203"/>
      <c r="K110" s="2203"/>
      <c r="L110" s="2204"/>
      <c r="M110" s="2205"/>
      <c r="N110" s="2182"/>
      <c r="O110" s="2182"/>
      <c r="P110" s="2492"/>
      <c r="Q110" s="2148"/>
    </row>
    <row r="111" customFormat="false" ht="15" hidden="false" customHeight="false" outlineLevel="0" collapsed="false">
      <c r="A111" s="2184"/>
      <c r="B111" s="2191"/>
      <c r="C111" s="2209"/>
      <c r="D111" s="2186"/>
      <c r="E111" s="2186"/>
      <c r="F111" s="2186"/>
      <c r="G111" s="2209"/>
      <c r="H111" s="2212"/>
      <c r="I111" s="2212"/>
      <c r="J111" s="2212"/>
      <c r="K111" s="2212"/>
      <c r="L111" s="2212"/>
      <c r="M111" s="2213"/>
      <c r="N111" s="2188"/>
      <c r="O111" s="2188"/>
      <c r="P111" s="2492"/>
      <c r="Q111" s="2148"/>
    </row>
    <row r="112" customFormat="false" ht="14.25" hidden="false" customHeight="false" outlineLevel="0" collapsed="false">
      <c r="A112" s="2263"/>
      <c r="B112" s="2192" t="n">
        <f aca="false">B40</f>
        <v>111</v>
      </c>
      <c r="C112" s="2169"/>
      <c r="D112" s="2169"/>
      <c r="E112" s="2169"/>
      <c r="F112" s="2169"/>
      <c r="G112" s="2249"/>
      <c r="H112" s="2249"/>
      <c r="I112" s="2249"/>
      <c r="J112" s="2249"/>
      <c r="K112" s="2169"/>
      <c r="L112" s="2170"/>
      <c r="M112" s="2252"/>
      <c r="N112" s="2182"/>
      <c r="O112" s="2182"/>
      <c r="P112" s="2492"/>
      <c r="Q112" s="2148"/>
    </row>
    <row r="113" customFormat="false" ht="15" hidden="false" customHeight="false" outlineLevel="0" collapsed="false">
      <c r="A113" s="2253"/>
      <c r="B113" s="2219"/>
      <c r="C113" s="2220"/>
      <c r="D113" s="2220"/>
      <c r="E113" s="2220"/>
      <c r="F113" s="2220"/>
      <c r="G113" s="2254"/>
      <c r="H113" s="2254"/>
      <c r="I113" s="2254"/>
      <c r="J113" s="2254"/>
      <c r="K113" s="2254"/>
      <c r="L113" s="2254"/>
      <c r="M113" s="2255"/>
      <c r="N113" s="2188"/>
      <c r="O113" s="2188"/>
      <c r="P113" s="2492"/>
      <c r="Q113" s="2148"/>
    </row>
  </sheetData>
  <sheetProtection sheet="true" password="cee9" objects="true" scenarios="true" formatCells="false" formatColumns="false" formatRows="false"/>
  <mergeCells count="40">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4"/>
    <mergeCell ref="Y9:Y14"/>
    <mergeCell ref="P15:P28"/>
    <mergeCell ref="Y15:Y28"/>
    <mergeCell ref="P29:P40"/>
    <mergeCell ref="Y29:Y40"/>
    <mergeCell ref="P41:Q41"/>
    <mergeCell ref="R41:S41"/>
    <mergeCell ref="T41:U41"/>
    <mergeCell ref="V41:W41"/>
    <mergeCell ref="P42:Q42"/>
    <mergeCell ref="R42:S42"/>
    <mergeCell ref="T42:U42"/>
    <mergeCell ref="V42:W42"/>
    <mergeCell ref="P43:Q43"/>
    <mergeCell ref="R43:W43"/>
  </mergeCells>
  <conditionalFormatting sqref="F42">
    <cfRule type="expression" priority="2" aboveAverage="0" equalAverage="0" bottom="0" percent="0" rank="0" text="" dxfId="133">
      <formula>$D$42="简单平均"</formula>
    </cfRule>
  </conditionalFormatting>
  <conditionalFormatting sqref="H42">
    <cfRule type="expression" priority="3" aboveAverage="0" equalAverage="0" bottom="0" percent="0" rank="0" text="" dxfId="134">
      <formula>$D$42="简单平均"</formula>
    </cfRule>
  </conditionalFormatting>
  <conditionalFormatting sqref="J42">
    <cfRule type="expression" priority="4" aboveAverage="0" equalAverage="0" bottom="0" percent="0" rank="0" text="" dxfId="135">
      <formula>$D$42="简单平均"</formula>
    </cfRule>
  </conditionalFormatting>
  <conditionalFormatting sqref="E46">
    <cfRule type="expression" priority="5" aboveAverage="0" equalAverage="0" bottom="0" percent="0" rank="0" text="" dxfId="136">
      <formula>$F$46="超过30%"</formula>
    </cfRule>
  </conditionalFormatting>
  <conditionalFormatting sqref="G46">
    <cfRule type="expression" priority="6" aboveAverage="0" equalAverage="0" bottom="0" percent="0" rank="0" text="" dxfId="137">
      <formula>$H$46="超过30%"</formula>
    </cfRule>
  </conditionalFormatting>
  <conditionalFormatting sqref="I46">
    <cfRule type="expression" priority="7" aboveAverage="0" equalAverage="0" bottom="0" percent="0" rank="0" text="" dxfId="138">
      <formula>$J$46="超过30%"</formula>
    </cfRule>
  </conditionalFormatting>
  <conditionalFormatting sqref="J46">
    <cfRule type="containsText" priority="8" operator="containsText" aboveAverage="0" equalAverage="0" bottom="0" percent="0" rank="0" text="超过" dxfId="139">
      <formula>NOT(ISERROR(SEARCH("超过",J46)))</formula>
    </cfRule>
  </conditionalFormatting>
  <conditionalFormatting sqref="E47">
    <cfRule type="expression" priority="9" aboveAverage="0" equalAverage="0" bottom="0" percent="0" rank="0" text="" dxfId="140">
      <formula>$F$47="超过20%"</formula>
    </cfRule>
  </conditionalFormatting>
  <conditionalFormatting sqref="G47">
    <cfRule type="expression" priority="10" aboveAverage="0" equalAverage="0" bottom="0" percent="0" rank="0" text="" dxfId="141">
      <formula>$H$47="超过20%"</formula>
    </cfRule>
  </conditionalFormatting>
  <conditionalFormatting sqref="I47">
    <cfRule type="expression" priority="11" aboveAverage="0" equalAverage="0" bottom="0" percent="0" rank="0" text="" dxfId="142">
      <formula>$J$47="超过20%"</formula>
    </cfRule>
  </conditionalFormatting>
  <conditionalFormatting sqref="J47">
    <cfRule type="containsText" priority="12" operator="containsText" aboveAverage="0" equalAverage="0" bottom="0" percent="0" rank="0" text="超过" dxfId="143">
      <formula>NOT(ISERROR(SEARCH("超过",J47)))</formula>
    </cfRule>
  </conditionalFormatting>
  <conditionalFormatting sqref="E48">
    <cfRule type="expression" priority="13" aboveAverage="0" equalAverage="0" bottom="0" percent="0" rank="0" text="" dxfId="144">
      <formula>$F$48="超过30%"</formula>
    </cfRule>
  </conditionalFormatting>
  <conditionalFormatting sqref="F48">
    <cfRule type="containsText" priority="14" operator="containsText" aboveAverage="0" equalAverage="0" bottom="0" percent="0" rank="0" text="超过" dxfId="145">
      <formula>NOT(ISERROR(SEARCH("超过",F48)))</formula>
    </cfRule>
  </conditionalFormatting>
  <conditionalFormatting sqref="G48">
    <cfRule type="expression" priority="15" aboveAverage="0" equalAverage="0" bottom="0" percent="0" rank="0" text="" dxfId="146">
      <formula>$H$48="超过30%"</formula>
    </cfRule>
  </conditionalFormatting>
  <conditionalFormatting sqref="H48">
    <cfRule type="containsText" priority="16" operator="containsText" aboveAverage="0" equalAverage="0" bottom="0" percent="0" rank="0" text="超过" dxfId="147">
      <formula>NOT(ISERROR(SEARCH("超过",H48)))</formula>
    </cfRule>
  </conditionalFormatting>
  <conditionalFormatting sqref="I48">
    <cfRule type="expression" priority="17" aboveAverage="0" equalAverage="0" bottom="0" percent="0" rank="0" text="" dxfId="148">
      <formula>$J$48="超过30%"</formula>
    </cfRule>
  </conditionalFormatting>
  <conditionalFormatting sqref="J48">
    <cfRule type="containsText" priority="18" operator="containsText" aboveAverage="0" equalAverage="0" bottom="0" percent="0" rank="0" text="超过" dxfId="149">
      <formula>NOT(ISERROR(SEARCH("超过",J48)))</formula>
    </cfRule>
  </conditionalFormatting>
  <conditionalFormatting sqref="F7:F40 H7:H40 J7:J40">
    <cfRule type="cellIs" priority="19" operator="notEqual" aboveAverage="0" equalAverage="0" bottom="0" percent="0" rank="0" text="" dxfId="150">
      <formula>100</formula>
    </cfRule>
  </conditionalFormatting>
  <conditionalFormatting sqref="F46 H46">
    <cfRule type="containsText" priority="20" operator="containsText" aboveAverage="0" equalAverage="0" bottom="0" percent="0" rank="0" text="超过" dxfId="151">
      <formula>NOT(ISERROR(SEARCH("超过",F46)))</formula>
    </cfRule>
  </conditionalFormatting>
  <conditionalFormatting sqref="F47 H47">
    <cfRule type="containsText" priority="21" operator="containsText" aboveAverage="0" equalAverage="0" bottom="0" percent="0" rank="0" text="超过" dxfId="152">
      <formula>NOT(ISERROR(SEARCH("超过",F47)))</formula>
    </cfRule>
  </conditionalFormatting>
  <dataValidations count="20">
    <dataValidation allowBlank="true" operator="between" showDropDown="false" showErrorMessage="true" showInputMessage="true" sqref="C16 E16 G16 I16" type="list">
      <formula1>产业集聚程度</formula1>
      <formula2>0</formula2>
    </dataValidation>
    <dataValidation allowBlank="true" operator="between" showDropDown="false" showErrorMessage="true" showInputMessage="true" sqref="E1" type="list">
      <formula1>"项目模式,单套模式"</formula1>
      <formula2>0</formula2>
    </dataValidation>
    <dataValidation allowBlank="true" operator="between" showDropDown="false" showErrorMessage="true" showInputMessage="true" sqref="D1" type="list">
      <formula1>项目类型</formula1>
      <formula2>0</formula2>
    </dataValidation>
    <dataValidation allowBlank="true" operator="between" showDropDown="false" showErrorMessage="true" showInputMessage="true" sqref="F1" type="list">
      <formula1>"售价,租金"</formula1>
      <formula2>0</formula2>
    </dataValidation>
    <dataValidation allowBlank="true" operator="between" showDropDown="false" showErrorMessage="true" showInputMessage="true" sqref="F2" type="list">
      <formula1>估价方法</formula1>
      <formula2>0</formula2>
    </dataValidation>
    <dataValidation allowBlank="true" operator="between" showDropDown="false" showErrorMessage="true" showInputMessage="true" sqref="C2" type="list">
      <formula1>"需扣减承租人权益,——"</formula1>
      <formula2>0</formula2>
    </dataValidation>
    <dataValidation allowBlank="true" operator="between" showDropDown="false" showErrorMessage="true" showInputMessage="true" sqref="C8 E8 G8 I8" type="list">
      <formula1>工业交易情况</formula1>
      <formula2>0</formula2>
    </dataValidation>
    <dataValidation allowBlank="true" operator="between" showDropDown="false" showErrorMessage="true" showInputMessage="true" sqref="D42" type="list">
      <formula1>"简单平均,加权平均"</formula1>
      <formula2>0</formula2>
    </dataValidation>
    <dataValidation allowBlank="true" operator="between" showDropDown="false" showErrorMessage="true" showInputMessage="true" sqref="E9 G9 I9" type="list">
      <formula1>工业用途</formula1>
      <formula2>0</formula2>
    </dataValidation>
    <dataValidation allowBlank="true" operator="between" showDropDown="false" showErrorMessage="true" showInputMessage="true" sqref="C18 E18 G18 I18" type="list">
      <formula1>交通便捷度</formula1>
      <formula2>0</formula2>
    </dataValidation>
    <dataValidation allowBlank="true" operator="between" showDropDown="false" showErrorMessage="true" showInputMessage="true" sqref="C20 E20 G20 I20" type="list">
      <formula1>公共配套设施</formula1>
      <formula2>0</formula2>
    </dataValidation>
    <dataValidation allowBlank="true" operator="between" showDropDown="false" showErrorMessage="true" showInputMessage="true" sqref="C22 E22 G22 I22" type="list">
      <formula1>基础设施水平</formula1>
      <formula2>0</formula2>
    </dataValidation>
    <dataValidation allowBlank="true" operator="between" showDropDown="false" showErrorMessage="true" showInputMessage="true" sqref="C24 E24 G24 I24" type="list">
      <formula1>环境</formula1>
      <formula2>0</formula2>
    </dataValidation>
    <dataValidation allowBlank="true" operator="between" showDropDown="false" showErrorMessage="true" showInputMessage="true" sqref="C29 E29 G29 I29" type="list">
      <formula1>工业建筑类型</formula1>
      <formula2>0</formula2>
    </dataValidation>
    <dataValidation allowBlank="true" operator="between" showDropDown="false" showErrorMessage="true" showInputMessage="true" sqref="C31 E31 G31 I31" type="list">
      <formula1>工业建筑结构</formula1>
      <formula2>0</formula2>
    </dataValidation>
    <dataValidation allowBlank="true" operator="between" showDropDown="false" showErrorMessage="true" showInputMessage="true" sqref="C32 E32 G32 I32" type="list">
      <formula1>工业公共部分装修</formula1>
      <formula2>0</formula2>
    </dataValidation>
    <dataValidation allowBlank="true" operator="between" showDropDown="false" showErrorMessage="true" showInputMessage="true" sqref="C34 E34 G34 I34" type="list">
      <formula1>工业物业管理</formula1>
      <formula2>0</formula2>
    </dataValidation>
    <dataValidation allowBlank="true" operator="between" showDropDown="false" showErrorMessage="true" showInputMessage="true" sqref="C35 E35 G35 I35" type="list">
      <formula1>工业基础设施水平</formula1>
      <formula2>0</formula2>
    </dataValidation>
    <dataValidation allowBlank="true" operator="between" showDropDown="false" showErrorMessage="true" showInputMessage="true" sqref="C36 E36 G36 I36" type="list">
      <formula1>工业内部装修</formula1>
      <formula2>0</formula2>
    </dataValidation>
    <dataValidation allowBlank="true" operator="between" showDropDown="false" showErrorMessage="true" showInputMessage="true" sqref="C37 E37 G37 I37" type="list">
      <formula1>内部装修维护情况</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1.xml><?xml version="1.0" encoding="utf-8"?>
<worksheet xmlns="http://schemas.openxmlformats.org/spreadsheetml/2006/main" xmlns:r="http://schemas.openxmlformats.org/officeDocument/2006/relationships">
  <sheetPr filterMode="false">
    <pageSetUpPr fitToPage="true"/>
  </sheetPr>
  <dimension ref="A1:AC103"/>
  <sheetViews>
    <sheetView showFormulas="false" showGridLines="true" showRowColHeaders="true" showZeros="true" rightToLeft="false" tabSelected="false" showOutlineSymbols="true" defaultGridColor="true" view="pageBreakPreview" topLeftCell="A1" colorId="64" zoomScale="100" zoomScaleNormal="6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1913" width="10.5"/>
    <col collapsed="false" customWidth="true" hidden="false" outlineLevel="0" max="2" min="2" style="1913" width="15.76"/>
    <col collapsed="false" customWidth="true" hidden="false" outlineLevel="0" max="3" min="3" style="1913" width="14.38"/>
    <col collapsed="false" customWidth="true" hidden="false" outlineLevel="0" max="4" min="4" style="1913" width="12.26"/>
    <col collapsed="false" customWidth="true" hidden="false" outlineLevel="0" max="5" min="5" style="1913" width="14.38"/>
    <col collapsed="false" customWidth="true" hidden="false" outlineLevel="0" max="6" min="6" style="1913" width="12.26"/>
    <col collapsed="false" customWidth="true" hidden="false" outlineLevel="0" max="7" min="7" style="1913" width="14.5"/>
    <col collapsed="false" customWidth="true" hidden="false" outlineLevel="0" max="8" min="8" style="1913" width="12.26"/>
    <col collapsed="false" customWidth="true" hidden="false" outlineLevel="0" max="9" min="9" style="1913" width="15.5"/>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2411"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1930" customFormat="true" ht="28.5" hidden="false" customHeight="true" outlineLevel="0" collapsed="false">
      <c r="A1" s="1917" t="s">
        <v>1264</v>
      </c>
      <c r="B1" s="2499" t="s">
        <v>256</v>
      </c>
      <c r="C1" s="2413" t="s">
        <v>1265</v>
      </c>
      <c r="D1" s="1920"/>
      <c r="E1" s="1920"/>
      <c r="F1" s="1922"/>
      <c r="G1" s="2500" t="s">
        <v>1268</v>
      </c>
      <c r="H1" s="2501"/>
      <c r="I1" s="2501"/>
      <c r="J1" s="2501"/>
      <c r="K1" s="2502"/>
      <c r="L1" s="2503"/>
      <c r="M1" s="2504"/>
      <c r="N1" s="2504"/>
      <c r="O1" s="2504"/>
      <c r="P1" s="2505"/>
      <c r="Q1" s="1928"/>
      <c r="R1" s="1928"/>
      <c r="S1" s="1928"/>
      <c r="T1" s="1928"/>
      <c r="U1" s="1928"/>
      <c r="V1" s="1928"/>
      <c r="W1" s="1928"/>
      <c r="X1" s="1928"/>
      <c r="Y1" s="1928"/>
      <c r="Z1" s="1928"/>
      <c r="AA1" s="1928"/>
      <c r="AB1" s="1928"/>
      <c r="AC1" s="1929"/>
    </row>
    <row r="2" s="2354" customFormat="true" ht="28.5" hidden="false" customHeight="true" outlineLevel="0" collapsed="false">
      <c r="A2" s="1931" t="s">
        <v>97</v>
      </c>
      <c r="B2" s="2347" t="n">
        <f aca="false">IF(E1="项目模式",IF(C2="——",IF(B37="元/平方米",ROUND(C39*D3/10000,0),ROUND(F3*C39/10000,0)),IF(B37="元/平方米",ROUND(C39*D3/10000,0),ROUND(F3*C39/10000,0))-D2),IF(E1="单套模式",IF(C2="——",IF(B37="元/平方米",ROUND(C39*D3/10000,0),ROUND(F3*C39/10000,0)),IF(B37="元/平方米",ROUND(C39*D3/10000,0),ROUND(F3*C39/10000,0))-D2)))</f>
        <v>0</v>
      </c>
      <c r="C2" s="1933"/>
      <c r="D2" s="1937" t="e">
        <f aca="true">IF(E1="项目模式",SUMIF(INDIRECT("'"&amp;F2&amp;"'"&amp;"!A:A"),"承租人权益价值",INDIRECT("'"&amp;F2&amp;"'"&amp;"!c:c")),SUMIF(INDIRECT("'"&amp;F2&amp;"'"&amp;"!A:A"),"承租人权益价值（单套）",INDIRECT("'"&amp;F2&amp;"'"&amp;"!c:c")))</f>
        <v>#REF!</v>
      </c>
      <c r="E2" s="1935" t="s">
        <v>722</v>
      </c>
      <c r="F2" s="1936"/>
      <c r="G2" s="2348"/>
      <c r="H2" s="2348"/>
      <c r="I2" s="2348"/>
      <c r="J2" s="2348"/>
      <c r="K2" s="2358"/>
      <c r="L2" s="2349"/>
      <c r="M2" s="2350"/>
      <c r="N2" s="2350"/>
      <c r="O2" s="2350"/>
      <c r="P2" s="2506"/>
      <c r="Q2" s="2414"/>
      <c r="R2" s="2414"/>
      <c r="S2" s="2414"/>
      <c r="T2" s="2414"/>
      <c r="U2" s="2414"/>
      <c r="V2" s="2414"/>
      <c r="W2" s="2414"/>
      <c r="X2" s="2414"/>
      <c r="Y2" s="2414"/>
      <c r="Z2" s="2414"/>
      <c r="AA2" s="2414"/>
      <c r="AB2" s="2414"/>
      <c r="AC2" s="2415"/>
    </row>
    <row r="3" s="2354" customFormat="true" ht="28.5" hidden="false" customHeight="true" outlineLevel="0" collapsed="false">
      <c r="A3" s="1261" t="s">
        <v>110</v>
      </c>
      <c r="B3" s="2355" t="e">
        <f aca="false">IF(AND(C2="——",B37="元/平方米"),C39,ROUND(B2*10000/D3,0))</f>
        <v>#DIV/0!</v>
      </c>
      <c r="C3" s="1946" t="s">
        <v>107</v>
      </c>
      <c r="D3" s="1945" t="n">
        <f aca="false">SUMIF('数据-汇总表'!$C19:$C33,D1,'数据-汇总表'!$E19:$E33)</f>
        <v>0</v>
      </c>
      <c r="E3" s="1946" t="s">
        <v>1559</v>
      </c>
      <c r="F3" s="1945" t="n">
        <f aca="false">SUMIF('数据-取费表'!A5:A15,D1,'数据-取费表'!AH5:AH15)</f>
        <v>0</v>
      </c>
      <c r="G3" s="2348"/>
      <c r="H3" s="2348"/>
      <c r="I3" s="2348"/>
      <c r="J3" s="2348"/>
      <c r="K3" s="2358"/>
      <c r="L3" s="2349"/>
      <c r="M3" s="2350" t="e">
        <f aca="false">IF(C2="——",IF(B37="元/平方米",ROUND(C39*D3/10000,0),ROUND(F3*C39/10000,0)),IF(B37="元/平方米",ROUND(C39*D3/10000,0),ROUND(F3*C39/10000,0))-D2)</f>
        <v>#DIV/0!</v>
      </c>
      <c r="N3" s="2350"/>
      <c r="O3" s="2350"/>
      <c r="P3" s="2506"/>
      <c r="Q3" s="2414"/>
      <c r="R3" s="2414"/>
      <c r="S3" s="2414"/>
      <c r="T3" s="2414"/>
      <c r="U3" s="2414"/>
      <c r="V3" s="2414"/>
      <c r="W3" s="2414"/>
      <c r="X3" s="2414"/>
      <c r="Y3" s="2414"/>
      <c r="Z3" s="2414"/>
      <c r="AA3" s="2414"/>
      <c r="AB3" s="2463"/>
      <c r="AC3" s="1443"/>
    </row>
    <row r="4" customFormat="false" ht="15" hidden="false" customHeight="true" outlineLevel="0" collapsed="false">
      <c r="A4" s="1948" t="s">
        <v>1269</v>
      </c>
      <c r="B4" s="1949"/>
      <c r="C4" s="1950" t="s">
        <v>373</v>
      </c>
      <c r="D4" s="1950"/>
      <c r="E4" s="1951" t="s">
        <v>1270</v>
      </c>
      <c r="F4" s="1951"/>
      <c r="G4" s="1950" t="s">
        <v>1271</v>
      </c>
      <c r="H4" s="1950"/>
      <c r="I4" s="1950" t="s">
        <v>1272</v>
      </c>
      <c r="J4" s="1950"/>
      <c r="K4" s="2359" t="s">
        <v>376</v>
      </c>
      <c r="L4" s="1953"/>
      <c r="M4" s="1954"/>
      <c r="N4" s="1954"/>
      <c r="O4" s="1954"/>
      <c r="P4" s="1955" t="s">
        <v>1269</v>
      </c>
      <c r="Q4" s="1955"/>
      <c r="R4" s="1956" t="s">
        <v>1270</v>
      </c>
      <c r="S4" s="1956"/>
      <c r="T4" s="1957" t="s">
        <v>1271</v>
      </c>
      <c r="U4" s="1957"/>
      <c r="V4" s="1957" t="s">
        <v>1272</v>
      </c>
      <c r="W4" s="1957"/>
      <c r="X4" s="1958"/>
      <c r="Y4" s="1957" t="s">
        <v>1269</v>
      </c>
      <c r="Z4" s="1957"/>
      <c r="AA4" s="1957" t="s">
        <v>1270</v>
      </c>
      <c r="AB4" s="2466" t="s">
        <v>1271</v>
      </c>
      <c r="AC4" s="1957" t="s">
        <v>1272</v>
      </c>
    </row>
    <row r="5" customFormat="false" ht="15" hidden="false" customHeight="true" outlineLevel="0" collapsed="false">
      <c r="A5" s="1959"/>
      <c r="B5" s="1960"/>
      <c r="C5" s="1961" t="s">
        <v>1273</v>
      </c>
      <c r="D5" s="1961"/>
      <c r="E5" s="2360" t="s">
        <v>1546</v>
      </c>
      <c r="F5" s="2360"/>
      <c r="G5" s="1961" t="s">
        <v>1547</v>
      </c>
      <c r="H5" s="1961"/>
      <c r="I5" s="1961" t="s">
        <v>1548</v>
      </c>
      <c r="J5" s="1961"/>
      <c r="K5" s="2359"/>
      <c r="L5" s="1953"/>
      <c r="M5" s="1954"/>
      <c r="N5" s="1954"/>
      <c r="O5" s="1954"/>
      <c r="P5" s="1955"/>
      <c r="Q5" s="1955"/>
      <c r="R5" s="1956"/>
      <c r="S5" s="1956"/>
      <c r="T5" s="1957"/>
      <c r="U5" s="1957"/>
      <c r="V5" s="1957"/>
      <c r="W5" s="1957"/>
      <c r="X5" s="1958"/>
      <c r="Y5" s="1957"/>
      <c r="Z5" s="1957"/>
      <c r="AA5" s="1957"/>
      <c r="AB5" s="1957"/>
      <c r="AC5" s="1957"/>
    </row>
    <row r="6" customFormat="false" ht="15" hidden="false" customHeight="true" outlineLevel="0" collapsed="false">
      <c r="A6" s="1964"/>
      <c r="B6" s="1965"/>
      <c r="C6" s="1966" t="s">
        <v>1274</v>
      </c>
      <c r="D6" s="1966"/>
      <c r="E6" s="1967" t="s">
        <v>1274</v>
      </c>
      <c r="F6" s="1967"/>
      <c r="G6" s="1966" t="s">
        <v>1274</v>
      </c>
      <c r="H6" s="1966"/>
      <c r="I6" s="1966" t="s">
        <v>1274</v>
      </c>
      <c r="J6" s="1966"/>
      <c r="K6" s="2359" t="s">
        <v>1275</v>
      </c>
      <c r="L6" s="1953"/>
      <c r="M6" s="1954"/>
      <c r="N6" s="1954"/>
      <c r="O6" s="1954"/>
      <c r="P6" s="1955"/>
      <c r="Q6" s="1955"/>
      <c r="R6" s="1956"/>
      <c r="S6" s="1956"/>
      <c r="T6" s="1957"/>
      <c r="U6" s="1957"/>
      <c r="V6" s="1957"/>
      <c r="W6" s="1957"/>
      <c r="X6" s="1958"/>
      <c r="Y6" s="1957"/>
      <c r="Z6" s="1957"/>
      <c r="AA6" s="1957"/>
      <c r="AB6" s="1957"/>
      <c r="AC6" s="1957"/>
    </row>
    <row r="7" s="1983" customFormat="true" ht="15" hidden="false" customHeight="false" outlineLevel="0" collapsed="false">
      <c r="A7" s="1969" t="s">
        <v>1276</v>
      </c>
      <c r="B7" s="1970"/>
      <c r="C7" s="1971" t="n">
        <f aca="false">'数据-取费表'!B2</f>
        <v>39031</v>
      </c>
      <c r="D7" s="1972" t="n">
        <v>100</v>
      </c>
      <c r="E7" s="1973"/>
      <c r="F7" s="1974" t="n">
        <f aca="false">SUMIF(48:48,YEAR(E7)&amp;"-"&amp;MONTH(E7),49:49)</f>
        <v>0</v>
      </c>
      <c r="G7" s="1973"/>
      <c r="H7" s="1975" t="n">
        <f aca="false">SUMIF(48:48,YEAR(G7)&amp;"-"&amp;MONTH(G7),49:49)</f>
        <v>0</v>
      </c>
      <c r="I7" s="1973"/>
      <c r="J7" s="1975" t="n">
        <f aca="false">SUMIF(48:48,YEAR(I7)&amp;"-"&amp;MONTH(I7),49:49)</f>
        <v>0</v>
      </c>
      <c r="K7" s="2361"/>
      <c r="L7" s="1977"/>
      <c r="M7" s="1978"/>
      <c r="N7" s="1978"/>
      <c r="O7" s="1978"/>
      <c r="P7" s="1979" t="s">
        <v>1276</v>
      </c>
      <c r="Q7" s="1979"/>
      <c r="R7" s="1980" t="s">
        <v>1277</v>
      </c>
      <c r="S7" s="1981" t="n">
        <f aca="false">F7</f>
        <v>0</v>
      </c>
      <c r="T7" s="1980" t="s">
        <v>1277</v>
      </c>
      <c r="U7" s="1981" t="n">
        <f aca="false">H7</f>
        <v>0</v>
      </c>
      <c r="V7" s="1980" t="s">
        <v>1277</v>
      </c>
      <c r="W7" s="1981" t="n">
        <f aca="false">J7</f>
        <v>0</v>
      </c>
      <c r="X7" s="1982"/>
      <c r="Y7" s="540" t="s">
        <v>1276</v>
      </c>
      <c r="Z7" s="540"/>
      <c r="AA7" s="741" t="e">
        <f aca="false">D7/F7</f>
        <v>#DIV/0!</v>
      </c>
      <c r="AB7" s="741" t="e">
        <f aca="false">D7/H7</f>
        <v>#DIV/0!</v>
      </c>
      <c r="AC7" s="741" t="e">
        <f aca="false">D7/J7</f>
        <v>#DIV/0!</v>
      </c>
    </row>
    <row r="8" s="1983" customFormat="true" ht="15" hidden="false" customHeight="false" outlineLevel="0" collapsed="false">
      <c r="A8" s="1969" t="s">
        <v>1278</v>
      </c>
      <c r="B8" s="1970"/>
      <c r="C8" s="1984"/>
      <c r="D8" s="1972" t="n">
        <v>100</v>
      </c>
      <c r="E8" s="1984"/>
      <c r="F8" s="1974" t="n">
        <f aca="false">SUMIF(51:51,E8,52:52)-SUMIF(51:51,C8,52:52)+100</f>
        <v>100</v>
      </c>
      <c r="G8" s="1984"/>
      <c r="H8" s="1975" t="n">
        <f aca="false">SUMIF(51:51,G8,52:52)-SUMIF(51:51,C8,52:52)+100</f>
        <v>100</v>
      </c>
      <c r="I8" s="1984"/>
      <c r="J8" s="1975" t="n">
        <f aca="false">SUMIF(51:51,I8,52:52)-SUMIF(51:51,C8,52:52)+100</f>
        <v>100</v>
      </c>
      <c r="K8" s="2361"/>
      <c r="L8" s="1977"/>
      <c r="M8" s="1978"/>
      <c r="N8" s="1978"/>
      <c r="O8" s="1978"/>
      <c r="P8" s="540" t="s">
        <v>1278</v>
      </c>
      <c r="Q8" s="540"/>
      <c r="R8" s="1980" t="s">
        <v>1277</v>
      </c>
      <c r="S8" s="1981" t="n">
        <f aca="false">F8</f>
        <v>100</v>
      </c>
      <c r="T8" s="1980" t="s">
        <v>1277</v>
      </c>
      <c r="U8" s="1981" t="n">
        <f aca="false">H8</f>
        <v>100</v>
      </c>
      <c r="V8" s="1980" t="s">
        <v>1277</v>
      </c>
      <c r="W8" s="1981" t="n">
        <f aca="false">J8</f>
        <v>100</v>
      </c>
      <c r="X8" s="1982"/>
      <c r="Y8" s="540" t="s">
        <v>1278</v>
      </c>
      <c r="Z8" s="540"/>
      <c r="AA8" s="741" t="n">
        <f aca="false">D8/F8</f>
        <v>1</v>
      </c>
      <c r="AB8" s="741" t="n">
        <f aca="false">D8/H8</f>
        <v>1</v>
      </c>
      <c r="AC8" s="741" t="n">
        <f aca="false">D8/J8</f>
        <v>1</v>
      </c>
    </row>
    <row r="9" s="1983" customFormat="true" ht="14.25" hidden="false" customHeight="true" outlineLevel="0" collapsed="false">
      <c r="A9" s="647" t="s">
        <v>1280</v>
      </c>
      <c r="B9" s="2507" t="s">
        <v>399</v>
      </c>
      <c r="C9" s="2362"/>
      <c r="D9" s="1988" t="n">
        <v>100</v>
      </c>
      <c r="E9" s="1991"/>
      <c r="F9" s="1992" t="n">
        <f aca="false">SUMIF(53:53,E9,54:54)-SUMIF(53:53,C9,54:54)+100</f>
        <v>100</v>
      </c>
      <c r="G9" s="1989"/>
      <c r="H9" s="1992" t="n">
        <f aca="false">SUMIF(53:53,G9,54:54)-SUMIF(53:53,C9,54:54)+100</f>
        <v>100</v>
      </c>
      <c r="I9" s="1989"/>
      <c r="J9" s="1992" t="n">
        <f aca="false">SUMIF(53:53,I9,54:54)-SUMIF(53:53,C9,54:54)+100</f>
        <v>100</v>
      </c>
      <c r="K9" s="2361"/>
      <c r="L9" s="1977"/>
      <c r="M9" s="1978"/>
      <c r="N9" s="1978"/>
      <c r="O9" s="1978"/>
      <c r="P9" s="1955"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540" t="str">
        <f aca="false">Q9</f>
        <v>用途</v>
      </c>
      <c r="AA9" s="741" t="n">
        <f aca="false">D9/F9</f>
        <v>1</v>
      </c>
      <c r="AB9" s="741" t="n">
        <f aca="false">D9/H9</f>
        <v>1</v>
      </c>
      <c r="AC9" s="741" t="n">
        <f aca="false">D9/J9</f>
        <v>1</v>
      </c>
    </row>
    <row r="10" s="2004" customFormat="true" ht="27" hidden="false" customHeight="false" outlineLevel="0" collapsed="false">
      <c r="A10" s="2508"/>
      <c r="B10" s="2509" t="s">
        <v>1281</v>
      </c>
      <c r="C10" s="1997"/>
      <c r="D10" s="1998" t="n">
        <v>100</v>
      </c>
      <c r="E10" s="1997"/>
      <c r="F10" s="2001" t="n">
        <f aca="false">SUMIF(55:55,E10,56:56)-SUMIF(55:55,C10,56:56)+100</f>
        <v>100</v>
      </c>
      <c r="G10" s="1999"/>
      <c r="H10" s="2001" t="n">
        <f aca="false">SUMIF(55:55,G10,56:56)-SUMIF(55:55,C10,56:56)+100</f>
        <v>100</v>
      </c>
      <c r="I10" s="1997"/>
      <c r="J10" s="2001" t="n">
        <f aca="false">SUMIF(55:55,I10,56:56)-SUMIF(55:55,C10,56:56)+100</f>
        <v>100</v>
      </c>
      <c r="K10" s="2361"/>
      <c r="L10" s="2002"/>
      <c r="M10" s="2003"/>
      <c r="N10" s="2003"/>
      <c r="O10" s="2003"/>
      <c r="P10" s="1955"/>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540" t="str">
        <f aca="false">Q10</f>
        <v>土地使用年限（年）</v>
      </c>
      <c r="AA10" s="741" t="n">
        <f aca="false">D10/F10</f>
        <v>1</v>
      </c>
      <c r="AB10" s="741" t="n">
        <f aca="false">D10/H10</f>
        <v>1</v>
      </c>
      <c r="AC10" s="741" t="n">
        <f aca="false">D10/J10</f>
        <v>1</v>
      </c>
    </row>
    <row r="11" customFormat="false" ht="15" hidden="false" customHeight="false" outlineLevel="0" collapsed="false">
      <c r="A11" s="2510"/>
      <c r="B11" s="2511" t="n">
        <v>111</v>
      </c>
      <c r="C11" s="2012"/>
      <c r="D11" s="1998" t="n">
        <v>100</v>
      </c>
      <c r="E11" s="2012"/>
      <c r="F11" s="2001" t="n">
        <f aca="false">SUMIF(57:57,E11,58:58)-SUMIF(57:57,C11,58:58)+100</f>
        <v>100</v>
      </c>
      <c r="G11" s="2012"/>
      <c r="H11" s="2001" t="n">
        <f aca="false">SUMIF(57:57,G11,58:58)-SUMIF(57:57,C11,58:58)+100</f>
        <v>100</v>
      </c>
      <c r="I11" s="2012"/>
      <c r="J11" s="2001" t="n">
        <f aca="false">SUMIF(57:57,I11,58:58)-SUMIF(57:57,C11,58:58)+100</f>
        <v>100</v>
      </c>
      <c r="K11" s="2364"/>
      <c r="L11" s="2009"/>
      <c r="M11" s="1954"/>
      <c r="N11" s="1954"/>
      <c r="O11" s="1954"/>
      <c r="P11" s="1955"/>
      <c r="Q11" s="510" t="n">
        <f aca="false">B11</f>
        <v>111</v>
      </c>
      <c r="R11" s="1980" t="s">
        <v>1277</v>
      </c>
      <c r="S11" s="1981" t="n">
        <f aca="false">F11</f>
        <v>100</v>
      </c>
      <c r="T11" s="1980" t="s">
        <v>1277</v>
      </c>
      <c r="U11" s="1981" t="n">
        <f aca="false">H11</f>
        <v>100</v>
      </c>
      <c r="V11" s="1980" t="s">
        <v>1277</v>
      </c>
      <c r="W11" s="1981" t="n">
        <f aca="false">J11</f>
        <v>100</v>
      </c>
      <c r="X11" s="1982"/>
      <c r="Y11" s="1994"/>
      <c r="Z11" s="540" t="n">
        <f aca="false">Q11</f>
        <v>111</v>
      </c>
      <c r="AA11" s="741" t="n">
        <f aca="false">D11/F11</f>
        <v>1</v>
      </c>
      <c r="AB11" s="741" t="n">
        <f aca="false">D11/H11</f>
        <v>1</v>
      </c>
      <c r="AC11" s="741" t="n">
        <f aca="false">D11/J11</f>
        <v>1</v>
      </c>
    </row>
    <row r="12" s="1983" customFormat="true" ht="15" hidden="false" customHeight="false" outlineLevel="0" collapsed="false">
      <c r="A12" s="2512"/>
      <c r="B12" s="2511" t="n">
        <v>111</v>
      </c>
      <c r="C12" s="2012"/>
      <c r="D12" s="2013" t="n">
        <v>100</v>
      </c>
      <c r="E12" s="2012"/>
      <c r="F12" s="2001" t="n">
        <f aca="false">SUMIF(59:59,E12,60:60)-SUMIF(59:59,C12,60:60)+100</f>
        <v>100</v>
      </c>
      <c r="G12" s="2012"/>
      <c r="H12" s="2001" t="n">
        <f aca="false">SUMIF(59:59,G12,60:60)-SUMIF(59:59,C12,60:60)+100</f>
        <v>100</v>
      </c>
      <c r="I12" s="2012"/>
      <c r="J12" s="2001" t="n">
        <f aca="false">SUMIF(59:59,I12,60:60)-SUMIF(59:59,C12,60:60)+100</f>
        <v>100</v>
      </c>
      <c r="K12" s="2364"/>
      <c r="L12" s="1977"/>
      <c r="M12" s="1978"/>
      <c r="N12" s="1978"/>
      <c r="O12" s="1978"/>
      <c r="P12" s="1955"/>
      <c r="Q12" s="510" t="n">
        <f aca="false">B12</f>
        <v>111</v>
      </c>
      <c r="R12" s="1980" t="s">
        <v>1277</v>
      </c>
      <c r="S12" s="1981" t="n">
        <f aca="false">F12</f>
        <v>100</v>
      </c>
      <c r="T12" s="1980" t="s">
        <v>1277</v>
      </c>
      <c r="U12" s="1981" t="n">
        <f aca="false">H12</f>
        <v>100</v>
      </c>
      <c r="V12" s="1980" t="s">
        <v>1277</v>
      </c>
      <c r="W12" s="1981" t="n">
        <f aca="false">J12</f>
        <v>100</v>
      </c>
      <c r="X12" s="1982"/>
      <c r="Y12" s="1994"/>
      <c r="Z12" s="540" t="n">
        <f aca="false">Q12</f>
        <v>111</v>
      </c>
      <c r="AA12" s="741" t="n">
        <f aca="false">D12/F12</f>
        <v>1</v>
      </c>
      <c r="AB12" s="741" t="n">
        <f aca="false">D12/H12</f>
        <v>1</v>
      </c>
      <c r="AC12" s="741" t="n">
        <f aca="false">D12/J12</f>
        <v>1</v>
      </c>
    </row>
    <row r="13" customFormat="false" ht="15" hidden="false" customHeight="false" outlineLevel="0" collapsed="false">
      <c r="A13" s="2513"/>
      <c r="B13" s="2511" t="n">
        <v>111</v>
      </c>
      <c r="C13" s="2015"/>
      <c r="D13" s="2016" t="n">
        <v>100</v>
      </c>
      <c r="E13" s="2012"/>
      <c r="F13" s="2001" t="n">
        <f aca="false">SUMIF(61:61,E13,62:62)-SUMIF(61:61,C13,62:62)+100</f>
        <v>100</v>
      </c>
      <c r="G13" s="2012"/>
      <c r="H13" s="2017" t="n">
        <f aca="false">SUMIF(61:61,G13,62:62)-SUMIF(61:61,C13,62:62)+100</f>
        <v>100</v>
      </c>
      <c r="I13" s="2012"/>
      <c r="J13" s="2017" t="n">
        <f aca="false">SUMIF(61:61,I13,62:62)-SUMIF(61:61,C13,62:62)+100</f>
        <v>100</v>
      </c>
      <c r="K13" s="2364"/>
      <c r="L13" s="2018"/>
      <c r="M13" s="1954"/>
      <c r="N13" s="1954"/>
      <c r="O13" s="1954"/>
      <c r="P13" s="1955"/>
      <c r="Q13" s="510" t="n">
        <f aca="false">B13</f>
        <v>111</v>
      </c>
      <c r="R13" s="1980" t="s">
        <v>1277</v>
      </c>
      <c r="S13" s="1981" t="n">
        <f aca="false">F13</f>
        <v>100</v>
      </c>
      <c r="T13" s="1980" t="s">
        <v>1277</v>
      </c>
      <c r="U13" s="1981" t="n">
        <f aca="false">H13</f>
        <v>100</v>
      </c>
      <c r="V13" s="1980" t="s">
        <v>1277</v>
      </c>
      <c r="W13" s="1981" t="n">
        <f aca="false">J13</f>
        <v>100</v>
      </c>
      <c r="X13" s="1982"/>
      <c r="Y13" s="1994"/>
      <c r="Z13" s="540" t="n">
        <f aca="false">Q13</f>
        <v>111</v>
      </c>
      <c r="AA13" s="741" t="n">
        <f aca="false">D13/F13</f>
        <v>1</v>
      </c>
      <c r="AB13" s="741" t="n">
        <f aca="false">D13/H13</f>
        <v>1</v>
      </c>
      <c r="AC13" s="741" t="n">
        <f aca="false">D13/J13</f>
        <v>1</v>
      </c>
    </row>
    <row r="14" customFormat="false" ht="85.5" hidden="false" customHeight="true" outlineLevel="0" collapsed="false">
      <c r="A14" s="1948" t="s">
        <v>648</v>
      </c>
      <c r="B14" s="2425" t="s">
        <v>216</v>
      </c>
      <c r="C14" s="2476" t="str">
        <f aca="false">IF(B1="工业",估价对象房地状况!G4,估价对象房地状况!C6)</f>
        <v>估价对象周边道路状况、公共交通通达情况、停车便捷程度，综合评价交通便捷度较好</v>
      </c>
      <c r="D14" s="2027" t="n">
        <v>100</v>
      </c>
      <c r="E14" s="2030"/>
      <c r="F14" s="2365" t="n">
        <f aca="false">SUMIF(63:63,E15,64:64)-SUMIF(63:63,C15,64:64)+100</f>
        <v>100</v>
      </c>
      <c r="G14" s="2028"/>
      <c r="H14" s="2029" t="n">
        <f aca="false">SUMIF(63:63,G15,64:64)-SUMIF(63:63,C15,64:64)+100</f>
        <v>100</v>
      </c>
      <c r="I14" s="2030"/>
      <c r="J14" s="2029" t="n">
        <f aca="false">SUMIF(63:63,I15,64:64)-SUMIF(63:63,C15,64:64)+100</f>
        <v>100</v>
      </c>
      <c r="K14" s="2366"/>
      <c r="L14" s="2018"/>
      <c r="M14" s="1954"/>
      <c r="N14" s="1954"/>
      <c r="O14" s="1954"/>
      <c r="P14" s="2036" t="s">
        <v>648</v>
      </c>
      <c r="Q14" s="2033" t="str">
        <f aca="false">B14</f>
        <v>交通便捷度</v>
      </c>
      <c r="R14" s="2034" t="s">
        <v>1277</v>
      </c>
      <c r="S14" s="2035" t="n">
        <f aca="false">F14</f>
        <v>100</v>
      </c>
      <c r="T14" s="2034" t="s">
        <v>1277</v>
      </c>
      <c r="U14" s="2035" t="n">
        <f aca="false">H14</f>
        <v>100</v>
      </c>
      <c r="V14" s="2034" t="s">
        <v>1277</v>
      </c>
      <c r="W14" s="2035" t="n">
        <f aca="false">J14</f>
        <v>100</v>
      </c>
      <c r="X14" s="1958"/>
      <c r="Y14" s="2036" t="s">
        <v>648</v>
      </c>
      <c r="Z14" s="2037" t="str">
        <f aca="false">Q14</f>
        <v>交通便捷度</v>
      </c>
      <c r="AA14" s="2038" t="n">
        <f aca="false">D14/F14</f>
        <v>1</v>
      </c>
      <c r="AB14" s="2038" t="n">
        <f aca="false">D14/H14</f>
        <v>1</v>
      </c>
      <c r="AC14" s="2038" t="n">
        <f aca="false">D14/J14</f>
        <v>1</v>
      </c>
    </row>
    <row r="15" customFormat="false" ht="15" hidden="false" customHeight="false" outlineLevel="0" collapsed="false">
      <c r="A15" s="1959"/>
      <c r="B15" s="2514"/>
      <c r="C15" s="2040"/>
      <c r="D15" s="2041"/>
      <c r="E15" s="2040"/>
      <c r="F15" s="2367"/>
      <c r="G15" s="2040"/>
      <c r="H15" s="2044"/>
      <c r="I15" s="2040"/>
      <c r="J15" s="2041"/>
      <c r="K15" s="2368"/>
      <c r="L15" s="2018"/>
      <c r="M15" s="1954"/>
      <c r="N15" s="1954"/>
      <c r="O15" s="1954"/>
      <c r="P15" s="2036"/>
      <c r="Q15" s="2033"/>
      <c r="R15" s="2034"/>
      <c r="S15" s="2035"/>
      <c r="T15" s="2034"/>
      <c r="U15" s="2035"/>
      <c r="V15" s="2034"/>
      <c r="W15" s="2035"/>
      <c r="X15" s="1958"/>
      <c r="Y15" s="2036"/>
      <c r="Z15" s="2037"/>
      <c r="AA15" s="2038" t="n">
        <v>1</v>
      </c>
      <c r="AB15" s="2038" t="n">
        <v>1</v>
      </c>
      <c r="AC15" s="2038" t="n">
        <v>1</v>
      </c>
    </row>
    <row r="16" customFormat="false" ht="42.75" hidden="false" customHeight="false" outlineLevel="0" collapsed="false">
      <c r="A16" s="1959"/>
      <c r="B16" s="2429" t="s">
        <v>218</v>
      </c>
      <c r="C16" s="2047" t="str">
        <f aca="false">IF(B1="工业",估价对象房地状况!G5,估价对象房地状况!C7)</f>
        <v>估价对象所在区域公共配套设施齐备情况</v>
      </c>
      <c r="D16" s="2056" t="n">
        <v>100</v>
      </c>
      <c r="E16" s="2058"/>
      <c r="F16" s="2370" t="n">
        <f aca="false">SUMIF(65:65,E17,66:66)-SUMIF(65:65,C17,66:66)+100</f>
        <v>100</v>
      </c>
      <c r="G16" s="2057"/>
      <c r="H16" s="2051" t="n">
        <f aca="false">SUMIF(65:65,G17,66:66)-SUMIF(65:65,C17,66:66)+100</f>
        <v>100</v>
      </c>
      <c r="I16" s="2058"/>
      <c r="J16" s="2051" t="n">
        <f aca="false">SUMIF(65:65,I17,66:66)-SUMIF(65:65,C17,66:66)+100</f>
        <v>100</v>
      </c>
      <c r="K16" s="2366"/>
      <c r="L16" s="2018"/>
      <c r="M16" s="1954"/>
      <c r="N16" s="1954"/>
      <c r="O16" s="1954"/>
      <c r="P16" s="2036"/>
      <c r="Q16" s="2033" t="str">
        <f aca="false">B16</f>
        <v>公共配套设施</v>
      </c>
      <c r="R16" s="2034" t="s">
        <v>1277</v>
      </c>
      <c r="S16" s="2035" t="n">
        <f aca="false">F16</f>
        <v>100</v>
      </c>
      <c r="T16" s="2034" t="s">
        <v>1277</v>
      </c>
      <c r="U16" s="2035" t="n">
        <f aca="false">H16</f>
        <v>100</v>
      </c>
      <c r="V16" s="2034" t="s">
        <v>1277</v>
      </c>
      <c r="W16" s="2035" t="n">
        <f aca="false">J16</f>
        <v>100</v>
      </c>
      <c r="X16" s="1958"/>
      <c r="Y16" s="2036"/>
      <c r="Z16" s="2037" t="str">
        <f aca="false">Q16</f>
        <v>公共配套设施</v>
      </c>
      <c r="AA16" s="2038" t="n">
        <f aca="false">D16/F16</f>
        <v>1</v>
      </c>
      <c r="AB16" s="2038" t="n">
        <f aca="false">D16/H16</f>
        <v>1</v>
      </c>
      <c r="AC16" s="2038" t="n">
        <f aca="false">D16/J16</f>
        <v>1</v>
      </c>
    </row>
    <row r="17" customFormat="false" ht="15" hidden="false" customHeight="false" outlineLevel="0" collapsed="false">
      <c r="A17" s="1959"/>
      <c r="B17" s="2431"/>
      <c r="C17" s="2053"/>
      <c r="D17" s="2041"/>
      <c r="E17" s="2040"/>
      <c r="F17" s="2367"/>
      <c r="G17" s="2040"/>
      <c r="H17" s="2041"/>
      <c r="I17" s="2040"/>
      <c r="J17" s="2041"/>
      <c r="K17" s="2368"/>
      <c r="L17" s="2018"/>
      <c r="M17" s="1954"/>
      <c r="N17" s="1954"/>
      <c r="O17" s="1954"/>
      <c r="P17" s="2036"/>
      <c r="Q17" s="2033"/>
      <c r="R17" s="2034"/>
      <c r="S17" s="2035"/>
      <c r="T17" s="2034"/>
      <c r="U17" s="2035"/>
      <c r="V17" s="2034"/>
      <c r="W17" s="2035"/>
      <c r="X17" s="1958"/>
      <c r="Y17" s="2036"/>
      <c r="Z17" s="2037"/>
      <c r="AA17" s="2038" t="n">
        <v>1</v>
      </c>
      <c r="AB17" s="2038" t="n">
        <v>1</v>
      </c>
      <c r="AC17" s="2038" t="n">
        <v>1</v>
      </c>
    </row>
    <row r="18" customFormat="false" ht="28.5" hidden="false" customHeight="false" outlineLevel="0" collapsed="false">
      <c r="A18" s="1959"/>
      <c r="B18" s="2433" t="s">
        <v>219</v>
      </c>
      <c r="C18" s="2047" t="str">
        <f aca="false">IF(B1="工业",估价对象房地状况!G6,估价对象房地状况!C8)</f>
        <v>估价对象所在区域基础设施水平</v>
      </c>
      <c r="D18" s="2048" t="n">
        <v>100</v>
      </c>
      <c r="E18" s="2050"/>
      <c r="F18" s="2370" t="n">
        <f aca="false">SUMIF(67:67,E19,68:68)-SUMIF(67:67,C19,68:68)+100</f>
        <v>100</v>
      </c>
      <c r="G18" s="2049"/>
      <c r="H18" s="2051" t="n">
        <f aca="false">SUMIF(67:67,G19,68:68)-SUMIF(67:67,C19,68:68)+100</f>
        <v>100</v>
      </c>
      <c r="I18" s="2050"/>
      <c r="J18" s="2051" t="n">
        <f aca="false">SUMIF(67:67,I19,68:68)-SUMIF(67:67,C19,68:68)+100</f>
        <v>100</v>
      </c>
      <c r="K18" s="2366"/>
      <c r="L18" s="2018"/>
      <c r="M18" s="1954"/>
      <c r="N18" s="1954"/>
      <c r="O18" s="1954"/>
      <c r="P18" s="2036"/>
      <c r="Q18" s="2033" t="str">
        <f aca="false">B18</f>
        <v>基础设施水平</v>
      </c>
      <c r="R18" s="2034" t="s">
        <v>1277</v>
      </c>
      <c r="S18" s="2035" t="n">
        <f aca="false">F18</f>
        <v>100</v>
      </c>
      <c r="T18" s="2034" t="s">
        <v>1277</v>
      </c>
      <c r="U18" s="2035" t="n">
        <f aca="false">H18</f>
        <v>100</v>
      </c>
      <c r="V18" s="2034" t="s">
        <v>1277</v>
      </c>
      <c r="W18" s="2035" t="n">
        <f aca="false">J18</f>
        <v>100</v>
      </c>
      <c r="X18" s="1958"/>
      <c r="Y18" s="2036"/>
      <c r="Z18" s="2037" t="str">
        <f aca="false">Q18</f>
        <v>基础设施水平</v>
      </c>
      <c r="AA18" s="2038" t="n">
        <f aca="false">D18/F18</f>
        <v>1</v>
      </c>
      <c r="AB18" s="2038" t="n">
        <f aca="false">D18/H18</f>
        <v>1</v>
      </c>
      <c r="AC18" s="2038" t="n">
        <f aca="false">D18/J18</f>
        <v>1</v>
      </c>
    </row>
    <row r="19" customFormat="false" ht="15" hidden="false" customHeight="false" outlineLevel="0" collapsed="false">
      <c r="A19" s="1959"/>
      <c r="B19" s="2433"/>
      <c r="C19" s="2053"/>
      <c r="D19" s="2048"/>
      <c r="E19" s="2053"/>
      <c r="F19" s="2515"/>
      <c r="G19" s="2053"/>
      <c r="H19" s="2041"/>
      <c r="I19" s="2040"/>
      <c r="J19" s="2041"/>
      <c r="K19" s="2371"/>
      <c r="L19" s="2018"/>
      <c r="M19" s="1954"/>
      <c r="N19" s="1954"/>
      <c r="O19" s="1954"/>
      <c r="P19" s="2036"/>
      <c r="Q19" s="2033"/>
      <c r="R19" s="2034"/>
      <c r="S19" s="2035"/>
      <c r="T19" s="2034"/>
      <c r="U19" s="2035"/>
      <c r="V19" s="2034"/>
      <c r="W19" s="2035"/>
      <c r="X19" s="1958"/>
      <c r="Y19" s="2036"/>
      <c r="Z19" s="2037"/>
      <c r="AA19" s="2038" t="n">
        <v>1</v>
      </c>
      <c r="AB19" s="2038" t="n">
        <v>1</v>
      </c>
      <c r="AC19" s="2038" t="n">
        <v>1</v>
      </c>
    </row>
    <row r="20" customFormat="false" ht="57" hidden="false" customHeight="false" outlineLevel="0" collapsed="false">
      <c r="A20" s="1959"/>
      <c r="B20" s="2429" t="s">
        <v>658</v>
      </c>
      <c r="C20" s="2047" t="str">
        <f aca="false">IF(B1="工业",估价对象房地状况!G7,估价对象房地状况!C9)</f>
        <v>区域自然环境：；人文环境；综合评价环境状况一般</v>
      </c>
      <c r="D20" s="2056" t="n">
        <v>100</v>
      </c>
      <c r="E20" s="2058"/>
      <c r="F20" s="2370" t="n">
        <f aca="false">SUMIF(69:69,E21,70:70)-SUMIF(69:69,C21,70:70)+100</f>
        <v>100</v>
      </c>
      <c r="G20" s="2057"/>
      <c r="H20" s="2044" t="n">
        <f aca="false">SUMIF(69:69,G21,70:70)-SUMIF(69:69,C21,70:70)+100</f>
        <v>100</v>
      </c>
      <c r="I20" s="2050"/>
      <c r="J20" s="2044" t="n">
        <f aca="false">SUMIF(69:69,I21,70:70)-SUMIF(69:69,C21,70:70)+100</f>
        <v>100</v>
      </c>
      <c r="K20" s="2366"/>
      <c r="L20" s="2018"/>
      <c r="M20" s="1954"/>
      <c r="N20" s="1954"/>
      <c r="O20" s="1954"/>
      <c r="P20" s="2036"/>
      <c r="Q20" s="2033" t="str">
        <f aca="false">B20</f>
        <v>自然及人文环境</v>
      </c>
      <c r="R20" s="2034" t="s">
        <v>1277</v>
      </c>
      <c r="S20" s="2035" t="n">
        <f aca="false">F20</f>
        <v>100</v>
      </c>
      <c r="T20" s="2034" t="s">
        <v>1277</v>
      </c>
      <c r="U20" s="2035" t="n">
        <f aca="false">H20</f>
        <v>100</v>
      </c>
      <c r="V20" s="2034" t="s">
        <v>1277</v>
      </c>
      <c r="W20" s="2035" t="n">
        <f aca="false">J20</f>
        <v>100</v>
      </c>
      <c r="X20" s="1958"/>
      <c r="Y20" s="2036"/>
      <c r="Z20" s="2037" t="str">
        <f aca="false">Q20</f>
        <v>自然及人文环境</v>
      </c>
      <c r="AA20" s="2038" t="n">
        <f aca="false">D20/F20</f>
        <v>1</v>
      </c>
      <c r="AB20" s="2038" t="n">
        <f aca="false">D20/H20</f>
        <v>1</v>
      </c>
      <c r="AC20" s="2038" t="n">
        <f aca="false">D20/J20</f>
        <v>1</v>
      </c>
    </row>
    <row r="21" customFormat="false" ht="15" hidden="false" customHeight="false" outlineLevel="0" collapsed="false">
      <c r="A21" s="1959"/>
      <c r="B21" s="2431"/>
      <c r="C21" s="2040"/>
      <c r="D21" s="2041"/>
      <c r="E21" s="2040"/>
      <c r="F21" s="2367"/>
      <c r="G21" s="2040"/>
      <c r="H21" s="2041"/>
      <c r="I21" s="2040"/>
      <c r="J21" s="2041"/>
      <c r="K21" s="2368"/>
      <c r="L21" s="2018"/>
      <c r="M21" s="1954"/>
      <c r="N21" s="1954"/>
      <c r="O21" s="1954"/>
      <c r="P21" s="2036"/>
      <c r="Q21" s="2033"/>
      <c r="R21" s="2034"/>
      <c r="S21" s="2035"/>
      <c r="T21" s="2034"/>
      <c r="U21" s="2035"/>
      <c r="V21" s="2034"/>
      <c r="W21" s="2035"/>
      <c r="X21" s="1958"/>
      <c r="Y21" s="2036"/>
      <c r="Z21" s="2037"/>
      <c r="AA21" s="2038" t="n">
        <v>1</v>
      </c>
      <c r="AB21" s="2038" t="n">
        <v>1</v>
      </c>
      <c r="AC21" s="2038" t="n">
        <v>1</v>
      </c>
    </row>
    <row r="22" customFormat="false" ht="15" hidden="false" customHeight="false" outlineLevel="0" collapsed="false">
      <c r="A22" s="1959"/>
      <c r="B22" s="2429" t="s">
        <v>1287</v>
      </c>
      <c r="C22" s="2373"/>
      <c r="D22" s="2048" t="n">
        <v>100</v>
      </c>
      <c r="E22" s="2373"/>
      <c r="F22" s="2076" t="n">
        <f aca="false">SUMIF(71:71,E22,72:72)-SUMIF(71:71,C22,72:72)+100</f>
        <v>100</v>
      </c>
      <c r="G22" s="2373"/>
      <c r="H22" s="2017" t="n">
        <f aca="false">SUMIF(71:71,G22,72:72)-SUMIF(71:71,C22,72:72)+100</f>
        <v>100</v>
      </c>
      <c r="I22" s="2373"/>
      <c r="J22" s="2017" t="n">
        <f aca="false">SUMIF(71:71,I22,72:72)-SUMIF(71:71,C22,72:72)+100</f>
        <v>100</v>
      </c>
      <c r="K22" s="2363"/>
      <c r="L22" s="2018"/>
      <c r="M22" s="1954"/>
      <c r="N22" s="1954"/>
      <c r="O22" s="1954"/>
      <c r="P22" s="2036"/>
      <c r="Q22" s="2033" t="str">
        <f aca="false">B22</f>
        <v>楼层</v>
      </c>
      <c r="R22" s="2034" t="s">
        <v>1277</v>
      </c>
      <c r="S22" s="2035" t="n">
        <f aca="false">F22</f>
        <v>100</v>
      </c>
      <c r="T22" s="2034" t="s">
        <v>1277</v>
      </c>
      <c r="U22" s="2035" t="n">
        <f aca="false">H22</f>
        <v>100</v>
      </c>
      <c r="V22" s="2034" t="s">
        <v>1277</v>
      </c>
      <c r="W22" s="2035" t="n">
        <f aca="false">J22</f>
        <v>100</v>
      </c>
      <c r="X22" s="1958"/>
      <c r="Y22" s="2036"/>
      <c r="Z22" s="2037" t="str">
        <f aca="false">Q22</f>
        <v>楼层</v>
      </c>
      <c r="AA22" s="2038" t="n">
        <f aca="false">D22/F22</f>
        <v>1</v>
      </c>
      <c r="AB22" s="2038" t="n">
        <f aca="false">D22/H22</f>
        <v>1</v>
      </c>
      <c r="AC22" s="2038" t="n">
        <f aca="false">D22/J22</f>
        <v>1</v>
      </c>
    </row>
    <row r="23" customFormat="false" ht="15" hidden="false" customHeight="false" outlineLevel="0" collapsed="false">
      <c r="A23" s="1959"/>
      <c r="B23" s="2516" t="n">
        <v>111</v>
      </c>
      <c r="C23" s="2012"/>
      <c r="D23" s="2016" t="n">
        <v>100</v>
      </c>
      <c r="E23" s="2012"/>
      <c r="F23" s="2076" t="n">
        <f aca="false">SUMIF(73:73,E23,74:74)-SUMIF(73:73,C23,74:74)+100</f>
        <v>100</v>
      </c>
      <c r="G23" s="2012"/>
      <c r="H23" s="2017" t="n">
        <f aca="false">SUMIF(73:73,G23,74:74)-SUMIF(73:73,C23,74:74)+100</f>
        <v>100</v>
      </c>
      <c r="I23" s="2012"/>
      <c r="J23" s="2017" t="n">
        <f aca="false">SUMIF(73:73,I23,74:74)-SUMIF(73:73,C23,74:74)+100</f>
        <v>100</v>
      </c>
      <c r="K23" s="2364"/>
      <c r="L23" s="2018"/>
      <c r="M23" s="1954"/>
      <c r="N23" s="1954"/>
      <c r="O23" s="1954"/>
      <c r="P23" s="2036"/>
      <c r="Q23" s="2033" t="n">
        <f aca="false">B23</f>
        <v>111</v>
      </c>
      <c r="R23" s="2034" t="s">
        <v>1277</v>
      </c>
      <c r="S23" s="2035" t="n">
        <f aca="false">F23</f>
        <v>100</v>
      </c>
      <c r="T23" s="2034" t="s">
        <v>1277</v>
      </c>
      <c r="U23" s="2035" t="n">
        <f aca="false">H23</f>
        <v>100</v>
      </c>
      <c r="V23" s="2034" t="s">
        <v>1277</v>
      </c>
      <c r="W23" s="2035" t="n">
        <f aca="false">J23</f>
        <v>100</v>
      </c>
      <c r="X23" s="1958"/>
      <c r="Y23" s="2036"/>
      <c r="Z23" s="2037" t="n">
        <f aca="false">Q23</f>
        <v>111</v>
      </c>
      <c r="AA23" s="2038" t="n">
        <f aca="false">D23/F23</f>
        <v>1</v>
      </c>
      <c r="AB23" s="2038" t="n">
        <f aca="false">D23/H23</f>
        <v>1</v>
      </c>
      <c r="AC23" s="2038" t="n">
        <f aca="false">D23/J23</f>
        <v>1</v>
      </c>
    </row>
    <row r="24" customFormat="false" ht="15" hidden="false" customHeight="false" outlineLevel="0" collapsed="false">
      <c r="A24" s="1959"/>
      <c r="B24" s="2516" t="n">
        <v>111</v>
      </c>
      <c r="C24" s="2012"/>
      <c r="D24" s="2016" t="n">
        <v>100</v>
      </c>
      <c r="E24" s="2012"/>
      <c r="F24" s="2076" t="n">
        <f aca="false">SUMIF(75:75,E24,76:76)-SUMIF(75:75,C24,76:76)+100</f>
        <v>100</v>
      </c>
      <c r="G24" s="2012"/>
      <c r="H24" s="2017" t="n">
        <f aca="false">SUMIF(75:75,G24,76:76)-SUMIF(75:75,C24,76:76)+100</f>
        <v>100</v>
      </c>
      <c r="I24" s="2012"/>
      <c r="J24" s="2017" t="n">
        <f aca="false">SUMIF(75:75,I24,76:76)-SUMIF(75:75,C24,76:76)+100</f>
        <v>100</v>
      </c>
      <c r="K24" s="2364"/>
      <c r="L24" s="2018"/>
      <c r="M24" s="1954"/>
      <c r="N24" s="1954"/>
      <c r="O24" s="1954"/>
      <c r="P24" s="2036"/>
      <c r="Q24" s="2033" t="n">
        <f aca="false">B24</f>
        <v>111</v>
      </c>
      <c r="R24" s="2034" t="s">
        <v>1277</v>
      </c>
      <c r="S24" s="2035" t="n">
        <f aca="false">F24</f>
        <v>100</v>
      </c>
      <c r="T24" s="2034" t="s">
        <v>1277</v>
      </c>
      <c r="U24" s="2035" t="n">
        <f aca="false">H24</f>
        <v>100</v>
      </c>
      <c r="V24" s="2034" t="s">
        <v>1277</v>
      </c>
      <c r="W24" s="2035" t="n">
        <f aca="false">J24</f>
        <v>100</v>
      </c>
      <c r="X24" s="1958"/>
      <c r="Y24" s="2036"/>
      <c r="Z24" s="2037" t="n">
        <f aca="false">Q24</f>
        <v>111</v>
      </c>
      <c r="AA24" s="2038" t="n">
        <f aca="false">D24/F24</f>
        <v>1</v>
      </c>
      <c r="AB24" s="2038" t="n">
        <f aca="false">D24/H24</f>
        <v>1</v>
      </c>
      <c r="AC24" s="2038" t="n">
        <f aca="false">D24/J24</f>
        <v>1</v>
      </c>
    </row>
    <row r="25" s="1983" customFormat="true" ht="15" hidden="false" customHeight="false" outlineLevel="0" collapsed="false">
      <c r="A25" s="2517"/>
      <c r="B25" s="2438" t="n">
        <v>111</v>
      </c>
      <c r="C25" s="2021"/>
      <c r="D25" s="2518" t="n">
        <v>100</v>
      </c>
      <c r="E25" s="2424"/>
      <c r="F25" s="2519" t="n">
        <f aca="false">SUMIF(77:77,E25,78:78)-SUMIF(77:77,C25,78:78)+100</f>
        <v>100</v>
      </c>
      <c r="G25" s="2424"/>
      <c r="H25" s="2520" t="n">
        <f aca="false">SUMIF(77:77,G25,78:78)-SUMIF(77:77,C25,78:78)+100</f>
        <v>100</v>
      </c>
      <c r="I25" s="2424"/>
      <c r="J25" s="2520" t="n">
        <f aca="false">SUMIF(77:77,I25,78:78)-SUMIF(77:77,C25,78:78)+100</f>
        <v>100</v>
      </c>
      <c r="K25" s="2364"/>
      <c r="L25" s="1977"/>
      <c r="M25" s="1978"/>
      <c r="N25" s="1978"/>
      <c r="O25" s="1978"/>
      <c r="P25" s="2036"/>
      <c r="Q25" s="510" t="n">
        <f aca="false">B25</f>
        <v>111</v>
      </c>
      <c r="R25" s="1980" t="s">
        <v>1277</v>
      </c>
      <c r="S25" s="1981" t="n">
        <f aca="false">F25</f>
        <v>100</v>
      </c>
      <c r="T25" s="1980" t="s">
        <v>1277</v>
      </c>
      <c r="U25" s="1981" t="n">
        <f aca="false">H25</f>
        <v>100</v>
      </c>
      <c r="V25" s="1980" t="s">
        <v>1277</v>
      </c>
      <c r="W25" s="1981" t="n">
        <f aca="false">J25</f>
        <v>100</v>
      </c>
      <c r="X25" s="1982"/>
      <c r="Y25" s="2036"/>
      <c r="Z25" s="540" t="n">
        <f aca="false">Q25</f>
        <v>111</v>
      </c>
      <c r="AA25" s="2038" t="n">
        <f aca="false">D25/F25</f>
        <v>1</v>
      </c>
      <c r="AB25" s="2038" t="n">
        <f aca="false">D25/H25</f>
        <v>1</v>
      </c>
      <c r="AC25" s="2038" t="n">
        <f aca="false">D25/J25</f>
        <v>1</v>
      </c>
    </row>
    <row r="26" customFormat="false" ht="28.5" hidden="false" customHeight="true" outlineLevel="0" collapsed="false">
      <c r="A26" s="2521" t="s">
        <v>1292</v>
      </c>
      <c r="B26" s="665" t="s">
        <v>1560</v>
      </c>
      <c r="C26" s="2522" t="str">
        <f aca="false">B1</f>
        <v>车库</v>
      </c>
      <c r="D26" s="2041" t="n">
        <v>100</v>
      </c>
      <c r="E26" s="2040"/>
      <c r="F26" s="2367" t="n">
        <f aca="false">SUMIF(79:79,E26,80:80)-SUMIF(79:79,C26,80:80)+100</f>
        <v>0</v>
      </c>
      <c r="G26" s="2040"/>
      <c r="H26" s="2041" t="n">
        <f aca="false">SUMIF(79:79,G26,80:80)-SUMIF(79:79,C26,80:80)+100</f>
        <v>0</v>
      </c>
      <c r="I26" s="2040"/>
      <c r="J26" s="2041" t="n">
        <f aca="false">SUMIF(79:79,I26,80:80)-SUMIF(79:79,C26,80:80)+100</f>
        <v>0</v>
      </c>
      <c r="K26" s="2363"/>
      <c r="L26" s="2018"/>
      <c r="M26" s="1954"/>
      <c r="N26" s="1954"/>
      <c r="O26" s="1954"/>
      <c r="P26" s="2523" t="s">
        <v>1292</v>
      </c>
      <c r="Q26" s="2033" t="str">
        <f aca="false">B26</f>
        <v>配套类型</v>
      </c>
      <c r="R26" s="2034" t="s">
        <v>1277</v>
      </c>
      <c r="S26" s="2035" t="n">
        <f aca="false">F26</f>
        <v>0</v>
      </c>
      <c r="T26" s="2034" t="s">
        <v>1277</v>
      </c>
      <c r="U26" s="2035" t="n">
        <f aca="false">H26</f>
        <v>0</v>
      </c>
      <c r="V26" s="2034" t="s">
        <v>1277</v>
      </c>
      <c r="W26" s="2035" t="n">
        <f aca="false">J26</f>
        <v>0</v>
      </c>
      <c r="X26" s="1958"/>
      <c r="Y26" s="2524" t="s">
        <v>1292</v>
      </c>
      <c r="Z26" s="2037" t="str">
        <f aca="false">Q26</f>
        <v>配套类型</v>
      </c>
      <c r="AA26" s="2038" t="e">
        <f aca="false">D26/F26</f>
        <v>#DIV/0!</v>
      </c>
      <c r="AB26" s="2038" t="e">
        <f aca="false">D26/H26</f>
        <v>#DIV/0!</v>
      </c>
      <c r="AC26" s="2038" t="e">
        <f aca="false">D26/J26</f>
        <v>#DIV/0!</v>
      </c>
    </row>
    <row r="27" s="2088" customFormat="true" ht="15" hidden="false" customHeight="false" outlineLevel="0" collapsed="false">
      <c r="A27" s="2525"/>
      <c r="B27" s="2526" t="s">
        <v>1561</v>
      </c>
      <c r="C27" s="2527"/>
      <c r="D27" s="1998" t="n">
        <v>100</v>
      </c>
      <c r="E27" s="2527"/>
      <c r="F27" s="2076" t="n">
        <f aca="false">SUMIF(81:81,E27,82:82)-SUMIF(81:81,C27,82:82)+100</f>
        <v>100</v>
      </c>
      <c r="G27" s="2527"/>
      <c r="H27" s="2017" t="n">
        <f aca="false">SUMIF(81:81,G27,82:82)-SUMIF(81:81,C27,82:82)+100</f>
        <v>100</v>
      </c>
      <c r="I27" s="2527"/>
      <c r="J27" s="2017" t="n">
        <f aca="false">SUMIF(81:81,I27,82:82)-SUMIF(81:81,C27,82:82)+100</f>
        <v>100</v>
      </c>
      <c r="K27" s="2364"/>
      <c r="L27" s="2009"/>
      <c r="M27" s="2082"/>
      <c r="N27" s="2082"/>
      <c r="O27" s="2082"/>
      <c r="P27" s="2523"/>
      <c r="Q27" s="2083" t="str">
        <f aca="false">B27</f>
        <v>项目停车位配比</v>
      </c>
      <c r="R27" s="2084" t="s">
        <v>1277</v>
      </c>
      <c r="S27" s="2085" t="n">
        <f aca="false">F27</f>
        <v>100</v>
      </c>
      <c r="T27" s="2084" t="s">
        <v>1277</v>
      </c>
      <c r="U27" s="2085" t="n">
        <f aca="false">H27</f>
        <v>100</v>
      </c>
      <c r="V27" s="2084" t="s">
        <v>1277</v>
      </c>
      <c r="W27" s="2085" t="n">
        <f aca="false">J27</f>
        <v>100</v>
      </c>
      <c r="X27" s="2086"/>
      <c r="Y27" s="2524"/>
      <c r="Z27" s="2087" t="str">
        <f aca="false">Q27</f>
        <v>项目停车位配比</v>
      </c>
      <c r="AA27" s="2038" t="n">
        <f aca="false">D27/F27</f>
        <v>1</v>
      </c>
      <c r="AB27" s="2038" t="n">
        <f aca="false">D27/H27</f>
        <v>1</v>
      </c>
      <c r="AC27" s="2038" t="n">
        <f aca="false">D27/J27</f>
        <v>1</v>
      </c>
    </row>
    <row r="28" customFormat="false" ht="15" hidden="false" customHeight="false" outlineLevel="0" collapsed="false">
      <c r="A28" s="2528"/>
      <c r="B28" s="2526" t="s">
        <v>1300</v>
      </c>
      <c r="C28" s="2062"/>
      <c r="D28" s="2016" t="n">
        <v>100</v>
      </c>
      <c r="E28" s="2062"/>
      <c r="F28" s="2076" t="n">
        <f aca="false">SUMIF(83:83,E28,84:84)-SUMIF(83:83,C28,84:84)+100</f>
        <v>100</v>
      </c>
      <c r="G28" s="2062"/>
      <c r="H28" s="2017" t="n">
        <f aca="false">SUMIF(83:83,G28,84:84)-SUMIF(83:83,C28,84:84)+100</f>
        <v>100</v>
      </c>
      <c r="I28" s="2062"/>
      <c r="J28" s="2017" t="n">
        <f aca="false">SUMIF(83:83,I28,84:84)-SUMIF(83:83,C28,84:84)+100</f>
        <v>100</v>
      </c>
      <c r="K28" s="2363"/>
      <c r="L28" s="2018"/>
      <c r="M28" s="1954"/>
      <c r="N28" s="1954"/>
      <c r="O28" s="1954"/>
      <c r="P28" s="2523"/>
      <c r="Q28" s="2033" t="str">
        <f aca="false">B28</f>
        <v>公共部分装修</v>
      </c>
      <c r="R28" s="2034" t="s">
        <v>1277</v>
      </c>
      <c r="S28" s="2035" t="n">
        <f aca="false">F28</f>
        <v>100</v>
      </c>
      <c r="T28" s="2034" t="s">
        <v>1277</v>
      </c>
      <c r="U28" s="2035" t="n">
        <f aca="false">H28</f>
        <v>100</v>
      </c>
      <c r="V28" s="2034" t="s">
        <v>1277</v>
      </c>
      <c r="W28" s="2035" t="n">
        <f aca="false">J28</f>
        <v>100</v>
      </c>
      <c r="X28" s="1958"/>
      <c r="Y28" s="2524"/>
      <c r="Z28" s="2037" t="str">
        <f aca="false">Q28</f>
        <v>公共部分装修</v>
      </c>
      <c r="AA28" s="2038" t="n">
        <f aca="false">D28/F28</f>
        <v>1</v>
      </c>
      <c r="AB28" s="2038" t="n">
        <f aca="false">D28/H28</f>
        <v>1</v>
      </c>
      <c r="AC28" s="2038" t="n">
        <f aca="false">D28/J28</f>
        <v>1</v>
      </c>
    </row>
    <row r="29" customFormat="false" ht="15" hidden="false" customHeight="false" outlineLevel="0" collapsed="false">
      <c r="A29" s="2528"/>
      <c r="B29" s="2526" t="s">
        <v>949</v>
      </c>
      <c r="C29" s="2093"/>
      <c r="D29" s="2016" t="n">
        <v>100</v>
      </c>
      <c r="E29" s="2093"/>
      <c r="F29" s="2076" t="e">
        <f aca="false">LOOKUP(E29,86:86,87:87)-LOOKUP(C29,86:86,87:87)+100</f>
        <v>#N/A</v>
      </c>
      <c r="G29" s="2093"/>
      <c r="H29" s="2076" t="e">
        <f aca="false">LOOKUP(G29,86:86,87:87)-LOOKUP(C29,86:86,87:87)+100</f>
        <v>#N/A</v>
      </c>
      <c r="I29" s="2093"/>
      <c r="J29" s="2017" t="e">
        <f aca="false">LOOKUP(I29,86:86,87:87)-LOOKUP(C29,86:86,87:87)+100</f>
        <v>#N/A</v>
      </c>
      <c r="K29" s="2363"/>
      <c r="L29" s="2018"/>
      <c r="M29" s="1954"/>
      <c r="N29" s="1954"/>
      <c r="O29" s="1954"/>
      <c r="P29" s="2523"/>
      <c r="Q29" s="2033" t="str">
        <f aca="false">B29</f>
        <v>成新率</v>
      </c>
      <c r="R29" s="2034" t="s">
        <v>1277</v>
      </c>
      <c r="S29" s="2035" t="e">
        <f aca="false">F29</f>
        <v>#N/A</v>
      </c>
      <c r="T29" s="2034" t="s">
        <v>1277</v>
      </c>
      <c r="U29" s="2035" t="e">
        <f aca="false">H29</f>
        <v>#N/A</v>
      </c>
      <c r="V29" s="2034" t="s">
        <v>1277</v>
      </c>
      <c r="W29" s="2035" t="e">
        <f aca="false">J29</f>
        <v>#N/A</v>
      </c>
      <c r="X29" s="1958"/>
      <c r="Y29" s="2524"/>
      <c r="Z29" s="2037" t="str">
        <f aca="false">Q29</f>
        <v>成新率</v>
      </c>
      <c r="AA29" s="2038" t="e">
        <f aca="false">D29/F29</f>
        <v>#N/A</v>
      </c>
      <c r="AB29" s="2038" t="e">
        <f aca="false">D29/H29</f>
        <v>#N/A</v>
      </c>
      <c r="AC29" s="2038" t="e">
        <f aca="false">D29/J29</f>
        <v>#N/A</v>
      </c>
    </row>
    <row r="30" customFormat="false" ht="15" hidden="false" customHeight="false" outlineLevel="0" collapsed="false">
      <c r="A30" s="2528"/>
      <c r="B30" s="2526" t="s">
        <v>1562</v>
      </c>
      <c r="C30" s="2529"/>
      <c r="D30" s="2016" t="n">
        <v>100</v>
      </c>
      <c r="E30" s="2529"/>
      <c r="F30" s="2076" t="n">
        <f aca="false">SUMIF(88:88,E30,89:89)-SUMIF(88:88,C30,89:89)+100</f>
        <v>100</v>
      </c>
      <c r="G30" s="2529"/>
      <c r="H30" s="2017" t="n">
        <f aca="false">SUMIF(88:88,E30,89:89)-SUMIF(88:88,C30,89:89)+100</f>
        <v>100</v>
      </c>
      <c r="I30" s="2529"/>
      <c r="J30" s="2017" t="n">
        <f aca="false">SUMIF(88:88,E30,89:89)-SUMIF(88:88,C30,89:89)+100</f>
        <v>100</v>
      </c>
      <c r="K30" s="2363"/>
      <c r="L30" s="2018"/>
      <c r="M30" s="1954"/>
      <c r="N30" s="1954"/>
      <c r="O30" s="1954"/>
      <c r="P30" s="2523"/>
      <c r="Q30" s="2033" t="str">
        <f aca="false">B30</f>
        <v>物业等级</v>
      </c>
      <c r="R30" s="2034" t="s">
        <v>1277</v>
      </c>
      <c r="S30" s="2035" t="n">
        <f aca="false">F30</f>
        <v>100</v>
      </c>
      <c r="T30" s="2034" t="s">
        <v>1277</v>
      </c>
      <c r="U30" s="2035" t="n">
        <f aca="false">H30</f>
        <v>100</v>
      </c>
      <c r="V30" s="2034" t="s">
        <v>1277</v>
      </c>
      <c r="W30" s="2035" t="n">
        <f aca="false">J30</f>
        <v>100</v>
      </c>
      <c r="X30" s="1958"/>
      <c r="Y30" s="2524"/>
      <c r="Z30" s="2037" t="str">
        <f aca="false">Q30</f>
        <v>物业等级</v>
      </c>
      <c r="AA30" s="2038" t="n">
        <f aca="false">D30/F30</f>
        <v>1</v>
      </c>
      <c r="AB30" s="2038" t="n">
        <f aca="false">D30/H30</f>
        <v>1</v>
      </c>
      <c r="AC30" s="2038" t="n">
        <f aca="false">D30/J30</f>
        <v>1</v>
      </c>
    </row>
    <row r="31" s="1983" customFormat="true" ht="15" hidden="false" customHeight="false" outlineLevel="0" collapsed="false">
      <c r="A31" s="2530"/>
      <c r="B31" s="2526" t="s">
        <v>1563</v>
      </c>
      <c r="C31" s="2081"/>
      <c r="D31" s="1998" t="n">
        <v>100</v>
      </c>
      <c r="E31" s="2081"/>
      <c r="F31" s="2076" t="e">
        <f aca="false">LOOKUP(E31,91:91,92:92)-LOOKUP(C31,91:91,92:92)+100</f>
        <v>#N/A</v>
      </c>
      <c r="G31" s="2081"/>
      <c r="H31" s="2017" t="e">
        <f aca="false">LOOKUP(G31,91:91,92:92)-LOOKUP(C31,91:91,92:92)+100</f>
        <v>#N/A</v>
      </c>
      <c r="I31" s="2081"/>
      <c r="J31" s="2017" t="e">
        <f aca="false">LOOKUP(I31,91:91,92:92)-LOOKUP(C31,91:91,92:92)+100</f>
        <v>#N/A</v>
      </c>
      <c r="K31" s="2363"/>
      <c r="L31" s="1977"/>
      <c r="M31" s="1978"/>
      <c r="N31" s="1978"/>
      <c r="O31" s="1978"/>
      <c r="P31" s="2523"/>
      <c r="Q31" s="510" t="str">
        <f aca="false">B31</f>
        <v>停车位面积</v>
      </c>
      <c r="R31" s="1980" t="s">
        <v>1277</v>
      </c>
      <c r="S31" s="1981" t="e">
        <f aca="false">F31</f>
        <v>#N/A</v>
      </c>
      <c r="T31" s="1980" t="s">
        <v>1277</v>
      </c>
      <c r="U31" s="1981" t="e">
        <f aca="false">H31</f>
        <v>#N/A</v>
      </c>
      <c r="V31" s="1980" t="s">
        <v>1277</v>
      </c>
      <c r="W31" s="1981" t="e">
        <f aca="false">J31</f>
        <v>#N/A</v>
      </c>
      <c r="X31" s="1982"/>
      <c r="Y31" s="2524"/>
      <c r="Z31" s="540" t="str">
        <f aca="false">Q31</f>
        <v>停车位面积</v>
      </c>
      <c r="AA31" s="741" t="e">
        <f aca="false">D31/F31</f>
        <v>#N/A</v>
      </c>
      <c r="AB31" s="741" t="e">
        <f aca="false">D31/H31</f>
        <v>#N/A</v>
      </c>
      <c r="AC31" s="741" t="e">
        <f aca="false">D31/J31</f>
        <v>#N/A</v>
      </c>
    </row>
    <row r="32" customFormat="false" ht="15" hidden="false" customHeight="false" outlineLevel="0" collapsed="false">
      <c r="A32" s="2528"/>
      <c r="B32" s="2526" t="s">
        <v>1564</v>
      </c>
      <c r="C32" s="2062"/>
      <c r="D32" s="2016" t="n">
        <v>100</v>
      </c>
      <c r="E32" s="2062"/>
      <c r="F32" s="2076" t="n">
        <f aca="false">SUMIF(93:93,E32,94:94)-SUMIF(93:93,C32,94:94)+100</f>
        <v>100</v>
      </c>
      <c r="G32" s="2062"/>
      <c r="H32" s="2017" t="n">
        <f aca="false">SUMIF(93:93,G32,94:94)-SUMIF(93:93,C32,94:94)+100</f>
        <v>100</v>
      </c>
      <c r="I32" s="2062"/>
      <c r="J32" s="2017" t="n">
        <f aca="false">SUMIF(93:93,I32,94:94)-SUMIF(93:93,C32,94:94)+100</f>
        <v>100</v>
      </c>
      <c r="K32" s="2363"/>
      <c r="L32" s="2018"/>
      <c r="M32" s="1954"/>
      <c r="N32" s="1954"/>
      <c r="O32" s="1954"/>
      <c r="P32" s="2523" t="s">
        <v>1292</v>
      </c>
      <c r="Q32" s="2033" t="str">
        <f aca="false">B32</f>
        <v>车位类型</v>
      </c>
      <c r="R32" s="2034" t="s">
        <v>1277</v>
      </c>
      <c r="S32" s="2035" t="n">
        <f aca="false">F32</f>
        <v>100</v>
      </c>
      <c r="T32" s="2034" t="s">
        <v>1277</v>
      </c>
      <c r="U32" s="2035" t="n">
        <f aca="false">H32</f>
        <v>100</v>
      </c>
      <c r="V32" s="2034" t="s">
        <v>1277</v>
      </c>
      <c r="W32" s="2035" t="n">
        <f aca="false">J32</f>
        <v>100</v>
      </c>
      <c r="X32" s="1958"/>
      <c r="Y32" s="2524" t="s">
        <v>1292</v>
      </c>
      <c r="Z32" s="2037" t="str">
        <f aca="false">Q32</f>
        <v>车位类型</v>
      </c>
      <c r="AA32" s="2038" t="n">
        <f aca="false">D32/F32</f>
        <v>1</v>
      </c>
      <c r="AB32" s="2038" t="n">
        <f aca="false">D32/H32</f>
        <v>1</v>
      </c>
      <c r="AC32" s="2038" t="n">
        <f aca="false">D32/J32</f>
        <v>1</v>
      </c>
    </row>
    <row r="33" customFormat="false" ht="15" hidden="false" customHeight="false" outlineLevel="0" collapsed="false">
      <c r="A33" s="2528"/>
      <c r="B33" s="2526" t="s">
        <v>1565</v>
      </c>
      <c r="C33" s="2062"/>
      <c r="D33" s="2016" t="n">
        <v>100</v>
      </c>
      <c r="E33" s="2062"/>
      <c r="F33" s="2076" t="n">
        <f aca="false">SUMIF(95:95,E33,96:96)-SUMIF(95:95,C33,96:96)+100</f>
        <v>100</v>
      </c>
      <c r="G33" s="2062"/>
      <c r="H33" s="2017" t="n">
        <f aca="false">SUMIF(95:95,G33,96:96)-SUMIF(95:95,C33,96:96)+100</f>
        <v>100</v>
      </c>
      <c r="I33" s="2062"/>
      <c r="J33" s="2017" t="n">
        <f aca="false">SUMIF(95:95,I33,96:96)-SUMIF(95:95,C33,96:96)+100</f>
        <v>100</v>
      </c>
      <c r="K33" s="2363"/>
      <c r="L33" s="2018"/>
      <c r="M33" s="1954"/>
      <c r="N33" s="1954"/>
      <c r="O33" s="1954"/>
      <c r="P33" s="2523"/>
      <c r="Q33" s="2033" t="str">
        <f aca="false">B33</f>
        <v>是否直接入户</v>
      </c>
      <c r="R33" s="2034" t="s">
        <v>1277</v>
      </c>
      <c r="S33" s="2035" t="n">
        <f aca="false">F33</f>
        <v>100</v>
      </c>
      <c r="T33" s="2034" t="s">
        <v>1277</v>
      </c>
      <c r="U33" s="2035" t="n">
        <f aca="false">H33</f>
        <v>100</v>
      </c>
      <c r="V33" s="2034" t="s">
        <v>1277</v>
      </c>
      <c r="W33" s="2035" t="n">
        <f aca="false">J33</f>
        <v>100</v>
      </c>
      <c r="X33" s="1958"/>
      <c r="Y33" s="2524"/>
      <c r="Z33" s="2037" t="str">
        <f aca="false">Q33</f>
        <v>是否直接入户</v>
      </c>
      <c r="AA33" s="2038" t="n">
        <f aca="false">D33/F33</f>
        <v>1</v>
      </c>
      <c r="AB33" s="2038" t="n">
        <f aca="false">D33/H33</f>
        <v>1</v>
      </c>
      <c r="AC33" s="2038" t="n">
        <f aca="false">D33/J33</f>
        <v>1</v>
      </c>
    </row>
    <row r="34" customFormat="false" ht="15" hidden="false" customHeight="false" outlineLevel="0" collapsed="false">
      <c r="A34" s="2528"/>
      <c r="B34" s="2516" t="n">
        <v>111</v>
      </c>
      <c r="C34" s="2012"/>
      <c r="D34" s="2016" t="n">
        <v>100</v>
      </c>
      <c r="E34" s="2012"/>
      <c r="F34" s="2076" t="n">
        <f aca="false">SUMIF(97:97,E34,98:98)-SUMIF(97:97,C34,98:98)+100</f>
        <v>100</v>
      </c>
      <c r="G34" s="2012"/>
      <c r="H34" s="2017" t="n">
        <f aca="false">SUMIF(97:97,G34,98:98)-SUMIF(97:97,C34,98:98)+100</f>
        <v>100</v>
      </c>
      <c r="I34" s="2012"/>
      <c r="J34" s="2017" t="n">
        <f aca="false">SUMIF(97:97,I34,98:98)-SUMIF(97:97,C34,98:98)+100</f>
        <v>100</v>
      </c>
      <c r="K34" s="2364"/>
      <c r="L34" s="2018"/>
      <c r="M34" s="1954"/>
      <c r="N34" s="1954"/>
      <c r="O34" s="1954"/>
      <c r="P34" s="2523"/>
      <c r="Q34" s="2033" t="n">
        <f aca="false">B34</f>
        <v>111</v>
      </c>
      <c r="R34" s="2034" t="s">
        <v>1277</v>
      </c>
      <c r="S34" s="2035" t="n">
        <f aca="false">F34</f>
        <v>100</v>
      </c>
      <c r="T34" s="2034" t="s">
        <v>1277</v>
      </c>
      <c r="U34" s="2035" t="n">
        <f aca="false">H34</f>
        <v>100</v>
      </c>
      <c r="V34" s="2034" t="s">
        <v>1277</v>
      </c>
      <c r="W34" s="2035" t="n">
        <f aca="false">J34</f>
        <v>100</v>
      </c>
      <c r="X34" s="1958"/>
      <c r="Y34" s="2524"/>
      <c r="Z34" s="2037" t="n">
        <f aca="false">Q34</f>
        <v>111</v>
      </c>
      <c r="AA34" s="2038" t="n">
        <f aca="false">D34/F34</f>
        <v>1</v>
      </c>
      <c r="AB34" s="2038" t="n">
        <f aca="false">D34/H34</f>
        <v>1</v>
      </c>
      <c r="AC34" s="2038" t="n">
        <f aca="false">D34/J34</f>
        <v>1</v>
      </c>
    </row>
    <row r="35" s="2088" customFormat="true" ht="15" hidden="false" customHeight="false" outlineLevel="0" collapsed="false">
      <c r="A35" s="2525"/>
      <c r="B35" s="2516" t="n">
        <v>111</v>
      </c>
      <c r="C35" s="2012"/>
      <c r="D35" s="2016" t="n">
        <v>100</v>
      </c>
      <c r="E35" s="2012"/>
      <c r="F35" s="2076" t="n">
        <f aca="false">SUMIF(99:99,E35,100:100)-SUMIF(99:99,C35,100:100)+100</f>
        <v>100</v>
      </c>
      <c r="G35" s="2012"/>
      <c r="H35" s="2017" t="n">
        <f aca="false">SUMIF(99:99,G35,100:100)-SUMIF(99:99,C35,100:100)+100</f>
        <v>100</v>
      </c>
      <c r="I35" s="2012"/>
      <c r="J35" s="2017" t="n">
        <f aca="false">SUMIF(99:99,I35,100:100)-SUMIF(99:99,C35,100:100)+100</f>
        <v>100</v>
      </c>
      <c r="K35" s="2364"/>
      <c r="L35" s="2009"/>
      <c r="M35" s="2082"/>
      <c r="N35" s="2082"/>
      <c r="O35" s="2082"/>
      <c r="P35" s="2523"/>
      <c r="Q35" s="2083" t="n">
        <f aca="false">B35</f>
        <v>111</v>
      </c>
      <c r="R35" s="2084" t="s">
        <v>1277</v>
      </c>
      <c r="S35" s="2085" t="n">
        <f aca="false">F35</f>
        <v>100</v>
      </c>
      <c r="T35" s="2084" t="s">
        <v>1277</v>
      </c>
      <c r="U35" s="2085" t="n">
        <f aca="false">H35</f>
        <v>100</v>
      </c>
      <c r="V35" s="2084" t="s">
        <v>1277</v>
      </c>
      <c r="W35" s="2085" t="n">
        <f aca="false">J35</f>
        <v>100</v>
      </c>
      <c r="X35" s="2086"/>
      <c r="Y35" s="2524"/>
      <c r="Z35" s="2087" t="n">
        <f aca="false">Q35</f>
        <v>111</v>
      </c>
      <c r="AA35" s="2038" t="n">
        <f aca="false">D35/F35</f>
        <v>1</v>
      </c>
      <c r="AB35" s="2038" t="n">
        <f aca="false">D35/H35</f>
        <v>1</v>
      </c>
      <c r="AC35" s="2038" t="n">
        <f aca="false">D35/J35</f>
        <v>1</v>
      </c>
    </row>
    <row r="36" customFormat="false" ht="15" hidden="false" customHeight="false" outlineLevel="0" collapsed="false">
      <c r="A36" s="2531"/>
      <c r="B36" s="2438" t="n">
        <v>111</v>
      </c>
      <c r="C36" s="2015"/>
      <c r="D36" s="2016" t="n">
        <v>100</v>
      </c>
      <c r="E36" s="2012"/>
      <c r="F36" s="2076" t="n">
        <f aca="false">SUMIF(101:101,E36,102:102)-SUMIF(101:101,C36,102:102)+100</f>
        <v>100</v>
      </c>
      <c r="G36" s="2012"/>
      <c r="H36" s="2017" t="n">
        <f aca="false">SUMIF(101:101,G36,102:102)-SUMIF(101:101,C36,102:102)+100</f>
        <v>100</v>
      </c>
      <c r="I36" s="2012"/>
      <c r="J36" s="2017" t="n">
        <f aca="false">SUMIF(101:101,I36,102:102)-SUMIF(101:101,C36,102:102)+100</f>
        <v>100</v>
      </c>
      <c r="K36" s="2364"/>
      <c r="L36" s="2018"/>
      <c r="M36" s="1954"/>
      <c r="N36" s="1954"/>
      <c r="O36" s="1954"/>
      <c r="P36" s="2523"/>
      <c r="Q36" s="2033" t="n">
        <f aca="false">B36</f>
        <v>111</v>
      </c>
      <c r="R36" s="2034" t="s">
        <v>1277</v>
      </c>
      <c r="S36" s="2035" t="n">
        <f aca="false">F36</f>
        <v>100</v>
      </c>
      <c r="T36" s="2034" t="s">
        <v>1277</v>
      </c>
      <c r="U36" s="2035" t="n">
        <f aca="false">H36</f>
        <v>100</v>
      </c>
      <c r="V36" s="2034" t="s">
        <v>1277</v>
      </c>
      <c r="W36" s="2035" t="n">
        <f aca="false">J36</f>
        <v>100</v>
      </c>
      <c r="X36" s="1958"/>
      <c r="Y36" s="2524"/>
      <c r="Z36" s="2037" t="n">
        <f aca="false">Q36</f>
        <v>111</v>
      </c>
      <c r="AA36" s="2038" t="n">
        <f aca="false">D36/F36</f>
        <v>1</v>
      </c>
      <c r="AB36" s="2038" t="n">
        <f aca="false">D36/H36</f>
        <v>1</v>
      </c>
      <c r="AC36" s="2038" t="n">
        <f aca="false">D36/J36</f>
        <v>1</v>
      </c>
    </row>
    <row r="37" customFormat="false" ht="15" hidden="false" customHeight="false" outlineLevel="0" collapsed="false">
      <c r="A37" s="2100" t="s">
        <v>1360</v>
      </c>
      <c r="B37" s="2532" t="s">
        <v>1566</v>
      </c>
      <c r="C37" s="2102" t="s">
        <v>122</v>
      </c>
      <c r="D37" s="2103"/>
      <c r="E37" s="2104"/>
      <c r="F37" s="2105"/>
      <c r="G37" s="2106"/>
      <c r="H37" s="2107"/>
      <c r="I37" s="2104"/>
      <c r="J37" s="2107"/>
      <c r="K37" s="2533"/>
      <c r="L37" s="2109"/>
      <c r="M37" s="2110"/>
      <c r="N37" s="1954"/>
      <c r="O37" s="2110"/>
      <c r="P37" s="2033" t="str">
        <f aca="false">A37</f>
        <v>成交单价</v>
      </c>
      <c r="Q37" s="2033"/>
      <c r="R37" s="2038" t="n">
        <f aca="false">E37</f>
        <v>0</v>
      </c>
      <c r="S37" s="2038"/>
      <c r="T37" s="2038" t="n">
        <f aca="false">G37</f>
        <v>0</v>
      </c>
      <c r="U37" s="2038"/>
      <c r="V37" s="2038" t="n">
        <f aca="false">I37</f>
        <v>0</v>
      </c>
      <c r="W37" s="2038"/>
      <c r="X37" s="2111"/>
      <c r="Y37" s="2112"/>
      <c r="Z37" s="2111"/>
      <c r="AA37" s="2111"/>
      <c r="AB37" s="2111"/>
      <c r="AC37" s="2111"/>
    </row>
    <row r="38" customFormat="false" ht="15" hidden="false" customHeight="false" outlineLevel="0" collapsed="false">
      <c r="A38" s="2113" t="s">
        <v>1309</v>
      </c>
      <c r="B38" s="2114" t="str">
        <f aca="false">B37</f>
        <v>元/平方米</v>
      </c>
      <c r="C38" s="2115" t="e">
        <f aca="false">R39</f>
        <v>#DIV/0!</v>
      </c>
      <c r="D38" s="2116" t="s">
        <v>1310</v>
      </c>
      <c r="E38" s="2117" t="e">
        <f aca="false">R38</f>
        <v>#DIV/0!</v>
      </c>
      <c r="F38" s="2118"/>
      <c r="G38" s="2115" t="e">
        <f aca="false">T38</f>
        <v>#DIV/0!</v>
      </c>
      <c r="H38" s="2118"/>
      <c r="I38" s="2117" t="e">
        <f aca="false">V38</f>
        <v>#DIV/0!</v>
      </c>
      <c r="J38" s="2118"/>
      <c r="K38" s="2380" t="n">
        <f aca="false">F38+H38+J38</f>
        <v>0</v>
      </c>
      <c r="L38" s="2109"/>
      <c r="M38" s="2110"/>
      <c r="N38" s="2110"/>
      <c r="O38" s="2110"/>
      <c r="P38" s="2033" t="str">
        <f aca="false">A38</f>
        <v>比较价值（元/平方米）</v>
      </c>
      <c r="Q38" s="2033"/>
      <c r="R38" s="2038" t="e">
        <f aca="false">IF(F1="售价",ROUND(PRODUCT(R37,AA7:AA36),0),ROUND(PRODUCT(R37,AA7:AA36),1))</f>
        <v>#DIV/0!</v>
      </c>
      <c r="S38" s="2038"/>
      <c r="T38" s="2038" t="e">
        <f aca="false">IF(F1="售价",ROUND(PRODUCT(T37,AB7:AB36),0),ROUND(PRODUCT(T37,AB7:AB36),1))</f>
        <v>#DIV/0!</v>
      </c>
      <c r="U38" s="2038"/>
      <c r="V38" s="2038" t="e">
        <f aca="false">IF(F1="售价",ROUND(PRODUCT(V37,AC7:AC36),0),ROUND(PRODUCT(V37,AC7:AC36),1))</f>
        <v>#DIV/0!</v>
      </c>
      <c r="W38" s="2038"/>
      <c r="X38" s="2111"/>
      <c r="Y38" s="2111"/>
      <c r="Z38" s="2111"/>
      <c r="AA38" s="2111"/>
      <c r="AB38" s="2111"/>
      <c r="AC38" s="2111"/>
    </row>
    <row r="39" customFormat="false" ht="15" hidden="false" customHeight="false" outlineLevel="0" collapsed="false">
      <c r="A39" s="2120" t="s">
        <v>1567</v>
      </c>
      <c r="B39" s="2121"/>
      <c r="C39" s="2123" t="e">
        <f aca="false">R39</f>
        <v>#DIV/0!</v>
      </c>
      <c r="D39" s="2123"/>
      <c r="E39" s="2123"/>
      <c r="F39" s="2123"/>
      <c r="G39" s="2123"/>
      <c r="H39" s="2123"/>
      <c r="I39" s="2123"/>
      <c r="J39" s="2123"/>
      <c r="K39" s="2534"/>
      <c r="L39" s="2109"/>
      <c r="M39" s="2110"/>
      <c r="N39" s="2110"/>
      <c r="O39" s="2110"/>
      <c r="P39" s="2033" t="str">
        <f aca="false">A39</f>
        <v>估价对象XX用房的比较价值（楼面单价，元/平方米）</v>
      </c>
      <c r="Q39" s="2033"/>
      <c r="R39" s="2535" t="e">
        <f aca="false">IF(F1="售价",ROUND(IF(D38="简单平均",AVERAGE(R38:W38),R38*F38+T38*H38+V38*J38),0),ROUND(IF(D38="简单平均",AVERAGE(R38:V38),R38*F38+T38*H38+V38*J38),1))</f>
        <v>#DIV/0!</v>
      </c>
      <c r="S39" s="2535"/>
      <c r="T39" s="2535"/>
      <c r="U39" s="2535"/>
      <c r="V39" s="2535"/>
      <c r="W39" s="2535"/>
      <c r="X39" s="2111"/>
      <c r="Y39" s="2111"/>
      <c r="Z39" s="2111"/>
      <c r="AA39" s="2111"/>
      <c r="AB39" s="2111"/>
      <c r="AC39" s="2111"/>
    </row>
    <row r="40" customFormat="false" ht="14.25" hidden="false" customHeight="false" outlineLevel="0" collapsed="false">
      <c r="A40" s="2110"/>
      <c r="B40" s="2110"/>
      <c r="C40" s="2110"/>
      <c r="D40" s="2110"/>
      <c r="E40" s="2110"/>
      <c r="F40" s="2110"/>
      <c r="G40" s="2126"/>
      <c r="H40" s="2110"/>
      <c r="I40" s="2110"/>
      <c r="J40" s="2110"/>
      <c r="K40" s="2127"/>
      <c r="L40" s="2128"/>
      <c r="M40" s="2110"/>
      <c r="N40" s="2110"/>
      <c r="O40" s="2110"/>
      <c r="P40" s="2445"/>
      <c r="Q40" s="2110"/>
      <c r="R40" s="2110"/>
      <c r="S40" s="2110"/>
      <c r="T40" s="2110"/>
      <c r="U40" s="2110"/>
      <c r="V40" s="2110"/>
      <c r="W40" s="2110"/>
      <c r="X40" s="2110"/>
      <c r="Y40" s="2110"/>
      <c r="Z40" s="2110"/>
      <c r="AA40" s="2110"/>
      <c r="AB40" s="2110"/>
      <c r="AC40" s="2110"/>
    </row>
    <row r="41" customFormat="false" ht="14.25" hidden="false" customHeight="false" outlineLevel="0" collapsed="false">
      <c r="A41" s="2110"/>
      <c r="B41" s="2110"/>
      <c r="C41" s="2110"/>
      <c r="D41" s="2110"/>
      <c r="E41" s="2110"/>
      <c r="F41" s="2110"/>
      <c r="G41" s="2110"/>
      <c r="H41" s="2110"/>
      <c r="I41" s="2110"/>
      <c r="J41" s="2110"/>
      <c r="K41" s="2127"/>
      <c r="L41" s="2128"/>
      <c r="M41" s="2110"/>
      <c r="N41" s="2110"/>
      <c r="O41" s="2110"/>
      <c r="P41" s="2445"/>
      <c r="Q41" s="2110"/>
      <c r="R41" s="2110"/>
      <c r="S41" s="2110"/>
      <c r="T41" s="2110"/>
      <c r="U41" s="2110"/>
      <c r="V41" s="2110"/>
      <c r="W41" s="2110"/>
      <c r="X41" s="2110"/>
      <c r="Y41" s="2110"/>
      <c r="Z41" s="2110"/>
      <c r="AA41" s="2110"/>
      <c r="AB41" s="2110"/>
      <c r="AC41" s="2110"/>
    </row>
    <row r="42" customFormat="false" ht="13.5" hidden="false" customHeight="true" outlineLevel="0" collapsed="false">
      <c r="A42" s="2110"/>
      <c r="B42" s="2110"/>
      <c r="C42" s="2129" t="s">
        <v>1312</v>
      </c>
      <c r="D42" s="2130"/>
      <c r="E42" s="2131" t="e">
        <f aca="false">IF(E37&lt;E38,E38/E37-1,E37/E38-1)</f>
        <v>#DIV/0!</v>
      </c>
      <c r="F42" s="2132" t="e">
        <f aca="false">IF(OR(E42&gt;=0.3,E42&lt;=-0.3),"超过30%","")</f>
        <v>#DIV/0!</v>
      </c>
      <c r="G42" s="2131" t="e">
        <f aca="false">IF(G37&lt;G38,G38/G37-1,G37/G38-1)</f>
        <v>#DIV/0!</v>
      </c>
      <c r="H42" s="2132" t="e">
        <f aca="false">IF(OR(G42&gt;=0.3,G42&lt;=-0.3),"超过30%","")</f>
        <v>#DIV/0!</v>
      </c>
      <c r="I42" s="2131" t="e">
        <f aca="false">IF(I37&lt;I38,I38/I37-1,I37/I38-1)</f>
        <v>#DIV/0!</v>
      </c>
      <c r="J42" s="2132" t="e">
        <f aca="false">IF(OR(I42&gt;=0.3,I42&lt;=-0.3),"超过30%","")</f>
        <v>#DIV/0!</v>
      </c>
      <c r="K42" s="2127"/>
      <c r="L42" s="2128"/>
      <c r="M42" s="2110"/>
      <c r="N42" s="2110"/>
      <c r="O42" s="2110"/>
      <c r="P42" s="2445"/>
      <c r="Q42" s="2110"/>
      <c r="R42" s="2110"/>
      <c r="S42" s="2110"/>
      <c r="T42" s="2110"/>
      <c r="U42" s="2110"/>
      <c r="V42" s="2110"/>
      <c r="W42" s="2110"/>
      <c r="X42" s="2110"/>
      <c r="Y42" s="2110"/>
      <c r="Z42" s="2110"/>
      <c r="AA42" s="2110"/>
      <c r="AB42" s="2110"/>
      <c r="AC42" s="2110"/>
    </row>
    <row r="43" customFormat="false" ht="13.5" hidden="false" customHeight="true" outlineLevel="0" collapsed="false">
      <c r="A43" s="2110"/>
      <c r="B43" s="2110"/>
      <c r="C43" s="2129" t="s">
        <v>1313</v>
      </c>
      <c r="D43" s="2133"/>
      <c r="E43" s="2131" t="e">
        <f aca="false">IF(E38&lt;G38,G38/E38-1,E38/G38-1)</f>
        <v>#DIV/0!</v>
      </c>
      <c r="F43" s="2132" t="e">
        <f aca="false">IF(OR(E43&gt;=0.2,E43&lt;=-0.2),"超过20%","")</f>
        <v>#DIV/0!</v>
      </c>
      <c r="G43" s="2131" t="e">
        <f aca="false">IF(G38&lt;I38,I38/G38-1,G38/I38-1)</f>
        <v>#DIV/0!</v>
      </c>
      <c r="H43" s="2132" t="e">
        <f aca="false">IF(OR(G43&gt;=0.2,G43&lt;=-0.2),"超过20%","")</f>
        <v>#DIV/0!</v>
      </c>
      <c r="I43" s="2131" t="e">
        <f aca="false">IF(I38&lt;E38,E38/I38-1,I38/E38-1)</f>
        <v>#DIV/0!</v>
      </c>
      <c r="J43" s="2132" t="e">
        <f aca="false">IF(OR(I43&gt;=0.2,I43&lt;=-0.2),"超过20%","")</f>
        <v>#DIV/0!</v>
      </c>
      <c r="K43" s="2127"/>
      <c r="L43" s="2128"/>
      <c r="M43" s="2110"/>
      <c r="N43" s="2110"/>
      <c r="O43" s="2110"/>
      <c r="P43" s="2445"/>
      <c r="Q43" s="2110"/>
      <c r="R43" s="2110"/>
      <c r="S43" s="2110"/>
      <c r="T43" s="2110"/>
      <c r="U43" s="2110"/>
      <c r="V43" s="2110"/>
      <c r="W43" s="2110"/>
      <c r="X43" s="2110"/>
      <c r="Y43" s="2110"/>
      <c r="Z43" s="2110"/>
      <c r="AA43" s="2110"/>
      <c r="AB43" s="2110"/>
      <c r="AC43" s="2110"/>
    </row>
    <row r="44" s="2138" customFormat="true" ht="13.5" hidden="false" customHeight="true" outlineLevel="0" collapsed="false">
      <c r="A44" s="2134"/>
      <c r="B44" s="2134"/>
      <c r="C44" s="2129" t="s">
        <v>1314</v>
      </c>
      <c r="D44" s="2133"/>
      <c r="E44" s="2131" t="e">
        <f aca="false">IF(E37&lt;G37,G37/E37-1,E37/G37-1)</f>
        <v>#DIV/0!</v>
      </c>
      <c r="F44" s="2132" t="e">
        <f aca="false">IF(OR(E44&gt;=0.3,E44&lt;=-0.3),"超过30%","")</f>
        <v>#DIV/0!</v>
      </c>
      <c r="G44" s="2131" t="e">
        <f aca="false">IF(G37&lt;I37,I37/G37-1,G37/I37-1)</f>
        <v>#DIV/0!</v>
      </c>
      <c r="H44" s="2132" t="e">
        <f aca="false">IF(OR(G44&gt;=0.3,G44&lt;=-0.3),"超过30%","")</f>
        <v>#DIV/0!</v>
      </c>
      <c r="I44" s="2131" t="e">
        <f aca="false">IF(I37&lt;E37,E37/I37-1,I37/E37-1)</f>
        <v>#DIV/0!</v>
      </c>
      <c r="J44" s="2132" t="e">
        <f aca="false">IF(OR(I44&gt;=0.3,I44&lt;=-0.3),"超过30%","")</f>
        <v>#DIV/0!</v>
      </c>
      <c r="K44" s="2135"/>
      <c r="L44" s="2136"/>
      <c r="M44" s="2134"/>
      <c r="N44" s="2134"/>
      <c r="O44" s="2134"/>
      <c r="P44" s="2446"/>
      <c r="Q44" s="2134"/>
      <c r="R44" s="2134"/>
      <c r="S44" s="2134"/>
      <c r="T44" s="2134"/>
      <c r="U44" s="2134"/>
      <c r="V44" s="2134"/>
      <c r="W44" s="2134"/>
      <c r="X44" s="2134"/>
      <c r="Y44" s="2134"/>
      <c r="Z44" s="2134"/>
      <c r="AA44" s="2134"/>
      <c r="AB44" s="2134"/>
      <c r="AC44" s="2134"/>
    </row>
    <row r="45" s="2138" customFormat="true" ht="14.25" hidden="false" customHeight="false" outlineLevel="0" collapsed="false">
      <c r="A45" s="2134"/>
      <c r="B45" s="2139"/>
      <c r="C45" s="2140"/>
      <c r="D45" s="2134"/>
      <c r="E45" s="2134"/>
      <c r="F45" s="2134"/>
      <c r="G45" s="2134"/>
      <c r="H45" s="2134"/>
      <c r="I45" s="2134"/>
      <c r="J45" s="2134"/>
      <c r="K45" s="2135"/>
      <c r="L45" s="2136"/>
      <c r="M45" s="2134"/>
      <c r="N45" s="2134"/>
      <c r="O45" s="2134"/>
      <c r="P45" s="2446"/>
      <c r="Q45" s="2134"/>
      <c r="R45" s="2134"/>
      <c r="S45" s="2134"/>
      <c r="T45" s="2134"/>
      <c r="U45" s="2134"/>
      <c r="V45" s="2134"/>
      <c r="W45" s="2134"/>
      <c r="X45" s="2134"/>
      <c r="Y45" s="2134"/>
      <c r="Z45" s="2134"/>
      <c r="AA45" s="2134"/>
      <c r="AB45" s="2134"/>
      <c r="AC45" s="2134"/>
    </row>
    <row r="46" customFormat="false" ht="14.25" hidden="false" customHeight="false" outlineLevel="0" collapsed="false">
      <c r="A46" s="2110"/>
      <c r="B46" s="2139"/>
      <c r="C46" s="2140"/>
      <c r="D46" s="2110"/>
      <c r="E46" s="2110"/>
      <c r="F46" s="2110"/>
      <c r="G46" s="2110"/>
      <c r="H46" s="2110"/>
      <c r="I46" s="2110"/>
      <c r="J46" s="2110"/>
      <c r="K46" s="2127"/>
      <c r="L46" s="2128"/>
      <c r="M46" s="2110"/>
      <c r="N46" s="2110"/>
      <c r="O46" s="2110"/>
      <c r="P46" s="2445"/>
      <c r="Q46" s="2110"/>
      <c r="R46" s="2110"/>
      <c r="S46" s="2110"/>
      <c r="T46" s="2110"/>
      <c r="U46" s="2110"/>
      <c r="V46" s="2110"/>
      <c r="W46" s="2110"/>
      <c r="X46" s="2110"/>
      <c r="Y46" s="2110"/>
      <c r="Z46" s="2110"/>
      <c r="AA46" s="2110"/>
      <c r="AB46" s="2110"/>
      <c r="AC46" s="2110"/>
    </row>
    <row r="47" customFormat="false" ht="21" hidden="false" customHeight="false" outlineLevel="0" collapsed="false">
      <c r="A47" s="2536" t="s">
        <v>1315</v>
      </c>
      <c r="B47" s="2482"/>
      <c r="C47" s="2146"/>
      <c r="D47" s="2146"/>
      <c r="E47" s="2146"/>
      <c r="F47" s="2537"/>
      <c r="G47" s="2537"/>
      <c r="H47" s="2146"/>
      <c r="I47" s="2146"/>
      <c r="J47" s="2146"/>
      <c r="K47" s="2144"/>
      <c r="L47" s="2145"/>
      <c r="M47" s="2146"/>
      <c r="N47" s="2447"/>
      <c r="O47" s="2447"/>
      <c r="P47" s="2448"/>
      <c r="Q47" s="2386"/>
      <c r="R47" s="2110"/>
      <c r="S47" s="2110"/>
      <c r="T47" s="2110"/>
      <c r="U47" s="2110"/>
      <c r="V47" s="2110"/>
      <c r="W47" s="2110"/>
      <c r="X47" s="2110"/>
      <c r="Y47" s="2110"/>
      <c r="Z47" s="2110"/>
      <c r="AA47" s="2110"/>
      <c r="AB47" s="2110"/>
      <c r="AC47" s="2110"/>
    </row>
    <row r="48" s="2154" customFormat="true" ht="15" hidden="false" customHeight="false" outlineLevel="0" collapsed="false">
      <c r="A48" s="2149" t="s">
        <v>1276</v>
      </c>
      <c r="B48" s="2150"/>
      <c r="C48" s="2387" t="str">
        <f aca="false">YEAR(C7)&amp;"-"&amp;MONTH(C7)</f>
        <v>2006-11</v>
      </c>
      <c r="D48" s="2152" t="n">
        <f aca="false">EDATE(C48,-1)</f>
        <v>38991</v>
      </c>
      <c r="E48" s="2152" t="n">
        <f aca="false">EDATE(D48,-1)</f>
        <v>38961</v>
      </c>
      <c r="F48" s="2152" t="n">
        <f aca="false">EDATE(E48,-1)</f>
        <v>38930</v>
      </c>
      <c r="G48" s="2152" t="n">
        <f aca="false">EDATE(F48,-1)</f>
        <v>38899</v>
      </c>
      <c r="H48" s="2152" t="n">
        <f aca="false">EDATE(G48,-1)</f>
        <v>38869</v>
      </c>
      <c r="I48" s="2152" t="n">
        <f aca="false">EDATE(H48,-1)</f>
        <v>38838</v>
      </c>
      <c r="J48" s="2152" t="n">
        <f aca="false">EDATE(I48,-1)</f>
        <v>38808</v>
      </c>
      <c r="K48" s="2152" t="n">
        <f aca="false">EDATE(J48,-1)</f>
        <v>38777</v>
      </c>
      <c r="L48" s="2152" t="n">
        <f aca="false">EDATE(K48,-1)</f>
        <v>38749</v>
      </c>
      <c r="M48" s="2152" t="n">
        <f aca="false">EDATE(L48,-1)</f>
        <v>38718</v>
      </c>
      <c r="N48" s="2152" t="n">
        <f aca="false">EDATE(M48,-1)</f>
        <v>38687</v>
      </c>
      <c r="O48" s="2152" t="n">
        <f aca="false">EDATE(N48,-1)</f>
        <v>38657</v>
      </c>
      <c r="P48" s="2449"/>
      <c r="Q48" s="2389"/>
      <c r="R48" s="2389"/>
      <c r="S48" s="2389"/>
      <c r="T48" s="2389"/>
      <c r="U48" s="2389"/>
      <c r="V48" s="2389"/>
      <c r="W48" s="2389"/>
      <c r="X48" s="2389"/>
      <c r="Y48" s="2389"/>
      <c r="Z48" s="2389"/>
      <c r="AA48" s="2389"/>
      <c r="AB48" s="2389"/>
      <c r="AC48" s="2389"/>
    </row>
    <row r="49" s="1983" customFormat="true" ht="15" hidden="false" customHeight="false" outlineLevel="0" collapsed="false">
      <c r="A49" s="2155"/>
      <c r="B49" s="2167"/>
      <c r="C49" s="2538" t="n">
        <v>100</v>
      </c>
      <c r="D49" s="2159"/>
      <c r="E49" s="2159"/>
      <c r="F49" s="2159"/>
      <c r="G49" s="2159"/>
      <c r="H49" s="2159"/>
      <c r="I49" s="2159"/>
      <c r="J49" s="2159"/>
      <c r="K49" s="2159"/>
      <c r="L49" s="2159"/>
      <c r="M49" s="2390"/>
      <c r="N49" s="2159"/>
      <c r="O49" s="2390"/>
      <c r="P49" s="2450"/>
      <c r="Q49" s="529"/>
      <c r="R49" s="529"/>
      <c r="S49" s="529"/>
      <c r="T49" s="529"/>
      <c r="U49" s="529"/>
      <c r="V49" s="529"/>
      <c r="W49" s="529"/>
      <c r="X49" s="529"/>
      <c r="Y49" s="529"/>
      <c r="Z49" s="529"/>
      <c r="AA49" s="529"/>
      <c r="AB49" s="529"/>
      <c r="AC49" s="529"/>
    </row>
    <row r="50" s="1983" customFormat="true" ht="15" hidden="false" customHeight="false" outlineLevel="0" collapsed="false">
      <c r="A50" s="2161" t="s">
        <v>1316</v>
      </c>
      <c r="B50" s="2162"/>
      <c r="C50" s="2163"/>
      <c r="D50" s="2164"/>
      <c r="E50" s="2164"/>
      <c r="F50" s="2164"/>
      <c r="G50" s="2164"/>
      <c r="H50" s="2164"/>
      <c r="I50" s="2164"/>
      <c r="J50" s="2164"/>
      <c r="K50" s="2164"/>
      <c r="L50" s="2164"/>
      <c r="M50" s="2165"/>
      <c r="N50" s="2164"/>
      <c r="O50" s="2165"/>
      <c r="P50" s="2450"/>
      <c r="Q50" s="2386"/>
      <c r="R50" s="529"/>
      <c r="S50" s="529"/>
      <c r="T50" s="529"/>
      <c r="U50" s="529"/>
      <c r="V50" s="529"/>
      <c r="W50" s="529"/>
      <c r="X50" s="529"/>
      <c r="Y50" s="529"/>
      <c r="Z50" s="529"/>
      <c r="AA50" s="529"/>
      <c r="AB50" s="529"/>
      <c r="AC50" s="529"/>
    </row>
    <row r="51" s="1983" customFormat="true" ht="15" hidden="false" customHeight="false" outlineLevel="0" collapsed="false">
      <c r="A51" s="2166" t="s">
        <v>1278</v>
      </c>
      <c r="B51" s="2167"/>
      <c r="C51" s="2168" t="s">
        <v>1279</v>
      </c>
      <c r="D51" s="2169"/>
      <c r="E51" s="2169"/>
      <c r="F51" s="2169"/>
      <c r="G51" s="2169"/>
      <c r="H51" s="2169"/>
      <c r="I51" s="2169"/>
      <c r="J51" s="2169"/>
      <c r="K51" s="2169"/>
      <c r="L51" s="2170"/>
      <c r="M51" s="2171"/>
      <c r="N51" s="2392"/>
      <c r="O51" s="2392"/>
      <c r="P51" s="2451"/>
      <c r="Q51" s="2386"/>
      <c r="R51" s="529"/>
      <c r="S51" s="529"/>
      <c r="T51" s="529"/>
      <c r="U51" s="529"/>
      <c r="V51" s="529"/>
      <c r="W51" s="529"/>
      <c r="X51" s="529"/>
      <c r="Y51" s="529"/>
      <c r="Z51" s="529"/>
      <c r="AA51" s="529"/>
      <c r="AB51" s="529"/>
      <c r="AC51" s="529"/>
    </row>
    <row r="52" s="1983" customFormat="true" ht="15" hidden="false" customHeight="false" outlineLevel="0" collapsed="false">
      <c r="A52" s="2166"/>
      <c r="B52" s="2167"/>
      <c r="C52" s="2491" t="n">
        <v>100</v>
      </c>
      <c r="D52" s="2159"/>
      <c r="E52" s="2159"/>
      <c r="F52" s="2159"/>
      <c r="G52" s="2159"/>
      <c r="H52" s="2159"/>
      <c r="I52" s="2159"/>
      <c r="J52" s="2159"/>
      <c r="K52" s="2159"/>
      <c r="L52" s="2159"/>
      <c r="M52" s="2174"/>
      <c r="N52" s="2392"/>
      <c r="O52" s="2392"/>
      <c r="P52" s="2450"/>
      <c r="Q52" s="2386"/>
      <c r="R52" s="529"/>
      <c r="S52" s="529"/>
      <c r="T52" s="529"/>
      <c r="U52" s="529"/>
      <c r="V52" s="529"/>
      <c r="W52" s="529"/>
      <c r="X52" s="529"/>
      <c r="Y52" s="529"/>
      <c r="Z52" s="529"/>
      <c r="AA52" s="529"/>
      <c r="AB52" s="529"/>
      <c r="AC52" s="529"/>
    </row>
    <row r="53" customFormat="false" ht="14.25" hidden="false" customHeight="false" outlineLevel="0" collapsed="false">
      <c r="A53" s="2175" t="s">
        <v>1280</v>
      </c>
      <c r="B53" s="2176" t="s">
        <v>399</v>
      </c>
      <c r="C53" s="2177" t="n">
        <f aca="false">C9</f>
        <v>0</v>
      </c>
      <c r="D53" s="2178"/>
      <c r="E53" s="2178"/>
      <c r="F53" s="2178"/>
      <c r="G53" s="2178"/>
      <c r="H53" s="2178"/>
      <c r="I53" s="2178"/>
      <c r="J53" s="2178"/>
      <c r="K53" s="2179"/>
      <c r="L53" s="2180"/>
      <c r="M53" s="2181"/>
      <c r="N53" s="2394"/>
      <c r="O53" s="2394"/>
      <c r="P53" s="2452"/>
      <c r="Q53" s="2386"/>
      <c r="R53" s="2110"/>
      <c r="S53" s="2110"/>
      <c r="T53" s="2110"/>
      <c r="U53" s="2110"/>
      <c r="V53" s="2110"/>
      <c r="W53" s="2110"/>
      <c r="X53" s="2110"/>
      <c r="Y53" s="2110"/>
      <c r="Z53" s="2110"/>
      <c r="AA53" s="2110"/>
      <c r="AB53" s="2110"/>
      <c r="AC53" s="2110"/>
    </row>
    <row r="54" customFormat="false" ht="15" hidden="false" customHeight="false" outlineLevel="0" collapsed="false">
      <c r="A54" s="2184"/>
      <c r="B54" s="2185"/>
      <c r="C54" s="2186" t="n">
        <v>100</v>
      </c>
      <c r="D54" s="2186"/>
      <c r="E54" s="2186"/>
      <c r="F54" s="2186"/>
      <c r="G54" s="2186"/>
      <c r="H54" s="2186"/>
      <c r="I54" s="2186"/>
      <c r="J54" s="2186"/>
      <c r="K54" s="2186"/>
      <c r="L54" s="2186"/>
      <c r="M54" s="2187"/>
      <c r="N54" s="2396"/>
      <c r="O54" s="2396"/>
      <c r="P54" s="2452"/>
      <c r="Q54" s="2386"/>
      <c r="R54" s="2110"/>
      <c r="S54" s="2110"/>
      <c r="T54" s="2110"/>
      <c r="U54" s="2110"/>
      <c r="V54" s="2110"/>
      <c r="W54" s="2110"/>
      <c r="X54" s="2110"/>
      <c r="Y54" s="2110"/>
      <c r="Z54" s="2110"/>
      <c r="AA54" s="2110"/>
      <c r="AB54" s="2110"/>
      <c r="AC54" s="2110"/>
    </row>
    <row r="55" customFormat="false" ht="27" hidden="false" customHeight="false" outlineLevel="0" collapsed="false">
      <c r="A55" s="2184"/>
      <c r="B55" s="2189" t="s">
        <v>1281</v>
      </c>
      <c r="C55" s="2190"/>
      <c r="D55" s="2190"/>
      <c r="E55" s="2190"/>
      <c r="F55" s="2190"/>
      <c r="G55" s="2190"/>
      <c r="H55" s="2190"/>
      <c r="I55" s="2190"/>
      <c r="J55" s="2190"/>
      <c r="K55" s="2246"/>
      <c r="L55" s="2247"/>
      <c r="M55" s="2248"/>
      <c r="N55" s="2394"/>
      <c r="O55" s="2394"/>
      <c r="P55" s="2452"/>
      <c r="Q55" s="2386"/>
      <c r="R55" s="2110"/>
      <c r="S55" s="2110"/>
      <c r="T55" s="2110"/>
      <c r="U55" s="2110"/>
      <c r="V55" s="2110"/>
      <c r="W55" s="2110"/>
      <c r="X55" s="2110"/>
      <c r="Y55" s="2110"/>
      <c r="Z55" s="2110"/>
      <c r="AA55" s="2110"/>
      <c r="AB55" s="2110"/>
      <c r="AC55" s="2110"/>
    </row>
    <row r="56" customFormat="false" ht="15" hidden="false" customHeight="false" outlineLevel="0" collapsed="false">
      <c r="A56" s="2184"/>
      <c r="B56" s="2191"/>
      <c r="C56" s="2186"/>
      <c r="D56" s="2186"/>
      <c r="E56" s="2186"/>
      <c r="F56" s="2186"/>
      <c r="G56" s="2186"/>
      <c r="H56" s="2186"/>
      <c r="I56" s="2186"/>
      <c r="J56" s="2186"/>
      <c r="K56" s="2186"/>
      <c r="L56" s="2186"/>
      <c r="M56" s="2187"/>
      <c r="N56" s="2396"/>
      <c r="O56" s="2396"/>
      <c r="P56" s="2452"/>
      <c r="Q56" s="2386"/>
      <c r="R56" s="2110"/>
      <c r="S56" s="2110"/>
      <c r="T56" s="2110"/>
      <c r="U56" s="2110"/>
      <c r="V56" s="2110"/>
      <c r="W56" s="2110"/>
      <c r="X56" s="2110"/>
      <c r="Y56" s="2110"/>
      <c r="Z56" s="2110"/>
      <c r="AA56" s="2110"/>
      <c r="AB56" s="2110"/>
      <c r="AC56" s="2110"/>
    </row>
    <row r="57" customFormat="false" ht="15" hidden="false" customHeight="false" outlineLevel="0" collapsed="false">
      <c r="A57" s="2184"/>
      <c r="B57" s="2235" t="n">
        <f aca="false">B11</f>
        <v>111</v>
      </c>
      <c r="C57" s="2195"/>
      <c r="D57" s="2195"/>
      <c r="E57" s="2195"/>
      <c r="F57" s="2195"/>
      <c r="G57" s="2195"/>
      <c r="H57" s="2195"/>
      <c r="I57" s="2195"/>
      <c r="J57" s="2195"/>
      <c r="K57" s="2196"/>
      <c r="L57" s="2197"/>
      <c r="M57" s="2198"/>
      <c r="N57" s="2394"/>
      <c r="O57" s="2394"/>
      <c r="P57" s="2452"/>
      <c r="Q57" s="2386"/>
      <c r="R57" s="2110"/>
      <c r="S57" s="2110"/>
      <c r="T57" s="2110"/>
      <c r="U57" s="2110"/>
      <c r="V57" s="2110"/>
      <c r="W57" s="2110"/>
      <c r="X57" s="2110"/>
      <c r="Y57" s="2110"/>
      <c r="Z57" s="2110"/>
      <c r="AA57" s="2110"/>
      <c r="AB57" s="2110"/>
      <c r="AC57" s="2110"/>
    </row>
    <row r="58" customFormat="false" ht="15" hidden="false" customHeight="false" outlineLevel="0" collapsed="false">
      <c r="A58" s="2184"/>
      <c r="B58" s="2185"/>
      <c r="C58" s="2209"/>
      <c r="D58" s="2186"/>
      <c r="E58" s="2186"/>
      <c r="F58" s="2186"/>
      <c r="G58" s="2186"/>
      <c r="H58" s="2186"/>
      <c r="I58" s="2186"/>
      <c r="J58" s="2186"/>
      <c r="K58" s="2186"/>
      <c r="L58" s="2186"/>
      <c r="M58" s="2187"/>
      <c r="N58" s="2396"/>
      <c r="O58" s="2396"/>
      <c r="P58" s="2452"/>
      <c r="Q58" s="2386"/>
      <c r="R58" s="2110"/>
      <c r="S58" s="2110"/>
      <c r="T58" s="2110"/>
      <c r="U58" s="2110"/>
      <c r="V58" s="2110"/>
      <c r="W58" s="2110"/>
      <c r="X58" s="2110"/>
      <c r="Y58" s="2110"/>
      <c r="Z58" s="2110"/>
      <c r="AA58" s="2110"/>
      <c r="AB58" s="2110"/>
      <c r="AC58" s="2110"/>
    </row>
    <row r="59" s="2088" customFormat="true" ht="15" hidden="false" customHeight="false" outlineLevel="0" collapsed="false">
      <c r="A59" s="2201"/>
      <c r="B59" s="2189" t="n">
        <f aca="false">B12</f>
        <v>111</v>
      </c>
      <c r="C59" s="2195"/>
      <c r="D59" s="2195"/>
      <c r="E59" s="2195"/>
      <c r="F59" s="2195"/>
      <c r="G59" s="2202"/>
      <c r="H59" s="2203"/>
      <c r="I59" s="2203"/>
      <c r="J59" s="2203"/>
      <c r="K59" s="2203"/>
      <c r="L59" s="2204"/>
      <c r="M59" s="2205"/>
      <c r="N59" s="2397"/>
      <c r="O59" s="2397"/>
      <c r="P59" s="2453"/>
      <c r="Q59" s="2399"/>
      <c r="R59" s="791"/>
      <c r="S59" s="791"/>
      <c r="T59" s="791"/>
      <c r="U59" s="791"/>
      <c r="V59" s="791"/>
      <c r="W59" s="791"/>
      <c r="X59" s="791"/>
      <c r="Y59" s="791"/>
      <c r="Z59" s="791"/>
      <c r="AA59" s="791"/>
      <c r="AB59" s="791"/>
      <c r="AC59" s="791"/>
    </row>
    <row r="60" s="2088" customFormat="true" ht="15" hidden="false" customHeight="false" outlineLevel="0" collapsed="false">
      <c r="A60" s="2201"/>
      <c r="B60" s="2191"/>
      <c r="C60" s="2209"/>
      <c r="D60" s="2186"/>
      <c r="E60" s="2186"/>
      <c r="F60" s="2186"/>
      <c r="G60" s="2186"/>
      <c r="H60" s="2186"/>
      <c r="I60" s="2186"/>
      <c r="J60" s="2186"/>
      <c r="K60" s="2186"/>
      <c r="L60" s="2186"/>
      <c r="M60" s="2187"/>
      <c r="N60" s="2396"/>
      <c r="O60" s="2396"/>
      <c r="P60" s="2453"/>
      <c r="Q60" s="2399"/>
      <c r="R60" s="791"/>
      <c r="S60" s="791"/>
      <c r="T60" s="791"/>
      <c r="U60" s="791"/>
      <c r="V60" s="791"/>
      <c r="W60" s="791"/>
      <c r="X60" s="791"/>
      <c r="Y60" s="791"/>
      <c r="Z60" s="791"/>
      <c r="AA60" s="791"/>
      <c r="AB60" s="791"/>
      <c r="AC60" s="791"/>
    </row>
    <row r="61" s="2088" customFormat="true" ht="15" hidden="false" customHeight="false" outlineLevel="0" collapsed="false">
      <c r="A61" s="2201"/>
      <c r="B61" s="2189" t="n">
        <f aca="false">B13</f>
        <v>111</v>
      </c>
      <c r="C61" s="2202"/>
      <c r="D61" s="2202"/>
      <c r="E61" s="2202"/>
      <c r="F61" s="2202"/>
      <c r="G61" s="2202"/>
      <c r="H61" s="2203"/>
      <c r="I61" s="2203"/>
      <c r="J61" s="2203"/>
      <c r="K61" s="2203"/>
      <c r="L61" s="2204"/>
      <c r="M61" s="2205"/>
      <c r="N61" s="2397"/>
      <c r="O61" s="2397"/>
      <c r="P61" s="2454"/>
      <c r="Q61" s="2401"/>
      <c r="R61" s="791"/>
      <c r="S61" s="791"/>
      <c r="T61" s="791"/>
      <c r="U61" s="791"/>
      <c r="V61" s="791"/>
      <c r="W61" s="791"/>
      <c r="X61" s="791"/>
      <c r="Y61" s="791"/>
      <c r="Z61" s="791"/>
      <c r="AA61" s="791"/>
      <c r="AB61" s="791"/>
      <c r="AC61" s="791"/>
    </row>
    <row r="62" s="2088" customFormat="true" ht="15" hidden="false" customHeight="false" outlineLevel="0" collapsed="false">
      <c r="A62" s="2201"/>
      <c r="B62" s="2191"/>
      <c r="C62" s="2209"/>
      <c r="D62" s="2209"/>
      <c r="E62" s="2209"/>
      <c r="F62" s="2209"/>
      <c r="G62" s="2209"/>
      <c r="H62" s="2212"/>
      <c r="I62" s="2212"/>
      <c r="J62" s="2212"/>
      <c r="K62" s="2212"/>
      <c r="L62" s="2212"/>
      <c r="M62" s="2213"/>
      <c r="N62" s="2397"/>
      <c r="O62" s="2397"/>
      <c r="P62" s="2453"/>
      <c r="Q62" s="2399"/>
      <c r="R62" s="791"/>
      <c r="S62" s="791"/>
      <c r="T62" s="791"/>
      <c r="U62" s="791"/>
      <c r="V62" s="791"/>
      <c r="W62" s="791"/>
      <c r="X62" s="791"/>
      <c r="Y62" s="791"/>
      <c r="Z62" s="791"/>
      <c r="AA62" s="791"/>
      <c r="AB62" s="791"/>
      <c r="AC62" s="791"/>
    </row>
    <row r="63" customFormat="false" ht="14.25" hidden="false" customHeight="false" outlineLevel="0" collapsed="false">
      <c r="A63" s="2175" t="s">
        <v>648</v>
      </c>
      <c r="B63" s="2176" t="s">
        <v>216</v>
      </c>
      <c r="C63" s="2223" t="s">
        <v>231</v>
      </c>
      <c r="D63" s="2223" t="s">
        <v>241</v>
      </c>
      <c r="E63" s="2223" t="s">
        <v>250</v>
      </c>
      <c r="F63" s="2223" t="s">
        <v>258</v>
      </c>
      <c r="G63" s="2223" t="s">
        <v>265</v>
      </c>
      <c r="H63" s="2177"/>
      <c r="I63" s="2177"/>
      <c r="J63" s="2177"/>
      <c r="K63" s="2224"/>
      <c r="L63" s="2225"/>
      <c r="M63" s="2226"/>
      <c r="N63" s="2394"/>
      <c r="O63" s="2394"/>
      <c r="P63" s="2456"/>
      <c r="Q63" s="2386"/>
      <c r="R63" s="2110"/>
      <c r="S63" s="2110"/>
      <c r="T63" s="2110"/>
      <c r="U63" s="2110"/>
      <c r="V63" s="2110"/>
      <c r="W63" s="2110"/>
      <c r="X63" s="2110"/>
      <c r="Y63" s="2110"/>
      <c r="Z63" s="2110"/>
      <c r="AA63" s="2110"/>
      <c r="AB63" s="2110"/>
      <c r="AC63" s="2110"/>
    </row>
    <row r="64" customFormat="false" ht="15" hidden="false" customHeight="false" outlineLevel="0" collapsed="false">
      <c r="A64" s="2184"/>
      <c r="B64" s="2191"/>
      <c r="C64" s="2199" t="n">
        <v>100</v>
      </c>
      <c r="D64" s="2199" t="n">
        <f aca="false">C64-$K14</f>
        <v>100</v>
      </c>
      <c r="E64" s="2199" t="n">
        <f aca="false">D64-$K14</f>
        <v>100</v>
      </c>
      <c r="F64" s="2199" t="n">
        <f aca="false">E64-$K14</f>
        <v>100</v>
      </c>
      <c r="G64" s="2199" t="n">
        <f aca="false">F64-$K14</f>
        <v>100</v>
      </c>
      <c r="H64" s="2199"/>
      <c r="I64" s="2199"/>
      <c r="J64" s="2199"/>
      <c r="K64" s="2199"/>
      <c r="L64" s="2199"/>
      <c r="M64" s="2200"/>
      <c r="N64" s="2396"/>
      <c r="O64" s="2396"/>
      <c r="P64" s="2452"/>
      <c r="Q64" s="2386"/>
      <c r="R64" s="2110"/>
      <c r="S64" s="2110"/>
      <c r="T64" s="2110"/>
      <c r="U64" s="2110"/>
      <c r="V64" s="2110"/>
      <c r="W64" s="2110"/>
      <c r="X64" s="2110"/>
      <c r="Y64" s="2110"/>
      <c r="Z64" s="2110"/>
      <c r="AA64" s="2110"/>
      <c r="AB64" s="2110"/>
      <c r="AC64" s="2110"/>
    </row>
    <row r="65" customFormat="false" ht="15" hidden="false" customHeight="false" outlineLevel="0" collapsed="false">
      <c r="A65" s="2184"/>
      <c r="B65" s="2189" t="s">
        <v>218</v>
      </c>
      <c r="C65" s="2228" t="s">
        <v>231</v>
      </c>
      <c r="D65" s="2228" t="s">
        <v>241</v>
      </c>
      <c r="E65" s="2228" t="s">
        <v>250</v>
      </c>
      <c r="F65" s="2228" t="s">
        <v>258</v>
      </c>
      <c r="G65" s="2228" t="s">
        <v>265</v>
      </c>
      <c r="H65" s="2229"/>
      <c r="I65" s="2229"/>
      <c r="J65" s="2229"/>
      <c r="K65" s="2230"/>
      <c r="L65" s="2231"/>
      <c r="M65" s="2232"/>
      <c r="N65" s="2394"/>
      <c r="O65" s="2394"/>
      <c r="P65" s="2452"/>
      <c r="Q65" s="2386"/>
      <c r="R65" s="2110"/>
      <c r="S65" s="2110"/>
      <c r="T65" s="2110"/>
      <c r="U65" s="2110"/>
      <c r="V65" s="2110"/>
      <c r="W65" s="2110"/>
      <c r="X65" s="2110"/>
      <c r="Y65" s="2110"/>
      <c r="Z65" s="2110"/>
      <c r="AA65" s="2110"/>
      <c r="AB65" s="2110"/>
      <c r="AC65" s="2110"/>
    </row>
    <row r="66" customFormat="false" ht="15" hidden="false" customHeight="false" outlineLevel="0" collapsed="false">
      <c r="A66" s="2184"/>
      <c r="B66" s="2191"/>
      <c r="C66" s="2199" t="n">
        <v>100</v>
      </c>
      <c r="D66" s="2199" t="n">
        <f aca="false">C66-$K16</f>
        <v>100</v>
      </c>
      <c r="E66" s="2199" t="n">
        <f aca="false">D66-$K16</f>
        <v>100</v>
      </c>
      <c r="F66" s="2199" t="n">
        <f aca="false">E66-$K16</f>
        <v>100</v>
      </c>
      <c r="G66" s="2199" t="n">
        <f aca="false">F66-$K16</f>
        <v>100</v>
      </c>
      <c r="H66" s="2199"/>
      <c r="I66" s="2199"/>
      <c r="J66" s="2199"/>
      <c r="K66" s="2199"/>
      <c r="L66" s="2199"/>
      <c r="M66" s="2200"/>
      <c r="N66" s="2396"/>
      <c r="O66" s="2396"/>
      <c r="P66" s="2452"/>
      <c r="Q66" s="2386"/>
      <c r="R66" s="2110"/>
      <c r="S66" s="2110"/>
      <c r="T66" s="2110"/>
      <c r="U66" s="2110"/>
      <c r="V66" s="2110"/>
      <c r="W66" s="2110"/>
      <c r="X66" s="2110"/>
      <c r="Y66" s="2110"/>
      <c r="Z66" s="2110"/>
      <c r="AA66" s="2110"/>
      <c r="AB66" s="2110"/>
      <c r="AC66" s="2110"/>
    </row>
    <row r="67" customFormat="false" ht="15" hidden="false" customHeight="false" outlineLevel="0" collapsed="false">
      <c r="A67" s="2184"/>
      <c r="B67" s="2192" t="s">
        <v>219</v>
      </c>
      <c r="C67" s="2404" t="s">
        <v>232</v>
      </c>
      <c r="D67" s="2404" t="s">
        <v>242</v>
      </c>
      <c r="E67" s="2404" t="s">
        <v>251</v>
      </c>
      <c r="F67" s="2404" t="s">
        <v>259</v>
      </c>
      <c r="G67" s="2404" t="s">
        <v>266</v>
      </c>
      <c r="H67" s="2229"/>
      <c r="I67" s="2229"/>
      <c r="J67" s="2229"/>
      <c r="K67" s="2229"/>
      <c r="L67" s="2229"/>
      <c r="M67" s="2234"/>
      <c r="N67" s="2396"/>
      <c r="O67" s="2396"/>
      <c r="P67" s="2452"/>
      <c r="Q67" s="2386"/>
      <c r="R67" s="2110"/>
      <c r="S67" s="2110"/>
      <c r="T67" s="2110"/>
      <c r="U67" s="2110"/>
      <c r="V67" s="2110"/>
      <c r="W67" s="2110"/>
      <c r="X67" s="2110"/>
      <c r="Y67" s="2110"/>
      <c r="Z67" s="2110"/>
      <c r="AA67" s="2110"/>
      <c r="AB67" s="2110"/>
      <c r="AC67" s="2110"/>
    </row>
    <row r="68" customFormat="false" ht="15" hidden="false" customHeight="false" outlineLevel="0" collapsed="false">
      <c r="A68" s="2184"/>
      <c r="B68" s="2192"/>
      <c r="C68" s="2199" t="n">
        <v>100</v>
      </c>
      <c r="D68" s="2199" t="n">
        <f aca="false">C68-$K18</f>
        <v>100</v>
      </c>
      <c r="E68" s="2199" t="n">
        <f aca="false">D68-$K18</f>
        <v>100</v>
      </c>
      <c r="F68" s="2199" t="n">
        <f aca="false">E68-$K18</f>
        <v>100</v>
      </c>
      <c r="G68" s="2199" t="n">
        <f aca="false">F68-$K18</f>
        <v>100</v>
      </c>
      <c r="H68" s="2235"/>
      <c r="I68" s="2235"/>
      <c r="J68" s="2235"/>
      <c r="K68" s="2235"/>
      <c r="L68" s="2235"/>
      <c r="M68" s="2048"/>
      <c r="N68" s="2396"/>
      <c r="O68" s="2396"/>
      <c r="P68" s="2452"/>
      <c r="Q68" s="2386"/>
      <c r="R68" s="2110"/>
      <c r="S68" s="2110"/>
      <c r="T68" s="2110"/>
      <c r="U68" s="2110"/>
      <c r="V68" s="2110"/>
      <c r="W68" s="2110"/>
      <c r="X68" s="2110"/>
      <c r="Y68" s="2110"/>
      <c r="Z68" s="2110"/>
      <c r="AA68" s="2110"/>
      <c r="AB68" s="2110"/>
      <c r="AC68" s="2110"/>
    </row>
    <row r="69" customFormat="false" ht="15" hidden="false" customHeight="false" outlineLevel="0" collapsed="false">
      <c r="A69" s="2184"/>
      <c r="B69" s="2189" t="s">
        <v>658</v>
      </c>
      <c r="C69" s="2228" t="s">
        <v>231</v>
      </c>
      <c r="D69" s="2228" t="s">
        <v>241</v>
      </c>
      <c r="E69" s="2228" t="s">
        <v>250</v>
      </c>
      <c r="F69" s="2228" t="s">
        <v>258</v>
      </c>
      <c r="G69" s="2228" t="s">
        <v>265</v>
      </c>
      <c r="H69" s="2229"/>
      <c r="I69" s="2229"/>
      <c r="J69" s="2229"/>
      <c r="K69" s="2230"/>
      <c r="L69" s="2231"/>
      <c r="M69" s="2232"/>
      <c r="N69" s="2394"/>
      <c r="O69" s="2394"/>
      <c r="P69" s="2452"/>
      <c r="Q69" s="2386"/>
      <c r="R69" s="2110"/>
      <c r="S69" s="2110"/>
      <c r="T69" s="2110"/>
      <c r="U69" s="2110"/>
      <c r="V69" s="2110"/>
      <c r="W69" s="2110"/>
      <c r="X69" s="2110"/>
      <c r="Y69" s="2110"/>
      <c r="Z69" s="2110"/>
      <c r="AA69" s="2110"/>
      <c r="AB69" s="2110"/>
      <c r="AC69" s="2110"/>
    </row>
    <row r="70" customFormat="false" ht="15" hidden="false" customHeight="false" outlineLevel="0" collapsed="false">
      <c r="A70" s="2184"/>
      <c r="B70" s="2191"/>
      <c r="C70" s="2199" t="n">
        <v>100</v>
      </c>
      <c r="D70" s="2199" t="n">
        <f aca="false">C70-$K20</f>
        <v>100</v>
      </c>
      <c r="E70" s="2199" t="n">
        <f aca="false">D70-$K20</f>
        <v>100</v>
      </c>
      <c r="F70" s="2199" t="n">
        <f aca="false">E70-$K20</f>
        <v>100</v>
      </c>
      <c r="G70" s="2199" t="n">
        <f aca="false">F70-$K20</f>
        <v>100</v>
      </c>
      <c r="H70" s="2199"/>
      <c r="I70" s="2199"/>
      <c r="J70" s="2199"/>
      <c r="K70" s="2199"/>
      <c r="L70" s="2199"/>
      <c r="M70" s="2200"/>
      <c r="N70" s="2396"/>
      <c r="O70" s="2396"/>
      <c r="P70" s="2452"/>
      <c r="Q70" s="2386"/>
      <c r="R70" s="2110"/>
      <c r="S70" s="2110"/>
      <c r="T70" s="2110"/>
      <c r="U70" s="2110"/>
      <c r="V70" s="2110"/>
      <c r="W70" s="2110"/>
      <c r="X70" s="2110"/>
      <c r="Y70" s="2110"/>
      <c r="Z70" s="2110"/>
      <c r="AA70" s="2110"/>
      <c r="AB70" s="2110"/>
      <c r="AC70" s="2110"/>
    </row>
    <row r="71" customFormat="false" ht="15" hidden="false" customHeight="false" outlineLevel="0" collapsed="false">
      <c r="A71" s="2184"/>
      <c r="B71" s="2189" t="s">
        <v>1287</v>
      </c>
      <c r="C71" s="2202"/>
      <c r="D71" s="2202"/>
      <c r="E71" s="2202"/>
      <c r="F71" s="2202"/>
      <c r="G71" s="2202"/>
      <c r="H71" s="2190"/>
      <c r="I71" s="2190"/>
      <c r="J71" s="2190"/>
      <c r="K71" s="2246"/>
      <c r="L71" s="2247"/>
      <c r="M71" s="2248"/>
      <c r="N71" s="2394"/>
      <c r="O71" s="2394"/>
      <c r="P71" s="2452"/>
      <c r="Q71" s="2386"/>
      <c r="R71" s="2110"/>
      <c r="S71" s="2110"/>
      <c r="T71" s="2110"/>
      <c r="U71" s="2110"/>
      <c r="V71" s="2110"/>
      <c r="W71" s="2110"/>
      <c r="X71" s="2110"/>
      <c r="Y71" s="2110"/>
      <c r="Z71" s="2110"/>
      <c r="AA71" s="2110"/>
      <c r="AB71" s="2110"/>
      <c r="AC71" s="2110"/>
    </row>
    <row r="72" customFormat="false" ht="15" hidden="false" customHeight="false" outlineLevel="0" collapsed="false">
      <c r="A72" s="2184"/>
      <c r="B72" s="2191"/>
      <c r="C72" s="2199" t="n">
        <v>100</v>
      </c>
      <c r="D72" s="2199" t="n">
        <f aca="false">C72-$K22</f>
        <v>100</v>
      </c>
      <c r="E72" s="2199" t="n">
        <f aca="false">D72-$K22</f>
        <v>100</v>
      </c>
      <c r="F72" s="2199" t="n">
        <f aca="false">E72-$K22</f>
        <v>100</v>
      </c>
      <c r="G72" s="2199" t="n">
        <f aca="false">F72-$K22</f>
        <v>100</v>
      </c>
      <c r="H72" s="2199"/>
      <c r="I72" s="2199"/>
      <c r="J72" s="2199"/>
      <c r="K72" s="2199"/>
      <c r="L72" s="2199"/>
      <c r="M72" s="2200"/>
      <c r="N72" s="2396"/>
      <c r="O72" s="2396"/>
      <c r="P72" s="2452"/>
      <c r="Q72" s="2386"/>
      <c r="R72" s="2110"/>
      <c r="S72" s="2110"/>
      <c r="T72" s="2110"/>
      <c r="U72" s="2110"/>
      <c r="V72" s="2110"/>
      <c r="W72" s="2110"/>
      <c r="X72" s="2110"/>
      <c r="Y72" s="2110"/>
      <c r="Z72" s="2110"/>
      <c r="AA72" s="2110"/>
      <c r="AB72" s="2110"/>
      <c r="AC72" s="2110"/>
    </row>
    <row r="73" s="1983" customFormat="true" ht="15" hidden="false" customHeight="false" outlineLevel="0" collapsed="false">
      <c r="A73" s="2236"/>
      <c r="B73" s="2189" t="n">
        <f aca="false">B23</f>
        <v>111</v>
      </c>
      <c r="C73" s="2195"/>
      <c r="D73" s="2195"/>
      <c r="E73" s="2195"/>
      <c r="F73" s="2195"/>
      <c r="G73" s="2202"/>
      <c r="H73" s="2202"/>
      <c r="I73" s="2202"/>
      <c r="J73" s="2202"/>
      <c r="K73" s="2202"/>
      <c r="L73" s="2237"/>
      <c r="M73" s="2238"/>
      <c r="N73" s="2392"/>
      <c r="O73" s="2392"/>
      <c r="P73" s="2452"/>
      <c r="Q73" s="2386"/>
      <c r="R73" s="529"/>
      <c r="S73" s="529"/>
      <c r="T73" s="529"/>
      <c r="U73" s="529"/>
      <c r="V73" s="529"/>
      <c r="W73" s="529"/>
      <c r="X73" s="529"/>
      <c r="Y73" s="529"/>
      <c r="Z73" s="529"/>
      <c r="AA73" s="529"/>
      <c r="AB73" s="529"/>
      <c r="AC73" s="529"/>
    </row>
    <row r="74" s="1983" customFormat="true" ht="15" hidden="false" customHeight="false" outlineLevel="0" collapsed="false">
      <c r="A74" s="2236"/>
      <c r="B74" s="2191"/>
      <c r="C74" s="2209"/>
      <c r="D74" s="2186"/>
      <c r="E74" s="2186"/>
      <c r="F74" s="2186"/>
      <c r="G74" s="2186"/>
      <c r="H74" s="2186"/>
      <c r="I74" s="2186"/>
      <c r="J74" s="2186"/>
      <c r="K74" s="2186"/>
      <c r="L74" s="2186"/>
      <c r="M74" s="2187"/>
      <c r="N74" s="2396"/>
      <c r="O74" s="2396"/>
      <c r="P74" s="2452"/>
      <c r="Q74" s="2386"/>
      <c r="R74" s="529"/>
      <c r="S74" s="529"/>
      <c r="T74" s="529"/>
      <c r="U74" s="529"/>
      <c r="V74" s="529"/>
      <c r="W74" s="529"/>
      <c r="X74" s="529"/>
      <c r="Y74" s="529"/>
      <c r="Z74" s="529"/>
      <c r="AA74" s="529"/>
      <c r="AB74" s="529"/>
      <c r="AC74" s="529"/>
    </row>
    <row r="75" s="1983" customFormat="true" ht="15" hidden="false" customHeight="false" outlineLevel="0" collapsed="false">
      <c r="A75" s="2236"/>
      <c r="B75" s="2189" t="n">
        <f aca="false">B24</f>
        <v>111</v>
      </c>
      <c r="C75" s="2195"/>
      <c r="D75" s="2195"/>
      <c r="E75" s="2195"/>
      <c r="F75" s="2195"/>
      <c r="G75" s="2202"/>
      <c r="H75" s="2202"/>
      <c r="I75" s="2202"/>
      <c r="J75" s="2202"/>
      <c r="K75" s="2202"/>
      <c r="L75" s="2202"/>
      <c r="M75" s="2238"/>
      <c r="N75" s="2392"/>
      <c r="O75" s="2392"/>
      <c r="P75" s="2452"/>
      <c r="Q75" s="2386"/>
      <c r="R75" s="529"/>
      <c r="S75" s="529"/>
      <c r="T75" s="529"/>
      <c r="U75" s="529"/>
      <c r="V75" s="529"/>
      <c r="W75" s="529"/>
      <c r="X75" s="529"/>
      <c r="Y75" s="529"/>
      <c r="Z75" s="529"/>
      <c r="AA75" s="529"/>
      <c r="AB75" s="529"/>
      <c r="AC75" s="529"/>
    </row>
    <row r="76" s="1983" customFormat="true" ht="15" hidden="false" customHeight="false" outlineLevel="0" collapsed="false">
      <c r="A76" s="2236"/>
      <c r="B76" s="2191"/>
      <c r="C76" s="2209"/>
      <c r="D76" s="2186"/>
      <c r="E76" s="2186"/>
      <c r="F76" s="2186"/>
      <c r="G76" s="2186"/>
      <c r="H76" s="2186"/>
      <c r="I76" s="2186"/>
      <c r="J76" s="2186"/>
      <c r="K76" s="2186"/>
      <c r="L76" s="2186"/>
      <c r="M76" s="2187"/>
      <c r="N76" s="2396"/>
      <c r="O76" s="2396"/>
      <c r="P76" s="2452"/>
      <c r="Q76" s="2386"/>
      <c r="R76" s="529"/>
      <c r="S76" s="529"/>
      <c r="T76" s="529"/>
      <c r="U76" s="529"/>
      <c r="V76" s="529"/>
      <c r="W76" s="529"/>
      <c r="X76" s="529"/>
      <c r="Y76" s="529"/>
      <c r="Z76" s="529"/>
      <c r="AA76" s="529"/>
      <c r="AB76" s="529"/>
      <c r="AC76" s="529"/>
    </row>
    <row r="77" s="2088" customFormat="true" ht="15" hidden="false" customHeight="false" outlineLevel="0" collapsed="false">
      <c r="A77" s="2201"/>
      <c r="B77" s="2189" t="n">
        <f aca="false">B25</f>
        <v>111</v>
      </c>
      <c r="C77" s="2202"/>
      <c r="D77" s="2202"/>
      <c r="E77" s="2202"/>
      <c r="F77" s="2202"/>
      <c r="G77" s="2202"/>
      <c r="H77" s="2203"/>
      <c r="I77" s="2203"/>
      <c r="J77" s="2203"/>
      <c r="K77" s="2203"/>
      <c r="L77" s="2204"/>
      <c r="M77" s="2205"/>
      <c r="N77" s="2397"/>
      <c r="O77" s="2397"/>
      <c r="P77" s="2453"/>
      <c r="Q77" s="2399"/>
      <c r="R77" s="791"/>
      <c r="S77" s="791"/>
      <c r="T77" s="791"/>
      <c r="U77" s="791"/>
      <c r="V77" s="791"/>
      <c r="W77" s="791"/>
      <c r="X77" s="791"/>
      <c r="Y77" s="791"/>
      <c r="Z77" s="791"/>
      <c r="AA77" s="791"/>
      <c r="AB77" s="791"/>
      <c r="AC77" s="791"/>
    </row>
    <row r="78" s="2088" customFormat="true" ht="15" hidden="false" customHeight="false" outlineLevel="0" collapsed="false">
      <c r="A78" s="2201"/>
      <c r="B78" s="2191"/>
      <c r="C78" s="2209"/>
      <c r="D78" s="2209"/>
      <c r="E78" s="2209"/>
      <c r="F78" s="2209"/>
      <c r="G78" s="2186"/>
      <c r="H78" s="2186"/>
      <c r="I78" s="2186"/>
      <c r="J78" s="2186"/>
      <c r="K78" s="2186"/>
      <c r="L78" s="2186"/>
      <c r="M78" s="2187"/>
      <c r="N78" s="2397"/>
      <c r="O78" s="2397"/>
      <c r="P78" s="2453"/>
      <c r="Q78" s="2399"/>
      <c r="R78" s="791"/>
      <c r="S78" s="791"/>
      <c r="T78" s="791"/>
      <c r="U78" s="791"/>
      <c r="V78" s="791"/>
      <c r="W78" s="791"/>
      <c r="X78" s="791"/>
      <c r="Y78" s="791"/>
      <c r="Z78" s="791"/>
      <c r="AA78" s="791"/>
      <c r="AB78" s="791"/>
      <c r="AC78" s="791"/>
    </row>
    <row r="79" customFormat="false" ht="27" hidden="false" customHeight="false" outlineLevel="0" collapsed="false">
      <c r="A79" s="2175" t="s">
        <v>1292</v>
      </c>
      <c r="B79" s="2176" t="s">
        <v>1568</v>
      </c>
      <c r="C79" s="2177" t="str">
        <f aca="false">C26</f>
        <v>车库</v>
      </c>
      <c r="D79" s="2178"/>
      <c r="E79" s="2178"/>
      <c r="F79" s="2178"/>
      <c r="G79" s="2178"/>
      <c r="H79" s="2178"/>
      <c r="I79" s="2178"/>
      <c r="J79" s="2178"/>
      <c r="K79" s="2179"/>
      <c r="L79" s="2180"/>
      <c r="M79" s="2181"/>
      <c r="N79" s="2394"/>
      <c r="O79" s="2394"/>
      <c r="P79" s="2452"/>
      <c r="Q79" s="2386"/>
      <c r="R79" s="2110"/>
      <c r="S79" s="2110"/>
      <c r="T79" s="2110"/>
      <c r="U79" s="2110"/>
      <c r="V79" s="2110"/>
      <c r="W79" s="2110"/>
      <c r="X79" s="2110"/>
      <c r="Y79" s="2110"/>
      <c r="Z79" s="2110"/>
      <c r="AA79" s="2110"/>
      <c r="AB79" s="2110"/>
      <c r="AC79" s="2110"/>
    </row>
    <row r="80" customFormat="false" ht="15" hidden="false" customHeight="false" outlineLevel="0" collapsed="false">
      <c r="A80" s="2184"/>
      <c r="B80" s="2191"/>
      <c r="C80" s="2199" t="n">
        <v>100</v>
      </c>
      <c r="D80" s="2199" t="n">
        <f aca="false">C80-$K26</f>
        <v>100</v>
      </c>
      <c r="E80" s="2199" t="n">
        <f aca="false">D80-$K26</f>
        <v>100</v>
      </c>
      <c r="F80" s="2199" t="n">
        <f aca="false">E80-$K26</f>
        <v>100</v>
      </c>
      <c r="G80" s="2199" t="n">
        <f aca="false">F80-$K26</f>
        <v>100</v>
      </c>
      <c r="H80" s="2199" t="n">
        <f aca="false">G80-$K26</f>
        <v>100</v>
      </c>
      <c r="I80" s="2199" t="n">
        <f aca="false">H80-$K26</f>
        <v>100</v>
      </c>
      <c r="J80" s="2199" t="n">
        <f aca="false">I80-$K26</f>
        <v>100</v>
      </c>
      <c r="K80" s="2199" t="n">
        <f aca="false">J80-$K26</f>
        <v>100</v>
      </c>
      <c r="L80" s="2199" t="n">
        <f aca="false">K80-$K26</f>
        <v>100</v>
      </c>
      <c r="M80" s="2200" t="n">
        <f aca="false">L80-$K26</f>
        <v>100</v>
      </c>
      <c r="N80" s="2396"/>
      <c r="O80" s="2396"/>
      <c r="P80" s="2452"/>
      <c r="Q80" s="2386"/>
      <c r="R80" s="2110"/>
      <c r="S80" s="2110"/>
      <c r="T80" s="2110"/>
      <c r="U80" s="2110"/>
      <c r="V80" s="2110"/>
      <c r="W80" s="2110"/>
      <c r="X80" s="2110"/>
      <c r="Y80" s="2110"/>
      <c r="Z80" s="2110"/>
      <c r="AA80" s="2110"/>
      <c r="AB80" s="2110"/>
      <c r="AC80" s="2110"/>
    </row>
    <row r="81" customFormat="false" ht="15" hidden="false" customHeight="false" outlineLevel="0" collapsed="false">
      <c r="A81" s="2184"/>
      <c r="B81" s="2189" t="s">
        <v>1561</v>
      </c>
      <c r="C81" s="2539"/>
      <c r="D81" s="2539"/>
      <c r="E81" s="2539"/>
      <c r="F81" s="2539"/>
      <c r="G81" s="2539"/>
      <c r="H81" s="2539"/>
      <c r="I81" s="2539"/>
      <c r="J81" s="2539"/>
      <c r="K81" s="2540"/>
      <c r="L81" s="2541"/>
      <c r="M81" s="2542"/>
      <c r="N81" s="2392"/>
      <c r="O81" s="2392"/>
      <c r="P81" s="2452"/>
      <c r="Q81" s="2386"/>
      <c r="R81" s="2110"/>
      <c r="S81" s="2110"/>
      <c r="T81" s="2110"/>
      <c r="U81" s="2110"/>
      <c r="V81" s="2110"/>
      <c r="W81" s="2110"/>
      <c r="X81" s="2110"/>
      <c r="Y81" s="2110"/>
      <c r="Z81" s="2110"/>
      <c r="AA81" s="2110"/>
      <c r="AB81" s="2110"/>
      <c r="AC81" s="2110"/>
    </row>
    <row r="82" s="2088" customFormat="true" ht="15" hidden="false" customHeight="false" outlineLevel="0" collapsed="false">
      <c r="A82" s="2201"/>
      <c r="B82" s="2191"/>
      <c r="C82" s="2209"/>
      <c r="D82" s="2186"/>
      <c r="E82" s="2186"/>
      <c r="F82" s="2186"/>
      <c r="G82" s="2186"/>
      <c r="H82" s="2186"/>
      <c r="I82" s="2186"/>
      <c r="J82" s="2186"/>
      <c r="K82" s="2186"/>
      <c r="L82" s="2186"/>
      <c r="M82" s="2187"/>
      <c r="N82" s="2396"/>
      <c r="O82" s="2396"/>
      <c r="P82" s="2453"/>
      <c r="Q82" s="2399"/>
      <c r="R82" s="791"/>
      <c r="S82" s="791"/>
      <c r="T82" s="791"/>
      <c r="U82" s="791"/>
      <c r="V82" s="791"/>
      <c r="W82" s="791"/>
      <c r="X82" s="791"/>
      <c r="Y82" s="791"/>
      <c r="Z82" s="791"/>
      <c r="AA82" s="791"/>
      <c r="AB82" s="791"/>
      <c r="AC82" s="791"/>
    </row>
    <row r="83" customFormat="false" ht="14.25" hidden="false" customHeight="false" outlineLevel="0" collapsed="false">
      <c r="A83" s="2263"/>
      <c r="B83" s="2189" t="s">
        <v>1300</v>
      </c>
      <c r="C83" s="2202"/>
      <c r="D83" s="2202"/>
      <c r="E83" s="2190"/>
      <c r="F83" s="2190"/>
      <c r="G83" s="2190"/>
      <c r="H83" s="2190"/>
      <c r="I83" s="2190"/>
      <c r="J83" s="2190"/>
      <c r="K83" s="2246"/>
      <c r="L83" s="2247"/>
      <c r="M83" s="2248"/>
      <c r="N83" s="2394"/>
      <c r="O83" s="2394"/>
      <c r="P83" s="2452"/>
      <c r="Q83" s="2386"/>
      <c r="R83" s="2110"/>
      <c r="S83" s="2110"/>
      <c r="T83" s="2110"/>
      <c r="U83" s="2110"/>
      <c r="V83" s="2110"/>
      <c r="W83" s="2110"/>
      <c r="X83" s="2110"/>
      <c r="Y83" s="2110"/>
      <c r="Z83" s="2110"/>
      <c r="AA83" s="2110"/>
      <c r="AB83" s="2110"/>
      <c r="AC83" s="2110"/>
    </row>
    <row r="84" customFormat="false" ht="15" hidden="false" customHeight="false" outlineLevel="0" collapsed="false">
      <c r="A84" s="2184"/>
      <c r="B84" s="2191"/>
      <c r="C84" s="2199" t="n">
        <v>100</v>
      </c>
      <c r="D84" s="2199" t="n">
        <f aca="false">C84-$K28</f>
        <v>100</v>
      </c>
      <c r="E84" s="2199" t="n">
        <f aca="false">D84-$K28</f>
        <v>100</v>
      </c>
      <c r="F84" s="2199" t="n">
        <f aca="false">E84-$K28</f>
        <v>100</v>
      </c>
      <c r="G84" s="2199" t="n">
        <f aca="false">F84-$K28</f>
        <v>100</v>
      </c>
      <c r="H84" s="2199" t="n">
        <f aca="false">G84-$K28</f>
        <v>100</v>
      </c>
      <c r="I84" s="2199" t="n">
        <f aca="false">H84-$K28</f>
        <v>100</v>
      </c>
      <c r="J84" s="2199" t="n">
        <f aca="false">I84-$K28</f>
        <v>100</v>
      </c>
      <c r="K84" s="2199" t="n">
        <f aca="false">J84-$K28</f>
        <v>100</v>
      </c>
      <c r="L84" s="2199" t="n">
        <f aca="false">K84-$K28</f>
        <v>100</v>
      </c>
      <c r="M84" s="2200" t="n">
        <f aca="false">L84-$K28</f>
        <v>100</v>
      </c>
      <c r="N84" s="2396"/>
      <c r="O84" s="2396"/>
      <c r="P84" s="2452"/>
      <c r="Q84" s="2386"/>
      <c r="R84" s="2110"/>
      <c r="S84" s="2110"/>
      <c r="T84" s="2110"/>
      <c r="U84" s="2110"/>
      <c r="V84" s="2110"/>
      <c r="W84" s="2110"/>
      <c r="X84" s="2110"/>
      <c r="Y84" s="2110"/>
      <c r="Z84" s="2110"/>
      <c r="AA84" s="2110"/>
      <c r="AB84" s="2110"/>
      <c r="AC84" s="2110"/>
    </row>
    <row r="85" customFormat="false" ht="14.25" hidden="false" customHeight="false" outlineLevel="0" collapsed="false">
      <c r="A85" s="2263"/>
      <c r="B85" s="2189" t="s">
        <v>949</v>
      </c>
      <c r="C85" s="2228" t="str">
        <f aca="false">C86&amp;"(含)"&amp;"-"&amp;D86</f>
        <v>0.5(含)-0.6</v>
      </c>
      <c r="D85" s="2228" t="str">
        <f aca="false">D86&amp;"(含)"&amp;"-"&amp;E86</f>
        <v>0.6(含)-0.7</v>
      </c>
      <c r="E85" s="2228" t="str">
        <f aca="false">E86&amp;"(含)"&amp;"-"&amp;F86</f>
        <v>0.7(含)-0.8</v>
      </c>
      <c r="F85" s="2228" t="str">
        <f aca="false">F86&amp;"(含)"&amp;"-"&amp;G86</f>
        <v>0.8(含)-0.9</v>
      </c>
      <c r="G85" s="2228" t="str">
        <f aca="false">G86&amp;"(含)"&amp;"-"&amp;ROUND(H86,0)&amp;"(含)"</f>
        <v>0.9(含)-1(含)</v>
      </c>
      <c r="H85" s="2228"/>
      <c r="I85" s="2190"/>
      <c r="J85" s="2190"/>
      <c r="K85" s="2246"/>
      <c r="L85" s="2247"/>
      <c r="M85" s="2248"/>
      <c r="N85" s="2394"/>
      <c r="O85" s="2394"/>
      <c r="P85" s="2452"/>
      <c r="Q85" s="2386"/>
      <c r="R85" s="2110"/>
      <c r="S85" s="2110"/>
      <c r="T85" s="2110"/>
      <c r="U85" s="2110"/>
      <c r="V85" s="2110"/>
      <c r="W85" s="2110"/>
      <c r="X85" s="2110"/>
      <c r="Y85" s="2110"/>
      <c r="Z85" s="2110"/>
      <c r="AA85" s="2110"/>
      <c r="AB85" s="2110"/>
      <c r="AC85" s="2110"/>
    </row>
    <row r="86" customFormat="false" ht="14.25" hidden="false" customHeight="false" outlineLevel="0" collapsed="false">
      <c r="A86" s="2263"/>
      <c r="B86" s="2192"/>
      <c r="C86" s="2268" t="n">
        <v>0.5</v>
      </c>
      <c r="D86" s="2268" t="n">
        <v>0.6</v>
      </c>
      <c r="E86" s="2268" t="n">
        <v>0.7</v>
      </c>
      <c r="F86" s="2268" t="n">
        <v>0.8</v>
      </c>
      <c r="G86" s="2268" t="n">
        <v>0.9</v>
      </c>
      <c r="H86" s="2268" t="n">
        <v>1.0001</v>
      </c>
      <c r="I86" s="2407"/>
      <c r="J86" s="2407"/>
      <c r="K86" s="2408"/>
      <c r="L86" s="2409"/>
      <c r="M86" s="2410"/>
      <c r="N86" s="2394"/>
      <c r="O86" s="2394"/>
      <c r="P86" s="2452"/>
      <c r="Q86" s="2386"/>
      <c r="R86" s="2110"/>
      <c r="S86" s="2110"/>
      <c r="T86" s="2110"/>
      <c r="U86" s="2110"/>
      <c r="V86" s="2110"/>
      <c r="W86" s="2110"/>
      <c r="X86" s="2110"/>
      <c r="Y86" s="2110"/>
      <c r="Z86" s="2110"/>
      <c r="AA86" s="2110"/>
      <c r="AB86" s="2110"/>
      <c r="AC86" s="2110"/>
    </row>
    <row r="87" customFormat="false" ht="15" hidden="false" customHeight="false" outlineLevel="0" collapsed="false">
      <c r="A87" s="2184"/>
      <c r="B87" s="2191"/>
      <c r="C87" s="2239" t="n">
        <v>100</v>
      </c>
      <c r="D87" s="2199" t="n">
        <f aca="false">C87+$K$29</f>
        <v>100</v>
      </c>
      <c r="E87" s="2199" t="n">
        <f aca="false">D87+$K$29</f>
        <v>100</v>
      </c>
      <c r="F87" s="2199" t="n">
        <f aca="false">E87+$K$29</f>
        <v>100</v>
      </c>
      <c r="G87" s="2199" t="n">
        <f aca="false">F87+$K$29</f>
        <v>100</v>
      </c>
      <c r="H87" s="2199" t="n">
        <f aca="false">G87+$K$29</f>
        <v>100</v>
      </c>
      <c r="I87" s="2199" t="n">
        <f aca="false">H87+$K$29</f>
        <v>100</v>
      </c>
      <c r="J87" s="2199" t="n">
        <f aca="false">I87+$K$29</f>
        <v>100</v>
      </c>
      <c r="K87" s="2199" t="n">
        <f aca="false">J87+$K$29</f>
        <v>100</v>
      </c>
      <c r="L87" s="2199" t="n">
        <f aca="false">K87+$K$29</f>
        <v>100</v>
      </c>
      <c r="M87" s="2199" t="n">
        <f aca="false">L87+$K$29</f>
        <v>100</v>
      </c>
      <c r="N87" s="2396"/>
      <c r="O87" s="2396"/>
      <c r="P87" s="2452"/>
      <c r="Q87" s="2386"/>
      <c r="R87" s="2110"/>
      <c r="S87" s="2110"/>
      <c r="T87" s="2110"/>
      <c r="U87" s="2110"/>
      <c r="V87" s="2110"/>
      <c r="W87" s="2110"/>
      <c r="X87" s="2110"/>
      <c r="Y87" s="2110"/>
      <c r="Z87" s="2110"/>
      <c r="AA87" s="2110"/>
      <c r="AB87" s="2110"/>
      <c r="AC87" s="2110"/>
    </row>
    <row r="88" customFormat="false" ht="14.25" hidden="false" customHeight="false" outlineLevel="0" collapsed="false">
      <c r="A88" s="2263"/>
      <c r="B88" s="2192" t="s">
        <v>1562</v>
      </c>
      <c r="C88" s="2178"/>
      <c r="D88" s="2178"/>
      <c r="E88" s="2178"/>
      <c r="F88" s="2178"/>
      <c r="G88" s="2178"/>
      <c r="H88" s="2178"/>
      <c r="I88" s="2178"/>
      <c r="J88" s="2178"/>
      <c r="K88" s="2179"/>
      <c r="L88" s="2180"/>
      <c r="M88" s="2181"/>
      <c r="N88" s="2394"/>
      <c r="O88" s="2394"/>
      <c r="P88" s="2452"/>
      <c r="Q88" s="2386"/>
      <c r="R88" s="2110"/>
      <c r="S88" s="2110"/>
      <c r="T88" s="2110"/>
      <c r="U88" s="2110"/>
      <c r="V88" s="2110"/>
      <c r="W88" s="2110"/>
      <c r="X88" s="2110"/>
      <c r="Y88" s="2110"/>
      <c r="Z88" s="2110"/>
      <c r="AA88" s="2110"/>
      <c r="AB88" s="2110"/>
      <c r="AC88" s="2110"/>
    </row>
    <row r="89" customFormat="false" ht="15" hidden="false" customHeight="false" outlineLevel="0" collapsed="false">
      <c r="A89" s="2184"/>
      <c r="B89" s="2191"/>
      <c r="C89" s="2239" t="n">
        <v>100</v>
      </c>
      <c r="D89" s="2199" t="n">
        <f aca="false">C89+$K30</f>
        <v>100</v>
      </c>
      <c r="E89" s="2199" t="n">
        <f aca="false">D89+$K30</f>
        <v>100</v>
      </c>
      <c r="F89" s="2199" t="n">
        <f aca="false">E89+$K30</f>
        <v>100</v>
      </c>
      <c r="G89" s="2199" t="n">
        <f aca="false">F89+$K30</f>
        <v>100</v>
      </c>
      <c r="H89" s="2199" t="n">
        <f aca="false">G89+$K30</f>
        <v>100</v>
      </c>
      <c r="I89" s="2199" t="n">
        <f aca="false">H89+$K30</f>
        <v>100</v>
      </c>
      <c r="J89" s="2199" t="n">
        <f aca="false">I89+$K30</f>
        <v>100</v>
      </c>
      <c r="K89" s="2199" t="n">
        <f aca="false">J89+$K30</f>
        <v>100</v>
      </c>
      <c r="L89" s="2199" t="n">
        <f aca="false">K89+$K30</f>
        <v>100</v>
      </c>
      <c r="M89" s="2199" t="n">
        <f aca="false">L89+$K30</f>
        <v>100</v>
      </c>
      <c r="N89" s="2396"/>
      <c r="O89" s="2396"/>
      <c r="P89" s="2452"/>
      <c r="Q89" s="2386"/>
      <c r="R89" s="2110"/>
      <c r="S89" s="2110"/>
      <c r="T89" s="2110"/>
      <c r="U89" s="2110"/>
      <c r="V89" s="2110"/>
      <c r="W89" s="2110"/>
      <c r="X89" s="2110"/>
      <c r="Y89" s="2110"/>
      <c r="Z89" s="2110"/>
      <c r="AA89" s="2110"/>
      <c r="AB89" s="2110"/>
      <c r="AC89" s="2110"/>
    </row>
    <row r="90" s="2088" customFormat="true" ht="14.25" hidden="false" customHeight="false" outlineLevel="0" collapsed="false">
      <c r="A90" s="2257"/>
      <c r="B90" s="2189" t="s">
        <v>1563</v>
      </c>
      <c r="C90" s="2228" t="str">
        <f aca="false">C91&amp;"(含)"&amp;"-"&amp;D91</f>
        <v>(含)-</v>
      </c>
      <c r="D90" s="2228" t="str">
        <f aca="false">D91&amp;"(含)"&amp;"-"&amp;E91</f>
        <v>(含)-</v>
      </c>
      <c r="E90" s="2228" t="str">
        <f aca="false">E91&amp;"(含)"&amp;"-"&amp;F91</f>
        <v>(含)-</v>
      </c>
      <c r="F90" s="2228" t="str">
        <f aca="false">F91&amp;"(含)"&amp;"-"&amp;G91</f>
        <v>(含)-</v>
      </c>
      <c r="G90" s="2228" t="str">
        <f aca="false">G91&amp;"(含)"&amp;"-"&amp;H91</f>
        <v>(含)-</v>
      </c>
      <c r="H90" s="2228" t="str">
        <f aca="false">H91&amp;"(含)"&amp;"-"&amp;I91</f>
        <v>(含)-</v>
      </c>
      <c r="I90" s="2228" t="str">
        <f aca="false">I91&amp;"(含)"&amp;"-"&amp;J91</f>
        <v>(含)-</v>
      </c>
      <c r="J90" s="2228" t="str">
        <f aca="false">J91&amp;"(含)"&amp;"-"&amp;K91</f>
        <v>(含)-</v>
      </c>
      <c r="K90" s="2228" t="str">
        <f aca="false">K91&amp;"(含)"&amp;"-"&amp;L91</f>
        <v>(含)-</v>
      </c>
      <c r="L90" s="2228" t="str">
        <f aca="false">L91&amp;"(含)"&amp;"-"&amp;M91</f>
        <v>(含)-</v>
      </c>
      <c r="M90" s="2406" t="str">
        <f aca="false">M91&amp;"(含)"&amp;"-"&amp;P91</f>
        <v>(含)-</v>
      </c>
      <c r="N90" s="2397"/>
      <c r="O90" s="2397"/>
      <c r="P90" s="2453"/>
      <c r="Q90" s="2399"/>
      <c r="R90" s="791"/>
      <c r="S90" s="791"/>
      <c r="T90" s="791"/>
      <c r="U90" s="791"/>
      <c r="V90" s="791"/>
      <c r="W90" s="791"/>
      <c r="X90" s="791"/>
      <c r="Y90" s="791"/>
      <c r="Z90" s="791"/>
      <c r="AA90" s="791"/>
      <c r="AB90" s="791"/>
      <c r="AC90" s="791"/>
    </row>
    <row r="91" s="2088" customFormat="true" ht="14.25" hidden="false" customHeight="false" outlineLevel="0" collapsed="false">
      <c r="A91" s="2257"/>
      <c r="B91" s="2192"/>
      <c r="C91" s="2259"/>
      <c r="D91" s="2259"/>
      <c r="E91" s="2259"/>
      <c r="F91" s="2259"/>
      <c r="G91" s="2259"/>
      <c r="H91" s="2259"/>
      <c r="I91" s="2259"/>
      <c r="J91" s="2260"/>
      <c r="K91" s="2260"/>
      <c r="L91" s="2261"/>
      <c r="M91" s="2262"/>
      <c r="N91" s="2397"/>
      <c r="O91" s="2397"/>
      <c r="P91" s="2453"/>
      <c r="Q91" s="2399"/>
      <c r="R91" s="791"/>
      <c r="S91" s="791"/>
      <c r="T91" s="791"/>
      <c r="U91" s="791"/>
      <c r="V91" s="791"/>
      <c r="W91" s="791"/>
      <c r="X91" s="791"/>
      <c r="Y91" s="791"/>
      <c r="Z91" s="791"/>
      <c r="AA91" s="791"/>
      <c r="AB91" s="791"/>
      <c r="AC91" s="791"/>
    </row>
    <row r="92" s="2088" customFormat="true" ht="15" hidden="false" customHeight="false" outlineLevel="0" collapsed="false">
      <c r="A92" s="2201"/>
      <c r="B92" s="2191"/>
      <c r="C92" s="2209"/>
      <c r="D92" s="2186"/>
      <c r="E92" s="2186"/>
      <c r="F92" s="2186"/>
      <c r="G92" s="2186"/>
      <c r="H92" s="2186"/>
      <c r="I92" s="2186"/>
      <c r="J92" s="2186"/>
      <c r="K92" s="2186"/>
      <c r="L92" s="2186"/>
      <c r="M92" s="2187"/>
      <c r="N92" s="2397"/>
      <c r="O92" s="2397"/>
      <c r="P92" s="2453"/>
      <c r="Q92" s="2399"/>
      <c r="R92" s="791"/>
      <c r="S92" s="791"/>
      <c r="T92" s="791"/>
      <c r="U92" s="791"/>
      <c r="V92" s="791"/>
      <c r="W92" s="791"/>
      <c r="X92" s="791"/>
      <c r="Y92" s="791"/>
      <c r="Z92" s="791"/>
      <c r="AA92" s="791"/>
      <c r="AB92" s="791"/>
      <c r="AC92" s="791"/>
    </row>
    <row r="93" customFormat="false" ht="14.25" hidden="false" customHeight="false" outlineLevel="0" collapsed="false">
      <c r="A93" s="2263"/>
      <c r="B93" s="2189" t="s">
        <v>1564</v>
      </c>
      <c r="C93" s="2202"/>
      <c r="D93" s="2202"/>
      <c r="E93" s="2190"/>
      <c r="F93" s="2190"/>
      <c r="G93" s="2190"/>
      <c r="H93" s="2190"/>
      <c r="I93" s="2190"/>
      <c r="J93" s="2190"/>
      <c r="K93" s="2246"/>
      <c r="L93" s="2247"/>
      <c r="M93" s="2248"/>
      <c r="N93" s="2394"/>
      <c r="O93" s="2394"/>
      <c r="P93" s="2452"/>
      <c r="Q93" s="2386"/>
      <c r="R93" s="2110"/>
      <c r="S93" s="2110"/>
      <c r="T93" s="2110"/>
      <c r="U93" s="2110"/>
      <c r="V93" s="2110"/>
      <c r="W93" s="2110"/>
      <c r="X93" s="2110"/>
      <c r="Y93" s="2110"/>
      <c r="Z93" s="2110"/>
      <c r="AA93" s="2110"/>
      <c r="AB93" s="2110"/>
      <c r="AC93" s="2110"/>
    </row>
    <row r="94" customFormat="false" ht="15" hidden="false" customHeight="false" outlineLevel="0" collapsed="false">
      <c r="A94" s="2184"/>
      <c r="B94" s="2191"/>
      <c r="C94" s="2199" t="n">
        <v>100</v>
      </c>
      <c r="D94" s="2199" t="n">
        <f aca="false">C94-$K32</f>
        <v>100</v>
      </c>
      <c r="E94" s="2199" t="n">
        <f aca="false">D94-$K32</f>
        <v>100</v>
      </c>
      <c r="F94" s="2199" t="n">
        <f aca="false">E94-$K32</f>
        <v>100</v>
      </c>
      <c r="G94" s="2199" t="n">
        <f aca="false">F94-$K32</f>
        <v>100</v>
      </c>
      <c r="H94" s="2199" t="n">
        <f aca="false">G94-$K32</f>
        <v>100</v>
      </c>
      <c r="I94" s="2199" t="n">
        <f aca="false">H94-$K32</f>
        <v>100</v>
      </c>
      <c r="J94" s="2199" t="n">
        <f aca="false">I94-$K32</f>
        <v>100</v>
      </c>
      <c r="K94" s="2199" t="n">
        <f aca="false">J94-$K32</f>
        <v>100</v>
      </c>
      <c r="L94" s="2199" t="n">
        <f aca="false">K94-$K32</f>
        <v>100</v>
      </c>
      <c r="M94" s="2200" t="n">
        <f aca="false">L94-$K32</f>
        <v>100</v>
      </c>
      <c r="N94" s="2396"/>
      <c r="O94" s="2396"/>
      <c r="P94" s="2452"/>
      <c r="Q94" s="2386"/>
      <c r="R94" s="2110"/>
      <c r="S94" s="2110"/>
      <c r="T94" s="2110"/>
      <c r="U94" s="2110"/>
      <c r="V94" s="2110"/>
      <c r="W94" s="2110"/>
      <c r="X94" s="2110"/>
      <c r="Y94" s="2110"/>
      <c r="Z94" s="2110"/>
      <c r="AA94" s="2110"/>
      <c r="AB94" s="2110"/>
      <c r="AC94" s="2110"/>
    </row>
    <row r="95" customFormat="false" ht="14.25" hidden="false" customHeight="false" outlineLevel="0" collapsed="false">
      <c r="A95" s="2263"/>
      <c r="B95" s="2189" t="s">
        <v>1565</v>
      </c>
      <c r="C95" s="2178"/>
      <c r="D95" s="2178"/>
      <c r="E95" s="2178"/>
      <c r="F95" s="2178"/>
      <c r="G95" s="2178"/>
      <c r="H95" s="2178"/>
      <c r="I95" s="2178"/>
      <c r="J95" s="2178"/>
      <c r="K95" s="2179"/>
      <c r="L95" s="2180"/>
      <c r="M95" s="2181"/>
      <c r="N95" s="2394"/>
      <c r="O95" s="2394"/>
      <c r="P95" s="2452"/>
      <c r="Q95" s="2386"/>
      <c r="R95" s="2110"/>
      <c r="S95" s="2110"/>
      <c r="T95" s="2110"/>
      <c r="U95" s="2110"/>
      <c r="V95" s="2110"/>
      <c r="W95" s="2110"/>
      <c r="X95" s="2110"/>
      <c r="Y95" s="2110"/>
      <c r="Z95" s="2110"/>
      <c r="AA95" s="2110"/>
      <c r="AB95" s="2110"/>
      <c r="AC95" s="2110"/>
    </row>
    <row r="96" customFormat="false" ht="15" hidden="false" customHeight="false" outlineLevel="0" collapsed="false">
      <c r="A96" s="2184"/>
      <c r="B96" s="2191"/>
      <c r="C96" s="2199" t="n">
        <v>100</v>
      </c>
      <c r="D96" s="2199" t="n">
        <f aca="false">C96-$K33</f>
        <v>100</v>
      </c>
      <c r="E96" s="2199" t="n">
        <f aca="false">D96-$K33</f>
        <v>100</v>
      </c>
      <c r="F96" s="2199" t="n">
        <f aca="false">E96-$K33</f>
        <v>100</v>
      </c>
      <c r="G96" s="2199" t="n">
        <f aca="false">F96-$K33</f>
        <v>100</v>
      </c>
      <c r="H96" s="2199"/>
      <c r="I96" s="2199"/>
      <c r="J96" s="2199"/>
      <c r="K96" s="2199"/>
      <c r="L96" s="2199"/>
      <c r="M96" s="2200"/>
      <c r="N96" s="2396"/>
      <c r="O96" s="2396"/>
      <c r="P96" s="2452"/>
      <c r="Q96" s="2386"/>
      <c r="R96" s="2110"/>
      <c r="S96" s="2110"/>
      <c r="T96" s="2110"/>
      <c r="U96" s="2110"/>
      <c r="V96" s="2110"/>
      <c r="W96" s="2110"/>
      <c r="X96" s="2110"/>
      <c r="Y96" s="2110"/>
      <c r="Z96" s="2110"/>
      <c r="AA96" s="2110"/>
      <c r="AB96" s="2110"/>
      <c r="AC96" s="2110"/>
    </row>
    <row r="97" customFormat="false" ht="14.25" hidden="false" customHeight="false" outlineLevel="0" collapsed="false">
      <c r="A97" s="2263"/>
      <c r="B97" s="2457" t="n">
        <f aca="false">B34</f>
        <v>111</v>
      </c>
      <c r="C97" s="2195"/>
      <c r="D97" s="2195"/>
      <c r="E97" s="2195"/>
      <c r="F97" s="2195"/>
      <c r="G97" s="2202"/>
      <c r="H97" s="2203"/>
      <c r="I97" s="2203"/>
      <c r="J97" s="2203"/>
      <c r="K97" s="2203"/>
      <c r="L97" s="2204"/>
      <c r="M97" s="2205"/>
      <c r="N97" s="2396"/>
      <c r="O97" s="2396"/>
      <c r="P97" s="2460"/>
      <c r="Q97" s="2461"/>
      <c r="R97" s="2110"/>
      <c r="S97" s="2110"/>
      <c r="T97" s="2110"/>
      <c r="U97" s="2110"/>
      <c r="V97" s="2110"/>
      <c r="W97" s="2110"/>
      <c r="X97" s="2110"/>
      <c r="Y97" s="2110"/>
      <c r="Z97" s="2110"/>
      <c r="AA97" s="2110"/>
      <c r="AB97" s="2110"/>
      <c r="AC97" s="2110"/>
    </row>
    <row r="98" customFormat="false" ht="15" hidden="false" customHeight="false" outlineLevel="0" collapsed="false">
      <c r="A98" s="2184"/>
      <c r="B98" s="2191"/>
      <c r="C98" s="2209"/>
      <c r="D98" s="2186"/>
      <c r="E98" s="2186"/>
      <c r="F98" s="2186"/>
      <c r="G98" s="2209"/>
      <c r="H98" s="2212"/>
      <c r="I98" s="2212"/>
      <c r="J98" s="2212"/>
      <c r="K98" s="2212"/>
      <c r="L98" s="2212"/>
      <c r="M98" s="2213"/>
      <c r="N98" s="2396"/>
      <c r="O98" s="2396"/>
      <c r="P98" s="2452"/>
      <c r="Q98" s="2386"/>
      <c r="R98" s="2110"/>
      <c r="S98" s="2110"/>
      <c r="T98" s="2110"/>
      <c r="U98" s="2110"/>
      <c r="V98" s="2110"/>
      <c r="W98" s="2110"/>
      <c r="X98" s="2110"/>
      <c r="Y98" s="2110"/>
      <c r="Z98" s="2110"/>
      <c r="AA98" s="2110"/>
      <c r="AB98" s="2110"/>
      <c r="AC98" s="2110"/>
    </row>
    <row r="99" s="2088" customFormat="true" ht="14.25" hidden="false" customHeight="false" outlineLevel="0" collapsed="false">
      <c r="A99" s="2257"/>
      <c r="B99" s="2189" t="n">
        <f aca="false">B35</f>
        <v>111</v>
      </c>
      <c r="C99" s="2195"/>
      <c r="D99" s="2195"/>
      <c r="E99" s="2195"/>
      <c r="F99" s="2195"/>
      <c r="G99" s="2202"/>
      <c r="H99" s="2203"/>
      <c r="I99" s="2203"/>
      <c r="J99" s="2203"/>
      <c r="K99" s="2203"/>
      <c r="L99" s="2204"/>
      <c r="M99" s="2205"/>
      <c r="N99" s="2397"/>
      <c r="O99" s="2397"/>
      <c r="P99" s="2453"/>
      <c r="Q99" s="2399"/>
      <c r="R99" s="791"/>
      <c r="S99" s="791"/>
      <c r="T99" s="791"/>
      <c r="U99" s="791"/>
      <c r="V99" s="791"/>
      <c r="W99" s="791"/>
      <c r="X99" s="791"/>
      <c r="Y99" s="791"/>
      <c r="Z99" s="791"/>
      <c r="AA99" s="791"/>
      <c r="AB99" s="791"/>
      <c r="AC99" s="791"/>
    </row>
    <row r="100" s="2088" customFormat="true" ht="15" hidden="false" customHeight="false" outlineLevel="0" collapsed="false">
      <c r="A100" s="2201"/>
      <c r="B100" s="2185"/>
      <c r="C100" s="2209"/>
      <c r="D100" s="2186"/>
      <c r="E100" s="2186"/>
      <c r="F100" s="2186"/>
      <c r="G100" s="2209"/>
      <c r="H100" s="2212"/>
      <c r="I100" s="2212"/>
      <c r="J100" s="2212"/>
      <c r="K100" s="2212"/>
      <c r="L100" s="2212"/>
      <c r="M100" s="2213"/>
      <c r="N100" s="2397"/>
      <c r="O100" s="2397"/>
      <c r="P100" s="2453"/>
      <c r="Q100" s="2399"/>
      <c r="R100" s="791"/>
      <c r="S100" s="791"/>
      <c r="T100" s="791"/>
      <c r="U100" s="791"/>
      <c r="V100" s="791"/>
      <c r="W100" s="791"/>
      <c r="X100" s="791"/>
      <c r="Y100" s="791"/>
      <c r="Z100" s="791"/>
      <c r="AA100" s="791"/>
      <c r="AB100" s="791"/>
      <c r="AC100" s="791"/>
    </row>
    <row r="101" customFormat="false" ht="14.25" hidden="false" customHeight="false" outlineLevel="0" collapsed="false">
      <c r="A101" s="2263"/>
      <c r="B101" s="2189" t="n">
        <f aca="false">B36</f>
        <v>111</v>
      </c>
      <c r="C101" s="2202"/>
      <c r="D101" s="2202"/>
      <c r="E101" s="2202"/>
      <c r="F101" s="2202"/>
      <c r="G101" s="2202"/>
      <c r="H101" s="2203"/>
      <c r="I101" s="2203"/>
      <c r="J101" s="2203"/>
      <c r="K101" s="2203"/>
      <c r="L101" s="2204"/>
      <c r="M101" s="2205"/>
      <c r="N101" s="2394"/>
      <c r="O101" s="2394"/>
      <c r="P101" s="2452"/>
      <c r="Q101" s="2386"/>
      <c r="R101" s="2110"/>
      <c r="S101" s="2110"/>
      <c r="T101" s="2110"/>
      <c r="U101" s="2110"/>
      <c r="V101" s="2110"/>
      <c r="W101" s="2110"/>
      <c r="X101" s="2110"/>
      <c r="Y101" s="2110"/>
      <c r="Z101" s="2110"/>
      <c r="AA101" s="2110"/>
      <c r="AB101" s="2110"/>
      <c r="AC101" s="2110"/>
    </row>
    <row r="102" customFormat="false" ht="15" hidden="false" customHeight="false" outlineLevel="0" collapsed="false">
      <c r="A102" s="2184"/>
      <c r="B102" s="2191"/>
      <c r="C102" s="2209"/>
      <c r="D102" s="2209"/>
      <c r="E102" s="2209"/>
      <c r="F102" s="2209"/>
      <c r="G102" s="2209"/>
      <c r="H102" s="2212"/>
      <c r="I102" s="2212"/>
      <c r="J102" s="2212"/>
      <c r="K102" s="2212"/>
      <c r="L102" s="2212"/>
      <c r="M102" s="2213"/>
      <c r="N102" s="2396"/>
      <c r="O102" s="2396"/>
      <c r="P102" s="2452"/>
      <c r="Q102" s="2386"/>
      <c r="R102" s="2110"/>
      <c r="S102" s="2110"/>
      <c r="T102" s="2110"/>
      <c r="U102" s="2110"/>
      <c r="V102" s="2110"/>
      <c r="W102" s="2110"/>
      <c r="X102" s="2110"/>
      <c r="Y102" s="2110"/>
      <c r="Z102" s="2110"/>
      <c r="AA102" s="2110"/>
      <c r="AB102" s="2110"/>
      <c r="AC102" s="2110"/>
    </row>
    <row r="103" customFormat="false" ht="14.25" hidden="false" customHeight="false" outlineLevel="0" collapsed="false">
      <c r="N103" s="2110"/>
      <c r="O103" s="2110"/>
      <c r="P103" s="2445"/>
      <c r="Q103" s="2110"/>
      <c r="R103" s="2110"/>
      <c r="S103" s="2110"/>
      <c r="T103" s="2110"/>
      <c r="U103" s="2110"/>
      <c r="V103" s="2110"/>
      <c r="W103" s="2110"/>
      <c r="X103" s="2110"/>
      <c r="Y103" s="2110"/>
      <c r="Z103" s="2110"/>
      <c r="AA103" s="2110"/>
      <c r="AB103" s="2110"/>
      <c r="AC103" s="2110"/>
    </row>
  </sheetData>
  <sheetProtection sheet="true" password="cee9" objects="true" scenarios="true" formatCells="false" formatColumns="false" formatRows="false"/>
  <mergeCells count="40">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3"/>
    <mergeCell ref="Y9:Y13"/>
    <mergeCell ref="P14:P25"/>
    <mergeCell ref="Y14:Y25"/>
    <mergeCell ref="P26:P36"/>
    <mergeCell ref="Y26:Y36"/>
    <mergeCell ref="P37:Q37"/>
    <mergeCell ref="R37:S37"/>
    <mergeCell ref="T37:U37"/>
    <mergeCell ref="V37:W37"/>
    <mergeCell ref="P38:Q38"/>
    <mergeCell ref="R38:S38"/>
    <mergeCell ref="T38:U38"/>
    <mergeCell ref="V38:W38"/>
    <mergeCell ref="P39:Q39"/>
    <mergeCell ref="R39:W39"/>
  </mergeCells>
  <conditionalFormatting sqref="F38">
    <cfRule type="expression" priority="2" aboveAverage="0" equalAverage="0" bottom="0" percent="0" rank="0" text="" dxfId="153">
      <formula>$D$38="简单平均"</formula>
    </cfRule>
  </conditionalFormatting>
  <conditionalFormatting sqref="H38">
    <cfRule type="expression" priority="3" aboveAverage="0" equalAverage="0" bottom="0" percent="0" rank="0" text="" dxfId="154">
      <formula>$D$38="简单平均"</formula>
    </cfRule>
  </conditionalFormatting>
  <conditionalFormatting sqref="J38">
    <cfRule type="expression" priority="4" aboveAverage="0" equalAverage="0" bottom="0" percent="0" rank="0" text="" dxfId="155">
      <formula>$D$38="简单平均"</formula>
    </cfRule>
  </conditionalFormatting>
  <conditionalFormatting sqref="E42">
    <cfRule type="expression" priority="5" aboveAverage="0" equalAverage="0" bottom="0" percent="0" rank="0" text="" dxfId="156">
      <formula>$F$42="超过30%"</formula>
    </cfRule>
  </conditionalFormatting>
  <conditionalFormatting sqref="G42">
    <cfRule type="expression" priority="6" aboveAverage="0" equalAverage="0" bottom="0" percent="0" rank="0" text="" dxfId="157">
      <formula>$H$52+$H$42="超过30%"</formula>
    </cfRule>
  </conditionalFormatting>
  <conditionalFormatting sqref="I42">
    <cfRule type="expression" priority="7" aboveAverage="0" equalAverage="0" bottom="0" percent="0" rank="0" text="" dxfId="158">
      <formula>$J$52+$J$42="超过30%"</formula>
    </cfRule>
  </conditionalFormatting>
  <conditionalFormatting sqref="E43">
    <cfRule type="expression" priority="8" aboveAverage="0" equalAverage="0" bottom="0" percent="0" rank="0" text="" dxfId="159">
      <formula>$F$43="超过20%"</formula>
    </cfRule>
  </conditionalFormatting>
  <conditionalFormatting sqref="G43">
    <cfRule type="expression" priority="9" aboveAverage="0" equalAverage="0" bottom="0" percent="0" rank="0" text="" dxfId="160">
      <formula>$H$43="超过20%"</formula>
    </cfRule>
  </conditionalFormatting>
  <conditionalFormatting sqref="I43">
    <cfRule type="expression" priority="10" aboveAverage="0" equalAverage="0" bottom="0" percent="0" rank="0" text="" dxfId="161">
      <formula>$J$53+$J$43="超过20%"</formula>
    </cfRule>
  </conditionalFormatting>
  <conditionalFormatting sqref="E44">
    <cfRule type="expression" priority="11" aboveAverage="0" equalAverage="0" bottom="0" percent="0" rank="0" text="" dxfId="162">
      <formula>$F$44="超过30%"</formula>
    </cfRule>
  </conditionalFormatting>
  <conditionalFormatting sqref="F44">
    <cfRule type="containsText" priority="12" operator="containsText" aboveAverage="0" equalAverage="0" bottom="0" percent="0" rank="0" text="超过" dxfId="163">
      <formula>NOT(ISERROR(SEARCH("超过",F44)))</formula>
    </cfRule>
  </conditionalFormatting>
  <conditionalFormatting sqref="G44">
    <cfRule type="expression" priority="13" aboveAverage="0" equalAverage="0" bottom="0" percent="0" rank="0" text="" dxfId="164">
      <formula>$H$54+$H$44="超过30%"</formula>
    </cfRule>
  </conditionalFormatting>
  <conditionalFormatting sqref="H44">
    <cfRule type="containsText" priority="14" operator="containsText" aboveAverage="0" equalAverage="0" bottom="0" percent="0" rank="0" text="超过" dxfId="165">
      <formula>NOT(ISERROR(SEARCH("超过",H44)))</formula>
    </cfRule>
  </conditionalFormatting>
  <conditionalFormatting sqref="I44">
    <cfRule type="expression" priority="15" aboveAverage="0" equalAverage="0" bottom="0" percent="0" rank="0" text="" dxfId="166">
      <formula>$J$44="超过30%"</formula>
    </cfRule>
  </conditionalFormatting>
  <conditionalFormatting sqref="J44">
    <cfRule type="containsText" priority="16" operator="containsText" aboveAverage="0" equalAverage="0" bottom="0" percent="0" rank="0" text="超过" dxfId="167">
      <formula>NOT(ISERROR(SEARCH("超过",J44)))</formula>
    </cfRule>
  </conditionalFormatting>
  <conditionalFormatting sqref="F7:F36 H7:H36 J7:J36">
    <cfRule type="cellIs" priority="17" operator="notEqual" aboveAverage="0" equalAverage="0" bottom="0" percent="0" rank="0" text="" dxfId="168">
      <formula>100</formula>
    </cfRule>
  </conditionalFormatting>
  <conditionalFormatting sqref="F42 H42 J42">
    <cfRule type="containsText" priority="18" operator="containsText" aboveAverage="0" equalAverage="0" bottom="0" percent="0" rank="0" text="超过" dxfId="169">
      <formula>NOT(ISERROR(SEARCH("超过",F42)))</formula>
    </cfRule>
  </conditionalFormatting>
  <conditionalFormatting sqref="F43 H43 J43">
    <cfRule type="containsText" priority="19" operator="containsText" aboveAverage="0" equalAverage="0" bottom="0" percent="0" rank="0" text="超过" dxfId="170">
      <formula>NOT(ISERROR(SEARCH("超过",F43)))</formula>
    </cfRule>
  </conditionalFormatting>
  <dataValidations count="20">
    <dataValidation allowBlank="true" operator="between" showDropDown="false" showErrorMessage="true" showInputMessage="true" sqref="C8 E8 G8 I8" type="list">
      <formula1>车位交易情况</formula1>
      <formula2>0</formula2>
    </dataValidation>
    <dataValidation allowBlank="true" operator="between" showDropDown="false" showErrorMessage="true" showInputMessage="true" sqref="B1" type="list">
      <formula1>地类判定</formula1>
      <formula2>0</formula2>
    </dataValidation>
    <dataValidation allowBlank="true" operator="between" showDropDown="false" showErrorMessage="true" showInputMessage="true" sqref="C30 E30 G30 I30" type="list">
      <formula1>车位物业等级</formula1>
      <formula2>0</formula2>
    </dataValidation>
    <dataValidation allowBlank="true" operator="between" showDropDown="false" showErrorMessage="true" showInputMessage="true" sqref="E1" type="list">
      <formula1>"项目模式,单套模式"</formula1>
      <formula2>0</formula2>
    </dataValidation>
    <dataValidation allowBlank="true" operator="between" showDropDown="false" showErrorMessage="true" showInputMessage="true" sqref="D1" type="list">
      <formula1>项目类型</formula1>
      <formula2>0</formula2>
    </dataValidation>
    <dataValidation allowBlank="true" operator="between" showDropDown="false" showErrorMessage="true" showInputMessage="true" sqref="F1" type="list">
      <formula1>"售价,租金"</formula1>
      <formula2>0</formula2>
    </dataValidation>
    <dataValidation allowBlank="true" operator="between" showDropDown="false" showErrorMessage="true" showInputMessage="true" sqref="E26 G26 I26" type="list">
      <formula1>车位配套类型</formula1>
      <formula2>0</formula2>
    </dataValidation>
    <dataValidation allowBlank="true" operator="between" showDropDown="false" showErrorMessage="true" showInputMessage="true" sqref="F2" type="list">
      <formula1>估价方法</formula1>
      <formula2>0</formula2>
    </dataValidation>
    <dataValidation allowBlank="true" operator="between" showDropDown="false" showErrorMessage="true" showInputMessage="true" sqref="C2" type="list">
      <formula1>"需扣减承租人权益,——"</formula1>
      <formula2>0</formula2>
    </dataValidation>
    <dataValidation allowBlank="true" operator="between" showDropDown="false" showErrorMessage="true" showInputMessage="true" sqref="E9 G9 I9" type="list">
      <formula1>车位用途</formula1>
      <formula2>0</formula2>
    </dataValidation>
    <dataValidation allowBlank="true" operator="between" showDropDown="false" showErrorMessage="true" showInputMessage="true" sqref="C15 E15 G15 I15" type="list">
      <formula1>交通便捷度</formula1>
      <formula2>0</formula2>
    </dataValidation>
    <dataValidation allowBlank="true" operator="between" showDropDown="false" showErrorMessage="true" showInputMessage="true" sqref="C17 E17 G17 I17" type="list">
      <formula1>公共配套设施</formula1>
      <formula2>0</formula2>
    </dataValidation>
    <dataValidation allowBlank="true" operator="between" showDropDown="false" showErrorMessage="true" showInputMessage="true" sqref="C19 E19 G19 I19" type="list">
      <formula1>基础设施水平</formula1>
      <formula2>0</formula2>
    </dataValidation>
    <dataValidation allowBlank="true" operator="between" showDropDown="false" showErrorMessage="true" showInputMessage="true" sqref="C21 E21 G21 I21" type="list">
      <formula1>环境</formula1>
      <formula2>0</formula2>
    </dataValidation>
    <dataValidation allowBlank="true" operator="between" showDropDown="false" showErrorMessage="true" showInputMessage="true" sqref="C22 E22 G22 I22" type="list">
      <formula1>车位楼层</formula1>
      <formula2>0</formula2>
    </dataValidation>
    <dataValidation allowBlank="true" operator="between" showDropDown="false" showErrorMessage="true" showInputMessage="true" sqref="C28 E28 G28 I28" type="list">
      <formula1>车位公共部分装修</formula1>
      <formula2>0</formula2>
    </dataValidation>
    <dataValidation allowBlank="true" operator="between" showDropDown="false" showErrorMessage="true" showInputMessage="true" sqref="C32 E32 G32 I32" type="list">
      <formula1>车位类型</formula1>
      <formula2>0</formula2>
    </dataValidation>
    <dataValidation allowBlank="true" operator="between" showDropDown="false" showErrorMessage="true" showInputMessage="true" sqref="C33 E33 G33 I33" type="list">
      <formula1>是否直接入户</formula1>
      <formula2>0</formula2>
    </dataValidation>
    <dataValidation allowBlank="true" operator="between" showDropDown="false" showErrorMessage="true" showInputMessage="true" sqref="B37" type="list">
      <formula1>"元/平方米,元/车位"</formula1>
      <formula2>0</formula2>
    </dataValidation>
    <dataValidation allowBlank="true" operator="between" showDropDown="false" showErrorMessage="true" showInputMessage="true" sqref="D38" type="list">
      <formula1>"简单平均,加权平均"</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32.xml><?xml version="1.0" encoding="utf-8"?>
<worksheet xmlns="http://schemas.openxmlformats.org/spreadsheetml/2006/main" xmlns:r="http://schemas.openxmlformats.org/officeDocument/2006/relationships">
  <sheetPr filterMode="false">
    <pageSetUpPr fitToPage="true"/>
  </sheetPr>
  <dimension ref="A1:AD241"/>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1913" width="10.5"/>
    <col collapsed="false" customWidth="true" hidden="false" outlineLevel="0" max="2" min="2" style="1913" width="15.76"/>
    <col collapsed="false" customWidth="true" hidden="false" outlineLevel="0" max="3" min="3" style="1913" width="14.38"/>
    <col collapsed="false" customWidth="true" hidden="false" outlineLevel="0" max="4" min="4" style="1913" width="12.26"/>
    <col collapsed="false" customWidth="true" hidden="false" outlineLevel="0" max="5" min="5" style="1913" width="14.38"/>
    <col collapsed="false" customWidth="true" hidden="false" outlineLevel="0" max="6" min="6" style="1913" width="12.26"/>
    <col collapsed="false" customWidth="true" hidden="false" outlineLevel="0" max="7" min="7" style="1913" width="14.5"/>
    <col collapsed="false" customWidth="true" hidden="false" outlineLevel="0" max="8" min="8" style="1913" width="12.26"/>
    <col collapsed="false" customWidth="true" hidden="false" outlineLevel="0" max="9" min="9" style="1913" width="14.5"/>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1913"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1930" customFormat="true" ht="28.5" hidden="false" customHeight="true" outlineLevel="0" collapsed="false">
      <c r="A1" s="1917" t="s">
        <v>1264</v>
      </c>
      <c r="B1" s="2499" t="s">
        <v>161</v>
      </c>
      <c r="C1" s="2413" t="s">
        <v>1265</v>
      </c>
      <c r="D1" s="1920"/>
      <c r="E1" s="1920"/>
      <c r="F1" s="1922"/>
      <c r="G1" s="1923" t="s">
        <v>1268</v>
      </c>
      <c r="H1" s="1924"/>
      <c r="I1" s="1924"/>
      <c r="J1" s="1924"/>
      <c r="K1" s="1925"/>
      <c r="L1" s="1926"/>
      <c r="M1" s="1919"/>
      <c r="N1" s="1919"/>
      <c r="O1" s="1919"/>
      <c r="P1" s="1928"/>
      <c r="Q1" s="1928"/>
      <c r="R1" s="1928"/>
      <c r="S1" s="1928"/>
      <c r="T1" s="1928"/>
      <c r="U1" s="1928"/>
      <c r="V1" s="1928"/>
      <c r="W1" s="1928"/>
      <c r="X1" s="1928"/>
      <c r="Y1" s="1928"/>
      <c r="Z1" s="1928"/>
      <c r="AA1" s="1928"/>
      <c r="AB1" s="1928"/>
      <c r="AC1" s="1929"/>
    </row>
    <row r="2" s="2354" customFormat="true" ht="28.5" hidden="false" customHeight="true" outlineLevel="0" collapsed="false">
      <c r="A2" s="1931" t="s">
        <v>97</v>
      </c>
      <c r="B2" s="2347" t="n">
        <f aca="false">IF(E1="项目模式",IF(C2="——",ROUND(C37*D3/10000,0),ROUND(C37*D3/10000,0)-D2),IF(E1="单套模式",IF(C2="——",ROUND(C37*D3/10000,4),ROUND(C37*D3/10000,4)-D2)))</f>
        <v>0</v>
      </c>
      <c r="C2" s="1933"/>
      <c r="D2" s="1937" t="e">
        <f aca="true">IF(E1="项目模式",SUMIF(INDIRECT("'"&amp;F2&amp;"'"&amp;"!A:A"),"承租人权益价值",INDIRECT("'"&amp;F2&amp;"'"&amp;"!c:c")),SUMIF(INDIRECT("'"&amp;F2&amp;"'"&amp;"!A:A"),"承租人权益价值（单套）",INDIRECT("'"&amp;F2&amp;"'"&amp;"!c:c")))</f>
        <v>#REF!</v>
      </c>
      <c r="E2" s="1935" t="s">
        <v>722</v>
      </c>
      <c r="F2" s="1936"/>
      <c r="G2" s="2348"/>
      <c r="H2" s="2348"/>
      <c r="I2" s="2348"/>
      <c r="J2" s="2348"/>
      <c r="K2" s="2358"/>
      <c r="L2" s="2349"/>
      <c r="M2" s="2350"/>
      <c r="N2" s="2350"/>
      <c r="O2" s="2350"/>
      <c r="P2" s="2414"/>
      <c r="Q2" s="2414"/>
      <c r="R2" s="2414"/>
      <c r="S2" s="2414"/>
      <c r="T2" s="2414"/>
      <c r="U2" s="2414"/>
      <c r="V2" s="2414"/>
      <c r="W2" s="2414"/>
      <c r="X2" s="2414"/>
      <c r="Y2" s="2414"/>
      <c r="Z2" s="2414"/>
      <c r="AA2" s="2414"/>
      <c r="AB2" s="2414"/>
      <c r="AC2" s="2415"/>
    </row>
    <row r="3" s="2354" customFormat="true" ht="28.5" hidden="false" customHeight="true" outlineLevel="0" collapsed="false">
      <c r="A3" s="1261" t="s">
        <v>110</v>
      </c>
      <c r="B3" s="2355" t="e">
        <f aca="false">IF(C2="——",C37,ROUND(B2*10000/D3,0))</f>
        <v>#DIV/0!</v>
      </c>
      <c r="C3" s="1946" t="s">
        <v>107</v>
      </c>
      <c r="D3" s="1945" t="n">
        <f aca="false">SUMIF('数据-汇总表'!$C19:$C33,D1,'数据-汇总表'!$E19:$E33)</f>
        <v>0</v>
      </c>
      <c r="E3" s="2348"/>
      <c r="F3" s="2357"/>
      <c r="G3" s="2348"/>
      <c r="H3" s="2348"/>
      <c r="I3" s="2348"/>
      <c r="J3" s="2348"/>
      <c r="K3" s="2358"/>
      <c r="L3" s="2349"/>
      <c r="M3" s="2350"/>
      <c r="N3" s="2350"/>
      <c r="O3" s="2350"/>
      <c r="P3" s="2414"/>
      <c r="Q3" s="2414"/>
      <c r="R3" s="2414"/>
      <c r="S3" s="2414"/>
      <c r="T3" s="2414"/>
      <c r="U3" s="2414"/>
      <c r="V3" s="2414"/>
      <c r="W3" s="2414"/>
      <c r="X3" s="2414"/>
      <c r="Y3" s="2414"/>
      <c r="Z3" s="2414"/>
      <c r="AA3" s="2414"/>
      <c r="AB3" s="2463"/>
      <c r="AC3" s="1443"/>
    </row>
    <row r="4" customFormat="false" ht="15" hidden="false" customHeight="true" outlineLevel="0" collapsed="false">
      <c r="A4" s="1948" t="s">
        <v>1269</v>
      </c>
      <c r="B4" s="1949"/>
      <c r="C4" s="1950" t="s">
        <v>373</v>
      </c>
      <c r="D4" s="1950"/>
      <c r="E4" s="1951" t="s">
        <v>1270</v>
      </c>
      <c r="F4" s="1951"/>
      <c r="G4" s="1950" t="s">
        <v>1271</v>
      </c>
      <c r="H4" s="1950"/>
      <c r="I4" s="1950" t="s">
        <v>1272</v>
      </c>
      <c r="J4" s="1950"/>
      <c r="K4" s="2359" t="s">
        <v>376</v>
      </c>
      <c r="L4" s="1953"/>
      <c r="M4" s="1954"/>
      <c r="N4" s="1954"/>
      <c r="O4" s="1954"/>
      <c r="P4" s="1955" t="s">
        <v>1269</v>
      </c>
      <c r="Q4" s="1955"/>
      <c r="R4" s="1956" t="s">
        <v>1270</v>
      </c>
      <c r="S4" s="1956"/>
      <c r="T4" s="1957" t="s">
        <v>1271</v>
      </c>
      <c r="U4" s="1957"/>
      <c r="V4" s="1957" t="s">
        <v>1272</v>
      </c>
      <c r="W4" s="1957"/>
      <c r="X4" s="1958"/>
      <c r="Y4" s="1957" t="s">
        <v>1269</v>
      </c>
      <c r="Z4" s="1957"/>
      <c r="AA4" s="1957" t="s">
        <v>1270</v>
      </c>
      <c r="AB4" s="2466" t="s">
        <v>1271</v>
      </c>
      <c r="AC4" s="1957" t="s">
        <v>1272</v>
      </c>
    </row>
    <row r="5" customFormat="false" ht="15" hidden="false" customHeight="true" outlineLevel="0" collapsed="false">
      <c r="A5" s="1959"/>
      <c r="B5" s="1960"/>
      <c r="C5" s="1961" t="s">
        <v>1273</v>
      </c>
      <c r="D5" s="1961"/>
      <c r="E5" s="2360" t="s">
        <v>1546</v>
      </c>
      <c r="F5" s="2360"/>
      <c r="G5" s="1961" t="s">
        <v>1547</v>
      </c>
      <c r="H5" s="1961"/>
      <c r="I5" s="1961" t="s">
        <v>1548</v>
      </c>
      <c r="J5" s="1961"/>
      <c r="K5" s="2359"/>
      <c r="L5" s="1953"/>
      <c r="M5" s="1954"/>
      <c r="N5" s="1954"/>
      <c r="O5" s="1954"/>
      <c r="P5" s="1955"/>
      <c r="Q5" s="1955"/>
      <c r="R5" s="1956"/>
      <c r="S5" s="1956"/>
      <c r="T5" s="1957"/>
      <c r="U5" s="1957"/>
      <c r="V5" s="1957"/>
      <c r="W5" s="1957"/>
      <c r="X5" s="1958"/>
      <c r="Y5" s="1957"/>
      <c r="Z5" s="1957"/>
      <c r="AA5" s="1957"/>
      <c r="AB5" s="1957"/>
      <c r="AC5" s="1957"/>
    </row>
    <row r="6" customFormat="false" ht="15" hidden="false" customHeight="true" outlineLevel="0" collapsed="false">
      <c r="A6" s="1964"/>
      <c r="B6" s="1965"/>
      <c r="C6" s="1966" t="s">
        <v>1274</v>
      </c>
      <c r="D6" s="1966"/>
      <c r="E6" s="1967" t="s">
        <v>1274</v>
      </c>
      <c r="F6" s="1967"/>
      <c r="G6" s="1966" t="s">
        <v>1274</v>
      </c>
      <c r="H6" s="1966"/>
      <c r="I6" s="1966" t="s">
        <v>1274</v>
      </c>
      <c r="J6" s="1966"/>
      <c r="K6" s="2359" t="s">
        <v>1275</v>
      </c>
      <c r="L6" s="1953"/>
      <c r="M6" s="1954"/>
      <c r="N6" s="1954"/>
      <c r="O6" s="1954"/>
      <c r="P6" s="1955"/>
      <c r="Q6" s="1955"/>
      <c r="R6" s="1956"/>
      <c r="S6" s="1956"/>
      <c r="T6" s="1957"/>
      <c r="U6" s="1957"/>
      <c r="V6" s="1957"/>
      <c r="W6" s="1957"/>
      <c r="X6" s="1958"/>
      <c r="Y6" s="1957"/>
      <c r="Z6" s="1957"/>
      <c r="AA6" s="1957"/>
      <c r="AB6" s="1957"/>
      <c r="AC6" s="1957"/>
    </row>
    <row r="7" s="1983" customFormat="true" ht="15" hidden="false" customHeight="false" outlineLevel="0" collapsed="false">
      <c r="A7" s="1969" t="s">
        <v>1276</v>
      </c>
      <c r="B7" s="1970"/>
      <c r="C7" s="1971" t="n">
        <f aca="false">'数据-取费表'!B2</f>
        <v>39031</v>
      </c>
      <c r="D7" s="1972" t="n">
        <v>100</v>
      </c>
      <c r="E7" s="1973"/>
      <c r="F7" s="1974" t="n">
        <f aca="false">SUMIF(46:46,YEAR(E7)&amp;"-"&amp;MONTH(E7),47:47)</f>
        <v>0</v>
      </c>
      <c r="G7" s="2543"/>
      <c r="H7" s="1975" t="n">
        <f aca="false">SUMIF(46:46,YEAR(G7)&amp;"-"&amp;MONTH(G7),47:47)</f>
        <v>0</v>
      </c>
      <c r="I7" s="1973"/>
      <c r="J7" s="1975" t="n">
        <f aca="false">SUMIF(46:46,YEAR(I7)&amp;"-"&amp;MONTH(I7),47:47)</f>
        <v>0</v>
      </c>
      <c r="K7" s="2361"/>
      <c r="L7" s="1977"/>
      <c r="M7" s="1978"/>
      <c r="N7" s="1978"/>
      <c r="O7" s="1978"/>
      <c r="P7" s="1979" t="s">
        <v>1276</v>
      </c>
      <c r="Q7" s="1979"/>
      <c r="R7" s="1980" t="s">
        <v>1277</v>
      </c>
      <c r="S7" s="1981" t="n">
        <f aca="false">F7</f>
        <v>0</v>
      </c>
      <c r="T7" s="1980" t="s">
        <v>1277</v>
      </c>
      <c r="U7" s="1981" t="n">
        <f aca="false">H7</f>
        <v>0</v>
      </c>
      <c r="V7" s="1980" t="s">
        <v>1277</v>
      </c>
      <c r="W7" s="1981" t="n">
        <f aca="false">J7</f>
        <v>0</v>
      </c>
      <c r="X7" s="1982"/>
      <c r="Y7" s="540" t="s">
        <v>1276</v>
      </c>
      <c r="Z7" s="540"/>
      <c r="AA7" s="741" t="e">
        <f aca="false">D7/F7</f>
        <v>#DIV/0!</v>
      </c>
      <c r="AB7" s="741" t="e">
        <f aca="false">D7/H7</f>
        <v>#DIV/0!</v>
      </c>
      <c r="AC7" s="741" t="e">
        <f aca="false">D7/J7</f>
        <v>#DIV/0!</v>
      </c>
    </row>
    <row r="8" s="1983" customFormat="true" ht="15" hidden="false" customHeight="false" outlineLevel="0" collapsed="false">
      <c r="A8" s="1969" t="s">
        <v>1278</v>
      </c>
      <c r="B8" s="1970"/>
      <c r="C8" s="1984"/>
      <c r="D8" s="1972" t="n">
        <v>100</v>
      </c>
      <c r="E8" s="1984"/>
      <c r="F8" s="1974" t="n">
        <f aca="false">SUMIF(49:49,E8,50:50)-SUMIF(49:49,C8,50:50)+100</f>
        <v>100</v>
      </c>
      <c r="G8" s="1984"/>
      <c r="H8" s="1975" t="n">
        <f aca="false">SUMIF(49:49,G8,50:50)-SUMIF(49:49,C8,50:50)+100</f>
        <v>100</v>
      </c>
      <c r="I8" s="1984"/>
      <c r="J8" s="1975" t="n">
        <f aca="false">SUMIF(49:49,I8,50:50)-SUMIF(49:49,C8,50:50)+100</f>
        <v>100</v>
      </c>
      <c r="K8" s="2361"/>
      <c r="L8" s="1977"/>
      <c r="M8" s="1978"/>
      <c r="N8" s="1978"/>
      <c r="O8" s="1978"/>
      <c r="P8" s="540" t="s">
        <v>1278</v>
      </c>
      <c r="Q8" s="540"/>
      <c r="R8" s="1980" t="s">
        <v>1277</v>
      </c>
      <c r="S8" s="1981" t="n">
        <f aca="false">F8</f>
        <v>100</v>
      </c>
      <c r="T8" s="1980" t="s">
        <v>1277</v>
      </c>
      <c r="U8" s="1981" t="n">
        <f aca="false">H8</f>
        <v>100</v>
      </c>
      <c r="V8" s="1980" t="s">
        <v>1277</v>
      </c>
      <c r="W8" s="1981" t="n">
        <f aca="false">J8</f>
        <v>100</v>
      </c>
      <c r="X8" s="1982"/>
      <c r="Y8" s="540" t="s">
        <v>1278</v>
      </c>
      <c r="Z8" s="540"/>
      <c r="AA8" s="741" t="n">
        <f aca="false">D8/F8</f>
        <v>1</v>
      </c>
      <c r="AB8" s="741" t="n">
        <f aca="false">D8/H8</f>
        <v>1</v>
      </c>
      <c r="AC8" s="741" t="n">
        <f aca="false">D8/J8</f>
        <v>1</v>
      </c>
    </row>
    <row r="9" s="1983" customFormat="true" ht="14.25" hidden="false" customHeight="true" outlineLevel="0" collapsed="false">
      <c r="A9" s="1986" t="s">
        <v>1280</v>
      </c>
      <c r="B9" s="678" t="s">
        <v>399</v>
      </c>
      <c r="C9" s="2362"/>
      <c r="D9" s="1988" t="n">
        <v>100</v>
      </c>
      <c r="E9" s="1991"/>
      <c r="F9" s="1990" t="n">
        <f aca="false">SUMIF(51:51,E9,52:52)-SUMIF(51:51,C9,52:52)+100</f>
        <v>100</v>
      </c>
      <c r="G9" s="1991"/>
      <c r="H9" s="1992" t="n">
        <f aca="false">SUMIF(51:51,G9,52:52)-SUMIF(51:51,C9,52:52)+100</f>
        <v>100</v>
      </c>
      <c r="I9" s="1991"/>
      <c r="J9" s="1992" t="n">
        <f aca="false">SUMIF(51:51,I9,52:52)-SUMIF(51:51,C9,52:52)+100</f>
        <v>100</v>
      </c>
      <c r="K9" s="2361"/>
      <c r="L9" s="1977"/>
      <c r="M9" s="1978"/>
      <c r="N9" s="1978"/>
      <c r="O9" s="2544"/>
      <c r="P9" s="1955"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540" t="str">
        <f aca="false">Q9</f>
        <v>用途</v>
      </c>
      <c r="AA9" s="741" t="n">
        <f aca="false">D9/F9</f>
        <v>1</v>
      </c>
      <c r="AB9" s="741" t="n">
        <f aca="false">D9/H9</f>
        <v>1</v>
      </c>
      <c r="AC9" s="741" t="n">
        <f aca="false">D9/J9</f>
        <v>1</v>
      </c>
    </row>
    <row r="10" s="2004" customFormat="true" ht="27" hidden="false" customHeight="false" outlineLevel="0" collapsed="false">
      <c r="A10" s="1995"/>
      <c r="B10" s="1996" t="s">
        <v>1281</v>
      </c>
      <c r="C10" s="1997"/>
      <c r="D10" s="1998" t="n">
        <v>100</v>
      </c>
      <c r="E10" s="1997"/>
      <c r="F10" s="2000" t="n">
        <f aca="false">SUMIF(53:53,E10,54:54)-SUMIF(53:53,C10,54:54)+100</f>
        <v>100</v>
      </c>
      <c r="G10" s="1997"/>
      <c r="H10" s="2001" t="n">
        <f aca="false">SUMIF(53:53,G10,54:54)-SUMIF(53:53,C10,54:54)+100</f>
        <v>100</v>
      </c>
      <c r="I10" s="1997"/>
      <c r="J10" s="2001" t="n">
        <f aca="false">SUMIF(53:53,I10,54:54)-SUMIF(53:53,C10,54:54)+100</f>
        <v>100</v>
      </c>
      <c r="K10" s="2361"/>
      <c r="L10" s="2002"/>
      <c r="M10" s="2003"/>
      <c r="N10" s="2003"/>
      <c r="O10" s="2545"/>
      <c r="P10" s="1955"/>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540" t="str">
        <f aca="false">Q10</f>
        <v>土地使用年限（年）</v>
      </c>
      <c r="AA10" s="741" t="n">
        <f aca="false">D10/F10</f>
        <v>1</v>
      </c>
      <c r="AB10" s="741" t="n">
        <f aca="false">D10/H10</f>
        <v>1</v>
      </c>
      <c r="AC10" s="741" t="n">
        <f aca="false">D10/J10</f>
        <v>1</v>
      </c>
    </row>
    <row r="11" customFormat="false" ht="15" hidden="false" customHeight="false" outlineLevel="0" collapsed="false">
      <c r="A11" s="2005"/>
      <c r="B11" s="2011" t="n">
        <v>111</v>
      </c>
      <c r="C11" s="2012"/>
      <c r="D11" s="1998" t="n">
        <v>100</v>
      </c>
      <c r="E11" s="2081"/>
      <c r="F11" s="2000" t="n">
        <f aca="false">SUMIF(55:55,E11,56:56)-SUMIF(55:55,C11,56:56)+100</f>
        <v>100</v>
      </c>
      <c r="G11" s="2081"/>
      <c r="H11" s="2001" t="n">
        <f aca="false">SUMIF(55:55,G11,56:56)-SUMIF(55:55,C11,56:56)+100</f>
        <v>100</v>
      </c>
      <c r="I11" s="2081"/>
      <c r="J11" s="2001" t="n">
        <f aca="false">SUMIF(55:55,I11,56:56)-SUMIF(55:55,C11,56:56)+100</f>
        <v>100</v>
      </c>
      <c r="K11" s="2364"/>
      <c r="L11" s="2009"/>
      <c r="M11" s="1954"/>
      <c r="N11" s="1954"/>
      <c r="O11" s="2546"/>
      <c r="P11" s="1955"/>
      <c r="Q11" s="510" t="n">
        <f aca="false">B11</f>
        <v>111</v>
      </c>
      <c r="R11" s="1980" t="s">
        <v>1277</v>
      </c>
      <c r="S11" s="1981" t="n">
        <f aca="false">F11</f>
        <v>100</v>
      </c>
      <c r="T11" s="1980" t="s">
        <v>1277</v>
      </c>
      <c r="U11" s="1981" t="n">
        <f aca="false">H11</f>
        <v>100</v>
      </c>
      <c r="V11" s="1980" t="s">
        <v>1277</v>
      </c>
      <c r="W11" s="1981" t="n">
        <f aca="false">J11</f>
        <v>100</v>
      </c>
      <c r="X11" s="1982"/>
      <c r="Y11" s="1994"/>
      <c r="Z11" s="540" t="n">
        <f aca="false">Q11</f>
        <v>111</v>
      </c>
      <c r="AA11" s="741" t="n">
        <f aca="false">D11/F11</f>
        <v>1</v>
      </c>
      <c r="AB11" s="741" t="n">
        <f aca="false">D11/H11</f>
        <v>1</v>
      </c>
      <c r="AC11" s="741" t="n">
        <f aca="false">D11/J11</f>
        <v>1</v>
      </c>
    </row>
    <row r="12" s="1983" customFormat="true" ht="15" hidden="false" customHeight="false" outlineLevel="0" collapsed="false">
      <c r="A12" s="2010"/>
      <c r="B12" s="2011" t="n">
        <v>111</v>
      </c>
      <c r="C12" s="2012"/>
      <c r="D12" s="2013" t="n">
        <v>100</v>
      </c>
      <c r="E12" s="2081"/>
      <c r="F12" s="2000" t="n">
        <f aca="false">SUMIF(57:57,E12,58:58)-SUMIF(57:57,C12,58:58)+100</f>
        <v>100</v>
      </c>
      <c r="G12" s="2081"/>
      <c r="H12" s="2001" t="n">
        <f aca="false">SUMIF(57:57,G12,58:58)-SUMIF(57:57,C12,58:58)+100</f>
        <v>100</v>
      </c>
      <c r="I12" s="2081"/>
      <c r="J12" s="2001" t="n">
        <f aca="false">SUMIF(57:57,I12,58:58)-SUMIF(57:57,C12,58:58)+100</f>
        <v>100</v>
      </c>
      <c r="K12" s="2364"/>
      <c r="L12" s="1977"/>
      <c r="M12" s="1978"/>
      <c r="N12" s="1978"/>
      <c r="O12" s="2544"/>
      <c r="P12" s="1955"/>
      <c r="Q12" s="510" t="n">
        <f aca="false">B12</f>
        <v>111</v>
      </c>
      <c r="R12" s="1980" t="s">
        <v>1277</v>
      </c>
      <c r="S12" s="1981" t="n">
        <f aca="false">F12</f>
        <v>100</v>
      </c>
      <c r="T12" s="1980" t="s">
        <v>1277</v>
      </c>
      <c r="U12" s="1981" t="n">
        <f aca="false">H12</f>
        <v>100</v>
      </c>
      <c r="V12" s="1980" t="s">
        <v>1277</v>
      </c>
      <c r="W12" s="1981" t="n">
        <f aca="false">J12</f>
        <v>100</v>
      </c>
      <c r="X12" s="1982"/>
      <c r="Y12" s="1994"/>
      <c r="Z12" s="540" t="n">
        <f aca="false">Q12</f>
        <v>111</v>
      </c>
      <c r="AA12" s="741" t="n">
        <f aca="false">D12/F12</f>
        <v>1</v>
      </c>
      <c r="AB12" s="741" t="n">
        <f aca="false">D12/H12</f>
        <v>1</v>
      </c>
      <c r="AC12" s="741" t="n">
        <f aca="false">D12/J12</f>
        <v>1</v>
      </c>
    </row>
    <row r="13" customFormat="false" ht="15" hidden="false" customHeight="false" outlineLevel="0" collapsed="false">
      <c r="A13" s="2005"/>
      <c r="B13" s="2011" t="n">
        <v>111</v>
      </c>
      <c r="C13" s="2015"/>
      <c r="D13" s="2016" t="n">
        <v>100</v>
      </c>
      <c r="E13" s="2081"/>
      <c r="F13" s="2000" t="n">
        <f aca="false">SUMIF(59:59,E13,60:60)-SUMIF(59:59,C13,60:60)+100</f>
        <v>100</v>
      </c>
      <c r="G13" s="2547"/>
      <c r="H13" s="2024" t="n">
        <f aca="false">SUMIF(59:59,G13,60:60)-SUMIF(59:59,C13,60:60)+100</f>
        <v>100</v>
      </c>
      <c r="I13" s="2081"/>
      <c r="J13" s="2017" t="n">
        <f aca="false">SUMIF(59:59,I13,60:60)-SUMIF(59:59,C13,60:60)+100</f>
        <v>100</v>
      </c>
      <c r="K13" s="2364"/>
      <c r="L13" s="2018"/>
      <c r="M13" s="1954"/>
      <c r="N13" s="1954"/>
      <c r="O13" s="2546"/>
      <c r="P13" s="1955"/>
      <c r="Q13" s="510" t="n">
        <f aca="false">B13</f>
        <v>111</v>
      </c>
      <c r="R13" s="1980" t="s">
        <v>1277</v>
      </c>
      <c r="S13" s="1981" t="n">
        <f aca="false">F13</f>
        <v>100</v>
      </c>
      <c r="T13" s="1980" t="s">
        <v>1277</v>
      </c>
      <c r="U13" s="1981" t="n">
        <f aca="false">H13</f>
        <v>100</v>
      </c>
      <c r="V13" s="1980" t="s">
        <v>1277</v>
      </c>
      <c r="W13" s="1981" t="n">
        <f aca="false">J13</f>
        <v>100</v>
      </c>
      <c r="X13" s="1982"/>
      <c r="Y13" s="1994"/>
      <c r="Z13" s="540" t="n">
        <f aca="false">Q13</f>
        <v>111</v>
      </c>
      <c r="AA13" s="741" t="n">
        <f aca="false">D13/F13</f>
        <v>1</v>
      </c>
      <c r="AB13" s="741" t="n">
        <f aca="false">D13/H13</f>
        <v>1</v>
      </c>
      <c r="AC13" s="741" t="n">
        <f aca="false">D13/J13</f>
        <v>1</v>
      </c>
    </row>
    <row r="14" customFormat="false" ht="85.5" hidden="false" customHeight="true" outlineLevel="0" collapsed="false">
      <c r="A14" s="2025" t="s">
        <v>648</v>
      </c>
      <c r="B14" s="671" t="s">
        <v>216</v>
      </c>
      <c r="C14" s="2476" t="str">
        <f aca="false">IF(B1="工业",估价对象房地状况!G4,估价对象房地状况!C6)</f>
        <v>估价对象周边道路状况、公共交通通达情况、停车便捷程度，综合评价交通便捷度较好</v>
      </c>
      <c r="D14" s="2027" t="n">
        <v>100</v>
      </c>
      <c r="E14" s="2030"/>
      <c r="F14" s="2365" t="n">
        <f aca="false">SUMIF(61:61,E15,62:62)-SUMIF(61:61,C15,62:62)+100</f>
        <v>100</v>
      </c>
      <c r="G14" s="2028"/>
      <c r="H14" s="2029" t="n">
        <f aca="false">SUMIF(61:61,G15,62:62)-SUMIF(61:61,C15,62:62)+100</f>
        <v>100</v>
      </c>
      <c r="I14" s="2030"/>
      <c r="J14" s="2029" t="n">
        <f aca="false">SUMIF(61:61,I15,62:62)-SUMIF(61:61,C15,62:62)+100</f>
        <v>100</v>
      </c>
      <c r="K14" s="2366"/>
      <c r="L14" s="2018"/>
      <c r="M14" s="1954"/>
      <c r="N14" s="1954"/>
      <c r="O14" s="2546"/>
      <c r="P14" s="2036" t="s">
        <v>648</v>
      </c>
      <c r="Q14" s="2033" t="str">
        <f aca="false">B14</f>
        <v>交通便捷度</v>
      </c>
      <c r="R14" s="2034" t="s">
        <v>1277</v>
      </c>
      <c r="S14" s="2035" t="n">
        <f aca="false">F14</f>
        <v>100</v>
      </c>
      <c r="T14" s="2034" t="s">
        <v>1277</v>
      </c>
      <c r="U14" s="2035" t="n">
        <f aca="false">H14</f>
        <v>100</v>
      </c>
      <c r="V14" s="2034" t="s">
        <v>1277</v>
      </c>
      <c r="W14" s="2035" t="n">
        <f aca="false">J14</f>
        <v>100</v>
      </c>
      <c r="X14" s="1958"/>
      <c r="Y14" s="2036" t="s">
        <v>648</v>
      </c>
      <c r="Z14" s="2037" t="str">
        <f aca="false">Q14</f>
        <v>交通便捷度</v>
      </c>
      <c r="AA14" s="2038" t="n">
        <f aca="false">D14/F14</f>
        <v>1</v>
      </c>
      <c r="AB14" s="2038" t="n">
        <f aca="false">D14/H14</f>
        <v>1</v>
      </c>
      <c r="AC14" s="2038" t="n">
        <f aca="false">D14/J14</f>
        <v>1</v>
      </c>
    </row>
    <row r="15" customFormat="false" ht="15" hidden="false" customHeight="false" outlineLevel="0" collapsed="false">
      <c r="A15" s="2005"/>
      <c r="B15" s="2039"/>
      <c r="C15" s="2040"/>
      <c r="D15" s="2041"/>
      <c r="E15" s="2040"/>
      <c r="F15" s="2367"/>
      <c r="G15" s="2040"/>
      <c r="H15" s="2044"/>
      <c r="I15" s="2040"/>
      <c r="J15" s="2041"/>
      <c r="K15" s="2368"/>
      <c r="L15" s="2018"/>
      <c r="M15" s="1954"/>
      <c r="N15" s="1954"/>
      <c r="O15" s="2546"/>
      <c r="P15" s="2036"/>
      <c r="Q15" s="2033"/>
      <c r="R15" s="2034"/>
      <c r="S15" s="2035"/>
      <c r="T15" s="2034"/>
      <c r="U15" s="2035"/>
      <c r="V15" s="2034"/>
      <c r="W15" s="2035"/>
      <c r="X15" s="1958"/>
      <c r="Y15" s="2036"/>
      <c r="Z15" s="2037"/>
      <c r="AA15" s="2038" t="n">
        <v>1</v>
      </c>
      <c r="AB15" s="2038" t="n">
        <v>1</v>
      </c>
      <c r="AC15" s="2038" t="n">
        <v>1</v>
      </c>
    </row>
    <row r="16" customFormat="false" ht="42.75" hidden="false" customHeight="false" outlineLevel="0" collapsed="false">
      <c r="A16" s="2005"/>
      <c r="B16" s="2046" t="s">
        <v>218</v>
      </c>
      <c r="C16" s="2047" t="str">
        <f aca="false">IF(B1="工业",估价对象房地状况!G5,估价对象房地状况!C7)</f>
        <v>估价对象所在区域公共配套设施齐备情况</v>
      </c>
      <c r="D16" s="2056" t="n">
        <v>100</v>
      </c>
      <c r="E16" s="2058"/>
      <c r="F16" s="2370" t="n">
        <f aca="false">SUMIF(63:63,E17,64:64)-SUMIF(63:63,C17,64:64)+100</f>
        <v>100</v>
      </c>
      <c r="G16" s="2057"/>
      <c r="H16" s="2051" t="n">
        <f aca="false">SUMIF(63:63,G17,64:64)-SUMIF(63:63,C17,64:64)+100</f>
        <v>100</v>
      </c>
      <c r="I16" s="2058"/>
      <c r="J16" s="2051" t="n">
        <f aca="false">SUMIF(63:63,I17,64:64)-SUMIF(63:63,C17,64:64)+100</f>
        <v>100</v>
      </c>
      <c r="K16" s="2366"/>
      <c r="L16" s="2018"/>
      <c r="M16" s="1954"/>
      <c r="N16" s="1954"/>
      <c r="O16" s="2546"/>
      <c r="P16" s="2036"/>
      <c r="Q16" s="2033" t="str">
        <f aca="false">B16</f>
        <v>公共配套设施</v>
      </c>
      <c r="R16" s="2034" t="s">
        <v>1277</v>
      </c>
      <c r="S16" s="2035" t="n">
        <f aca="false">F16</f>
        <v>100</v>
      </c>
      <c r="T16" s="2034" t="s">
        <v>1277</v>
      </c>
      <c r="U16" s="2035" t="n">
        <f aca="false">H16</f>
        <v>100</v>
      </c>
      <c r="V16" s="2034" t="s">
        <v>1277</v>
      </c>
      <c r="W16" s="2035" t="n">
        <f aca="false">J16</f>
        <v>100</v>
      </c>
      <c r="X16" s="1958"/>
      <c r="Y16" s="2036"/>
      <c r="Z16" s="2037" t="str">
        <f aca="false">Q16</f>
        <v>公共配套设施</v>
      </c>
      <c r="AA16" s="2038" t="n">
        <f aca="false">D16/F16</f>
        <v>1</v>
      </c>
      <c r="AB16" s="2038" t="n">
        <f aca="false">D16/H16</f>
        <v>1</v>
      </c>
      <c r="AC16" s="2038" t="n">
        <f aca="false">D16/J16</f>
        <v>1</v>
      </c>
    </row>
    <row r="17" customFormat="false" ht="15" hidden="false" customHeight="false" outlineLevel="0" collapsed="false">
      <c r="A17" s="2005"/>
      <c r="B17" s="2052"/>
      <c r="C17" s="2053"/>
      <c r="D17" s="2041"/>
      <c r="E17" s="2040"/>
      <c r="F17" s="2367"/>
      <c r="G17" s="2040"/>
      <c r="H17" s="2041"/>
      <c r="I17" s="2040"/>
      <c r="J17" s="2041"/>
      <c r="K17" s="2368"/>
      <c r="L17" s="2018"/>
      <c r="M17" s="1954"/>
      <c r="N17" s="1954"/>
      <c r="O17" s="2546"/>
      <c r="P17" s="2036"/>
      <c r="Q17" s="2033"/>
      <c r="R17" s="2034"/>
      <c r="S17" s="2035"/>
      <c r="T17" s="2034"/>
      <c r="U17" s="2035"/>
      <c r="V17" s="2034"/>
      <c r="W17" s="2035"/>
      <c r="X17" s="1958"/>
      <c r="Y17" s="2036"/>
      <c r="Z17" s="2037"/>
      <c r="AA17" s="2038" t="n">
        <v>1</v>
      </c>
      <c r="AB17" s="2038" t="n">
        <v>1</v>
      </c>
      <c r="AC17" s="2038" t="n">
        <v>1</v>
      </c>
    </row>
    <row r="18" customFormat="false" ht="28.5" hidden="false" customHeight="false" outlineLevel="0" collapsed="false">
      <c r="A18" s="2005"/>
      <c r="B18" s="2059" t="s">
        <v>219</v>
      </c>
      <c r="C18" s="2047" t="str">
        <f aca="false">IF(B1="工业",估价对象房地状况!G6,估价对象房地状况!C8)</f>
        <v>估价对象所在区域基础设施水平</v>
      </c>
      <c r="D18" s="2056" t="n">
        <v>100</v>
      </c>
      <c r="E18" s="2050"/>
      <c r="F18" s="2370" t="n">
        <f aca="false">SUMIF(65:65,E19,66:66)-SUMIF(65:65,C19,66:66)+100</f>
        <v>100</v>
      </c>
      <c r="G18" s="2049"/>
      <c r="H18" s="2051" t="n">
        <f aca="false">SUMIF(65:65,G19,66:66)-SUMIF(65:65,C19,66:66)+100</f>
        <v>100</v>
      </c>
      <c r="I18" s="2058"/>
      <c r="J18" s="2051" t="n">
        <f aca="false">SUMIF(65:65,I19,66:66)-SUMIF(65:65,C19,66:66)+100</f>
        <v>100</v>
      </c>
      <c r="K18" s="2366"/>
      <c r="L18" s="2018"/>
      <c r="M18" s="1954"/>
      <c r="N18" s="1954"/>
      <c r="O18" s="2546"/>
      <c r="P18" s="2036"/>
      <c r="Q18" s="2033" t="str">
        <f aca="false">B18</f>
        <v>基础设施水平</v>
      </c>
      <c r="R18" s="2034" t="s">
        <v>1277</v>
      </c>
      <c r="S18" s="2035" t="n">
        <f aca="false">F18</f>
        <v>100</v>
      </c>
      <c r="T18" s="2034" t="s">
        <v>1277</v>
      </c>
      <c r="U18" s="2035" t="n">
        <f aca="false">H18</f>
        <v>100</v>
      </c>
      <c r="V18" s="2034" t="s">
        <v>1277</v>
      </c>
      <c r="W18" s="2035" t="n">
        <f aca="false">J18</f>
        <v>100</v>
      </c>
      <c r="X18" s="1958"/>
      <c r="Y18" s="2036"/>
      <c r="Z18" s="2037" t="str">
        <f aca="false">Q18</f>
        <v>基础设施水平</v>
      </c>
      <c r="AA18" s="2038" t="n">
        <f aca="false">D18/F18</f>
        <v>1</v>
      </c>
      <c r="AB18" s="2038" t="n">
        <f aca="false">D18/H18</f>
        <v>1</v>
      </c>
      <c r="AC18" s="2038" t="n">
        <f aca="false">D18/J18</f>
        <v>1</v>
      </c>
    </row>
    <row r="19" customFormat="false" ht="15" hidden="false" customHeight="false" outlineLevel="0" collapsed="false">
      <c r="A19" s="2005"/>
      <c r="B19" s="2059"/>
      <c r="C19" s="2053"/>
      <c r="D19" s="2048"/>
      <c r="E19" s="2053"/>
      <c r="F19" s="2515"/>
      <c r="G19" s="2053"/>
      <c r="H19" s="2041"/>
      <c r="I19" s="2040"/>
      <c r="J19" s="2041"/>
      <c r="K19" s="2371"/>
      <c r="L19" s="2018"/>
      <c r="M19" s="1954"/>
      <c r="N19" s="1954"/>
      <c r="O19" s="2546"/>
      <c r="P19" s="2036"/>
      <c r="Q19" s="2033"/>
      <c r="R19" s="2034"/>
      <c r="S19" s="2035"/>
      <c r="T19" s="2034"/>
      <c r="U19" s="2035"/>
      <c r="V19" s="2034"/>
      <c r="W19" s="2035"/>
      <c r="X19" s="1958"/>
      <c r="Y19" s="2036"/>
      <c r="Z19" s="2037"/>
      <c r="AA19" s="2038" t="n">
        <v>1</v>
      </c>
      <c r="AB19" s="2038" t="n">
        <v>1</v>
      </c>
      <c r="AC19" s="2038" t="n">
        <v>1</v>
      </c>
    </row>
    <row r="20" customFormat="false" ht="57" hidden="false" customHeight="false" outlineLevel="0" collapsed="false">
      <c r="A20" s="2005"/>
      <c r="B20" s="2046" t="s">
        <v>658</v>
      </c>
      <c r="C20" s="2047" t="str">
        <f aca="false">IF(B1="工业",估价对象房地状况!G7,估价对象房地状况!C9)</f>
        <v>区域自然环境：；人文环境；综合评价环境状况一般</v>
      </c>
      <c r="D20" s="2056" t="n">
        <v>100</v>
      </c>
      <c r="E20" s="2058"/>
      <c r="F20" s="2370" t="n">
        <f aca="false">SUMIF(67:67,E21,68:68)-SUMIF(67:67,C21,68:68)+100</f>
        <v>100</v>
      </c>
      <c r="G20" s="2057"/>
      <c r="H20" s="2044" t="n">
        <f aca="false">SUMIF(67:67,G21,68:68)-SUMIF(67:67,C21,68:68)+100</f>
        <v>100</v>
      </c>
      <c r="I20" s="2050"/>
      <c r="J20" s="2044" t="n">
        <f aca="false">SUMIF(67:67,I21,68:68)-SUMIF(67:67,C21,68:68)+100</f>
        <v>100</v>
      </c>
      <c r="K20" s="2366"/>
      <c r="L20" s="2018"/>
      <c r="M20" s="1954"/>
      <c r="N20" s="1954"/>
      <c r="O20" s="2546"/>
      <c r="P20" s="2036"/>
      <c r="Q20" s="2033" t="str">
        <f aca="false">B20</f>
        <v>自然及人文环境</v>
      </c>
      <c r="R20" s="2034" t="s">
        <v>1277</v>
      </c>
      <c r="S20" s="2035" t="n">
        <f aca="false">F20</f>
        <v>100</v>
      </c>
      <c r="T20" s="2034" t="s">
        <v>1277</v>
      </c>
      <c r="U20" s="2035" t="n">
        <f aca="false">H20</f>
        <v>100</v>
      </c>
      <c r="V20" s="2034" t="s">
        <v>1277</v>
      </c>
      <c r="W20" s="2035" t="n">
        <f aca="false">J20</f>
        <v>100</v>
      </c>
      <c r="X20" s="1958"/>
      <c r="Y20" s="2036"/>
      <c r="Z20" s="2037" t="str">
        <f aca="false">Q20</f>
        <v>自然及人文环境</v>
      </c>
      <c r="AA20" s="2038" t="n">
        <f aca="false">D20/F20</f>
        <v>1</v>
      </c>
      <c r="AB20" s="2038" t="n">
        <f aca="false">D20/H20</f>
        <v>1</v>
      </c>
      <c r="AC20" s="2038" t="n">
        <f aca="false">D20/J20</f>
        <v>1</v>
      </c>
    </row>
    <row r="21" customFormat="false" ht="15" hidden="false" customHeight="false" outlineLevel="0" collapsed="false">
      <c r="A21" s="2005"/>
      <c r="B21" s="2052"/>
      <c r="C21" s="2040"/>
      <c r="D21" s="2041"/>
      <c r="E21" s="2040"/>
      <c r="F21" s="2367"/>
      <c r="G21" s="2040"/>
      <c r="H21" s="2041"/>
      <c r="I21" s="2040"/>
      <c r="J21" s="2041"/>
      <c r="K21" s="2368"/>
      <c r="L21" s="2018"/>
      <c r="M21" s="1954"/>
      <c r="N21" s="1954"/>
      <c r="O21" s="2546"/>
      <c r="P21" s="2036"/>
      <c r="Q21" s="2033"/>
      <c r="R21" s="2034"/>
      <c r="S21" s="2035"/>
      <c r="T21" s="2034"/>
      <c r="U21" s="2035"/>
      <c r="V21" s="2034"/>
      <c r="W21" s="2035"/>
      <c r="X21" s="1958"/>
      <c r="Y21" s="2036"/>
      <c r="Z21" s="2037"/>
      <c r="AA21" s="2038" t="n">
        <v>1</v>
      </c>
      <c r="AB21" s="2038" t="n">
        <v>1</v>
      </c>
      <c r="AC21" s="2038" t="n">
        <v>1</v>
      </c>
    </row>
    <row r="22" customFormat="false" ht="15" hidden="false" customHeight="false" outlineLevel="0" collapsed="false">
      <c r="A22" s="2005"/>
      <c r="B22" s="2046" t="s">
        <v>1287</v>
      </c>
      <c r="C22" s="2373"/>
      <c r="D22" s="2048" t="n">
        <v>100</v>
      </c>
      <c r="E22" s="2373"/>
      <c r="F22" s="2076" t="n">
        <f aca="false">SUMIF(69:69,E22,70:70)-SUMIF(69:69,C22,70:70)+100</f>
        <v>100</v>
      </c>
      <c r="G22" s="2373"/>
      <c r="H22" s="2017" t="n">
        <f aca="false">SUMIF(69:69,G22,70:70)-SUMIF(69:69,C22,70:70)+100</f>
        <v>100</v>
      </c>
      <c r="I22" s="2373"/>
      <c r="J22" s="2017" t="n">
        <f aca="false">SUMIF(69:69,I22,70:70)-SUMIF(69:69,C22,70:70)+100</f>
        <v>100</v>
      </c>
      <c r="K22" s="2363"/>
      <c r="L22" s="2018"/>
      <c r="M22" s="1954"/>
      <c r="N22" s="1954"/>
      <c r="O22" s="2546"/>
      <c r="P22" s="2036"/>
      <c r="Q22" s="2033" t="str">
        <f aca="false">B22</f>
        <v>楼层</v>
      </c>
      <c r="R22" s="2034" t="s">
        <v>1277</v>
      </c>
      <c r="S22" s="2035" t="n">
        <f aca="false">F22</f>
        <v>100</v>
      </c>
      <c r="T22" s="2034" t="s">
        <v>1277</v>
      </c>
      <c r="U22" s="2035" t="n">
        <f aca="false">H22</f>
        <v>100</v>
      </c>
      <c r="V22" s="2034" t="s">
        <v>1277</v>
      </c>
      <c r="W22" s="2035" t="n">
        <f aca="false">J22</f>
        <v>100</v>
      </c>
      <c r="X22" s="1958"/>
      <c r="Y22" s="2036"/>
      <c r="Z22" s="2037" t="str">
        <f aca="false">Q22</f>
        <v>楼层</v>
      </c>
      <c r="AA22" s="2038" t="n">
        <f aca="false">D22/F22</f>
        <v>1</v>
      </c>
      <c r="AB22" s="2038" t="n">
        <f aca="false">D22/H22</f>
        <v>1</v>
      </c>
      <c r="AC22" s="2038" t="n">
        <f aca="false">D22/J22</f>
        <v>1</v>
      </c>
    </row>
    <row r="23" customFormat="false" ht="15" hidden="false" customHeight="false" outlineLevel="0" collapsed="false">
      <c r="A23" s="1959"/>
      <c r="B23" s="2011" t="n">
        <v>111</v>
      </c>
      <c r="C23" s="2012"/>
      <c r="D23" s="2016" t="n">
        <v>100</v>
      </c>
      <c r="E23" s="2015"/>
      <c r="F23" s="2076" t="n">
        <f aca="false">SUMIF(71:71,E23,72:72)-SUMIF(71:71,C23,72:72)+100</f>
        <v>100</v>
      </c>
      <c r="G23" s="2015"/>
      <c r="H23" s="2017" t="n">
        <f aca="false">SUMIF(71:71,G23,72:72)-SUMIF(71:71,C23,72:72)+100</f>
        <v>100</v>
      </c>
      <c r="I23" s="2015"/>
      <c r="J23" s="2017" t="n">
        <f aca="false">SUMIF(71:71,I23,72:72)-SUMIF(71:71,C23,72:72)+100</f>
        <v>100</v>
      </c>
      <c r="K23" s="2364"/>
      <c r="L23" s="2018"/>
      <c r="M23" s="1954"/>
      <c r="N23" s="1954"/>
      <c r="O23" s="2546"/>
      <c r="P23" s="2036"/>
      <c r="Q23" s="2033" t="n">
        <f aca="false">B23</f>
        <v>111</v>
      </c>
      <c r="R23" s="2034" t="s">
        <v>1277</v>
      </c>
      <c r="S23" s="2035" t="n">
        <f aca="false">F23</f>
        <v>100</v>
      </c>
      <c r="T23" s="2034" t="s">
        <v>1277</v>
      </c>
      <c r="U23" s="2035" t="n">
        <f aca="false">H23</f>
        <v>100</v>
      </c>
      <c r="V23" s="2034" t="s">
        <v>1277</v>
      </c>
      <c r="W23" s="2035" t="n">
        <f aca="false">J23</f>
        <v>100</v>
      </c>
      <c r="X23" s="1958"/>
      <c r="Y23" s="2036"/>
      <c r="Z23" s="2037" t="n">
        <f aca="false">Q23</f>
        <v>111</v>
      </c>
      <c r="AA23" s="2038" t="n">
        <f aca="false">D23/F23</f>
        <v>1</v>
      </c>
      <c r="AB23" s="2038" t="n">
        <f aca="false">D23/H23</f>
        <v>1</v>
      </c>
      <c r="AC23" s="2038" t="n">
        <f aca="false">D23/J23</f>
        <v>1</v>
      </c>
    </row>
    <row r="24" customFormat="false" ht="15" hidden="false" customHeight="false" outlineLevel="0" collapsed="false">
      <c r="A24" s="2005"/>
      <c r="B24" s="2011" t="n">
        <v>111</v>
      </c>
      <c r="C24" s="2012"/>
      <c r="D24" s="2016" t="n">
        <v>100</v>
      </c>
      <c r="E24" s="2015"/>
      <c r="F24" s="2076" t="n">
        <f aca="false">SUMIF(73:73,E24,74:74)-SUMIF(73:73,C24,74:74)+100</f>
        <v>100</v>
      </c>
      <c r="G24" s="2015"/>
      <c r="H24" s="2017" t="n">
        <f aca="false">SUMIF(73:73,G24,74:74)-SUMIF(73:73,C24,74:74)+100</f>
        <v>100</v>
      </c>
      <c r="I24" s="2015"/>
      <c r="J24" s="2017" t="n">
        <f aca="false">SUMIF(73:73,I24,74:74)-SUMIF(73:73,C24,74:74)+100</f>
        <v>100</v>
      </c>
      <c r="K24" s="2364"/>
      <c r="L24" s="2018"/>
      <c r="M24" s="1954"/>
      <c r="N24" s="1954"/>
      <c r="O24" s="2546"/>
      <c r="P24" s="2036"/>
      <c r="Q24" s="2033" t="n">
        <f aca="false">B24</f>
        <v>111</v>
      </c>
      <c r="R24" s="2034" t="s">
        <v>1277</v>
      </c>
      <c r="S24" s="2035" t="n">
        <f aca="false">F24</f>
        <v>100</v>
      </c>
      <c r="T24" s="2034" t="s">
        <v>1277</v>
      </c>
      <c r="U24" s="2035" t="n">
        <f aca="false">H24</f>
        <v>100</v>
      </c>
      <c r="V24" s="2034" t="s">
        <v>1277</v>
      </c>
      <c r="W24" s="2035" t="n">
        <f aca="false">J24</f>
        <v>100</v>
      </c>
      <c r="X24" s="1958"/>
      <c r="Y24" s="2036"/>
      <c r="Z24" s="2037" t="n">
        <f aca="false">Q24</f>
        <v>111</v>
      </c>
      <c r="AA24" s="2038" t="n">
        <f aca="false">D24/F24</f>
        <v>1</v>
      </c>
      <c r="AB24" s="2038" t="n">
        <f aca="false">D24/H24</f>
        <v>1</v>
      </c>
      <c r="AC24" s="2038" t="n">
        <f aca="false">D24/J24</f>
        <v>1</v>
      </c>
    </row>
    <row r="25" s="1983" customFormat="true" ht="15" hidden="false" customHeight="false" outlineLevel="0" collapsed="false">
      <c r="A25" s="2010"/>
      <c r="B25" s="2011" t="n">
        <v>111</v>
      </c>
      <c r="C25" s="2548"/>
      <c r="D25" s="2549" t="n">
        <v>100</v>
      </c>
      <c r="E25" s="2548"/>
      <c r="F25" s="2550" t="n">
        <f aca="false">SUMIF(75:75,E25,76:76)-SUMIF(75:75,C25,76:76)+100</f>
        <v>100</v>
      </c>
      <c r="G25" s="2548"/>
      <c r="H25" s="2551" t="n">
        <f aca="false">SUMIF(75:75,G25,76:76)-SUMIF(75:75,C25,76:76)+100</f>
        <v>100</v>
      </c>
      <c r="I25" s="2548"/>
      <c r="J25" s="2551" t="n">
        <f aca="false">SUMIF(75:75,I25,76:76)-SUMIF(75:75,C25,76:76)+100</f>
        <v>100</v>
      </c>
      <c r="K25" s="2364"/>
      <c r="L25" s="1977"/>
      <c r="M25" s="1978"/>
      <c r="N25" s="1978"/>
      <c r="O25" s="2544"/>
      <c r="P25" s="2036"/>
      <c r="Q25" s="510" t="n">
        <f aca="false">B25</f>
        <v>111</v>
      </c>
      <c r="R25" s="1980" t="s">
        <v>1277</v>
      </c>
      <c r="S25" s="1981" t="n">
        <f aca="false">F25</f>
        <v>100</v>
      </c>
      <c r="T25" s="1980" t="s">
        <v>1277</v>
      </c>
      <c r="U25" s="1981" t="n">
        <f aca="false">H25</f>
        <v>100</v>
      </c>
      <c r="V25" s="1980" t="s">
        <v>1277</v>
      </c>
      <c r="W25" s="1981" t="n">
        <f aca="false">J25</f>
        <v>100</v>
      </c>
      <c r="X25" s="1982"/>
      <c r="Y25" s="2036"/>
      <c r="Z25" s="540" t="n">
        <f aca="false">Q25</f>
        <v>111</v>
      </c>
      <c r="AA25" s="2038" t="n">
        <f aca="false">D25/F25</f>
        <v>1</v>
      </c>
      <c r="AB25" s="2038" t="n">
        <f aca="false">D25/H25</f>
        <v>1</v>
      </c>
      <c r="AC25" s="2038" t="n">
        <f aca="false">D25/J25</f>
        <v>1</v>
      </c>
    </row>
    <row r="26" customFormat="false" ht="28.5" hidden="false" customHeight="true" outlineLevel="0" collapsed="false">
      <c r="A26" s="2477" t="s">
        <v>1292</v>
      </c>
      <c r="B26" s="678" t="s">
        <v>1300</v>
      </c>
      <c r="C26" s="2439"/>
      <c r="D26" s="2074" t="n">
        <v>100</v>
      </c>
      <c r="E26" s="2439"/>
      <c r="F26" s="2552" t="n">
        <f aca="false">SUMIF(77:77,E26,78:78)-SUMIF(77:77,C26,78:78)+100</f>
        <v>100</v>
      </c>
      <c r="G26" s="2439"/>
      <c r="H26" s="2077" t="n">
        <f aca="false">SUMIF(77:77,G26,78:78)-SUMIF(77:77,C26,78:78)+100</f>
        <v>100</v>
      </c>
      <c r="I26" s="2439"/>
      <c r="J26" s="2077" t="n">
        <f aca="false">SUMIF(77:77,I26,78:78)-SUMIF(77:77,C26,78:78)+100</f>
        <v>100</v>
      </c>
      <c r="K26" s="2363"/>
      <c r="L26" s="2018"/>
      <c r="M26" s="1954"/>
      <c r="N26" s="1954"/>
      <c r="O26" s="2546"/>
      <c r="P26" s="2523" t="s">
        <v>1292</v>
      </c>
      <c r="Q26" s="2033" t="str">
        <f aca="false">B26</f>
        <v>公共部分装修</v>
      </c>
      <c r="R26" s="2034" t="s">
        <v>1277</v>
      </c>
      <c r="S26" s="2035" t="n">
        <f aca="false">F26</f>
        <v>100</v>
      </c>
      <c r="T26" s="2034" t="s">
        <v>1277</v>
      </c>
      <c r="U26" s="2035" t="n">
        <f aca="false">H26</f>
        <v>100</v>
      </c>
      <c r="V26" s="2034" t="s">
        <v>1277</v>
      </c>
      <c r="W26" s="2035" t="n">
        <f aca="false">J26</f>
        <v>100</v>
      </c>
      <c r="X26" s="1958"/>
      <c r="Y26" s="2524" t="s">
        <v>1292</v>
      </c>
      <c r="Z26" s="2037" t="str">
        <f aca="false">Q26</f>
        <v>公共部分装修</v>
      </c>
      <c r="AA26" s="2038" t="n">
        <f aca="false">D26/F26</f>
        <v>1</v>
      </c>
      <c r="AB26" s="2038" t="n">
        <f aca="false">D26/H26</f>
        <v>1</v>
      </c>
      <c r="AC26" s="2038" t="n">
        <f aca="false">D26/J26</f>
        <v>1</v>
      </c>
    </row>
    <row r="27" s="2088" customFormat="true" ht="15" hidden="false" customHeight="false" outlineLevel="0" collapsed="false">
      <c r="A27" s="2080"/>
      <c r="B27" s="1996" t="s">
        <v>949</v>
      </c>
      <c r="C27" s="2093"/>
      <c r="D27" s="1998" t="n">
        <v>100</v>
      </c>
      <c r="E27" s="2095"/>
      <c r="F27" s="2076" t="e">
        <f aca="false">LOOKUP(E27,80:80,81:81)-LOOKUP(C27,80:80,81:81)+100</f>
        <v>#N/A</v>
      </c>
      <c r="G27" s="2094"/>
      <c r="H27" s="2017" t="e">
        <f aca="false">LOOKUP(G27,80:80,81:81)-LOOKUP(C27,80:80,81:81)+100</f>
        <v>#N/A</v>
      </c>
      <c r="I27" s="2094"/>
      <c r="J27" s="2017" t="e">
        <f aca="false">LOOKUP(I27,80:80,81:81)-LOOKUP(C27,80:80,81:81)+100</f>
        <v>#N/A</v>
      </c>
      <c r="K27" s="2363"/>
      <c r="L27" s="2009"/>
      <c r="M27" s="2082"/>
      <c r="N27" s="2082"/>
      <c r="O27" s="2553"/>
      <c r="P27" s="2523"/>
      <c r="Q27" s="2083" t="str">
        <f aca="false">B27</f>
        <v>成新率</v>
      </c>
      <c r="R27" s="2084" t="s">
        <v>1277</v>
      </c>
      <c r="S27" s="2085" t="e">
        <f aca="false">F27</f>
        <v>#N/A</v>
      </c>
      <c r="T27" s="2084" t="s">
        <v>1277</v>
      </c>
      <c r="U27" s="2085" t="e">
        <f aca="false">H27</f>
        <v>#N/A</v>
      </c>
      <c r="V27" s="2084" t="s">
        <v>1277</v>
      </c>
      <c r="W27" s="2085" t="e">
        <f aca="false">J27</f>
        <v>#N/A</v>
      </c>
      <c r="X27" s="2086"/>
      <c r="Y27" s="2524"/>
      <c r="Z27" s="2087" t="str">
        <f aca="false">Q27</f>
        <v>成新率</v>
      </c>
      <c r="AA27" s="2038" t="e">
        <f aca="false">D27/F27</f>
        <v>#N/A</v>
      </c>
      <c r="AB27" s="2038" t="e">
        <f aca="false">D27/H27</f>
        <v>#N/A</v>
      </c>
      <c r="AC27" s="2038" t="e">
        <f aca="false">D27/J27</f>
        <v>#N/A</v>
      </c>
    </row>
    <row r="28" customFormat="false" ht="15" hidden="false" customHeight="false" outlineLevel="0" collapsed="false">
      <c r="A28" s="2089"/>
      <c r="B28" s="1996" t="s">
        <v>1562</v>
      </c>
      <c r="C28" s="2062"/>
      <c r="D28" s="2016" t="n">
        <v>100</v>
      </c>
      <c r="E28" s="2062"/>
      <c r="F28" s="2076" t="n">
        <f aca="false">SUMIF(82:82,E28,83:83)-SUMIF(82:82,C28,83:83)+100</f>
        <v>100</v>
      </c>
      <c r="G28" s="2062"/>
      <c r="H28" s="2017" t="n">
        <f aca="false">SUMIF(82:82,G28,83:83)-SUMIF(82:82,C28,83:83)+100</f>
        <v>100</v>
      </c>
      <c r="I28" s="2062"/>
      <c r="J28" s="2017" t="n">
        <f aca="false">SUMIF(82:82,I28,83:83)-SUMIF(82:82,C28,83:83)+100</f>
        <v>100</v>
      </c>
      <c r="K28" s="2363"/>
      <c r="L28" s="2018"/>
      <c r="M28" s="1954"/>
      <c r="N28" s="1954"/>
      <c r="O28" s="2546"/>
      <c r="P28" s="2523"/>
      <c r="Q28" s="2033" t="str">
        <f aca="false">B28</f>
        <v>物业等级</v>
      </c>
      <c r="R28" s="2034" t="s">
        <v>1277</v>
      </c>
      <c r="S28" s="2035" t="n">
        <f aca="false">F28</f>
        <v>100</v>
      </c>
      <c r="T28" s="2034" t="s">
        <v>1277</v>
      </c>
      <c r="U28" s="2035" t="n">
        <f aca="false">H28</f>
        <v>100</v>
      </c>
      <c r="V28" s="2034" t="s">
        <v>1277</v>
      </c>
      <c r="W28" s="2035" t="n">
        <f aca="false">J28</f>
        <v>100</v>
      </c>
      <c r="X28" s="1958"/>
      <c r="Y28" s="2524"/>
      <c r="Z28" s="2037" t="str">
        <f aca="false">Q28</f>
        <v>物业等级</v>
      </c>
      <c r="AA28" s="2038" t="n">
        <f aca="false">D28/F28</f>
        <v>1</v>
      </c>
      <c r="AB28" s="2038" t="n">
        <f aca="false">D28/H28</f>
        <v>1</v>
      </c>
      <c r="AC28" s="2038" t="n">
        <f aca="false">D28/J28</f>
        <v>1</v>
      </c>
    </row>
    <row r="29" customFormat="false" ht="15" hidden="false" customHeight="false" outlineLevel="0" collapsed="false">
      <c r="A29" s="2089"/>
      <c r="B29" s="1996" t="s">
        <v>1569</v>
      </c>
      <c r="C29" s="2529"/>
      <c r="D29" s="2016" t="n">
        <v>100</v>
      </c>
      <c r="E29" s="2529"/>
      <c r="F29" s="2076" t="n">
        <f aca="false">SUMIF(84:84,E29,85:85)-SUMIF(84:84,C29,85:85)+100</f>
        <v>100</v>
      </c>
      <c r="G29" s="2529"/>
      <c r="H29" s="2017" t="n">
        <f aca="false">SUMIF(84:84,G29,85:85)-SUMIF(84:84,C29,85:85)+100</f>
        <v>100</v>
      </c>
      <c r="I29" s="2529"/>
      <c r="J29" s="2017" t="n">
        <f aca="false">SUMIF(84:84,I29,85:85)-SUMIF(84:84,C29,85:85)+100</f>
        <v>100</v>
      </c>
      <c r="K29" s="2363"/>
      <c r="L29" s="2018"/>
      <c r="M29" s="1954"/>
      <c r="N29" s="1954"/>
      <c r="O29" s="2546"/>
      <c r="P29" s="2523"/>
      <c r="Q29" s="2033" t="str">
        <f aca="false">B29</f>
        <v>有无电梯</v>
      </c>
      <c r="R29" s="2034" t="s">
        <v>1277</v>
      </c>
      <c r="S29" s="2035" t="n">
        <f aca="false">F29</f>
        <v>100</v>
      </c>
      <c r="T29" s="2034" t="s">
        <v>1277</v>
      </c>
      <c r="U29" s="2035" t="n">
        <f aca="false">H29</f>
        <v>100</v>
      </c>
      <c r="V29" s="2034" t="s">
        <v>1277</v>
      </c>
      <c r="W29" s="2035" t="n">
        <f aca="false">J29</f>
        <v>100</v>
      </c>
      <c r="X29" s="1958"/>
      <c r="Y29" s="2524"/>
      <c r="Z29" s="2037" t="str">
        <f aca="false">Q29</f>
        <v>有无电梯</v>
      </c>
      <c r="AA29" s="2038" t="n">
        <f aca="false">D29/F29</f>
        <v>1</v>
      </c>
      <c r="AB29" s="2038" t="n">
        <f aca="false">D29/H29</f>
        <v>1</v>
      </c>
      <c r="AC29" s="2038" t="n">
        <f aca="false">D29/J29</f>
        <v>1</v>
      </c>
    </row>
    <row r="30" customFormat="false" ht="15" hidden="false" customHeight="false" outlineLevel="0" collapsed="false">
      <c r="A30" s="2089"/>
      <c r="B30" s="1996" t="s">
        <v>107</v>
      </c>
      <c r="C30" s="2081"/>
      <c r="D30" s="2016" t="n">
        <v>100</v>
      </c>
      <c r="E30" s="2081"/>
      <c r="F30" s="2076" t="e">
        <f aca="false">LOOKUP(E30,87:87,88:88)-LOOKUP(C30,87:87,88:88)+100</f>
        <v>#N/A</v>
      </c>
      <c r="G30" s="2081"/>
      <c r="H30" s="2017" t="e">
        <f aca="false">LOOKUP(G30,87:87,88:88)-LOOKUP(C30,87:87,88:88)+100</f>
        <v>#N/A</v>
      </c>
      <c r="I30" s="2081"/>
      <c r="J30" s="2017" t="e">
        <f aca="false">LOOKUP(I30,87:87,88:88)-LOOKUP(C30,87:87,88:88)+100</f>
        <v>#N/A</v>
      </c>
      <c r="K30" s="2364"/>
      <c r="L30" s="2018"/>
      <c r="M30" s="1954"/>
      <c r="N30" s="1954"/>
      <c r="O30" s="2546"/>
      <c r="P30" s="2523"/>
      <c r="Q30" s="2033" t="str">
        <f aca="false">B30</f>
        <v>建筑面积</v>
      </c>
      <c r="R30" s="2034" t="s">
        <v>1277</v>
      </c>
      <c r="S30" s="2035" t="e">
        <f aca="false">F30</f>
        <v>#N/A</v>
      </c>
      <c r="T30" s="2034" t="s">
        <v>1277</v>
      </c>
      <c r="U30" s="2035" t="e">
        <f aca="false">H30</f>
        <v>#N/A</v>
      </c>
      <c r="V30" s="2034" t="s">
        <v>1277</v>
      </c>
      <c r="W30" s="2035" t="e">
        <f aca="false">J30</f>
        <v>#N/A</v>
      </c>
      <c r="X30" s="1958"/>
      <c r="Y30" s="2524"/>
      <c r="Z30" s="2037" t="str">
        <f aca="false">Q30</f>
        <v>建筑面积</v>
      </c>
      <c r="AA30" s="2038" t="e">
        <f aca="false">D30/F30</f>
        <v>#N/A</v>
      </c>
      <c r="AB30" s="2038" t="e">
        <f aca="false">D30/H30</f>
        <v>#N/A</v>
      </c>
      <c r="AC30" s="2038" t="e">
        <f aca="false">D30/J30</f>
        <v>#N/A</v>
      </c>
    </row>
    <row r="31" s="1983" customFormat="true" ht="15" hidden="false" customHeight="false" outlineLevel="0" collapsed="false">
      <c r="A31" s="2092"/>
      <c r="B31" s="1996" t="s">
        <v>1570</v>
      </c>
      <c r="C31" s="2529"/>
      <c r="D31" s="1998" t="n">
        <v>100</v>
      </c>
      <c r="E31" s="2529"/>
      <c r="F31" s="2076" t="n">
        <f aca="false">SUMIF(89:89,E31,90:90)-SUMIF(89:89,C31,90:90)+100</f>
        <v>100</v>
      </c>
      <c r="G31" s="2529"/>
      <c r="H31" s="2017" t="n">
        <f aca="false">SUMIF(89:89,G31,90:90)-SUMIF(89:89,C31,90:90)+100</f>
        <v>100</v>
      </c>
      <c r="I31" s="2529"/>
      <c r="J31" s="2017" t="n">
        <f aca="false">SUMIF(89:89,I31,90:90)-SUMIF(89:89,C31,90:90)+100</f>
        <v>100</v>
      </c>
      <c r="K31" s="2363"/>
      <c r="L31" s="1977"/>
      <c r="M31" s="1978"/>
      <c r="N31" s="1978"/>
      <c r="O31" s="2544"/>
      <c r="P31" s="2523"/>
      <c r="Q31" s="510" t="str">
        <f aca="false">B31</f>
        <v>是否封闭</v>
      </c>
      <c r="R31" s="1980" t="s">
        <v>1277</v>
      </c>
      <c r="S31" s="1981" t="n">
        <f aca="false">F31</f>
        <v>100</v>
      </c>
      <c r="T31" s="1980" t="s">
        <v>1277</v>
      </c>
      <c r="U31" s="1981" t="n">
        <f aca="false">H31</f>
        <v>100</v>
      </c>
      <c r="V31" s="1980" t="s">
        <v>1277</v>
      </c>
      <c r="W31" s="1981" t="n">
        <f aca="false">J31</f>
        <v>100</v>
      </c>
      <c r="X31" s="1982"/>
      <c r="Y31" s="2524"/>
      <c r="Z31" s="540" t="str">
        <f aca="false">Q31</f>
        <v>是否封闭</v>
      </c>
      <c r="AA31" s="741" t="n">
        <f aca="false">D31/F31</f>
        <v>1</v>
      </c>
      <c r="AB31" s="741" t="n">
        <f aca="false">D31/H31</f>
        <v>1</v>
      </c>
      <c r="AC31" s="741" t="n">
        <f aca="false">D31/J31</f>
        <v>1</v>
      </c>
    </row>
    <row r="32" customFormat="false" ht="15" hidden="false" customHeight="false" outlineLevel="0" collapsed="false">
      <c r="A32" s="2089"/>
      <c r="B32" s="2011" t="n">
        <v>111</v>
      </c>
      <c r="C32" s="2012"/>
      <c r="D32" s="2016" t="n">
        <v>100</v>
      </c>
      <c r="E32" s="2081"/>
      <c r="F32" s="2076" t="n">
        <f aca="false">SUMIF(91:91,E32,92:92)-SUMIF(91:91,C32,92:92)+100</f>
        <v>100</v>
      </c>
      <c r="G32" s="2081"/>
      <c r="H32" s="2017" t="n">
        <f aca="false">SUMIF(91:91,G32,92:92)-SUMIF(91:91,C32,92:92)+100</f>
        <v>100</v>
      </c>
      <c r="I32" s="2081"/>
      <c r="J32" s="2017" t="n">
        <f aca="false">SUMIF(91:91,I32,92:92)-SUMIF(91:91,C32,92:92)+100</f>
        <v>100</v>
      </c>
      <c r="K32" s="2364"/>
      <c r="L32" s="2018"/>
      <c r="M32" s="1954"/>
      <c r="N32" s="1954"/>
      <c r="O32" s="2546"/>
      <c r="P32" s="2523" t="s">
        <v>1292</v>
      </c>
      <c r="Q32" s="2033" t="n">
        <f aca="false">B32</f>
        <v>111</v>
      </c>
      <c r="R32" s="2034" t="s">
        <v>1277</v>
      </c>
      <c r="S32" s="2035" t="n">
        <f aca="false">F32</f>
        <v>100</v>
      </c>
      <c r="T32" s="2034" t="s">
        <v>1277</v>
      </c>
      <c r="U32" s="2035" t="n">
        <f aca="false">H32</f>
        <v>100</v>
      </c>
      <c r="V32" s="2034" t="s">
        <v>1277</v>
      </c>
      <c r="W32" s="2035" t="n">
        <f aca="false">J32</f>
        <v>100</v>
      </c>
      <c r="X32" s="1958"/>
      <c r="Y32" s="2524" t="s">
        <v>1292</v>
      </c>
      <c r="Z32" s="2037" t="n">
        <f aca="false">Q32</f>
        <v>111</v>
      </c>
      <c r="AA32" s="2038" t="n">
        <f aca="false">D32/F32</f>
        <v>1</v>
      </c>
      <c r="AB32" s="2038" t="n">
        <f aca="false">D32/H32</f>
        <v>1</v>
      </c>
      <c r="AC32" s="2038" t="n">
        <f aca="false">D32/J32</f>
        <v>1</v>
      </c>
    </row>
    <row r="33" customFormat="false" ht="15" hidden="false" customHeight="false" outlineLevel="0" collapsed="false">
      <c r="A33" s="2089"/>
      <c r="B33" s="2011" t="n">
        <v>111</v>
      </c>
      <c r="C33" s="2012"/>
      <c r="D33" s="2016" t="n">
        <v>100</v>
      </c>
      <c r="E33" s="2081"/>
      <c r="F33" s="2076" t="n">
        <f aca="false">SUMIF(93:93,E33,94:94)-SUMIF(93:93,C33,94:94)+100</f>
        <v>100</v>
      </c>
      <c r="G33" s="2081"/>
      <c r="H33" s="2017" t="n">
        <f aca="false">SUMIF(93:93,G33,94:94)-SUMIF(93:93,C33,94:94)+100</f>
        <v>100</v>
      </c>
      <c r="I33" s="2081"/>
      <c r="J33" s="2017" t="n">
        <f aca="false">SUMIF(93:93,I33,94:94)-SUMIF(93:93,C33,94:94)+100</f>
        <v>100</v>
      </c>
      <c r="K33" s="2364"/>
      <c r="L33" s="2018"/>
      <c r="M33" s="1954"/>
      <c r="N33" s="1954"/>
      <c r="O33" s="2546"/>
      <c r="P33" s="2523"/>
      <c r="Q33" s="2033" t="n">
        <f aca="false">B33</f>
        <v>111</v>
      </c>
      <c r="R33" s="2034" t="s">
        <v>1277</v>
      </c>
      <c r="S33" s="2035" t="n">
        <f aca="false">F33</f>
        <v>100</v>
      </c>
      <c r="T33" s="2034" t="s">
        <v>1277</v>
      </c>
      <c r="U33" s="2035" t="n">
        <f aca="false">H33</f>
        <v>100</v>
      </c>
      <c r="V33" s="2034" t="s">
        <v>1277</v>
      </c>
      <c r="W33" s="2035" t="n">
        <f aca="false">J33</f>
        <v>100</v>
      </c>
      <c r="X33" s="1958"/>
      <c r="Y33" s="2524"/>
      <c r="Z33" s="2037" t="n">
        <f aca="false">Q33</f>
        <v>111</v>
      </c>
      <c r="AA33" s="2038" t="n">
        <f aca="false">D33/F33</f>
        <v>1</v>
      </c>
      <c r="AB33" s="2038" t="n">
        <f aca="false">D33/H33</f>
        <v>1</v>
      </c>
      <c r="AC33" s="2038" t="n">
        <f aca="false">D33/J33</f>
        <v>1</v>
      </c>
    </row>
    <row r="34" customFormat="false" ht="15" hidden="false" customHeight="false" outlineLevel="0" collapsed="false">
      <c r="A34" s="2099"/>
      <c r="B34" s="2020" t="n">
        <v>111</v>
      </c>
      <c r="C34" s="2021"/>
      <c r="D34" s="2022" t="n">
        <v>100</v>
      </c>
      <c r="E34" s="2547"/>
      <c r="F34" s="2023" t="n">
        <f aca="false">SUMIF(95:95,E34,96:96)-SUMIF(95:95,C34,96:96)+100</f>
        <v>100</v>
      </c>
      <c r="G34" s="2547"/>
      <c r="H34" s="2024" t="n">
        <f aca="false">SUMIF(95:95,G34,96:96)-SUMIF(95:95,C34,96:96)+100</f>
        <v>100</v>
      </c>
      <c r="I34" s="2547"/>
      <c r="J34" s="2024" t="n">
        <f aca="false">SUMIF(95:95,I34,96:96)-SUMIF(95:95,C34,96:96)+100</f>
        <v>100</v>
      </c>
      <c r="K34" s="2364"/>
      <c r="L34" s="2018"/>
      <c r="M34" s="1954"/>
      <c r="N34" s="1954"/>
      <c r="O34" s="2546"/>
      <c r="P34" s="2523"/>
      <c r="Q34" s="2033" t="n">
        <f aca="false">B34</f>
        <v>111</v>
      </c>
      <c r="R34" s="2034" t="s">
        <v>1277</v>
      </c>
      <c r="S34" s="2035" t="n">
        <f aca="false">F34</f>
        <v>100</v>
      </c>
      <c r="T34" s="2034" t="s">
        <v>1277</v>
      </c>
      <c r="U34" s="2035" t="n">
        <f aca="false">H34</f>
        <v>100</v>
      </c>
      <c r="V34" s="2034" t="s">
        <v>1277</v>
      </c>
      <c r="W34" s="2035" t="n">
        <f aca="false">J34</f>
        <v>100</v>
      </c>
      <c r="X34" s="1958"/>
      <c r="Y34" s="2524"/>
      <c r="Z34" s="2037" t="n">
        <f aca="false">Q34</f>
        <v>111</v>
      </c>
      <c r="AA34" s="2038" t="n">
        <f aca="false">D34/F34</f>
        <v>1</v>
      </c>
      <c r="AB34" s="2038" t="n">
        <f aca="false">D34/H34</f>
        <v>1</v>
      </c>
      <c r="AC34" s="2038" t="n">
        <f aca="false">D34/J34</f>
        <v>1</v>
      </c>
    </row>
    <row r="35" customFormat="false" ht="15" hidden="false" customHeight="false" outlineLevel="0" collapsed="false">
      <c r="A35" s="2100" t="s">
        <v>1308</v>
      </c>
      <c r="B35" s="2101"/>
      <c r="C35" s="2102" t="s">
        <v>122</v>
      </c>
      <c r="D35" s="2103"/>
      <c r="E35" s="2104"/>
      <c r="F35" s="2105"/>
      <c r="G35" s="2106"/>
      <c r="H35" s="2107"/>
      <c r="I35" s="2104"/>
      <c r="J35" s="2107"/>
      <c r="K35" s="2379"/>
      <c r="L35" s="2109"/>
      <c r="M35" s="2110"/>
      <c r="N35" s="1954"/>
      <c r="O35" s="2110"/>
      <c r="P35" s="2033" t="str">
        <f aca="false">A35</f>
        <v>成交单价（元/平方米）</v>
      </c>
      <c r="Q35" s="2033"/>
      <c r="R35" s="2038" t="n">
        <f aca="false">E35</f>
        <v>0</v>
      </c>
      <c r="S35" s="2038"/>
      <c r="T35" s="2038" t="n">
        <f aca="false">G35</f>
        <v>0</v>
      </c>
      <c r="U35" s="2038"/>
      <c r="V35" s="2038" t="n">
        <f aca="false">I35</f>
        <v>0</v>
      </c>
      <c r="W35" s="2038"/>
      <c r="X35" s="2111"/>
      <c r="Y35" s="2112"/>
      <c r="Z35" s="2111"/>
      <c r="AA35" s="2111"/>
      <c r="AB35" s="2111"/>
      <c r="AC35" s="2111"/>
    </row>
    <row r="36" customFormat="false" ht="15" hidden="false" customHeight="false" outlineLevel="0" collapsed="false">
      <c r="A36" s="2113" t="s">
        <v>1309</v>
      </c>
      <c r="B36" s="2114"/>
      <c r="C36" s="2115" t="e">
        <f aca="false">R37</f>
        <v>#DIV/0!</v>
      </c>
      <c r="D36" s="2116" t="s">
        <v>1310</v>
      </c>
      <c r="E36" s="2117" t="e">
        <f aca="false">R36</f>
        <v>#DIV/0!</v>
      </c>
      <c r="F36" s="2118"/>
      <c r="G36" s="2115" t="e">
        <f aca="false">T36</f>
        <v>#DIV/0!</v>
      </c>
      <c r="H36" s="2118"/>
      <c r="I36" s="2117" t="e">
        <f aca="false">V36</f>
        <v>#DIV/0!</v>
      </c>
      <c r="J36" s="2118"/>
      <c r="K36" s="2380" t="n">
        <f aca="false">F36+H36+J36</f>
        <v>0</v>
      </c>
      <c r="L36" s="2109"/>
      <c r="M36" s="2110"/>
      <c r="N36" s="1954"/>
      <c r="O36" s="2110"/>
      <c r="P36" s="2033" t="str">
        <f aca="false">A36</f>
        <v>比较价值（元/平方米）</v>
      </c>
      <c r="Q36" s="2033"/>
      <c r="R36" s="2038" t="e">
        <f aca="false">IF(F1="售价",ROUND(PRODUCT(R35,AA7:AA34),0),ROUND(PRODUCT(R35,AA7:AA34),1))</f>
        <v>#DIV/0!</v>
      </c>
      <c r="S36" s="2038"/>
      <c r="T36" s="2038" t="e">
        <f aca="false">IF(F1="售价",ROUND(PRODUCT(T35,AB7:AB34),0),ROUND(PRODUCT(T35,AB7:AB34),1))</f>
        <v>#DIV/0!</v>
      </c>
      <c r="U36" s="2038"/>
      <c r="V36" s="2038" t="e">
        <f aca="false">IF(F1="售价",ROUND(PRODUCT(V35,AC7:AC34),0),ROUND(PRODUCT(V35,AC7:AC34),1))</f>
        <v>#DIV/0!</v>
      </c>
      <c r="W36" s="2038"/>
      <c r="X36" s="2111"/>
      <c r="Y36" s="2111"/>
      <c r="Z36" s="2111"/>
      <c r="AA36" s="2111"/>
      <c r="AB36" s="2111"/>
      <c r="AC36" s="2111"/>
    </row>
    <row r="37" customFormat="false" ht="15" hidden="false" customHeight="false" outlineLevel="0" collapsed="false">
      <c r="A37" s="2120" t="s">
        <v>1311</v>
      </c>
      <c r="B37" s="2121"/>
      <c r="C37" s="2123" t="e">
        <f aca="false">R37</f>
        <v>#DIV/0!</v>
      </c>
      <c r="D37" s="2123"/>
      <c r="E37" s="2123"/>
      <c r="F37" s="2123"/>
      <c r="G37" s="2123"/>
      <c r="H37" s="2123"/>
      <c r="I37" s="2123"/>
      <c r="J37" s="2123"/>
      <c r="K37" s="2381"/>
      <c r="L37" s="2109"/>
      <c r="M37" s="2110"/>
      <c r="N37" s="2110"/>
      <c r="O37" s="2110"/>
      <c r="P37" s="2033" t="str">
        <f aca="false">A37</f>
        <v>估价对象XX用房的比较价值（楼面单价，元/平方米）</v>
      </c>
      <c r="Q37" s="2033"/>
      <c r="R37" s="2535" t="e">
        <f aca="false">IF(F1="售价",ROUND(IF(D36="简单平均",AVERAGE(R36:W36),R36*F36+T36*H36+V36*J36),0),ROUND(IF(D36="简单平均",AVERAGE(R36:V36),R36*F36+T36*H36+V36*J36),1))</f>
        <v>#DIV/0!</v>
      </c>
      <c r="S37" s="2535"/>
      <c r="T37" s="2535"/>
      <c r="U37" s="2535"/>
      <c r="V37" s="2535"/>
      <c r="W37" s="2535"/>
      <c r="X37" s="2111"/>
      <c r="Y37" s="2111"/>
      <c r="Z37" s="2111"/>
      <c r="AA37" s="2111"/>
      <c r="AB37" s="2111"/>
      <c r="AC37" s="2111"/>
    </row>
    <row r="38" customFormat="false" ht="14.25" hidden="false" customHeight="false" outlineLevel="0" collapsed="false">
      <c r="A38" s="2110"/>
      <c r="B38" s="2110"/>
      <c r="C38" s="2110"/>
      <c r="D38" s="2110"/>
      <c r="E38" s="2110"/>
      <c r="F38" s="2110"/>
      <c r="G38" s="2126"/>
      <c r="H38" s="2110"/>
      <c r="I38" s="2110"/>
      <c r="J38" s="2110"/>
      <c r="K38" s="2127"/>
      <c r="L38" s="2128"/>
      <c r="M38" s="2110"/>
      <c r="N38" s="2110"/>
      <c r="O38" s="2110"/>
      <c r="P38" s="2110"/>
      <c r="Q38" s="2110"/>
      <c r="R38" s="2110"/>
      <c r="S38" s="2110"/>
      <c r="T38" s="2110"/>
      <c r="U38" s="2110"/>
      <c r="V38" s="2110"/>
      <c r="W38" s="2110"/>
      <c r="X38" s="2110"/>
      <c r="Y38" s="2110"/>
      <c r="Z38" s="2110"/>
      <c r="AA38" s="2110"/>
      <c r="AB38" s="2110"/>
      <c r="AC38" s="2110"/>
      <c r="AD38" s="2110"/>
    </row>
    <row r="39" customFormat="false" ht="14.25" hidden="false" customHeight="false" outlineLevel="0" collapsed="false">
      <c r="A39" s="2110"/>
      <c r="B39" s="2110"/>
      <c r="C39" s="2110"/>
      <c r="D39" s="2110"/>
      <c r="E39" s="2110"/>
      <c r="F39" s="2110"/>
      <c r="G39" s="2110"/>
      <c r="H39" s="2110"/>
      <c r="I39" s="2110"/>
      <c r="J39" s="2110"/>
      <c r="K39" s="2127"/>
      <c r="L39" s="2128"/>
      <c r="M39" s="2110"/>
      <c r="N39" s="2110"/>
      <c r="O39" s="2110"/>
      <c r="P39" s="2110"/>
      <c r="Q39" s="2110"/>
      <c r="R39" s="2110"/>
      <c r="S39" s="2110"/>
      <c r="T39" s="2110"/>
      <c r="U39" s="2110"/>
      <c r="V39" s="2110"/>
      <c r="W39" s="2110"/>
      <c r="X39" s="2110"/>
      <c r="Y39" s="2110"/>
      <c r="Z39" s="2110"/>
      <c r="AA39" s="2110"/>
      <c r="AB39" s="2110"/>
      <c r="AC39" s="2110"/>
      <c r="AD39" s="2110"/>
    </row>
    <row r="40" customFormat="false" ht="13.5" hidden="false" customHeight="true" outlineLevel="0" collapsed="false">
      <c r="A40" s="2110"/>
      <c r="B40" s="2110"/>
      <c r="C40" s="2129" t="s">
        <v>1312</v>
      </c>
      <c r="D40" s="2130"/>
      <c r="E40" s="2131" t="e">
        <f aca="false">IF(E35&lt;E36,E36/E35-1,E35/E36-1)</f>
        <v>#DIV/0!</v>
      </c>
      <c r="F40" s="2132" t="e">
        <f aca="false">IF(OR(E40&gt;=0.3,E40&lt;=-0.3),"超过30%","")</f>
        <v>#DIV/0!</v>
      </c>
      <c r="G40" s="2131" t="e">
        <f aca="false">IF(G35&lt;G36,G36/G35-1,G35/G36-1)</f>
        <v>#DIV/0!</v>
      </c>
      <c r="H40" s="2132" t="e">
        <f aca="false">IF(OR(G40&gt;=0.3,G40&lt;=-0.3),"超过30%","")</f>
        <v>#DIV/0!</v>
      </c>
      <c r="I40" s="2131" t="e">
        <f aca="false">IF(I35&lt;I36,I36/I35-1,I35/I36-1)</f>
        <v>#DIV/0!</v>
      </c>
      <c r="J40" s="2132" t="e">
        <f aca="false">IF(OR(I40&gt;=0.3,I40&lt;=-0.3),"超过30%","")</f>
        <v>#DIV/0!</v>
      </c>
      <c r="K40" s="2127"/>
      <c r="L40" s="2128"/>
      <c r="M40" s="2110"/>
      <c r="N40" s="2110"/>
      <c r="O40" s="2110"/>
      <c r="P40" s="2110"/>
      <c r="Q40" s="2110"/>
      <c r="R40" s="2110"/>
      <c r="S40" s="2110"/>
      <c r="T40" s="2110"/>
      <c r="U40" s="2110"/>
      <c r="V40" s="2110"/>
      <c r="W40" s="2110"/>
      <c r="X40" s="2110"/>
      <c r="Y40" s="2110"/>
      <c r="Z40" s="2110"/>
      <c r="AA40" s="2110"/>
      <c r="AB40" s="2110"/>
      <c r="AC40" s="2110"/>
      <c r="AD40" s="2110"/>
    </row>
    <row r="41" customFormat="false" ht="13.5" hidden="false" customHeight="true" outlineLevel="0" collapsed="false">
      <c r="A41" s="2110"/>
      <c r="B41" s="2110"/>
      <c r="C41" s="2129" t="s">
        <v>1313</v>
      </c>
      <c r="D41" s="2133"/>
      <c r="E41" s="2131" t="e">
        <f aca="false">IF(E36&lt;G36,G36/E36-1,E36/G36-1)</f>
        <v>#DIV/0!</v>
      </c>
      <c r="F41" s="2132" t="e">
        <f aca="false">IF(OR(E41&gt;=0.2,E41&lt;=-0.2),"超过20%","")</f>
        <v>#DIV/0!</v>
      </c>
      <c r="G41" s="2131" t="e">
        <f aca="false">IF(G36&lt;I36,I36/G36-1,G36/I36-1)</f>
        <v>#DIV/0!</v>
      </c>
      <c r="H41" s="2132" t="e">
        <f aca="false">IF(OR(G41&gt;=0.2,G41&lt;=-0.2),"超过20%","")</f>
        <v>#DIV/0!</v>
      </c>
      <c r="I41" s="2131" t="e">
        <f aca="false">IF(I36&lt;E36,E36/I36-1,I36/E36-1)</f>
        <v>#DIV/0!</v>
      </c>
      <c r="J41" s="2132" t="e">
        <f aca="false">IF(OR(I41&gt;=0.2,I41&lt;=-0.2),"超过20%","")</f>
        <v>#DIV/0!</v>
      </c>
      <c r="K41" s="2127"/>
      <c r="L41" s="2128"/>
      <c r="M41" s="2110"/>
      <c r="N41" s="2110"/>
      <c r="O41" s="2110"/>
      <c r="P41" s="2110"/>
      <c r="Q41" s="2110"/>
      <c r="R41" s="2110"/>
      <c r="S41" s="2110"/>
      <c r="T41" s="2110"/>
      <c r="U41" s="2110"/>
      <c r="V41" s="2110"/>
      <c r="W41" s="2110"/>
      <c r="X41" s="2110"/>
      <c r="Y41" s="2110"/>
      <c r="Z41" s="2110"/>
      <c r="AA41" s="2110"/>
      <c r="AB41" s="2110"/>
      <c r="AC41" s="2110"/>
      <c r="AD41" s="2110"/>
    </row>
    <row r="42" s="2138" customFormat="true" ht="13.5" hidden="false" customHeight="true" outlineLevel="0" collapsed="false">
      <c r="A42" s="2134"/>
      <c r="B42" s="2134"/>
      <c r="C42" s="2129" t="s">
        <v>1314</v>
      </c>
      <c r="D42" s="2133"/>
      <c r="E42" s="2131" t="e">
        <f aca="false">IF(E35&lt;G35,G35/E35-1,E35/G35-1)</f>
        <v>#DIV/0!</v>
      </c>
      <c r="F42" s="2132" t="e">
        <f aca="false">IF(OR(E42&gt;=0.3,E42&lt;=-0.3),"超过30%","")</f>
        <v>#DIV/0!</v>
      </c>
      <c r="G42" s="2131" t="e">
        <f aca="false">IF(G35&lt;I35,I35/G35-1,G35/I35-1)</f>
        <v>#DIV/0!</v>
      </c>
      <c r="H42" s="2132" t="e">
        <f aca="false">IF(OR(G42&gt;=0.3,G42&lt;=-0.3),"超过30%","")</f>
        <v>#DIV/0!</v>
      </c>
      <c r="I42" s="2131" t="e">
        <f aca="false">IF(I35&lt;E35,E35/I35-1,I35/E35-1)</f>
        <v>#DIV/0!</v>
      </c>
      <c r="J42" s="2132" t="e">
        <f aca="false">IF(OR(I42&gt;=0.3,I42&lt;=-0.3),"超过30%","")</f>
        <v>#DIV/0!</v>
      </c>
      <c r="K42" s="2135"/>
      <c r="L42" s="2136"/>
      <c r="M42" s="2134"/>
      <c r="N42" s="2134"/>
      <c r="O42" s="2134"/>
      <c r="P42" s="2134"/>
      <c r="Q42" s="2134"/>
      <c r="R42" s="2134"/>
      <c r="S42" s="2134"/>
      <c r="T42" s="2134"/>
      <c r="U42" s="2134"/>
      <c r="V42" s="2134"/>
      <c r="W42" s="2134"/>
      <c r="X42" s="2134"/>
      <c r="Y42" s="2134"/>
      <c r="Z42" s="2134"/>
      <c r="AA42" s="2134"/>
      <c r="AB42" s="2134"/>
      <c r="AC42" s="2134"/>
      <c r="AD42" s="2134"/>
    </row>
    <row r="43" s="2138" customFormat="true" ht="14.25" hidden="false" customHeight="false" outlineLevel="0" collapsed="false">
      <c r="A43" s="2134"/>
      <c r="B43" s="2139"/>
      <c r="C43" s="2140"/>
      <c r="D43" s="2134"/>
      <c r="E43" s="2134"/>
      <c r="F43" s="2134"/>
      <c r="G43" s="2134"/>
      <c r="H43" s="2134"/>
      <c r="I43" s="2134"/>
      <c r="J43" s="2134"/>
      <c r="K43" s="2135"/>
      <c r="L43" s="2136"/>
      <c r="M43" s="2134"/>
      <c r="N43" s="2134"/>
      <c r="O43" s="2134"/>
      <c r="P43" s="2134"/>
      <c r="Q43" s="2134"/>
      <c r="R43" s="2134"/>
      <c r="S43" s="2134"/>
      <c r="T43" s="2134"/>
      <c r="U43" s="2134"/>
      <c r="V43" s="2134"/>
      <c r="W43" s="2134"/>
      <c r="X43" s="2134"/>
      <c r="Y43" s="2134"/>
      <c r="Z43" s="2134"/>
      <c r="AA43" s="2134"/>
      <c r="AB43" s="2134"/>
      <c r="AC43" s="2134"/>
      <c r="AD43" s="2134"/>
    </row>
    <row r="44" customFormat="false" ht="14.25" hidden="false" customHeight="false" outlineLevel="0" collapsed="false">
      <c r="A44" s="2110"/>
      <c r="B44" s="2139"/>
      <c r="C44" s="2140"/>
      <c r="D44" s="2110"/>
      <c r="E44" s="2110"/>
      <c r="F44" s="2110"/>
      <c r="G44" s="2110"/>
      <c r="H44" s="2110"/>
      <c r="I44" s="2110"/>
      <c r="J44" s="2110"/>
      <c r="K44" s="2127"/>
      <c r="L44" s="2128"/>
      <c r="M44" s="2110"/>
      <c r="N44" s="2110"/>
      <c r="O44" s="2110"/>
      <c r="P44" s="2110"/>
      <c r="Q44" s="2110"/>
      <c r="R44" s="2110"/>
      <c r="S44" s="2110"/>
      <c r="T44" s="2110"/>
      <c r="U44" s="2110"/>
      <c r="V44" s="2110"/>
      <c r="W44" s="2110"/>
      <c r="X44" s="2110"/>
      <c r="Y44" s="2110"/>
      <c r="Z44" s="2110"/>
      <c r="AA44" s="2110"/>
      <c r="AB44" s="2110"/>
      <c r="AC44" s="2110"/>
      <c r="AD44" s="2110"/>
    </row>
    <row r="45" customFormat="false" ht="21" hidden="false" customHeight="false" outlineLevel="0" collapsed="false">
      <c r="A45" s="2141" t="s">
        <v>1315</v>
      </c>
      <c r="B45" s="2111"/>
      <c r="C45" s="2142"/>
      <c r="D45" s="2142"/>
      <c r="E45" s="2142"/>
      <c r="F45" s="2143"/>
      <c r="G45" s="2143"/>
      <c r="H45" s="2142"/>
      <c r="I45" s="2142"/>
      <c r="J45" s="2142"/>
      <c r="K45" s="2384"/>
      <c r="L45" s="2554"/>
      <c r="M45" s="2142"/>
      <c r="N45" s="2447"/>
      <c r="O45" s="2447"/>
      <c r="P45" s="2447"/>
      <c r="Q45" s="2386"/>
      <c r="R45" s="2110"/>
      <c r="S45" s="2110"/>
      <c r="T45" s="2110"/>
      <c r="U45" s="2110"/>
      <c r="V45" s="2110"/>
      <c r="W45" s="2110"/>
      <c r="X45" s="2110"/>
      <c r="Y45" s="2110"/>
      <c r="Z45" s="2110"/>
      <c r="AA45" s="2110"/>
      <c r="AB45" s="2110"/>
      <c r="AC45" s="2110"/>
      <c r="AD45" s="2110"/>
    </row>
    <row r="46" s="2154" customFormat="true" ht="15" hidden="false" customHeight="false" outlineLevel="0" collapsed="false">
      <c r="A46" s="2149" t="s">
        <v>1276</v>
      </c>
      <c r="B46" s="2150"/>
      <c r="C46" s="2387" t="str">
        <f aca="false">YEAR(C7)&amp;"-"&amp;MONTH(C7)</f>
        <v>2006-11</v>
      </c>
      <c r="D46" s="2152" t="n">
        <f aca="false">EDATE(C46,-1)</f>
        <v>38991</v>
      </c>
      <c r="E46" s="2152" t="n">
        <f aca="false">EDATE(D46,-1)</f>
        <v>38961</v>
      </c>
      <c r="F46" s="2152" t="n">
        <f aca="false">EDATE(E46,-1)</f>
        <v>38930</v>
      </c>
      <c r="G46" s="2152" t="n">
        <f aca="false">EDATE(F46,-1)</f>
        <v>38899</v>
      </c>
      <c r="H46" s="2152" t="n">
        <f aca="false">EDATE(G46,-1)</f>
        <v>38869</v>
      </c>
      <c r="I46" s="2152" t="n">
        <f aca="false">EDATE(H46,-1)</f>
        <v>38838</v>
      </c>
      <c r="J46" s="2152" t="n">
        <f aca="false">EDATE(I46,-1)</f>
        <v>38808</v>
      </c>
      <c r="K46" s="2152" t="n">
        <f aca="false">EDATE(J46,-1)</f>
        <v>38777</v>
      </c>
      <c r="L46" s="2152" t="n">
        <f aca="false">EDATE(K46,-1)</f>
        <v>38749</v>
      </c>
      <c r="M46" s="2152" t="n">
        <f aca="false">EDATE(L46,-1)</f>
        <v>38718</v>
      </c>
      <c r="N46" s="2152" t="n">
        <f aca="false">EDATE(M46,-1)</f>
        <v>38687</v>
      </c>
      <c r="O46" s="2152" t="n">
        <f aca="false">EDATE(N46,-1)</f>
        <v>38657</v>
      </c>
      <c r="P46" s="2555"/>
      <c r="Q46" s="2389"/>
      <c r="R46" s="2389"/>
      <c r="S46" s="2389"/>
      <c r="T46" s="2389"/>
      <c r="U46" s="2389"/>
      <c r="V46" s="2389"/>
      <c r="W46" s="2389"/>
      <c r="X46" s="2389"/>
      <c r="Y46" s="2389"/>
      <c r="Z46" s="2389"/>
      <c r="AA46" s="2389"/>
      <c r="AB46" s="2389"/>
      <c r="AC46" s="2389"/>
      <c r="AD46" s="2389"/>
    </row>
    <row r="47" s="1983" customFormat="true" ht="15" hidden="false" customHeight="false" outlineLevel="0" collapsed="false">
      <c r="A47" s="2155"/>
      <c r="B47" s="2167"/>
      <c r="C47" s="2157" t="n">
        <v>100</v>
      </c>
      <c r="D47" s="2159"/>
      <c r="E47" s="2159"/>
      <c r="F47" s="2159"/>
      <c r="G47" s="2159"/>
      <c r="H47" s="2159"/>
      <c r="I47" s="2159"/>
      <c r="J47" s="2159"/>
      <c r="K47" s="2159"/>
      <c r="L47" s="2159"/>
      <c r="M47" s="2390"/>
      <c r="N47" s="2159"/>
      <c r="O47" s="2174"/>
      <c r="P47" s="2386"/>
      <c r="Q47" s="529"/>
      <c r="R47" s="529"/>
      <c r="S47" s="529"/>
      <c r="T47" s="529"/>
      <c r="U47" s="529"/>
      <c r="V47" s="529"/>
      <c r="W47" s="529"/>
      <c r="X47" s="529"/>
      <c r="Y47" s="529"/>
      <c r="Z47" s="529"/>
      <c r="AA47" s="529"/>
      <c r="AB47" s="529"/>
      <c r="AC47" s="529"/>
      <c r="AD47" s="529"/>
    </row>
    <row r="48" s="1983" customFormat="true" ht="15" hidden="false" customHeight="false" outlineLevel="0" collapsed="false">
      <c r="A48" s="2161" t="s">
        <v>1316</v>
      </c>
      <c r="B48" s="2162"/>
      <c r="C48" s="2163"/>
      <c r="D48" s="2164"/>
      <c r="E48" s="2164"/>
      <c r="F48" s="2164"/>
      <c r="G48" s="2164"/>
      <c r="H48" s="2164"/>
      <c r="I48" s="2164"/>
      <c r="J48" s="2164"/>
      <c r="K48" s="2164"/>
      <c r="L48" s="2164"/>
      <c r="M48" s="2165"/>
      <c r="N48" s="2164"/>
      <c r="O48" s="2556"/>
      <c r="P48" s="2386"/>
      <c r="Q48" s="2386"/>
      <c r="R48" s="529"/>
      <c r="S48" s="529"/>
      <c r="T48" s="529"/>
      <c r="U48" s="529"/>
      <c r="V48" s="529"/>
      <c r="W48" s="529"/>
      <c r="X48" s="529"/>
      <c r="Y48" s="529"/>
      <c r="Z48" s="529"/>
      <c r="AA48" s="529"/>
      <c r="AB48" s="529"/>
      <c r="AC48" s="529"/>
      <c r="AD48" s="529"/>
    </row>
    <row r="49" s="1983" customFormat="true" ht="15" hidden="false" customHeight="false" outlineLevel="0" collapsed="false">
      <c r="A49" s="2166" t="s">
        <v>1278</v>
      </c>
      <c r="B49" s="2167"/>
      <c r="C49" s="2168" t="s">
        <v>1279</v>
      </c>
      <c r="D49" s="2169"/>
      <c r="E49" s="2169"/>
      <c r="F49" s="2169"/>
      <c r="G49" s="2169"/>
      <c r="H49" s="2169"/>
      <c r="I49" s="2169"/>
      <c r="J49" s="2169"/>
      <c r="K49" s="2169"/>
      <c r="L49" s="2170"/>
      <c r="M49" s="2171"/>
      <c r="N49" s="2392"/>
      <c r="O49" s="2392"/>
      <c r="P49" s="831"/>
      <c r="Q49" s="2386"/>
      <c r="R49" s="529"/>
      <c r="S49" s="529"/>
      <c r="T49" s="529"/>
      <c r="U49" s="529"/>
      <c r="V49" s="529"/>
      <c r="W49" s="529"/>
      <c r="X49" s="529"/>
      <c r="Y49" s="529"/>
      <c r="Z49" s="529"/>
      <c r="AA49" s="529"/>
      <c r="AB49" s="529"/>
      <c r="AC49" s="529"/>
      <c r="AD49" s="529"/>
    </row>
    <row r="50" s="1983" customFormat="true" ht="15" hidden="false" customHeight="false" outlineLevel="0" collapsed="false">
      <c r="A50" s="2166"/>
      <c r="B50" s="2167"/>
      <c r="C50" s="2491" t="n">
        <v>100</v>
      </c>
      <c r="D50" s="2159"/>
      <c r="E50" s="2159"/>
      <c r="F50" s="2159"/>
      <c r="G50" s="2159"/>
      <c r="H50" s="2159"/>
      <c r="I50" s="2159"/>
      <c r="J50" s="2159"/>
      <c r="K50" s="2159"/>
      <c r="L50" s="2159"/>
      <c r="M50" s="2174"/>
      <c r="N50" s="2392"/>
      <c r="O50" s="2392"/>
      <c r="P50" s="2386"/>
      <c r="Q50" s="2386"/>
      <c r="R50" s="529"/>
      <c r="S50" s="529"/>
      <c r="T50" s="529"/>
      <c r="U50" s="529"/>
      <c r="V50" s="529"/>
      <c r="W50" s="529"/>
      <c r="X50" s="529"/>
      <c r="Y50" s="529"/>
      <c r="Z50" s="529"/>
      <c r="AA50" s="529"/>
      <c r="AB50" s="529"/>
      <c r="AC50" s="529"/>
      <c r="AD50" s="529"/>
    </row>
    <row r="51" customFormat="false" ht="14.25" hidden="false" customHeight="false" outlineLevel="0" collapsed="false">
      <c r="A51" s="2175" t="s">
        <v>1280</v>
      </c>
      <c r="B51" s="2176" t="s">
        <v>399</v>
      </c>
      <c r="C51" s="2177" t="n">
        <f aca="false">C9</f>
        <v>0</v>
      </c>
      <c r="D51" s="2178"/>
      <c r="E51" s="2178"/>
      <c r="F51" s="2178"/>
      <c r="G51" s="2178"/>
      <c r="H51" s="2178"/>
      <c r="I51" s="2178"/>
      <c r="J51" s="2178"/>
      <c r="K51" s="2179"/>
      <c r="L51" s="2180"/>
      <c r="M51" s="2181"/>
      <c r="N51" s="2394"/>
      <c r="O51" s="2394"/>
      <c r="P51" s="2557"/>
      <c r="Q51" s="2386"/>
      <c r="R51" s="2110"/>
      <c r="S51" s="2110"/>
      <c r="T51" s="2110"/>
      <c r="U51" s="2110"/>
      <c r="V51" s="2110"/>
      <c r="W51" s="2110"/>
      <c r="X51" s="2110"/>
      <c r="Y51" s="2110"/>
      <c r="Z51" s="2110"/>
      <c r="AA51" s="2110"/>
      <c r="AB51" s="2110"/>
      <c r="AC51" s="2110"/>
      <c r="AD51" s="2110"/>
    </row>
    <row r="52" customFormat="false" ht="15" hidden="false" customHeight="false" outlineLevel="0" collapsed="false">
      <c r="A52" s="2184"/>
      <c r="B52" s="2185"/>
      <c r="C52" s="2186" t="n">
        <v>100</v>
      </c>
      <c r="D52" s="2186"/>
      <c r="E52" s="2186"/>
      <c r="F52" s="2186"/>
      <c r="G52" s="2186"/>
      <c r="H52" s="2186"/>
      <c r="I52" s="2186"/>
      <c r="J52" s="2186"/>
      <c r="K52" s="2186"/>
      <c r="L52" s="2186"/>
      <c r="M52" s="2187"/>
      <c r="N52" s="2396"/>
      <c r="O52" s="2396"/>
      <c r="P52" s="2557"/>
      <c r="Q52" s="2386"/>
      <c r="R52" s="2110"/>
      <c r="S52" s="2110"/>
      <c r="T52" s="2110"/>
      <c r="U52" s="2110"/>
      <c r="V52" s="2110"/>
      <c r="W52" s="2110"/>
      <c r="X52" s="2110"/>
      <c r="Y52" s="2110"/>
      <c r="Z52" s="2110"/>
      <c r="AA52" s="2110"/>
      <c r="AB52" s="2110"/>
      <c r="AC52" s="2110"/>
      <c r="AD52" s="2110"/>
    </row>
    <row r="53" customFormat="false" ht="27" hidden="false" customHeight="false" outlineLevel="0" collapsed="false">
      <c r="A53" s="2184"/>
      <c r="B53" s="2189" t="s">
        <v>1281</v>
      </c>
      <c r="C53" s="2190"/>
      <c r="D53" s="2190"/>
      <c r="E53" s="2190"/>
      <c r="F53" s="2190"/>
      <c r="G53" s="2190"/>
      <c r="H53" s="2190"/>
      <c r="I53" s="2190"/>
      <c r="J53" s="2190"/>
      <c r="K53" s="2246"/>
      <c r="L53" s="2247"/>
      <c r="M53" s="2248"/>
      <c r="N53" s="2394"/>
      <c r="O53" s="2394"/>
      <c r="P53" s="2557"/>
      <c r="Q53" s="2386"/>
      <c r="R53" s="2110"/>
      <c r="S53" s="2110"/>
      <c r="T53" s="2110"/>
      <c r="U53" s="2110"/>
      <c r="V53" s="2110"/>
      <c r="W53" s="2110"/>
      <c r="X53" s="2110"/>
      <c r="Y53" s="2110"/>
      <c r="Z53" s="2110"/>
      <c r="AA53" s="2110"/>
      <c r="AB53" s="2110"/>
      <c r="AC53" s="2110"/>
      <c r="AD53" s="2110"/>
    </row>
    <row r="54" customFormat="false" ht="15" hidden="false" customHeight="false" outlineLevel="0" collapsed="false">
      <c r="A54" s="2184"/>
      <c r="B54" s="2191"/>
      <c r="C54" s="2186"/>
      <c r="D54" s="2186"/>
      <c r="E54" s="2186"/>
      <c r="F54" s="2186"/>
      <c r="G54" s="2186"/>
      <c r="H54" s="2186"/>
      <c r="I54" s="2186"/>
      <c r="J54" s="2186"/>
      <c r="K54" s="2186"/>
      <c r="L54" s="2186"/>
      <c r="M54" s="2187"/>
      <c r="N54" s="2396"/>
      <c r="O54" s="2396"/>
      <c r="P54" s="2557"/>
      <c r="Q54" s="2386"/>
      <c r="R54" s="2110"/>
      <c r="S54" s="2110"/>
      <c r="T54" s="2110"/>
      <c r="U54" s="2110"/>
      <c r="V54" s="2110"/>
      <c r="W54" s="2110"/>
      <c r="X54" s="2110"/>
      <c r="Y54" s="2110"/>
      <c r="Z54" s="2110"/>
      <c r="AA54" s="2110"/>
      <c r="AB54" s="2110"/>
      <c r="AC54" s="2110"/>
      <c r="AD54" s="2110"/>
    </row>
    <row r="55" customFormat="false" ht="15" hidden="false" customHeight="false" outlineLevel="0" collapsed="false">
      <c r="A55" s="2184"/>
      <c r="B55" s="2235" t="n">
        <f aca="false">B11</f>
        <v>111</v>
      </c>
      <c r="C55" s="2195"/>
      <c r="D55" s="2195"/>
      <c r="E55" s="2195"/>
      <c r="F55" s="2195"/>
      <c r="G55" s="2195"/>
      <c r="H55" s="2195"/>
      <c r="I55" s="2195"/>
      <c r="J55" s="2195"/>
      <c r="K55" s="2196"/>
      <c r="L55" s="2197"/>
      <c r="M55" s="2198"/>
      <c r="N55" s="2394"/>
      <c r="O55" s="2394"/>
      <c r="P55" s="2557"/>
      <c r="Q55" s="2386"/>
      <c r="R55" s="2110"/>
      <c r="S55" s="2110"/>
      <c r="T55" s="2110"/>
      <c r="U55" s="2110"/>
      <c r="V55" s="2110"/>
      <c r="W55" s="2110"/>
      <c r="X55" s="2110"/>
      <c r="Y55" s="2110"/>
      <c r="Z55" s="2110"/>
      <c r="AA55" s="2110"/>
      <c r="AB55" s="2110"/>
      <c r="AC55" s="2110"/>
      <c r="AD55" s="2110"/>
    </row>
    <row r="56" customFormat="false" ht="15" hidden="false" customHeight="false" outlineLevel="0" collapsed="false">
      <c r="A56" s="2184"/>
      <c r="B56" s="2185"/>
      <c r="C56" s="2209"/>
      <c r="D56" s="2186"/>
      <c r="E56" s="2186"/>
      <c r="F56" s="2186"/>
      <c r="G56" s="2186"/>
      <c r="H56" s="2186"/>
      <c r="I56" s="2186"/>
      <c r="J56" s="2186"/>
      <c r="K56" s="2186"/>
      <c r="L56" s="2186"/>
      <c r="M56" s="2187"/>
      <c r="N56" s="2396"/>
      <c r="O56" s="2396"/>
      <c r="P56" s="2557"/>
      <c r="Q56" s="2386"/>
      <c r="R56" s="2110"/>
      <c r="S56" s="2110"/>
      <c r="T56" s="2110"/>
      <c r="U56" s="2110"/>
      <c r="V56" s="2110"/>
      <c r="W56" s="2110"/>
      <c r="X56" s="2110"/>
      <c r="Y56" s="2110"/>
      <c r="Z56" s="2110"/>
      <c r="AA56" s="2110"/>
      <c r="AB56" s="2110"/>
      <c r="AC56" s="2110"/>
      <c r="AD56" s="2110"/>
    </row>
    <row r="57" s="2088" customFormat="true" ht="15" hidden="false" customHeight="false" outlineLevel="0" collapsed="false">
      <c r="A57" s="2201"/>
      <c r="B57" s="2189" t="n">
        <f aca="false">B12</f>
        <v>111</v>
      </c>
      <c r="C57" s="2195"/>
      <c r="D57" s="2195"/>
      <c r="E57" s="2195"/>
      <c r="F57" s="2195"/>
      <c r="G57" s="2202"/>
      <c r="H57" s="2203"/>
      <c r="I57" s="2203"/>
      <c r="J57" s="2203"/>
      <c r="K57" s="2203"/>
      <c r="L57" s="2204"/>
      <c r="M57" s="2205"/>
      <c r="N57" s="2397"/>
      <c r="O57" s="2397"/>
      <c r="P57" s="2558"/>
      <c r="Q57" s="2399"/>
      <c r="R57" s="791"/>
      <c r="S57" s="791"/>
      <c r="T57" s="791"/>
      <c r="U57" s="791"/>
      <c r="V57" s="791"/>
      <c r="W57" s="791"/>
      <c r="X57" s="791"/>
      <c r="Y57" s="791"/>
      <c r="Z57" s="791"/>
      <c r="AA57" s="791"/>
      <c r="AB57" s="791"/>
      <c r="AC57" s="791"/>
      <c r="AD57" s="791"/>
    </row>
    <row r="58" s="2088" customFormat="true" ht="15" hidden="false" customHeight="false" outlineLevel="0" collapsed="false">
      <c r="A58" s="2201"/>
      <c r="B58" s="2191"/>
      <c r="C58" s="2209"/>
      <c r="D58" s="2186"/>
      <c r="E58" s="2186"/>
      <c r="F58" s="2186"/>
      <c r="G58" s="2186"/>
      <c r="H58" s="2186"/>
      <c r="I58" s="2186"/>
      <c r="J58" s="2186"/>
      <c r="K58" s="2186"/>
      <c r="L58" s="2186"/>
      <c r="M58" s="2187"/>
      <c r="N58" s="2396"/>
      <c r="O58" s="2396"/>
      <c r="P58" s="2558"/>
      <c r="Q58" s="2399"/>
      <c r="R58" s="791"/>
      <c r="S58" s="791"/>
      <c r="T58" s="791"/>
      <c r="U58" s="791"/>
      <c r="V58" s="791"/>
      <c r="W58" s="791"/>
      <c r="X58" s="791"/>
      <c r="Y58" s="791"/>
      <c r="Z58" s="791"/>
      <c r="AA58" s="791"/>
      <c r="AB58" s="791"/>
      <c r="AC58" s="791"/>
      <c r="AD58" s="791"/>
    </row>
    <row r="59" s="2088" customFormat="true" ht="15" hidden="false" customHeight="false" outlineLevel="0" collapsed="false">
      <c r="A59" s="2201"/>
      <c r="B59" s="2189" t="n">
        <f aca="false">B13</f>
        <v>111</v>
      </c>
      <c r="C59" s="2195"/>
      <c r="D59" s="2195"/>
      <c r="E59" s="2195"/>
      <c r="F59" s="2195"/>
      <c r="G59" s="2202"/>
      <c r="H59" s="2203"/>
      <c r="I59" s="2203"/>
      <c r="J59" s="2203"/>
      <c r="K59" s="2203"/>
      <c r="L59" s="2204"/>
      <c r="M59" s="2205"/>
      <c r="N59" s="2397"/>
      <c r="O59" s="2397"/>
      <c r="P59" s="2082"/>
      <c r="Q59" s="2401"/>
      <c r="R59" s="791"/>
      <c r="S59" s="791"/>
      <c r="T59" s="791"/>
      <c r="U59" s="791"/>
      <c r="V59" s="791"/>
      <c r="W59" s="791"/>
      <c r="X59" s="791"/>
      <c r="Y59" s="791"/>
      <c r="Z59" s="791"/>
      <c r="AA59" s="791"/>
      <c r="AB59" s="791"/>
      <c r="AC59" s="791"/>
      <c r="AD59" s="791"/>
    </row>
    <row r="60" s="2088" customFormat="true" ht="15" hidden="false" customHeight="false" outlineLevel="0" collapsed="false">
      <c r="A60" s="2201"/>
      <c r="B60" s="2191"/>
      <c r="C60" s="2209"/>
      <c r="D60" s="2209"/>
      <c r="E60" s="2209"/>
      <c r="F60" s="2209"/>
      <c r="G60" s="2209"/>
      <c r="H60" s="2212"/>
      <c r="I60" s="2212"/>
      <c r="J60" s="2212"/>
      <c r="K60" s="2212"/>
      <c r="L60" s="2212"/>
      <c r="M60" s="2213"/>
      <c r="N60" s="2397"/>
      <c r="O60" s="2397"/>
      <c r="P60" s="2558"/>
      <c r="Q60" s="2399"/>
      <c r="R60" s="791"/>
      <c r="S60" s="791"/>
      <c r="T60" s="791"/>
      <c r="U60" s="791"/>
      <c r="V60" s="791"/>
      <c r="W60" s="791"/>
      <c r="X60" s="791"/>
      <c r="Y60" s="791"/>
      <c r="Z60" s="791"/>
      <c r="AA60" s="791"/>
      <c r="AB60" s="791"/>
      <c r="AC60" s="791"/>
      <c r="AD60" s="791"/>
    </row>
    <row r="61" customFormat="false" ht="14.25" hidden="false" customHeight="false" outlineLevel="0" collapsed="false">
      <c r="A61" s="2175" t="s">
        <v>648</v>
      </c>
      <c r="B61" s="2176" t="s">
        <v>216</v>
      </c>
      <c r="C61" s="2223" t="s">
        <v>231</v>
      </c>
      <c r="D61" s="2223" t="s">
        <v>241</v>
      </c>
      <c r="E61" s="2223" t="s">
        <v>250</v>
      </c>
      <c r="F61" s="2223" t="s">
        <v>258</v>
      </c>
      <c r="G61" s="2223" t="s">
        <v>265</v>
      </c>
      <c r="H61" s="2177"/>
      <c r="I61" s="2177"/>
      <c r="J61" s="2177"/>
      <c r="K61" s="2224"/>
      <c r="L61" s="2225"/>
      <c r="M61" s="2226"/>
      <c r="N61" s="2394"/>
      <c r="O61" s="2394"/>
      <c r="P61" s="870"/>
      <c r="Q61" s="2386"/>
      <c r="R61" s="2110"/>
      <c r="S61" s="2110"/>
      <c r="T61" s="2110"/>
      <c r="U61" s="2110"/>
      <c r="V61" s="2110"/>
      <c r="W61" s="2110"/>
      <c r="X61" s="2110"/>
      <c r="Y61" s="2110"/>
      <c r="Z61" s="2110"/>
      <c r="AA61" s="2110"/>
      <c r="AB61" s="2110"/>
      <c r="AC61" s="2110"/>
      <c r="AD61" s="2110"/>
    </row>
    <row r="62" customFormat="false" ht="15" hidden="false" customHeight="false" outlineLevel="0" collapsed="false">
      <c r="A62" s="2184"/>
      <c r="B62" s="2191"/>
      <c r="C62" s="2199" t="n">
        <v>100</v>
      </c>
      <c r="D62" s="2199" t="n">
        <f aca="false">C62-$K14</f>
        <v>100</v>
      </c>
      <c r="E62" s="2199" t="n">
        <f aca="false">D62-$K14</f>
        <v>100</v>
      </c>
      <c r="F62" s="2199" t="n">
        <f aca="false">E62-$K14</f>
        <v>100</v>
      </c>
      <c r="G62" s="2199" t="n">
        <f aca="false">F62-$K14</f>
        <v>100</v>
      </c>
      <c r="H62" s="2199"/>
      <c r="I62" s="2199"/>
      <c r="J62" s="2199"/>
      <c r="K62" s="2199"/>
      <c r="L62" s="2199"/>
      <c r="M62" s="2200"/>
      <c r="N62" s="2396"/>
      <c r="O62" s="2396"/>
      <c r="P62" s="2557"/>
      <c r="Q62" s="2386"/>
      <c r="R62" s="2110"/>
      <c r="S62" s="2110"/>
      <c r="T62" s="2110"/>
      <c r="U62" s="2110"/>
      <c r="V62" s="2110"/>
      <c r="W62" s="2110"/>
      <c r="X62" s="2110"/>
      <c r="Y62" s="2110"/>
      <c r="Z62" s="2110"/>
      <c r="AA62" s="2110"/>
      <c r="AB62" s="2110"/>
      <c r="AC62" s="2110"/>
      <c r="AD62" s="2110"/>
    </row>
    <row r="63" customFormat="false" ht="27" hidden="false" customHeight="false" outlineLevel="0" collapsed="false">
      <c r="A63" s="2184"/>
      <c r="B63" s="2189" t="s">
        <v>1571</v>
      </c>
      <c r="C63" s="2228" t="s">
        <v>231</v>
      </c>
      <c r="D63" s="2228" t="s">
        <v>241</v>
      </c>
      <c r="E63" s="2228" t="s">
        <v>250</v>
      </c>
      <c r="F63" s="2228" t="s">
        <v>258</v>
      </c>
      <c r="G63" s="2228" t="s">
        <v>265</v>
      </c>
      <c r="H63" s="2229"/>
      <c r="I63" s="2229"/>
      <c r="J63" s="2229"/>
      <c r="K63" s="2230"/>
      <c r="L63" s="2231"/>
      <c r="M63" s="2232"/>
      <c r="N63" s="2394"/>
      <c r="O63" s="2394"/>
      <c r="P63" s="2557"/>
      <c r="Q63" s="2386"/>
      <c r="R63" s="2110"/>
      <c r="S63" s="2110"/>
      <c r="T63" s="2110"/>
      <c r="U63" s="2110"/>
      <c r="V63" s="2110"/>
      <c r="W63" s="2110"/>
      <c r="X63" s="2110"/>
      <c r="Y63" s="2110"/>
      <c r="Z63" s="2110"/>
      <c r="AA63" s="2110"/>
      <c r="AB63" s="2110"/>
      <c r="AC63" s="2110"/>
      <c r="AD63" s="2110"/>
    </row>
    <row r="64" customFormat="false" ht="15" hidden="false" customHeight="false" outlineLevel="0" collapsed="false">
      <c r="A64" s="2184"/>
      <c r="B64" s="2191"/>
      <c r="C64" s="2199" t="n">
        <v>100</v>
      </c>
      <c r="D64" s="2199" t="n">
        <f aca="false">C64-$K16</f>
        <v>100</v>
      </c>
      <c r="E64" s="2199" t="n">
        <f aca="false">D64-$K16</f>
        <v>100</v>
      </c>
      <c r="F64" s="2199" t="n">
        <f aca="false">E64-$K16</f>
        <v>100</v>
      </c>
      <c r="G64" s="2199" t="n">
        <f aca="false">F64-$K16</f>
        <v>100</v>
      </c>
      <c r="H64" s="2199"/>
      <c r="I64" s="2199"/>
      <c r="J64" s="2199"/>
      <c r="K64" s="2199"/>
      <c r="L64" s="2199"/>
      <c r="M64" s="2200"/>
      <c r="N64" s="2396"/>
      <c r="O64" s="2396"/>
      <c r="P64" s="2557"/>
      <c r="Q64" s="2386"/>
      <c r="R64" s="2110"/>
      <c r="S64" s="2110"/>
      <c r="T64" s="2110"/>
      <c r="U64" s="2110"/>
      <c r="V64" s="2110"/>
      <c r="W64" s="2110"/>
      <c r="X64" s="2110"/>
      <c r="Y64" s="2110"/>
      <c r="Z64" s="2110"/>
      <c r="AA64" s="2110"/>
      <c r="AB64" s="2110"/>
      <c r="AC64" s="2110"/>
      <c r="AD64" s="2110"/>
    </row>
    <row r="65" customFormat="false" ht="15" hidden="false" customHeight="false" outlineLevel="0" collapsed="false">
      <c r="A65" s="2184"/>
      <c r="B65" s="2192" t="s">
        <v>219</v>
      </c>
      <c r="C65" s="2404" t="s">
        <v>232</v>
      </c>
      <c r="D65" s="2404" t="s">
        <v>242</v>
      </c>
      <c r="E65" s="2404" t="s">
        <v>251</v>
      </c>
      <c r="F65" s="2404" t="s">
        <v>259</v>
      </c>
      <c r="G65" s="2404" t="s">
        <v>266</v>
      </c>
      <c r="H65" s="2229"/>
      <c r="I65" s="2229"/>
      <c r="J65" s="2229"/>
      <c r="K65" s="2229"/>
      <c r="L65" s="2229"/>
      <c r="M65" s="2234"/>
      <c r="N65" s="2396"/>
      <c r="O65" s="2396"/>
      <c r="P65" s="2557"/>
      <c r="Q65" s="2386"/>
      <c r="R65" s="2110"/>
      <c r="S65" s="2110"/>
      <c r="T65" s="2110"/>
      <c r="U65" s="2110"/>
      <c r="V65" s="2110"/>
      <c r="W65" s="2110"/>
      <c r="X65" s="2110"/>
      <c r="Y65" s="2110"/>
      <c r="Z65" s="2110"/>
      <c r="AA65" s="2110"/>
      <c r="AB65" s="2110"/>
      <c r="AC65" s="2110"/>
      <c r="AD65" s="2110"/>
    </row>
    <row r="66" customFormat="false" ht="15" hidden="false" customHeight="false" outlineLevel="0" collapsed="false">
      <c r="A66" s="2184"/>
      <c r="B66" s="2192"/>
      <c r="C66" s="2199" t="n">
        <v>100</v>
      </c>
      <c r="D66" s="2199" t="n">
        <f aca="false">C66-$K18</f>
        <v>100</v>
      </c>
      <c r="E66" s="2199" t="n">
        <f aca="false">D66-$K18</f>
        <v>100</v>
      </c>
      <c r="F66" s="2199" t="n">
        <f aca="false">E66-$K18</f>
        <v>100</v>
      </c>
      <c r="G66" s="2199" t="n">
        <f aca="false">F66-$K18</f>
        <v>100</v>
      </c>
      <c r="H66" s="2235"/>
      <c r="I66" s="2235"/>
      <c r="J66" s="2235"/>
      <c r="K66" s="2235"/>
      <c r="L66" s="2235"/>
      <c r="M66" s="2048"/>
      <c r="N66" s="2396"/>
      <c r="O66" s="2396"/>
      <c r="P66" s="2557"/>
      <c r="Q66" s="2386"/>
      <c r="R66" s="2110"/>
      <c r="S66" s="2110"/>
      <c r="T66" s="2110"/>
      <c r="U66" s="2110"/>
      <c r="V66" s="2110"/>
      <c r="W66" s="2110"/>
      <c r="X66" s="2110"/>
      <c r="Y66" s="2110"/>
      <c r="Z66" s="2110"/>
      <c r="AA66" s="2110"/>
      <c r="AB66" s="2110"/>
      <c r="AC66" s="2110"/>
      <c r="AD66" s="2110"/>
    </row>
    <row r="67" customFormat="false" ht="15" hidden="false" customHeight="false" outlineLevel="0" collapsed="false">
      <c r="A67" s="2184"/>
      <c r="B67" s="2189" t="s">
        <v>658</v>
      </c>
      <c r="C67" s="2228" t="s">
        <v>231</v>
      </c>
      <c r="D67" s="2228" t="s">
        <v>241</v>
      </c>
      <c r="E67" s="2228" t="s">
        <v>250</v>
      </c>
      <c r="F67" s="2228" t="s">
        <v>258</v>
      </c>
      <c r="G67" s="2228" t="s">
        <v>265</v>
      </c>
      <c r="H67" s="2229"/>
      <c r="I67" s="2229"/>
      <c r="J67" s="2229"/>
      <c r="K67" s="2230"/>
      <c r="L67" s="2231"/>
      <c r="M67" s="2232"/>
      <c r="N67" s="2394"/>
      <c r="O67" s="2394"/>
      <c r="P67" s="2557"/>
      <c r="Q67" s="2386"/>
      <c r="R67" s="2110"/>
      <c r="S67" s="2110"/>
      <c r="T67" s="2110"/>
      <c r="U67" s="2110"/>
      <c r="V67" s="2110"/>
      <c r="W67" s="2110"/>
      <c r="X67" s="2110"/>
      <c r="Y67" s="2110"/>
      <c r="Z67" s="2110"/>
      <c r="AA67" s="2110"/>
      <c r="AB67" s="2110"/>
      <c r="AC67" s="2110"/>
      <c r="AD67" s="2110"/>
    </row>
    <row r="68" customFormat="false" ht="15" hidden="false" customHeight="false" outlineLevel="0" collapsed="false">
      <c r="A68" s="2184"/>
      <c r="B68" s="2191"/>
      <c r="C68" s="2199" t="n">
        <v>100</v>
      </c>
      <c r="D68" s="2199" t="n">
        <f aca="false">C68-$K20</f>
        <v>100</v>
      </c>
      <c r="E68" s="2199" t="n">
        <f aca="false">D68-$K20</f>
        <v>100</v>
      </c>
      <c r="F68" s="2199" t="n">
        <f aca="false">E68-$K20</f>
        <v>100</v>
      </c>
      <c r="G68" s="2199" t="n">
        <f aca="false">F68-$K20</f>
        <v>100</v>
      </c>
      <c r="H68" s="2199"/>
      <c r="I68" s="2199"/>
      <c r="J68" s="2199"/>
      <c r="K68" s="2199"/>
      <c r="L68" s="2199"/>
      <c r="M68" s="2200"/>
      <c r="N68" s="2396"/>
      <c r="O68" s="2396"/>
      <c r="P68" s="2557"/>
      <c r="Q68" s="2386"/>
      <c r="R68" s="2110"/>
      <c r="S68" s="2110"/>
      <c r="T68" s="2110"/>
      <c r="U68" s="2110"/>
      <c r="V68" s="2110"/>
      <c r="W68" s="2110"/>
      <c r="X68" s="2110"/>
      <c r="Y68" s="2110"/>
      <c r="Z68" s="2110"/>
      <c r="AA68" s="2110"/>
      <c r="AB68" s="2110"/>
      <c r="AC68" s="2110"/>
      <c r="AD68" s="2110"/>
    </row>
    <row r="69" customFormat="false" ht="15" hidden="false" customHeight="false" outlineLevel="0" collapsed="false">
      <c r="A69" s="2184"/>
      <c r="B69" s="2189" t="s">
        <v>1287</v>
      </c>
      <c r="C69" s="2202"/>
      <c r="D69" s="2202"/>
      <c r="E69" s="2202"/>
      <c r="F69" s="2202"/>
      <c r="G69" s="2202"/>
      <c r="H69" s="2190"/>
      <c r="I69" s="2190"/>
      <c r="J69" s="2190"/>
      <c r="K69" s="2246"/>
      <c r="L69" s="2247"/>
      <c r="M69" s="2248"/>
      <c r="N69" s="2394"/>
      <c r="O69" s="2394"/>
      <c r="P69" s="2557"/>
      <c r="Q69" s="2386"/>
      <c r="R69" s="2110"/>
      <c r="S69" s="2110"/>
      <c r="T69" s="2110"/>
      <c r="U69" s="2110"/>
      <c r="V69" s="2110"/>
      <c r="W69" s="2110"/>
      <c r="X69" s="2110"/>
      <c r="Y69" s="2110"/>
      <c r="Z69" s="2110"/>
      <c r="AA69" s="2110"/>
      <c r="AB69" s="2110"/>
      <c r="AC69" s="2110"/>
      <c r="AD69" s="2110"/>
    </row>
    <row r="70" customFormat="false" ht="15" hidden="false" customHeight="false" outlineLevel="0" collapsed="false">
      <c r="A70" s="2184"/>
      <c r="B70" s="2191"/>
      <c r="C70" s="2199" t="n">
        <v>100</v>
      </c>
      <c r="D70" s="2199" t="n">
        <f aca="false">C70-$K22</f>
        <v>100</v>
      </c>
      <c r="E70" s="2199"/>
      <c r="F70" s="2199"/>
      <c r="G70" s="2199"/>
      <c r="H70" s="2199"/>
      <c r="I70" s="2199"/>
      <c r="J70" s="2199"/>
      <c r="K70" s="2199"/>
      <c r="L70" s="2199"/>
      <c r="M70" s="2200"/>
      <c r="N70" s="2396"/>
      <c r="O70" s="2396"/>
      <c r="P70" s="2557"/>
      <c r="Q70" s="2386"/>
      <c r="R70" s="2110"/>
      <c r="S70" s="2110"/>
      <c r="T70" s="2110"/>
      <c r="U70" s="2110"/>
      <c r="V70" s="2110"/>
      <c r="W70" s="2110"/>
      <c r="X70" s="2110"/>
      <c r="Y70" s="2110"/>
      <c r="Z70" s="2110"/>
      <c r="AA70" s="2110"/>
      <c r="AB70" s="2110"/>
      <c r="AC70" s="2110"/>
      <c r="AD70" s="2110"/>
    </row>
    <row r="71" s="1983" customFormat="true" ht="15" hidden="false" customHeight="false" outlineLevel="0" collapsed="false">
      <c r="A71" s="2236"/>
      <c r="B71" s="2189" t="n">
        <f aca="false">B23</f>
        <v>111</v>
      </c>
      <c r="C71" s="2195"/>
      <c r="D71" s="2195"/>
      <c r="E71" s="2195"/>
      <c r="F71" s="2195"/>
      <c r="G71" s="2202"/>
      <c r="H71" s="2202"/>
      <c r="I71" s="2202"/>
      <c r="J71" s="2202"/>
      <c r="K71" s="2202"/>
      <c r="L71" s="2237"/>
      <c r="M71" s="2238"/>
      <c r="N71" s="2392"/>
      <c r="O71" s="2392"/>
      <c r="P71" s="2557"/>
      <c r="Q71" s="2386"/>
      <c r="R71" s="529"/>
      <c r="S71" s="529"/>
      <c r="T71" s="529"/>
      <c r="U71" s="529"/>
      <c r="V71" s="529"/>
      <c r="W71" s="529"/>
      <c r="X71" s="529"/>
      <c r="Y71" s="529"/>
      <c r="Z71" s="529"/>
      <c r="AA71" s="529"/>
      <c r="AB71" s="529"/>
      <c r="AC71" s="529"/>
      <c r="AD71" s="529"/>
    </row>
    <row r="72" s="1983" customFormat="true" ht="15" hidden="false" customHeight="false" outlineLevel="0" collapsed="false">
      <c r="A72" s="2236"/>
      <c r="B72" s="2191"/>
      <c r="C72" s="2209"/>
      <c r="D72" s="2186"/>
      <c r="E72" s="2186"/>
      <c r="F72" s="2186"/>
      <c r="G72" s="2186"/>
      <c r="H72" s="2186"/>
      <c r="I72" s="2186"/>
      <c r="J72" s="2186"/>
      <c r="K72" s="2186"/>
      <c r="L72" s="2186"/>
      <c r="M72" s="2187"/>
      <c r="N72" s="2396"/>
      <c r="O72" s="2396"/>
      <c r="P72" s="2557"/>
      <c r="Q72" s="2386"/>
      <c r="R72" s="529"/>
      <c r="S72" s="529"/>
      <c r="T72" s="529"/>
      <c r="U72" s="529"/>
      <c r="V72" s="529"/>
      <c r="W72" s="529"/>
      <c r="X72" s="529"/>
      <c r="Y72" s="529"/>
      <c r="Z72" s="529"/>
      <c r="AA72" s="529"/>
      <c r="AB72" s="529"/>
      <c r="AC72" s="529"/>
      <c r="AD72" s="529"/>
    </row>
    <row r="73" s="1983" customFormat="true" ht="15" hidden="false" customHeight="false" outlineLevel="0" collapsed="false">
      <c r="A73" s="2236"/>
      <c r="B73" s="2189" t="n">
        <f aca="false">B24</f>
        <v>111</v>
      </c>
      <c r="C73" s="2195"/>
      <c r="D73" s="2195"/>
      <c r="E73" s="2195"/>
      <c r="F73" s="2195"/>
      <c r="G73" s="2202"/>
      <c r="H73" s="2202"/>
      <c r="I73" s="2202"/>
      <c r="J73" s="2202"/>
      <c r="K73" s="2202"/>
      <c r="L73" s="2202"/>
      <c r="M73" s="2238"/>
      <c r="N73" s="2392"/>
      <c r="O73" s="2392"/>
      <c r="P73" s="2557"/>
      <c r="Q73" s="2386"/>
      <c r="R73" s="529"/>
      <c r="S73" s="529"/>
      <c r="T73" s="529"/>
      <c r="U73" s="529"/>
      <c r="V73" s="529"/>
      <c r="W73" s="529"/>
      <c r="X73" s="529"/>
      <c r="Y73" s="529"/>
      <c r="Z73" s="529"/>
      <c r="AA73" s="529"/>
      <c r="AB73" s="529"/>
      <c r="AC73" s="529"/>
      <c r="AD73" s="529"/>
    </row>
    <row r="74" s="1983" customFormat="true" ht="15" hidden="false" customHeight="false" outlineLevel="0" collapsed="false">
      <c r="A74" s="2236"/>
      <c r="B74" s="2191"/>
      <c r="C74" s="2209"/>
      <c r="D74" s="2186"/>
      <c r="E74" s="2186"/>
      <c r="F74" s="2186"/>
      <c r="G74" s="2186"/>
      <c r="H74" s="2186"/>
      <c r="I74" s="2186"/>
      <c r="J74" s="2186"/>
      <c r="K74" s="2186"/>
      <c r="L74" s="2186"/>
      <c r="M74" s="2187"/>
      <c r="N74" s="2396"/>
      <c r="O74" s="2396"/>
      <c r="P74" s="2557"/>
      <c r="Q74" s="2386"/>
      <c r="R74" s="529"/>
      <c r="S74" s="529"/>
      <c r="T74" s="529"/>
      <c r="U74" s="529"/>
      <c r="V74" s="529"/>
      <c r="W74" s="529"/>
      <c r="X74" s="529"/>
      <c r="Y74" s="529"/>
      <c r="Z74" s="529"/>
      <c r="AA74" s="529"/>
      <c r="AB74" s="529"/>
      <c r="AC74" s="529"/>
      <c r="AD74" s="529"/>
    </row>
    <row r="75" s="2088" customFormat="true" ht="15" hidden="false" customHeight="false" outlineLevel="0" collapsed="false">
      <c r="A75" s="2201"/>
      <c r="B75" s="2189" t="n">
        <f aca="false">B25</f>
        <v>111</v>
      </c>
      <c r="C75" s="2195"/>
      <c r="D75" s="2195"/>
      <c r="E75" s="2195"/>
      <c r="F75" s="2195"/>
      <c r="G75" s="2202"/>
      <c r="H75" s="2203"/>
      <c r="I75" s="2203"/>
      <c r="J75" s="2203"/>
      <c r="K75" s="2203"/>
      <c r="L75" s="2204"/>
      <c r="M75" s="2205"/>
      <c r="N75" s="2397"/>
      <c r="O75" s="2397"/>
      <c r="P75" s="2558"/>
      <c r="Q75" s="2399"/>
      <c r="R75" s="791"/>
      <c r="S75" s="791"/>
      <c r="T75" s="791"/>
      <c r="U75" s="791"/>
      <c r="V75" s="791"/>
      <c r="W75" s="791"/>
      <c r="X75" s="791"/>
      <c r="Y75" s="791"/>
      <c r="Z75" s="791"/>
      <c r="AA75" s="791"/>
      <c r="AB75" s="791"/>
      <c r="AC75" s="791"/>
      <c r="AD75" s="791"/>
    </row>
    <row r="76" s="2088" customFormat="true" ht="15" hidden="false" customHeight="false" outlineLevel="0" collapsed="false">
      <c r="A76" s="2201"/>
      <c r="B76" s="2191"/>
      <c r="C76" s="2209"/>
      <c r="D76" s="2209"/>
      <c r="E76" s="2209"/>
      <c r="F76" s="2209"/>
      <c r="G76" s="2186"/>
      <c r="H76" s="2186"/>
      <c r="I76" s="2186"/>
      <c r="J76" s="2186"/>
      <c r="K76" s="2186"/>
      <c r="L76" s="2186"/>
      <c r="M76" s="2187"/>
      <c r="N76" s="2397"/>
      <c r="O76" s="2397"/>
      <c r="P76" s="2558"/>
      <c r="Q76" s="2399"/>
      <c r="R76" s="791"/>
      <c r="S76" s="791"/>
      <c r="T76" s="791"/>
      <c r="U76" s="791"/>
      <c r="V76" s="791"/>
      <c r="W76" s="791"/>
      <c r="X76" s="791"/>
      <c r="Y76" s="791"/>
      <c r="Z76" s="791"/>
      <c r="AA76" s="791"/>
      <c r="AB76" s="791"/>
      <c r="AC76" s="791"/>
      <c r="AD76" s="791"/>
    </row>
    <row r="77" customFormat="false" ht="14.25" hidden="false" customHeight="false" outlineLevel="0" collapsed="false">
      <c r="A77" s="2175" t="s">
        <v>1292</v>
      </c>
      <c r="B77" s="2176" t="s">
        <v>1300</v>
      </c>
      <c r="C77" s="2202"/>
      <c r="D77" s="2202"/>
      <c r="E77" s="2178"/>
      <c r="F77" s="2178"/>
      <c r="G77" s="2178"/>
      <c r="H77" s="2178"/>
      <c r="I77" s="2178"/>
      <c r="J77" s="2178"/>
      <c r="K77" s="2179"/>
      <c r="L77" s="2180"/>
      <c r="M77" s="2181"/>
      <c r="N77" s="2394"/>
      <c r="O77" s="2394"/>
      <c r="P77" s="2557"/>
      <c r="Q77" s="2386"/>
      <c r="R77" s="2110"/>
      <c r="S77" s="2110"/>
      <c r="T77" s="2110"/>
      <c r="U77" s="2110"/>
      <c r="V77" s="2110"/>
      <c r="W77" s="2110"/>
      <c r="X77" s="2110"/>
      <c r="Y77" s="2110"/>
      <c r="Z77" s="2110"/>
      <c r="AA77" s="2110"/>
      <c r="AB77" s="2110"/>
      <c r="AC77" s="2110"/>
      <c r="AD77" s="2110"/>
    </row>
    <row r="78" customFormat="false" ht="15" hidden="false" customHeight="false" outlineLevel="0" collapsed="false">
      <c r="A78" s="2184"/>
      <c r="B78" s="2191"/>
      <c r="C78" s="2199" t="n">
        <v>100</v>
      </c>
      <c r="D78" s="2199" t="n">
        <f aca="false">C78-$K26</f>
        <v>100</v>
      </c>
      <c r="E78" s="2199" t="n">
        <f aca="false">D78-$K26</f>
        <v>100</v>
      </c>
      <c r="F78" s="2199" t="n">
        <f aca="false">E78-$K26</f>
        <v>100</v>
      </c>
      <c r="G78" s="2199" t="n">
        <f aca="false">F78-$K26</f>
        <v>100</v>
      </c>
      <c r="H78" s="2199" t="n">
        <f aca="false">G78-$K26</f>
        <v>100</v>
      </c>
      <c r="I78" s="2199" t="n">
        <f aca="false">H78-$K26</f>
        <v>100</v>
      </c>
      <c r="J78" s="2199" t="n">
        <f aca="false">I78-$K26</f>
        <v>100</v>
      </c>
      <c r="K78" s="2199" t="n">
        <f aca="false">J78-$K26</f>
        <v>100</v>
      </c>
      <c r="L78" s="2199" t="n">
        <f aca="false">K78-$K26</f>
        <v>100</v>
      </c>
      <c r="M78" s="2200" t="n">
        <f aca="false">L78-$K26</f>
        <v>100</v>
      </c>
      <c r="N78" s="2396"/>
      <c r="O78" s="2396"/>
      <c r="P78" s="2557"/>
      <c r="Q78" s="2386"/>
      <c r="R78" s="2110"/>
      <c r="S78" s="2110"/>
      <c r="T78" s="2110"/>
      <c r="U78" s="2110"/>
      <c r="V78" s="2110"/>
      <c r="W78" s="2110"/>
      <c r="X78" s="2110"/>
      <c r="Y78" s="2110"/>
      <c r="Z78" s="2110"/>
      <c r="AA78" s="2110"/>
      <c r="AB78" s="2110"/>
      <c r="AC78" s="2110"/>
      <c r="AD78" s="2110"/>
    </row>
    <row r="79" customFormat="false" ht="15" hidden="false" customHeight="false" outlineLevel="0" collapsed="false">
      <c r="A79" s="2184"/>
      <c r="B79" s="2189" t="s">
        <v>949</v>
      </c>
      <c r="C79" s="2228" t="str">
        <f aca="false">C80&amp;"(含)"&amp;"-"&amp;D80</f>
        <v>0.5(含)-0.6</v>
      </c>
      <c r="D79" s="2228" t="str">
        <f aca="false">D80&amp;"(含)"&amp;"-"&amp;E80</f>
        <v>0.6(含)-0.7</v>
      </c>
      <c r="E79" s="2228" t="str">
        <f aca="false">E80&amp;"(含)"&amp;"-"&amp;F80</f>
        <v>0.7(含)-0.8</v>
      </c>
      <c r="F79" s="2228" t="str">
        <f aca="false">F80&amp;"(含)"&amp;"-"&amp;G80</f>
        <v>0.8(含)-0.9</v>
      </c>
      <c r="G79" s="2228" t="str">
        <f aca="false">G80&amp;"(含)"&amp;"-"&amp;ROUND(H80,0)&amp;"(含)"</f>
        <v>0.9(含)-1(含)</v>
      </c>
      <c r="H79" s="2228"/>
      <c r="I79" s="2229"/>
      <c r="J79" s="2229"/>
      <c r="K79" s="2230"/>
      <c r="L79" s="2231"/>
      <c r="M79" s="2232"/>
      <c r="N79" s="2392"/>
      <c r="O79" s="2392"/>
      <c r="P79" s="2557"/>
      <c r="Q79" s="2386"/>
      <c r="R79" s="2110"/>
      <c r="S79" s="2110"/>
      <c r="T79" s="2110"/>
      <c r="U79" s="2110"/>
      <c r="V79" s="2110"/>
      <c r="W79" s="2110"/>
      <c r="X79" s="2110"/>
      <c r="Y79" s="2110"/>
      <c r="Z79" s="2110"/>
      <c r="AA79" s="2110"/>
      <c r="AB79" s="2110"/>
      <c r="AC79" s="2110"/>
      <c r="AD79" s="2110"/>
    </row>
    <row r="80" customFormat="false" ht="15" hidden="false" customHeight="false" outlineLevel="0" collapsed="false">
      <c r="A80" s="2184"/>
      <c r="B80" s="2192"/>
      <c r="C80" s="2268" t="n">
        <v>0.5</v>
      </c>
      <c r="D80" s="2268" t="n">
        <v>0.6</v>
      </c>
      <c r="E80" s="2268" t="n">
        <v>0.7</v>
      </c>
      <c r="F80" s="2268" t="n">
        <v>0.8</v>
      </c>
      <c r="G80" s="2268" t="n">
        <v>0.9</v>
      </c>
      <c r="H80" s="2268" t="n">
        <v>1.0001</v>
      </c>
      <c r="I80" s="2235"/>
      <c r="J80" s="2235"/>
      <c r="K80" s="2559"/>
      <c r="L80" s="2560"/>
      <c r="M80" s="2561"/>
      <c r="N80" s="2392"/>
      <c r="O80" s="2392"/>
      <c r="P80" s="2557"/>
      <c r="Q80" s="2386"/>
      <c r="R80" s="2110"/>
      <c r="S80" s="2110"/>
      <c r="T80" s="2110"/>
      <c r="U80" s="2110"/>
      <c r="V80" s="2110"/>
      <c r="W80" s="2110"/>
      <c r="X80" s="2110"/>
      <c r="Y80" s="2110"/>
      <c r="Z80" s="2110"/>
      <c r="AA80" s="2110"/>
      <c r="AB80" s="2110"/>
      <c r="AC80" s="2110"/>
      <c r="AD80" s="2110"/>
    </row>
    <row r="81" s="2088" customFormat="true" ht="15" hidden="false" customHeight="false" outlineLevel="0" collapsed="false">
      <c r="A81" s="2201"/>
      <c r="B81" s="2191"/>
      <c r="C81" s="2239" t="n">
        <v>100</v>
      </c>
      <c r="D81" s="2199" t="n">
        <f aca="false">C81+$K27</f>
        <v>100</v>
      </c>
      <c r="E81" s="2199" t="n">
        <f aca="false">D81+$K27</f>
        <v>100</v>
      </c>
      <c r="F81" s="2199" t="n">
        <f aca="false">E81+$K27</f>
        <v>100</v>
      </c>
      <c r="G81" s="2199" t="n">
        <f aca="false">F81+$K27</f>
        <v>100</v>
      </c>
      <c r="H81" s="2199" t="n">
        <f aca="false">G81+$K27</f>
        <v>100</v>
      </c>
      <c r="I81" s="2199" t="n">
        <f aca="false">H81+$K27</f>
        <v>100</v>
      </c>
      <c r="J81" s="2199" t="n">
        <f aca="false">I81+$K27</f>
        <v>100</v>
      </c>
      <c r="K81" s="2199" t="n">
        <f aca="false">J81+$K27</f>
        <v>100</v>
      </c>
      <c r="L81" s="2199" t="n">
        <f aca="false">K81+$K27</f>
        <v>100</v>
      </c>
      <c r="M81" s="2199" t="n">
        <f aca="false">L81+$K27</f>
        <v>100</v>
      </c>
      <c r="N81" s="2396"/>
      <c r="O81" s="2396"/>
      <c r="P81" s="2558"/>
      <c r="Q81" s="2399"/>
      <c r="R81" s="791"/>
      <c r="S81" s="791"/>
      <c r="T81" s="791"/>
      <c r="U81" s="791"/>
      <c r="V81" s="791"/>
      <c r="W81" s="791"/>
      <c r="X81" s="791"/>
      <c r="Y81" s="791"/>
      <c r="Z81" s="791"/>
      <c r="AA81" s="791"/>
      <c r="AB81" s="791"/>
      <c r="AC81" s="791"/>
      <c r="AD81" s="791"/>
    </row>
    <row r="82" customFormat="false" ht="14.25" hidden="false" customHeight="false" outlineLevel="0" collapsed="false">
      <c r="A82" s="2263"/>
      <c r="B82" s="2192" t="s">
        <v>1562</v>
      </c>
      <c r="C82" s="2202"/>
      <c r="D82" s="2202"/>
      <c r="E82" s="2190"/>
      <c r="F82" s="2190"/>
      <c r="G82" s="2190"/>
      <c r="H82" s="2190"/>
      <c r="I82" s="2190"/>
      <c r="J82" s="2190"/>
      <c r="K82" s="2246"/>
      <c r="L82" s="2247"/>
      <c r="M82" s="2248"/>
      <c r="N82" s="2394"/>
      <c r="O82" s="2394"/>
      <c r="P82" s="2557"/>
      <c r="Q82" s="2386"/>
      <c r="R82" s="2110"/>
      <c r="S82" s="2110"/>
      <c r="T82" s="2110"/>
      <c r="U82" s="2110"/>
      <c r="V82" s="2110"/>
      <c r="W82" s="2110"/>
      <c r="X82" s="2110"/>
      <c r="Y82" s="2110"/>
      <c r="Z82" s="2110"/>
      <c r="AA82" s="2110"/>
      <c r="AB82" s="2110"/>
      <c r="AC82" s="2110"/>
      <c r="AD82" s="2110"/>
    </row>
    <row r="83" customFormat="false" ht="15" hidden="false" customHeight="false" outlineLevel="0" collapsed="false">
      <c r="A83" s="2184"/>
      <c r="B83" s="2191"/>
      <c r="C83" s="2199" t="n">
        <v>100</v>
      </c>
      <c r="D83" s="2199" t="n">
        <f aca="false">C83-$K28</f>
        <v>100</v>
      </c>
      <c r="E83" s="2199" t="n">
        <f aca="false">D83-$K28</f>
        <v>100</v>
      </c>
      <c r="F83" s="2199" t="n">
        <f aca="false">E83-$K28</f>
        <v>100</v>
      </c>
      <c r="G83" s="2199" t="n">
        <f aca="false">F83-$K28</f>
        <v>100</v>
      </c>
      <c r="H83" s="2199" t="n">
        <f aca="false">G83-$K28</f>
        <v>100</v>
      </c>
      <c r="I83" s="2199" t="n">
        <f aca="false">H83-$K28</f>
        <v>100</v>
      </c>
      <c r="J83" s="2199" t="n">
        <f aca="false">I83-$K28</f>
        <v>100</v>
      </c>
      <c r="K83" s="2199" t="n">
        <f aca="false">J83-$K28</f>
        <v>100</v>
      </c>
      <c r="L83" s="2199" t="n">
        <f aca="false">K83-$K28</f>
        <v>100</v>
      </c>
      <c r="M83" s="2200" t="n">
        <f aca="false">L83-$K28</f>
        <v>100</v>
      </c>
      <c r="N83" s="2396"/>
      <c r="O83" s="2396"/>
      <c r="P83" s="2557"/>
      <c r="Q83" s="2386"/>
      <c r="R83" s="2110"/>
      <c r="S83" s="2110"/>
      <c r="T83" s="2110"/>
      <c r="U83" s="2110"/>
      <c r="V83" s="2110"/>
      <c r="W83" s="2110"/>
      <c r="X83" s="2110"/>
      <c r="Y83" s="2110"/>
      <c r="Z83" s="2110"/>
      <c r="AA83" s="2110"/>
      <c r="AB83" s="2110"/>
      <c r="AC83" s="2110"/>
      <c r="AD83" s="2110"/>
    </row>
    <row r="84" customFormat="false" ht="14.25" hidden="false" customHeight="false" outlineLevel="0" collapsed="false">
      <c r="A84" s="2263"/>
      <c r="B84" s="2189" t="s">
        <v>1569</v>
      </c>
      <c r="C84" s="2202"/>
      <c r="D84" s="2202"/>
      <c r="E84" s="2202"/>
      <c r="F84" s="2202"/>
      <c r="G84" s="2202"/>
      <c r="H84" s="2202"/>
      <c r="I84" s="2190"/>
      <c r="J84" s="2190"/>
      <c r="K84" s="2246"/>
      <c r="L84" s="2247"/>
      <c r="M84" s="2248"/>
      <c r="N84" s="2394"/>
      <c r="O84" s="2394"/>
      <c r="P84" s="2557"/>
      <c r="Q84" s="2386"/>
      <c r="R84" s="2110"/>
      <c r="S84" s="2110"/>
      <c r="T84" s="2110"/>
      <c r="U84" s="2110"/>
      <c r="V84" s="2110"/>
      <c r="W84" s="2110"/>
      <c r="X84" s="2110"/>
      <c r="Y84" s="2110"/>
      <c r="Z84" s="2110"/>
      <c r="AA84" s="2110"/>
      <c r="AB84" s="2110"/>
      <c r="AC84" s="2110"/>
      <c r="AD84" s="2110"/>
    </row>
    <row r="85" customFormat="false" ht="15" hidden="false" customHeight="false" outlineLevel="0" collapsed="false">
      <c r="A85" s="2184"/>
      <c r="B85" s="2191"/>
      <c r="C85" s="2239" t="n">
        <v>100</v>
      </c>
      <c r="D85" s="2199" t="n">
        <f aca="false">C85+$K29</f>
        <v>100</v>
      </c>
      <c r="E85" s="2199" t="n">
        <f aca="false">D85+$K29</f>
        <v>100</v>
      </c>
      <c r="F85" s="2199" t="n">
        <f aca="false">E85+$K29</f>
        <v>100</v>
      </c>
      <c r="G85" s="2199" t="n">
        <f aca="false">F85+$K29</f>
        <v>100</v>
      </c>
      <c r="H85" s="2199" t="n">
        <f aca="false">G85+$K29</f>
        <v>100</v>
      </c>
      <c r="I85" s="2199" t="n">
        <f aca="false">H85+$K29</f>
        <v>100</v>
      </c>
      <c r="J85" s="2199" t="n">
        <f aca="false">I85+$K29</f>
        <v>100</v>
      </c>
      <c r="K85" s="2199" t="n">
        <f aca="false">J85+$K29</f>
        <v>100</v>
      </c>
      <c r="L85" s="2199" t="n">
        <f aca="false">K85+$K29</f>
        <v>100</v>
      </c>
      <c r="M85" s="2199" t="n">
        <f aca="false">L85+$K29</f>
        <v>100</v>
      </c>
      <c r="N85" s="2396"/>
      <c r="O85" s="2396"/>
      <c r="P85" s="2557"/>
      <c r="Q85" s="2386"/>
      <c r="R85" s="2110"/>
      <c r="S85" s="2110"/>
      <c r="T85" s="2110"/>
      <c r="U85" s="2110"/>
      <c r="V85" s="2110"/>
      <c r="W85" s="2110"/>
      <c r="X85" s="2110"/>
      <c r="Y85" s="2110"/>
      <c r="Z85" s="2110"/>
      <c r="AA85" s="2110"/>
      <c r="AB85" s="2110"/>
      <c r="AC85" s="2110"/>
      <c r="AD85" s="2110"/>
    </row>
    <row r="86" customFormat="false" ht="14.25" hidden="false" customHeight="false" outlineLevel="0" collapsed="false">
      <c r="A86" s="2263"/>
      <c r="B86" s="2192" t="s">
        <v>107</v>
      </c>
      <c r="C86" s="2228" t="str">
        <f aca="false">C87&amp;"(含)"&amp;"-"&amp;D87</f>
        <v>(含)-</v>
      </c>
      <c r="D86" s="2228" t="str">
        <f aca="false">D87&amp;"(含)"&amp;"-"&amp;E87</f>
        <v>(含)-</v>
      </c>
      <c r="E86" s="2228" t="str">
        <f aca="false">E87&amp;"(含)"&amp;"-"&amp;F87</f>
        <v>(含)-</v>
      </c>
      <c r="F86" s="2228" t="str">
        <f aca="false">F87&amp;"(含)"&amp;"-"&amp;G87</f>
        <v>(含)-</v>
      </c>
      <c r="G86" s="2228" t="str">
        <f aca="false">G87&amp;"(含)"&amp;"-"&amp;H87</f>
        <v>(含)-</v>
      </c>
      <c r="H86" s="2228" t="str">
        <f aca="false">H87&amp;"(含)"&amp;"-"&amp;I87</f>
        <v>(含)-</v>
      </c>
      <c r="I86" s="2228" t="str">
        <f aca="false">I87&amp;"(含)"&amp;"-"&amp;J87</f>
        <v>(含)-</v>
      </c>
      <c r="J86" s="2228" t="str">
        <f aca="false">J87&amp;"(含)"&amp;"-"&amp;K87</f>
        <v>(含)-</v>
      </c>
      <c r="K86" s="2228" t="str">
        <f aca="false">K87&amp;"(含)"&amp;"-"&amp;L87</f>
        <v>(含)-</v>
      </c>
      <c r="L86" s="2228" t="str">
        <f aca="false">L87&amp;"(含)"&amp;"-"&amp;M87</f>
        <v>(含)-</v>
      </c>
      <c r="M86" s="2406" t="str">
        <f aca="false">M87&amp;"(含)"&amp;"-"&amp;P87</f>
        <v>(含)-</v>
      </c>
      <c r="N86" s="2394"/>
      <c r="O86" s="2394"/>
      <c r="P86" s="2557"/>
      <c r="Q86" s="2386"/>
      <c r="R86" s="2110"/>
      <c r="S86" s="2110"/>
      <c r="T86" s="2110"/>
      <c r="U86" s="2110"/>
      <c r="V86" s="2110"/>
      <c r="W86" s="2110"/>
      <c r="X86" s="2110"/>
      <c r="Y86" s="2110"/>
      <c r="Z86" s="2110"/>
      <c r="AA86" s="2110"/>
      <c r="AB86" s="2110"/>
      <c r="AC86" s="2110"/>
      <c r="AD86" s="2110"/>
    </row>
    <row r="87" customFormat="false" ht="14.25" hidden="false" customHeight="false" outlineLevel="0" collapsed="false">
      <c r="A87" s="2263"/>
      <c r="B87" s="2192"/>
      <c r="C87" s="2259"/>
      <c r="D87" s="2259"/>
      <c r="E87" s="2259"/>
      <c r="F87" s="2259"/>
      <c r="G87" s="2259"/>
      <c r="H87" s="2259"/>
      <c r="I87" s="2259"/>
      <c r="J87" s="2260"/>
      <c r="K87" s="2260"/>
      <c r="L87" s="2261"/>
      <c r="M87" s="2262"/>
      <c r="N87" s="2394"/>
      <c r="O87" s="2394"/>
      <c r="P87" s="2557"/>
      <c r="Q87" s="2386"/>
      <c r="R87" s="2110"/>
      <c r="S87" s="2110"/>
      <c r="T87" s="2110"/>
      <c r="U87" s="2110"/>
      <c r="V87" s="2110"/>
      <c r="W87" s="2110"/>
      <c r="X87" s="2110"/>
      <c r="Y87" s="2110"/>
      <c r="Z87" s="2110"/>
      <c r="AA87" s="2110"/>
      <c r="AB87" s="2110"/>
      <c r="AC87" s="2110"/>
      <c r="AD87" s="2110"/>
    </row>
    <row r="88" customFormat="false" ht="15" hidden="false" customHeight="false" outlineLevel="0" collapsed="false">
      <c r="A88" s="2184"/>
      <c r="B88" s="2191"/>
      <c r="C88" s="2209"/>
      <c r="D88" s="2186"/>
      <c r="E88" s="2186"/>
      <c r="F88" s="2186"/>
      <c r="G88" s="2186"/>
      <c r="H88" s="2186"/>
      <c r="I88" s="2186"/>
      <c r="J88" s="2186"/>
      <c r="K88" s="2186"/>
      <c r="L88" s="2186"/>
      <c r="M88" s="2186"/>
      <c r="N88" s="2396"/>
      <c r="O88" s="2396"/>
      <c r="P88" s="2557"/>
      <c r="Q88" s="2386"/>
      <c r="R88" s="2110"/>
      <c r="S88" s="2110"/>
      <c r="T88" s="2110"/>
      <c r="U88" s="2110"/>
      <c r="V88" s="2110"/>
      <c r="W88" s="2110"/>
      <c r="X88" s="2110"/>
      <c r="Y88" s="2110"/>
      <c r="Z88" s="2110"/>
      <c r="AA88" s="2110"/>
      <c r="AB88" s="2110"/>
      <c r="AC88" s="2110"/>
      <c r="AD88" s="2110"/>
    </row>
    <row r="89" s="2088" customFormat="true" ht="14.25" hidden="false" customHeight="false" outlineLevel="0" collapsed="false">
      <c r="A89" s="2257"/>
      <c r="B89" s="2189" t="s">
        <v>1570</v>
      </c>
      <c r="C89" s="2202"/>
      <c r="D89" s="2202"/>
      <c r="E89" s="2202"/>
      <c r="F89" s="2202"/>
      <c r="G89" s="2202"/>
      <c r="H89" s="2202"/>
      <c r="I89" s="2202"/>
      <c r="J89" s="2202"/>
      <c r="K89" s="2202"/>
      <c r="L89" s="2202"/>
      <c r="M89" s="2238"/>
      <c r="N89" s="2397"/>
      <c r="O89" s="2397"/>
      <c r="P89" s="2558"/>
      <c r="Q89" s="2399"/>
      <c r="R89" s="791"/>
      <c r="S89" s="791"/>
      <c r="T89" s="791"/>
      <c r="U89" s="791"/>
      <c r="V89" s="791"/>
      <c r="W89" s="791"/>
      <c r="X89" s="791"/>
      <c r="Y89" s="791"/>
      <c r="Z89" s="791"/>
      <c r="AA89" s="791"/>
      <c r="AB89" s="791"/>
      <c r="AC89" s="791"/>
      <c r="AD89" s="791"/>
    </row>
    <row r="90" s="2088" customFormat="true" ht="15" hidden="false" customHeight="false" outlineLevel="0" collapsed="false">
      <c r="A90" s="2201"/>
      <c r="B90" s="2191"/>
      <c r="C90" s="2209"/>
      <c r="D90" s="2186"/>
      <c r="E90" s="2186"/>
      <c r="F90" s="2186"/>
      <c r="G90" s="2186"/>
      <c r="H90" s="2186"/>
      <c r="I90" s="2186"/>
      <c r="J90" s="2186"/>
      <c r="K90" s="2186"/>
      <c r="L90" s="2186"/>
      <c r="M90" s="2187"/>
      <c r="N90" s="2397"/>
      <c r="O90" s="2397"/>
      <c r="P90" s="2558"/>
      <c r="Q90" s="2399"/>
      <c r="R90" s="791"/>
      <c r="S90" s="791"/>
      <c r="T90" s="791"/>
      <c r="U90" s="791"/>
      <c r="V90" s="791"/>
      <c r="W90" s="791"/>
      <c r="X90" s="791"/>
      <c r="Y90" s="791"/>
      <c r="Z90" s="791"/>
      <c r="AA90" s="791"/>
      <c r="AB90" s="791"/>
      <c r="AC90" s="791"/>
      <c r="AD90" s="791"/>
    </row>
    <row r="91" customFormat="false" ht="14.25" hidden="false" customHeight="false" outlineLevel="0" collapsed="false">
      <c r="A91" s="2263"/>
      <c r="B91" s="2189" t="n">
        <f aca="false">B32</f>
        <v>111</v>
      </c>
      <c r="C91" s="2195"/>
      <c r="D91" s="2195"/>
      <c r="E91" s="2195"/>
      <c r="F91" s="2195"/>
      <c r="G91" s="2202"/>
      <c r="H91" s="2203"/>
      <c r="I91" s="2203"/>
      <c r="J91" s="2203"/>
      <c r="K91" s="2203"/>
      <c r="L91" s="2204"/>
      <c r="M91" s="2205"/>
      <c r="N91" s="2394"/>
      <c r="O91" s="2394"/>
      <c r="P91" s="2557"/>
      <c r="Q91" s="2386"/>
      <c r="R91" s="2110"/>
      <c r="S91" s="2110"/>
      <c r="T91" s="2110"/>
      <c r="U91" s="2110"/>
      <c r="V91" s="2110"/>
      <c r="W91" s="2110"/>
      <c r="X91" s="2110"/>
      <c r="Y91" s="2110"/>
      <c r="Z91" s="2110"/>
      <c r="AA91" s="2110"/>
      <c r="AB91" s="2110"/>
      <c r="AC91" s="2110"/>
      <c r="AD91" s="2110"/>
    </row>
    <row r="92" customFormat="false" ht="15" hidden="false" customHeight="false" outlineLevel="0" collapsed="false">
      <c r="A92" s="2184"/>
      <c r="B92" s="2191"/>
      <c r="C92" s="2209"/>
      <c r="D92" s="2186"/>
      <c r="E92" s="2186"/>
      <c r="F92" s="2186"/>
      <c r="G92" s="2209"/>
      <c r="H92" s="2212"/>
      <c r="I92" s="2212"/>
      <c r="J92" s="2212"/>
      <c r="K92" s="2212"/>
      <c r="L92" s="2212"/>
      <c r="M92" s="2213"/>
      <c r="N92" s="2396"/>
      <c r="O92" s="2396"/>
      <c r="P92" s="2557"/>
      <c r="Q92" s="2386"/>
      <c r="R92" s="2110"/>
      <c r="S92" s="2110"/>
      <c r="T92" s="2110"/>
      <c r="U92" s="2110"/>
      <c r="V92" s="2110"/>
      <c r="W92" s="2110"/>
      <c r="X92" s="2110"/>
      <c r="Y92" s="2110"/>
      <c r="Z92" s="2110"/>
      <c r="AA92" s="2110"/>
      <c r="AB92" s="2110"/>
      <c r="AC92" s="2110"/>
      <c r="AD92" s="2110"/>
    </row>
    <row r="93" customFormat="false" ht="14.25" hidden="false" customHeight="false" outlineLevel="0" collapsed="false">
      <c r="A93" s="2263"/>
      <c r="B93" s="2189" t="n">
        <f aca="false">B33</f>
        <v>111</v>
      </c>
      <c r="C93" s="2195"/>
      <c r="D93" s="2195"/>
      <c r="E93" s="2195"/>
      <c r="F93" s="2195"/>
      <c r="G93" s="2202"/>
      <c r="H93" s="2203"/>
      <c r="I93" s="2203"/>
      <c r="J93" s="2203"/>
      <c r="K93" s="2203"/>
      <c r="L93" s="2204"/>
      <c r="M93" s="2205"/>
      <c r="N93" s="2394"/>
      <c r="O93" s="2394"/>
      <c r="P93" s="2557"/>
      <c r="Q93" s="2386"/>
      <c r="R93" s="2110"/>
      <c r="S93" s="2110"/>
      <c r="T93" s="2110"/>
      <c r="U93" s="2110"/>
      <c r="V93" s="2110"/>
      <c r="W93" s="2110"/>
      <c r="X93" s="2110"/>
      <c r="Y93" s="2110"/>
      <c r="Z93" s="2110"/>
      <c r="AA93" s="2110"/>
      <c r="AB93" s="2110"/>
      <c r="AC93" s="2110"/>
      <c r="AD93" s="2110"/>
    </row>
    <row r="94" customFormat="false" ht="15" hidden="false" customHeight="false" outlineLevel="0" collapsed="false">
      <c r="A94" s="2184"/>
      <c r="B94" s="2191"/>
      <c r="C94" s="2209"/>
      <c r="D94" s="2186"/>
      <c r="E94" s="2186"/>
      <c r="F94" s="2186"/>
      <c r="G94" s="2209"/>
      <c r="H94" s="2212"/>
      <c r="I94" s="2212"/>
      <c r="J94" s="2212"/>
      <c r="K94" s="2212"/>
      <c r="L94" s="2212"/>
      <c r="M94" s="2213"/>
      <c r="N94" s="2396"/>
      <c r="O94" s="2396"/>
      <c r="P94" s="2557"/>
      <c r="Q94" s="2386"/>
      <c r="R94" s="2110"/>
      <c r="S94" s="2110"/>
      <c r="T94" s="2110"/>
      <c r="U94" s="2110"/>
      <c r="V94" s="2110"/>
      <c r="W94" s="2110"/>
      <c r="X94" s="2110"/>
      <c r="Y94" s="2110"/>
      <c r="Z94" s="2110"/>
      <c r="AA94" s="2110"/>
      <c r="AB94" s="2110"/>
      <c r="AC94" s="2110"/>
      <c r="AD94" s="2110"/>
    </row>
    <row r="95" customFormat="false" ht="14.25" hidden="false" customHeight="false" outlineLevel="0" collapsed="false">
      <c r="A95" s="2263"/>
      <c r="B95" s="2457" t="n">
        <f aca="false">B34</f>
        <v>111</v>
      </c>
      <c r="C95" s="2195"/>
      <c r="D95" s="2195"/>
      <c r="E95" s="2195"/>
      <c r="F95" s="2195"/>
      <c r="G95" s="2202"/>
      <c r="H95" s="2203"/>
      <c r="I95" s="2203"/>
      <c r="J95" s="2203"/>
      <c r="K95" s="2203"/>
      <c r="L95" s="2204"/>
      <c r="M95" s="2205"/>
      <c r="N95" s="2396"/>
      <c r="O95" s="2396"/>
      <c r="P95" s="2562"/>
      <c r="Q95" s="2461"/>
      <c r="R95" s="2110"/>
      <c r="S95" s="2110"/>
      <c r="T95" s="2110"/>
      <c r="U95" s="2110"/>
      <c r="V95" s="2110"/>
      <c r="W95" s="2110"/>
      <c r="X95" s="2110"/>
      <c r="Y95" s="2110"/>
      <c r="Z95" s="2110"/>
      <c r="AA95" s="2110"/>
      <c r="AB95" s="2110"/>
      <c r="AC95" s="2110"/>
      <c r="AD95" s="2110"/>
    </row>
    <row r="96" customFormat="false" ht="15" hidden="false" customHeight="false" outlineLevel="0" collapsed="false">
      <c r="A96" s="2184"/>
      <c r="B96" s="2191"/>
      <c r="C96" s="2209"/>
      <c r="D96" s="2209"/>
      <c r="E96" s="2209"/>
      <c r="F96" s="2209"/>
      <c r="G96" s="2209"/>
      <c r="H96" s="2212"/>
      <c r="I96" s="2212"/>
      <c r="J96" s="2212"/>
      <c r="K96" s="2212"/>
      <c r="L96" s="2212"/>
      <c r="M96" s="2213"/>
      <c r="N96" s="2396"/>
      <c r="O96" s="2396"/>
      <c r="P96" s="2557"/>
      <c r="Q96" s="2386"/>
      <c r="R96" s="2110"/>
      <c r="S96" s="2110"/>
      <c r="T96" s="2110"/>
      <c r="U96" s="2110"/>
      <c r="V96" s="2110"/>
      <c r="W96" s="2110"/>
      <c r="X96" s="2110"/>
      <c r="Y96" s="2110"/>
      <c r="Z96" s="2110"/>
      <c r="AA96" s="2110"/>
      <c r="AB96" s="2110"/>
      <c r="AC96" s="2110"/>
      <c r="AD96" s="2110"/>
    </row>
    <row r="97" customFormat="false" ht="14.25" hidden="false" customHeight="false" outlineLevel="0" collapsed="false">
      <c r="N97" s="2110"/>
      <c r="O97" s="2110"/>
      <c r="P97" s="2110"/>
      <c r="Q97" s="2110"/>
      <c r="R97" s="2110"/>
      <c r="S97" s="2110"/>
      <c r="T97" s="2110"/>
      <c r="U97" s="2110"/>
      <c r="V97" s="2110"/>
      <c r="W97" s="2110"/>
      <c r="X97" s="2110"/>
      <c r="Y97" s="2110"/>
      <c r="Z97" s="2110"/>
      <c r="AA97" s="2110"/>
      <c r="AB97" s="2110"/>
      <c r="AC97" s="2110"/>
      <c r="AD97" s="2110"/>
    </row>
    <row r="98" customFormat="false" ht="14.25" hidden="false" customHeight="false" outlineLevel="0" collapsed="false">
      <c r="A98" s="2563"/>
      <c r="B98" s="2563"/>
      <c r="C98" s="2563"/>
      <c r="D98" s="2563"/>
      <c r="E98" s="2563"/>
      <c r="F98" s="2563"/>
      <c r="G98" s="2563"/>
      <c r="H98" s="2563"/>
      <c r="I98" s="2563"/>
      <c r="J98" s="2563"/>
      <c r="K98" s="2564"/>
      <c r="L98" s="2565"/>
      <c r="M98" s="2563"/>
      <c r="N98" s="2110"/>
      <c r="O98" s="2110"/>
      <c r="P98" s="2110"/>
      <c r="Q98" s="2110"/>
      <c r="R98" s="2110"/>
      <c r="S98" s="2110"/>
      <c r="T98" s="2110"/>
      <c r="U98" s="2110"/>
      <c r="V98" s="2110"/>
      <c r="W98" s="2110"/>
      <c r="X98" s="2110"/>
      <c r="Y98" s="2110"/>
      <c r="Z98" s="2110"/>
      <c r="AA98" s="2110"/>
      <c r="AB98" s="2110"/>
      <c r="AC98" s="2110"/>
      <c r="AD98" s="2110"/>
    </row>
    <row r="99" customFormat="false" ht="14.25" hidden="false" customHeight="false" outlineLevel="0" collapsed="false">
      <c r="A99" s="2563"/>
      <c r="B99" s="2563"/>
      <c r="C99" s="2563"/>
      <c r="D99" s="2563"/>
      <c r="E99" s="2563"/>
      <c r="F99" s="2563"/>
      <c r="G99" s="2563"/>
      <c r="H99" s="2563"/>
      <c r="I99" s="2563"/>
      <c r="J99" s="2563"/>
      <c r="K99" s="2564"/>
      <c r="L99" s="2565"/>
      <c r="M99" s="2563"/>
      <c r="N99" s="2110"/>
      <c r="O99" s="2110"/>
      <c r="P99" s="2110"/>
      <c r="Q99" s="2110"/>
      <c r="R99" s="2110"/>
      <c r="S99" s="2110"/>
      <c r="T99" s="2110"/>
      <c r="U99" s="2110"/>
      <c r="V99" s="2110"/>
      <c r="W99" s="2110"/>
      <c r="X99" s="2110"/>
      <c r="Y99" s="2110"/>
      <c r="Z99" s="2110"/>
      <c r="AA99" s="2110"/>
      <c r="AB99" s="2110"/>
      <c r="AC99" s="2110"/>
      <c r="AD99" s="2110"/>
    </row>
    <row r="100" customFormat="false" ht="14.25" hidden="false" customHeight="false" outlineLevel="0" collapsed="false">
      <c r="A100" s="2563"/>
      <c r="B100" s="2563"/>
      <c r="C100" s="2563"/>
      <c r="D100" s="2563"/>
      <c r="E100" s="2563"/>
      <c r="F100" s="2563"/>
      <c r="G100" s="2563"/>
      <c r="H100" s="2563"/>
      <c r="I100" s="2563"/>
      <c r="J100" s="2563"/>
      <c r="K100" s="2564"/>
      <c r="L100" s="2565"/>
      <c r="M100" s="2563"/>
      <c r="N100" s="2110"/>
      <c r="O100" s="2110"/>
      <c r="P100" s="2110"/>
      <c r="Q100" s="2110"/>
      <c r="R100" s="2110"/>
      <c r="S100" s="2110"/>
      <c r="T100" s="2110"/>
      <c r="U100" s="2110"/>
      <c r="V100" s="2110"/>
      <c r="W100" s="2110"/>
      <c r="X100" s="2110"/>
      <c r="Y100" s="2110"/>
      <c r="Z100" s="2110"/>
      <c r="AA100" s="2110"/>
      <c r="AB100" s="2110"/>
      <c r="AC100" s="2110"/>
      <c r="AD100" s="2110"/>
    </row>
    <row r="101" customFormat="false" ht="14.25" hidden="false" customHeight="false" outlineLevel="0" collapsed="false">
      <c r="A101" s="2563"/>
      <c r="B101" s="2563"/>
      <c r="C101" s="2563"/>
      <c r="D101" s="2563"/>
      <c r="E101" s="2563"/>
      <c r="F101" s="2563"/>
      <c r="G101" s="2563"/>
      <c r="H101" s="2563"/>
      <c r="I101" s="2563"/>
      <c r="J101" s="2563"/>
      <c r="K101" s="2564"/>
      <c r="L101" s="2565"/>
      <c r="M101" s="2563"/>
      <c r="N101" s="2110"/>
      <c r="O101" s="2110"/>
      <c r="P101" s="2110"/>
      <c r="Q101" s="2110"/>
      <c r="R101" s="2110"/>
      <c r="S101" s="2110"/>
      <c r="T101" s="2110"/>
      <c r="U101" s="2110"/>
      <c r="V101" s="2110"/>
      <c r="W101" s="2110"/>
      <c r="X101" s="2110"/>
      <c r="Y101" s="2110"/>
      <c r="Z101" s="2110"/>
      <c r="AA101" s="2110"/>
      <c r="AB101" s="2110"/>
      <c r="AC101" s="2110"/>
      <c r="AD101" s="2110"/>
    </row>
    <row r="102" customFormat="false" ht="14.25" hidden="false" customHeight="false" outlineLevel="0" collapsed="false">
      <c r="A102" s="2563"/>
      <c r="B102" s="2563"/>
      <c r="C102" s="2563"/>
      <c r="D102" s="2563"/>
      <c r="E102" s="2563"/>
      <c r="F102" s="2563"/>
      <c r="G102" s="2563"/>
      <c r="H102" s="2563"/>
      <c r="I102" s="2563"/>
      <c r="J102" s="2563"/>
      <c r="K102" s="2564"/>
      <c r="L102" s="2565"/>
      <c r="M102" s="2563"/>
      <c r="N102" s="2110"/>
      <c r="O102" s="2110"/>
      <c r="P102" s="2110"/>
      <c r="Q102" s="2110"/>
      <c r="R102" s="2110"/>
      <c r="S102" s="2110"/>
      <c r="T102" s="2110"/>
      <c r="U102" s="2110"/>
      <c r="V102" s="2110"/>
      <c r="W102" s="2110"/>
      <c r="X102" s="2110"/>
      <c r="Y102" s="2110"/>
      <c r="Z102" s="2110"/>
      <c r="AA102" s="2110"/>
      <c r="AB102" s="2110"/>
      <c r="AC102" s="2110"/>
      <c r="AD102" s="2110"/>
    </row>
    <row r="103" customFormat="false" ht="14.25" hidden="false" customHeight="false" outlineLevel="0" collapsed="false">
      <c r="A103" s="2563"/>
      <c r="B103" s="2563"/>
      <c r="C103" s="2563"/>
      <c r="D103" s="2563"/>
      <c r="E103" s="2563"/>
      <c r="F103" s="2563"/>
      <c r="G103" s="2563"/>
      <c r="H103" s="2563"/>
      <c r="I103" s="2563"/>
      <c r="J103" s="2563"/>
      <c r="K103" s="2564"/>
      <c r="L103" s="2565"/>
      <c r="M103" s="2563"/>
      <c r="N103" s="2563"/>
      <c r="O103" s="2563"/>
      <c r="P103" s="2110"/>
      <c r="Q103" s="2110"/>
      <c r="R103" s="2110"/>
      <c r="S103" s="2110"/>
      <c r="T103" s="2110"/>
      <c r="U103" s="2110"/>
      <c r="V103" s="2110"/>
      <c r="W103" s="2110"/>
      <c r="X103" s="2110"/>
      <c r="Y103" s="2110"/>
      <c r="Z103" s="2110"/>
      <c r="AA103" s="2110"/>
      <c r="AB103" s="2110"/>
      <c r="AC103" s="2110"/>
      <c r="AD103" s="2110"/>
    </row>
    <row r="104" customFormat="false" ht="14.25" hidden="false" customHeight="false" outlineLevel="0" collapsed="false">
      <c r="A104" s="2563"/>
      <c r="B104" s="2563"/>
      <c r="C104" s="2563"/>
      <c r="D104" s="2563"/>
      <c r="E104" s="2563"/>
      <c r="F104" s="2563"/>
      <c r="G104" s="2563"/>
      <c r="H104" s="2563"/>
      <c r="I104" s="2563"/>
      <c r="J104" s="2563"/>
      <c r="K104" s="2564"/>
      <c r="L104" s="2565"/>
      <c r="M104" s="2563"/>
      <c r="N104" s="2563"/>
      <c r="O104" s="2563"/>
      <c r="P104" s="2563"/>
      <c r="Q104" s="2563"/>
      <c r="R104" s="2563"/>
      <c r="S104" s="2563"/>
      <c r="T104" s="2563"/>
    </row>
    <row r="105" customFormat="false" ht="14.25" hidden="false" customHeight="false" outlineLevel="0" collapsed="false">
      <c r="A105" s="2563"/>
      <c r="B105" s="2563"/>
      <c r="C105" s="2563"/>
      <c r="D105" s="2563"/>
      <c r="E105" s="2563"/>
      <c r="F105" s="2563"/>
      <c r="G105" s="2563"/>
      <c r="H105" s="2563"/>
      <c r="I105" s="2563"/>
      <c r="J105" s="2563"/>
      <c r="K105" s="2564"/>
      <c r="L105" s="2565"/>
      <c r="M105" s="2563"/>
      <c r="N105" s="2563"/>
      <c r="O105" s="2563"/>
      <c r="P105" s="2563"/>
      <c r="Q105" s="2563"/>
      <c r="R105" s="2563"/>
      <c r="S105" s="2563"/>
      <c r="T105" s="2563"/>
    </row>
    <row r="106" customFormat="false" ht="14.25" hidden="false" customHeight="false" outlineLevel="0" collapsed="false">
      <c r="A106" s="2563"/>
      <c r="B106" s="2563"/>
      <c r="C106" s="2563"/>
      <c r="D106" s="2563"/>
      <c r="E106" s="2563"/>
      <c r="F106" s="2563"/>
      <c r="G106" s="2563"/>
      <c r="H106" s="2563"/>
      <c r="I106" s="2563"/>
      <c r="J106" s="2563"/>
      <c r="K106" s="2564"/>
      <c r="L106" s="2565"/>
      <c r="M106" s="2563"/>
      <c r="N106" s="2563"/>
      <c r="O106" s="2563"/>
      <c r="P106" s="2563"/>
      <c r="Q106" s="2563"/>
      <c r="R106" s="2563"/>
      <c r="S106" s="2563"/>
      <c r="T106" s="2563"/>
    </row>
    <row r="107" customFormat="false" ht="14.25" hidden="false" customHeight="false" outlineLevel="0" collapsed="false">
      <c r="A107" s="2563"/>
      <c r="B107" s="2563"/>
      <c r="C107" s="2563"/>
      <c r="D107" s="2563"/>
      <c r="E107" s="2563"/>
      <c r="F107" s="2563"/>
      <c r="G107" s="2563"/>
      <c r="H107" s="2563"/>
      <c r="I107" s="2563"/>
      <c r="J107" s="2563"/>
      <c r="K107" s="2564"/>
      <c r="L107" s="2565"/>
      <c r="M107" s="2563"/>
      <c r="N107" s="2563"/>
      <c r="O107" s="2563"/>
      <c r="P107" s="2563"/>
      <c r="Q107" s="2563"/>
      <c r="R107" s="2563"/>
      <c r="S107" s="2563"/>
      <c r="T107" s="2563"/>
    </row>
    <row r="108" customFormat="false" ht="14.25" hidden="false" customHeight="false" outlineLevel="0" collapsed="false">
      <c r="A108" s="2563"/>
      <c r="B108" s="2563"/>
      <c r="C108" s="2563"/>
      <c r="D108" s="2563"/>
      <c r="E108" s="2563"/>
      <c r="F108" s="2563"/>
      <c r="G108" s="2563"/>
      <c r="H108" s="2563"/>
      <c r="I108" s="2563"/>
      <c r="J108" s="2563"/>
      <c r="K108" s="2564"/>
      <c r="L108" s="2565"/>
      <c r="M108" s="2563"/>
      <c r="N108" s="2563"/>
      <c r="O108" s="2563"/>
      <c r="P108" s="2563"/>
      <c r="Q108" s="2563"/>
      <c r="R108" s="2563"/>
      <c r="S108" s="2563"/>
      <c r="T108" s="2563"/>
    </row>
    <row r="109" customFormat="false" ht="14.25" hidden="false" customHeight="false" outlineLevel="0" collapsed="false">
      <c r="A109" s="2563"/>
      <c r="B109" s="2563"/>
      <c r="C109" s="2563"/>
      <c r="D109" s="2563"/>
      <c r="E109" s="2563"/>
      <c r="F109" s="2563"/>
      <c r="G109" s="2563"/>
      <c r="H109" s="2563"/>
      <c r="I109" s="2563"/>
      <c r="J109" s="2563"/>
      <c r="K109" s="2564"/>
      <c r="L109" s="2565"/>
      <c r="M109" s="2563"/>
      <c r="N109" s="2563"/>
      <c r="O109" s="2563"/>
      <c r="P109" s="2563"/>
      <c r="Q109" s="2563"/>
      <c r="R109" s="2563"/>
      <c r="S109" s="2563"/>
      <c r="T109" s="2563"/>
    </row>
    <row r="110" customFormat="false" ht="14.25" hidden="false" customHeight="false" outlineLevel="0" collapsed="false">
      <c r="A110" s="2563"/>
      <c r="B110" s="2563"/>
      <c r="C110" s="2563"/>
      <c r="D110" s="2563"/>
      <c r="E110" s="2563"/>
      <c r="F110" s="2563"/>
      <c r="G110" s="2563"/>
      <c r="H110" s="2563"/>
      <c r="I110" s="2563"/>
      <c r="J110" s="2563"/>
      <c r="K110" s="2564"/>
      <c r="L110" s="2565"/>
      <c r="M110" s="2563"/>
      <c r="N110" s="2563"/>
      <c r="O110" s="2563"/>
      <c r="P110" s="2563"/>
      <c r="Q110" s="2563"/>
      <c r="R110" s="2563"/>
      <c r="S110" s="2563"/>
      <c r="T110" s="2563"/>
    </row>
    <row r="111" customFormat="false" ht="14.25" hidden="false" customHeight="false" outlineLevel="0" collapsed="false">
      <c r="A111" s="2563"/>
      <c r="B111" s="2563"/>
      <c r="C111" s="2563"/>
      <c r="D111" s="2563"/>
      <c r="E111" s="2563"/>
      <c r="F111" s="2563"/>
      <c r="G111" s="2563"/>
      <c r="H111" s="2563"/>
      <c r="I111" s="2563"/>
      <c r="J111" s="2563"/>
      <c r="K111" s="2564"/>
      <c r="L111" s="2565"/>
      <c r="M111" s="2563"/>
      <c r="N111" s="2563"/>
      <c r="O111" s="2563"/>
      <c r="P111" s="2563"/>
      <c r="Q111" s="2563"/>
      <c r="R111" s="2563"/>
      <c r="S111" s="2563"/>
      <c r="T111" s="2563"/>
    </row>
    <row r="112" customFormat="false" ht="14.25" hidden="false" customHeight="false" outlineLevel="0" collapsed="false">
      <c r="A112" s="2563"/>
      <c r="B112" s="2563"/>
      <c r="C112" s="2563"/>
      <c r="D112" s="2563"/>
      <c r="E112" s="2563"/>
      <c r="F112" s="2563"/>
      <c r="G112" s="2563"/>
      <c r="H112" s="2563"/>
      <c r="I112" s="2563"/>
      <c r="J112" s="2563"/>
      <c r="K112" s="2564"/>
      <c r="L112" s="2565"/>
      <c r="M112" s="2563"/>
      <c r="N112" s="2563"/>
      <c r="O112" s="2563"/>
      <c r="P112" s="2563"/>
      <c r="Q112" s="2563"/>
      <c r="R112" s="2563"/>
      <c r="S112" s="2563"/>
      <c r="T112" s="2563"/>
    </row>
    <row r="113" customFormat="false" ht="14.25" hidden="false" customHeight="false" outlineLevel="0" collapsed="false">
      <c r="A113" s="2563"/>
      <c r="B113" s="2563"/>
      <c r="C113" s="2563"/>
      <c r="D113" s="2563"/>
      <c r="E113" s="2563"/>
      <c r="F113" s="2563"/>
      <c r="G113" s="2563"/>
      <c r="H113" s="2563"/>
      <c r="I113" s="2563"/>
      <c r="J113" s="2563"/>
      <c r="K113" s="2564"/>
      <c r="L113" s="2565"/>
      <c r="M113" s="2563"/>
      <c r="N113" s="2563"/>
      <c r="O113" s="2563"/>
      <c r="P113" s="2563"/>
      <c r="Q113" s="2563"/>
      <c r="R113" s="2563"/>
      <c r="S113" s="2563"/>
      <c r="T113" s="2563"/>
    </row>
    <row r="114" customFormat="false" ht="14.25" hidden="false" customHeight="false" outlineLevel="0" collapsed="false">
      <c r="A114" s="2563"/>
      <c r="B114" s="2563"/>
      <c r="C114" s="2563"/>
      <c r="D114" s="2563"/>
      <c r="E114" s="2563"/>
      <c r="F114" s="2563"/>
      <c r="G114" s="2563"/>
      <c r="H114" s="2563"/>
      <c r="I114" s="2563"/>
      <c r="J114" s="2563"/>
      <c r="K114" s="2564"/>
      <c r="L114" s="2565"/>
      <c r="M114" s="2563"/>
      <c r="N114" s="2563"/>
      <c r="O114" s="2563"/>
      <c r="P114" s="2563"/>
      <c r="Q114" s="2563"/>
      <c r="R114" s="2563"/>
      <c r="S114" s="2563"/>
      <c r="T114" s="2563"/>
    </row>
    <row r="115" customFormat="false" ht="14.25" hidden="false" customHeight="false" outlineLevel="0" collapsed="false">
      <c r="A115" s="2563"/>
      <c r="B115" s="2563"/>
      <c r="C115" s="2563"/>
      <c r="D115" s="2563"/>
      <c r="E115" s="2563"/>
      <c r="F115" s="2563"/>
      <c r="G115" s="2563"/>
      <c r="H115" s="2563"/>
      <c r="I115" s="2563"/>
      <c r="J115" s="2563"/>
      <c r="K115" s="2564"/>
      <c r="L115" s="2565"/>
      <c r="M115" s="2563"/>
      <c r="N115" s="2563"/>
      <c r="O115" s="2563"/>
      <c r="P115" s="2563"/>
      <c r="Q115" s="2563"/>
      <c r="R115" s="2563"/>
      <c r="S115" s="2563"/>
      <c r="T115" s="2563"/>
    </row>
    <row r="116" customFormat="false" ht="14.25" hidden="false" customHeight="false" outlineLevel="0" collapsed="false">
      <c r="A116" s="2563"/>
      <c r="B116" s="2563"/>
      <c r="C116" s="2563"/>
      <c r="D116" s="2563"/>
      <c r="E116" s="2563"/>
      <c r="F116" s="2563"/>
      <c r="G116" s="2563"/>
      <c r="H116" s="2563"/>
      <c r="I116" s="2563"/>
      <c r="J116" s="2563"/>
      <c r="K116" s="2564"/>
      <c r="L116" s="2565"/>
      <c r="M116" s="2563"/>
      <c r="N116" s="2563"/>
      <c r="O116" s="2563"/>
      <c r="P116" s="2563"/>
      <c r="Q116" s="2563"/>
      <c r="R116" s="2563"/>
      <c r="S116" s="2563"/>
      <c r="T116" s="2563"/>
    </row>
    <row r="117" customFormat="false" ht="14.25" hidden="false" customHeight="false" outlineLevel="0" collapsed="false">
      <c r="A117" s="2563"/>
      <c r="B117" s="2563"/>
      <c r="C117" s="2563"/>
      <c r="D117" s="2563"/>
      <c r="E117" s="2563"/>
      <c r="F117" s="2563"/>
      <c r="G117" s="2563"/>
      <c r="H117" s="2563"/>
      <c r="I117" s="2563"/>
      <c r="J117" s="2563"/>
      <c r="K117" s="2564"/>
      <c r="L117" s="2565"/>
      <c r="M117" s="2563"/>
      <c r="N117" s="2563"/>
      <c r="O117" s="2563"/>
      <c r="P117" s="2563"/>
      <c r="Q117" s="2563"/>
      <c r="R117" s="2563"/>
      <c r="S117" s="2563"/>
      <c r="T117" s="2563"/>
    </row>
    <row r="118" customFormat="false" ht="14.25" hidden="false" customHeight="false" outlineLevel="0" collapsed="false">
      <c r="A118" s="2563"/>
      <c r="B118" s="2563"/>
      <c r="C118" s="2563"/>
      <c r="D118" s="2563"/>
      <c r="E118" s="2563"/>
      <c r="F118" s="2563"/>
      <c r="G118" s="2563"/>
      <c r="H118" s="2563"/>
      <c r="I118" s="2563"/>
      <c r="J118" s="2563"/>
      <c r="K118" s="2564"/>
      <c r="L118" s="2565"/>
      <c r="M118" s="2563"/>
      <c r="N118" s="2563"/>
      <c r="O118" s="2563"/>
      <c r="P118" s="2563"/>
      <c r="Q118" s="2563"/>
      <c r="R118" s="2563"/>
      <c r="S118" s="2563"/>
      <c r="T118" s="2563"/>
    </row>
    <row r="119" customFormat="false" ht="14.25" hidden="false" customHeight="false" outlineLevel="0" collapsed="false">
      <c r="A119" s="2563"/>
      <c r="B119" s="2563"/>
      <c r="C119" s="2563"/>
      <c r="D119" s="2563"/>
      <c r="E119" s="2563"/>
      <c r="F119" s="2563"/>
      <c r="G119" s="2563"/>
      <c r="H119" s="2563"/>
      <c r="I119" s="2563"/>
      <c r="J119" s="2563"/>
      <c r="K119" s="2564"/>
      <c r="L119" s="2565"/>
      <c r="M119" s="2563"/>
      <c r="N119" s="2563"/>
      <c r="O119" s="2563"/>
      <c r="P119" s="2563"/>
      <c r="Q119" s="2563"/>
      <c r="R119" s="2563"/>
      <c r="S119" s="2563"/>
      <c r="T119" s="2563"/>
    </row>
    <row r="120" customFormat="false" ht="14.25" hidden="false" customHeight="false" outlineLevel="0" collapsed="false">
      <c r="A120" s="2563"/>
      <c r="B120" s="2563"/>
      <c r="C120" s="2563"/>
      <c r="D120" s="2563"/>
      <c r="E120" s="2563"/>
      <c r="F120" s="2563"/>
      <c r="G120" s="2563"/>
      <c r="H120" s="2563"/>
      <c r="I120" s="2563"/>
      <c r="J120" s="2563"/>
      <c r="K120" s="2564"/>
      <c r="L120" s="2565"/>
      <c r="M120" s="2563"/>
      <c r="N120" s="2563"/>
      <c r="O120" s="2563"/>
      <c r="P120" s="2563"/>
      <c r="Q120" s="2563"/>
      <c r="R120" s="2563"/>
      <c r="S120" s="2563"/>
      <c r="T120" s="2563"/>
    </row>
    <row r="121" customFormat="false" ht="14.25" hidden="false" customHeight="false" outlineLevel="0" collapsed="false">
      <c r="A121" s="2563"/>
      <c r="B121" s="2563"/>
      <c r="C121" s="2563"/>
      <c r="D121" s="2563"/>
      <c r="E121" s="2563"/>
      <c r="F121" s="2563"/>
      <c r="G121" s="2563"/>
      <c r="H121" s="2563"/>
      <c r="I121" s="2563"/>
      <c r="J121" s="2563"/>
      <c r="K121" s="2564"/>
      <c r="L121" s="2565"/>
      <c r="M121" s="2563"/>
      <c r="N121" s="2563"/>
      <c r="O121" s="2563"/>
      <c r="P121" s="2563"/>
      <c r="Q121" s="2563"/>
      <c r="R121" s="2563"/>
      <c r="S121" s="2563"/>
      <c r="T121" s="2563"/>
    </row>
    <row r="122" customFormat="false" ht="14.25" hidden="false" customHeight="false" outlineLevel="0" collapsed="false">
      <c r="A122" s="2563"/>
      <c r="B122" s="2563"/>
      <c r="C122" s="2563"/>
      <c r="D122" s="2563"/>
      <c r="E122" s="2563"/>
      <c r="F122" s="2563"/>
      <c r="G122" s="2563"/>
      <c r="H122" s="2563"/>
      <c r="I122" s="2563"/>
      <c r="J122" s="2563"/>
      <c r="K122" s="2564"/>
      <c r="L122" s="2565"/>
      <c r="M122" s="2563"/>
      <c r="N122" s="2563"/>
      <c r="O122" s="2563"/>
      <c r="P122" s="2563"/>
      <c r="Q122" s="2563"/>
      <c r="R122" s="2563"/>
      <c r="S122" s="2563"/>
      <c r="T122" s="2563"/>
    </row>
    <row r="123" customFormat="false" ht="14.25" hidden="false" customHeight="false" outlineLevel="0" collapsed="false">
      <c r="A123" s="2563"/>
      <c r="B123" s="2563"/>
      <c r="C123" s="2563"/>
      <c r="D123" s="2563"/>
      <c r="E123" s="2563"/>
      <c r="F123" s="2563"/>
      <c r="G123" s="2563"/>
      <c r="H123" s="2563"/>
      <c r="I123" s="2563"/>
      <c r="J123" s="2563"/>
      <c r="K123" s="2564"/>
      <c r="L123" s="2565"/>
      <c r="M123" s="2563"/>
      <c r="N123" s="2563"/>
      <c r="O123" s="2563"/>
      <c r="P123" s="2563"/>
      <c r="Q123" s="2563"/>
      <c r="R123" s="2563"/>
      <c r="S123" s="2563"/>
      <c r="T123" s="2563"/>
    </row>
    <row r="124" customFormat="false" ht="14.25" hidden="false" customHeight="false" outlineLevel="0" collapsed="false">
      <c r="A124" s="2563"/>
      <c r="B124" s="2563"/>
      <c r="C124" s="2563"/>
      <c r="D124" s="2563"/>
      <c r="E124" s="2563"/>
      <c r="F124" s="2563"/>
      <c r="G124" s="2563"/>
      <c r="H124" s="2563"/>
      <c r="I124" s="2563"/>
      <c r="J124" s="2563"/>
      <c r="K124" s="2564"/>
      <c r="L124" s="2565"/>
      <c r="M124" s="2563"/>
      <c r="N124" s="2563"/>
      <c r="O124" s="2563"/>
      <c r="P124" s="2563"/>
      <c r="Q124" s="2563"/>
      <c r="R124" s="2563"/>
      <c r="S124" s="2563"/>
      <c r="T124" s="2563"/>
    </row>
    <row r="125" customFormat="false" ht="14.25" hidden="false" customHeight="false" outlineLevel="0" collapsed="false">
      <c r="A125" s="2563"/>
      <c r="B125" s="2563"/>
      <c r="C125" s="2563"/>
      <c r="D125" s="2563"/>
      <c r="E125" s="2563"/>
      <c r="F125" s="2563"/>
      <c r="G125" s="2563"/>
      <c r="H125" s="2563"/>
      <c r="I125" s="2563"/>
      <c r="J125" s="2563"/>
      <c r="K125" s="2564"/>
      <c r="L125" s="2565"/>
      <c r="M125" s="2563"/>
      <c r="N125" s="2563"/>
      <c r="O125" s="2563"/>
      <c r="P125" s="2563"/>
      <c r="Q125" s="2563"/>
      <c r="R125" s="2563"/>
      <c r="S125" s="2563"/>
      <c r="T125" s="2563"/>
    </row>
    <row r="126" customFormat="false" ht="14.25" hidden="false" customHeight="false" outlineLevel="0" collapsed="false">
      <c r="A126" s="2563"/>
      <c r="B126" s="2563"/>
      <c r="C126" s="2563"/>
      <c r="D126" s="2563"/>
      <c r="E126" s="2563"/>
      <c r="F126" s="2563"/>
      <c r="G126" s="2563"/>
      <c r="H126" s="2563"/>
      <c r="I126" s="2563"/>
      <c r="J126" s="2563"/>
      <c r="K126" s="2564"/>
      <c r="L126" s="2565"/>
      <c r="M126" s="2563"/>
      <c r="N126" s="2563"/>
      <c r="O126" s="2563"/>
      <c r="P126" s="2563"/>
      <c r="Q126" s="2563"/>
      <c r="R126" s="2563"/>
      <c r="S126" s="2563"/>
      <c r="T126" s="2563"/>
    </row>
    <row r="127" customFormat="false" ht="14.25" hidden="false" customHeight="false" outlineLevel="0" collapsed="false">
      <c r="A127" s="2563"/>
      <c r="B127" s="2563"/>
      <c r="C127" s="2563"/>
      <c r="D127" s="2563"/>
      <c r="E127" s="2563"/>
      <c r="F127" s="2563"/>
      <c r="G127" s="2563"/>
      <c r="H127" s="2563"/>
      <c r="I127" s="2563"/>
      <c r="J127" s="2563"/>
      <c r="K127" s="2564"/>
      <c r="L127" s="2565"/>
      <c r="M127" s="2563"/>
      <c r="N127" s="2563"/>
      <c r="O127" s="2563"/>
      <c r="P127" s="2563"/>
      <c r="Q127" s="2563"/>
      <c r="R127" s="2563"/>
      <c r="S127" s="2563"/>
      <c r="T127" s="2563"/>
    </row>
    <row r="128" customFormat="false" ht="14.25" hidden="false" customHeight="false" outlineLevel="0" collapsed="false">
      <c r="A128" s="2563"/>
      <c r="B128" s="2563"/>
      <c r="C128" s="2563"/>
      <c r="D128" s="2563"/>
      <c r="E128" s="2563"/>
      <c r="F128" s="2563"/>
      <c r="G128" s="2563"/>
      <c r="H128" s="2563"/>
      <c r="I128" s="2563"/>
      <c r="J128" s="2563"/>
      <c r="K128" s="2564"/>
      <c r="L128" s="2565"/>
      <c r="M128" s="2563"/>
      <c r="N128" s="2563"/>
      <c r="O128" s="2563"/>
      <c r="P128" s="2563"/>
      <c r="Q128" s="2563"/>
      <c r="R128" s="2563"/>
      <c r="S128" s="2563"/>
      <c r="T128" s="2563"/>
    </row>
    <row r="129" customFormat="false" ht="14.25" hidden="false" customHeight="false" outlineLevel="0" collapsed="false">
      <c r="A129" s="2563"/>
      <c r="B129" s="2563"/>
      <c r="C129" s="2563"/>
      <c r="D129" s="2563"/>
      <c r="E129" s="2563"/>
      <c r="F129" s="2563"/>
      <c r="G129" s="2563"/>
      <c r="H129" s="2563"/>
      <c r="I129" s="2563"/>
      <c r="J129" s="2563"/>
      <c r="K129" s="2564"/>
      <c r="L129" s="2565"/>
      <c r="M129" s="2563"/>
      <c r="N129" s="2563"/>
      <c r="O129" s="2563"/>
      <c r="P129" s="2563"/>
      <c r="Q129" s="2563"/>
      <c r="R129" s="2563"/>
      <c r="S129" s="2563"/>
      <c r="T129" s="2563"/>
    </row>
    <row r="130" customFormat="false" ht="14.25" hidden="false" customHeight="false" outlineLevel="0" collapsed="false">
      <c r="A130" s="2563"/>
      <c r="B130" s="2563"/>
      <c r="C130" s="2563"/>
      <c r="D130" s="2563"/>
      <c r="E130" s="2563"/>
      <c r="F130" s="2563"/>
      <c r="G130" s="2563"/>
      <c r="H130" s="2563"/>
      <c r="I130" s="2563"/>
      <c r="J130" s="2563"/>
      <c r="K130" s="2564"/>
      <c r="L130" s="2565"/>
      <c r="M130" s="2563"/>
      <c r="N130" s="2563"/>
      <c r="O130" s="2563"/>
      <c r="P130" s="2563"/>
      <c r="Q130" s="2563"/>
      <c r="R130" s="2563"/>
      <c r="S130" s="2563"/>
      <c r="T130" s="2563"/>
    </row>
    <row r="131" customFormat="false" ht="14.25" hidden="false" customHeight="false" outlineLevel="0" collapsed="false">
      <c r="A131" s="2563"/>
      <c r="B131" s="2563"/>
      <c r="C131" s="2563"/>
      <c r="D131" s="2563"/>
      <c r="E131" s="2563"/>
      <c r="F131" s="2563"/>
      <c r="G131" s="2563"/>
      <c r="H131" s="2563"/>
      <c r="I131" s="2563"/>
      <c r="J131" s="2563"/>
      <c r="K131" s="2564"/>
      <c r="L131" s="2565"/>
      <c r="M131" s="2563"/>
      <c r="N131" s="2563"/>
      <c r="O131" s="2563"/>
      <c r="P131" s="2563"/>
      <c r="Q131" s="2563"/>
      <c r="R131" s="2563"/>
      <c r="S131" s="2563"/>
      <c r="T131" s="2563"/>
    </row>
    <row r="132" customFormat="false" ht="14.25" hidden="false" customHeight="false" outlineLevel="0" collapsed="false">
      <c r="A132" s="2563"/>
      <c r="B132" s="2563"/>
      <c r="C132" s="2563"/>
      <c r="D132" s="2563"/>
      <c r="E132" s="2563"/>
      <c r="F132" s="2563"/>
      <c r="G132" s="2563"/>
      <c r="H132" s="2563"/>
      <c r="I132" s="2563"/>
      <c r="J132" s="2563"/>
      <c r="K132" s="2564"/>
      <c r="L132" s="2565"/>
      <c r="M132" s="2563"/>
      <c r="N132" s="2563"/>
      <c r="O132" s="2563"/>
      <c r="P132" s="2563"/>
      <c r="Q132" s="2563"/>
      <c r="R132" s="2563"/>
      <c r="S132" s="2563"/>
      <c r="T132" s="2563"/>
    </row>
    <row r="133" customFormat="false" ht="14.25" hidden="false" customHeight="false" outlineLevel="0" collapsed="false">
      <c r="A133" s="2563"/>
      <c r="B133" s="2563"/>
      <c r="C133" s="2563"/>
      <c r="D133" s="2563"/>
      <c r="E133" s="2563"/>
      <c r="F133" s="2563"/>
      <c r="G133" s="2563"/>
      <c r="H133" s="2563"/>
      <c r="I133" s="2563"/>
      <c r="J133" s="2563"/>
      <c r="K133" s="2564"/>
      <c r="L133" s="2565"/>
      <c r="M133" s="2563"/>
      <c r="N133" s="2563"/>
      <c r="O133" s="2563"/>
      <c r="P133" s="2563"/>
      <c r="Q133" s="2563"/>
      <c r="R133" s="2563"/>
      <c r="S133" s="2563"/>
      <c r="T133" s="2563"/>
    </row>
    <row r="134" customFormat="false" ht="14.25" hidden="false" customHeight="false" outlineLevel="0" collapsed="false">
      <c r="A134" s="2563"/>
      <c r="B134" s="2563"/>
      <c r="C134" s="2563"/>
      <c r="D134" s="2563"/>
      <c r="E134" s="2563"/>
      <c r="F134" s="2563"/>
      <c r="G134" s="2563"/>
      <c r="H134" s="2563"/>
      <c r="I134" s="2563"/>
      <c r="J134" s="2563"/>
      <c r="K134" s="2564"/>
      <c r="L134" s="2565"/>
      <c r="M134" s="2563"/>
      <c r="N134" s="2563"/>
      <c r="O134" s="2563"/>
      <c r="P134" s="2563"/>
      <c r="Q134" s="2563"/>
      <c r="R134" s="2563"/>
      <c r="S134" s="2563"/>
      <c r="T134" s="2563"/>
    </row>
    <row r="135" customFormat="false" ht="14.25" hidden="false" customHeight="false" outlineLevel="0" collapsed="false">
      <c r="A135" s="2563"/>
      <c r="B135" s="2563"/>
      <c r="C135" s="2563"/>
      <c r="D135" s="2563"/>
      <c r="E135" s="2563"/>
      <c r="F135" s="2563"/>
      <c r="G135" s="2563"/>
      <c r="H135" s="2563"/>
      <c r="I135" s="2563"/>
      <c r="J135" s="2563"/>
      <c r="K135" s="2564"/>
      <c r="L135" s="2565"/>
      <c r="M135" s="2563"/>
      <c r="N135" s="2563"/>
      <c r="O135" s="2563"/>
      <c r="P135" s="2563"/>
      <c r="Q135" s="2563"/>
      <c r="R135" s="2563"/>
      <c r="S135" s="2563"/>
      <c r="T135" s="2563"/>
    </row>
    <row r="136" customFormat="false" ht="14.25" hidden="false" customHeight="false" outlineLevel="0" collapsed="false">
      <c r="A136" s="2563"/>
      <c r="B136" s="2563"/>
      <c r="C136" s="2563"/>
      <c r="D136" s="2563"/>
      <c r="E136" s="2563"/>
      <c r="F136" s="2563"/>
      <c r="G136" s="2563"/>
      <c r="H136" s="2563"/>
      <c r="I136" s="2563"/>
      <c r="J136" s="2563"/>
      <c r="K136" s="2564"/>
      <c r="L136" s="2565"/>
      <c r="M136" s="2563"/>
      <c r="N136" s="2563"/>
      <c r="O136" s="2563"/>
      <c r="P136" s="2563"/>
      <c r="Q136" s="2563"/>
      <c r="R136" s="2563"/>
      <c r="S136" s="2563"/>
      <c r="T136" s="2563"/>
    </row>
    <row r="137" customFormat="false" ht="14.25" hidden="false" customHeight="false" outlineLevel="0" collapsed="false">
      <c r="A137" s="2563"/>
      <c r="B137" s="2563"/>
      <c r="C137" s="2563"/>
      <c r="D137" s="2563"/>
      <c r="E137" s="2563"/>
      <c r="F137" s="2563"/>
      <c r="G137" s="2563"/>
      <c r="H137" s="2563"/>
      <c r="I137" s="2563"/>
      <c r="J137" s="2563"/>
      <c r="K137" s="2564"/>
      <c r="L137" s="2565"/>
      <c r="M137" s="2563"/>
      <c r="N137" s="2563"/>
      <c r="O137" s="2563"/>
      <c r="P137" s="2563"/>
      <c r="Q137" s="2563"/>
      <c r="R137" s="2563"/>
      <c r="S137" s="2563"/>
      <c r="T137" s="2563"/>
    </row>
    <row r="138" customFormat="false" ht="14.25" hidden="false" customHeight="false" outlineLevel="0" collapsed="false">
      <c r="A138" s="2563"/>
      <c r="B138" s="2563"/>
      <c r="C138" s="2563"/>
      <c r="D138" s="2563"/>
      <c r="E138" s="2563"/>
      <c r="F138" s="2563"/>
      <c r="G138" s="2563"/>
      <c r="H138" s="2563"/>
      <c r="I138" s="2563"/>
      <c r="J138" s="2563"/>
      <c r="K138" s="2564"/>
      <c r="L138" s="2565"/>
      <c r="M138" s="2563"/>
      <c r="N138" s="2563"/>
      <c r="O138" s="2563"/>
      <c r="P138" s="2563"/>
      <c r="Q138" s="2563"/>
      <c r="R138" s="2563"/>
      <c r="S138" s="2563"/>
      <c r="T138" s="2563"/>
    </row>
    <row r="139" customFormat="false" ht="14.25" hidden="false" customHeight="false" outlineLevel="0" collapsed="false">
      <c r="A139" s="2563"/>
      <c r="B139" s="2563"/>
      <c r="C139" s="2563"/>
      <c r="D139" s="2563"/>
      <c r="E139" s="2563"/>
      <c r="F139" s="2563"/>
      <c r="G139" s="2563"/>
      <c r="H139" s="2563"/>
      <c r="I139" s="2563"/>
      <c r="J139" s="2563"/>
      <c r="K139" s="2564"/>
      <c r="L139" s="2565"/>
      <c r="M139" s="2563"/>
      <c r="N139" s="2563"/>
      <c r="O139" s="2563"/>
      <c r="P139" s="2563"/>
      <c r="Q139" s="2563"/>
      <c r="R139" s="2563"/>
      <c r="S139" s="2563"/>
      <c r="T139" s="2563"/>
    </row>
    <row r="140" customFormat="false" ht="14.25" hidden="false" customHeight="false" outlineLevel="0" collapsed="false">
      <c r="A140" s="2563"/>
      <c r="B140" s="2563"/>
      <c r="C140" s="2563"/>
      <c r="D140" s="2563"/>
      <c r="E140" s="2563"/>
      <c r="F140" s="2563"/>
      <c r="G140" s="2563"/>
      <c r="H140" s="2563"/>
      <c r="I140" s="2563"/>
      <c r="J140" s="2563"/>
      <c r="K140" s="2564"/>
      <c r="L140" s="2565"/>
      <c r="M140" s="2563"/>
      <c r="N140" s="2563"/>
      <c r="O140" s="2563"/>
      <c r="P140" s="2563"/>
      <c r="Q140" s="2563"/>
      <c r="R140" s="2563"/>
      <c r="S140" s="2563"/>
      <c r="T140" s="2563"/>
    </row>
    <row r="141" customFormat="false" ht="14.25" hidden="false" customHeight="false" outlineLevel="0" collapsed="false">
      <c r="A141" s="2563"/>
      <c r="B141" s="2563"/>
      <c r="C141" s="2563"/>
      <c r="D141" s="2563"/>
      <c r="E141" s="2563"/>
      <c r="F141" s="2563"/>
      <c r="G141" s="2563"/>
      <c r="H141" s="2563"/>
      <c r="I141" s="2563"/>
      <c r="J141" s="2563"/>
      <c r="K141" s="2564"/>
      <c r="L141" s="2565"/>
      <c r="M141" s="2563"/>
      <c r="N141" s="2563"/>
      <c r="O141" s="2563"/>
      <c r="P141" s="2563"/>
      <c r="Q141" s="2563"/>
      <c r="R141" s="2563"/>
      <c r="S141" s="2563"/>
      <c r="T141" s="2563"/>
    </row>
    <row r="142" customFormat="false" ht="14.25" hidden="false" customHeight="false" outlineLevel="0" collapsed="false">
      <c r="A142" s="2563"/>
      <c r="B142" s="2563"/>
      <c r="C142" s="2563"/>
      <c r="D142" s="2563"/>
      <c r="E142" s="2563"/>
      <c r="F142" s="2563"/>
      <c r="G142" s="2563"/>
      <c r="H142" s="2563"/>
      <c r="I142" s="2563"/>
      <c r="J142" s="2563"/>
      <c r="K142" s="2564"/>
      <c r="L142" s="2565"/>
      <c r="M142" s="2563"/>
      <c r="N142" s="2563"/>
      <c r="O142" s="2563"/>
      <c r="P142" s="2563"/>
      <c r="Q142" s="2563"/>
      <c r="R142" s="2563"/>
      <c r="S142" s="2563"/>
      <c r="T142" s="2563"/>
    </row>
    <row r="143" customFormat="false" ht="14.25" hidden="false" customHeight="false" outlineLevel="0" collapsed="false">
      <c r="A143" s="2563"/>
      <c r="B143" s="2563"/>
      <c r="C143" s="2563"/>
      <c r="D143" s="2563"/>
      <c r="E143" s="2563"/>
      <c r="F143" s="2563"/>
      <c r="G143" s="2563"/>
      <c r="H143" s="2563"/>
      <c r="I143" s="2563"/>
      <c r="J143" s="2563"/>
      <c r="K143" s="2564"/>
      <c r="L143" s="2565"/>
      <c r="M143" s="2563"/>
      <c r="N143" s="2563"/>
      <c r="O143" s="2563"/>
      <c r="P143" s="2563"/>
      <c r="Q143" s="2563"/>
      <c r="R143" s="2563"/>
      <c r="S143" s="2563"/>
      <c r="T143" s="2563"/>
    </row>
    <row r="144" customFormat="false" ht="14.25" hidden="false" customHeight="false" outlineLevel="0" collapsed="false">
      <c r="A144" s="2563"/>
      <c r="B144" s="2563"/>
      <c r="C144" s="2563"/>
      <c r="D144" s="2563"/>
      <c r="E144" s="2563"/>
      <c r="F144" s="2563"/>
      <c r="G144" s="2563"/>
      <c r="H144" s="2563"/>
      <c r="I144" s="2563"/>
      <c r="J144" s="2563"/>
      <c r="K144" s="2564"/>
      <c r="L144" s="2565"/>
      <c r="M144" s="2563"/>
      <c r="N144" s="2563"/>
      <c r="O144" s="2563"/>
      <c r="P144" s="2563"/>
      <c r="Q144" s="2563"/>
      <c r="R144" s="2563"/>
      <c r="S144" s="2563"/>
      <c r="T144" s="2563"/>
    </row>
    <row r="145" customFormat="false" ht="14.25" hidden="false" customHeight="false" outlineLevel="0" collapsed="false">
      <c r="A145" s="2563"/>
      <c r="B145" s="2563"/>
      <c r="C145" s="2563"/>
      <c r="D145" s="2563"/>
      <c r="E145" s="2563"/>
      <c r="F145" s="2563"/>
      <c r="G145" s="2563"/>
      <c r="H145" s="2563"/>
      <c r="I145" s="2563"/>
      <c r="J145" s="2563"/>
      <c r="K145" s="2564"/>
      <c r="L145" s="2565"/>
      <c r="M145" s="2563"/>
      <c r="N145" s="2563"/>
      <c r="O145" s="2563"/>
      <c r="P145" s="2563"/>
      <c r="Q145" s="2563"/>
      <c r="R145" s="2563"/>
      <c r="S145" s="2563"/>
      <c r="T145" s="2563"/>
    </row>
    <row r="146" customFormat="false" ht="14.25" hidden="false" customHeight="false" outlineLevel="0" collapsed="false">
      <c r="A146" s="2563"/>
      <c r="B146" s="2563"/>
      <c r="C146" s="2563"/>
      <c r="D146" s="2563"/>
      <c r="E146" s="2563"/>
      <c r="F146" s="2563"/>
      <c r="G146" s="2563"/>
      <c r="H146" s="2563"/>
      <c r="I146" s="2563"/>
      <c r="J146" s="2563"/>
      <c r="K146" s="2564"/>
      <c r="L146" s="2565"/>
      <c r="M146" s="2563"/>
      <c r="N146" s="2563"/>
      <c r="O146" s="2563"/>
      <c r="P146" s="2563"/>
      <c r="Q146" s="2563"/>
      <c r="R146" s="2563"/>
      <c r="S146" s="2563"/>
      <c r="T146" s="2563"/>
    </row>
    <row r="147" customFormat="false" ht="14.25" hidden="false" customHeight="false" outlineLevel="0" collapsed="false">
      <c r="A147" s="2563"/>
      <c r="B147" s="2563"/>
      <c r="C147" s="2563"/>
      <c r="D147" s="2563"/>
      <c r="E147" s="2563"/>
      <c r="F147" s="2563"/>
      <c r="G147" s="2563"/>
      <c r="H147" s="2563"/>
      <c r="I147" s="2563"/>
      <c r="J147" s="2563"/>
      <c r="K147" s="2564"/>
      <c r="L147" s="2565"/>
      <c r="M147" s="2563"/>
      <c r="N147" s="2563"/>
      <c r="O147" s="2563"/>
      <c r="P147" s="2563"/>
      <c r="Q147" s="2563"/>
      <c r="R147" s="2563"/>
      <c r="S147" s="2563"/>
      <c r="T147" s="2563"/>
    </row>
    <row r="148" customFormat="false" ht="14.25" hidden="false" customHeight="false" outlineLevel="0" collapsed="false">
      <c r="A148" s="2563"/>
      <c r="B148" s="2563"/>
      <c r="C148" s="2563"/>
      <c r="D148" s="2563"/>
      <c r="E148" s="2563"/>
      <c r="F148" s="2563"/>
      <c r="G148" s="2563"/>
      <c r="H148" s="2563"/>
      <c r="I148" s="2563"/>
      <c r="J148" s="2563"/>
      <c r="K148" s="2564"/>
      <c r="L148" s="2565"/>
      <c r="M148" s="2563"/>
      <c r="N148" s="2563"/>
      <c r="O148" s="2563"/>
      <c r="P148" s="2563"/>
      <c r="Q148" s="2563"/>
      <c r="R148" s="2563"/>
      <c r="S148" s="2563"/>
      <c r="T148" s="2563"/>
    </row>
    <row r="149" customFormat="false" ht="14.25" hidden="false" customHeight="false" outlineLevel="0" collapsed="false">
      <c r="A149" s="2563"/>
      <c r="B149" s="2563"/>
      <c r="C149" s="2563"/>
      <c r="D149" s="2563"/>
      <c r="E149" s="2563"/>
      <c r="F149" s="2563"/>
      <c r="G149" s="2563"/>
      <c r="H149" s="2563"/>
      <c r="I149" s="2563"/>
      <c r="J149" s="2563"/>
      <c r="K149" s="2564"/>
      <c r="L149" s="2565"/>
      <c r="M149" s="2563"/>
      <c r="N149" s="2563"/>
      <c r="O149" s="2563"/>
      <c r="P149" s="2563"/>
      <c r="Q149" s="2563"/>
      <c r="R149" s="2563"/>
      <c r="S149" s="2563"/>
      <c r="T149" s="2563"/>
    </row>
    <row r="150" customFormat="false" ht="14.25" hidden="false" customHeight="false" outlineLevel="0" collapsed="false">
      <c r="A150" s="2563"/>
      <c r="B150" s="2563"/>
      <c r="C150" s="2563"/>
      <c r="D150" s="2563"/>
      <c r="E150" s="2563"/>
      <c r="F150" s="2563"/>
      <c r="G150" s="2563"/>
      <c r="H150" s="2563"/>
      <c r="I150" s="2563"/>
      <c r="J150" s="2563"/>
      <c r="K150" s="2564"/>
      <c r="L150" s="2565"/>
      <c r="M150" s="2563"/>
      <c r="N150" s="2563"/>
      <c r="O150" s="2563"/>
      <c r="P150" s="2563"/>
      <c r="Q150" s="2563"/>
      <c r="R150" s="2563"/>
      <c r="S150" s="2563"/>
      <c r="T150" s="2563"/>
    </row>
    <row r="151" customFormat="false" ht="14.25" hidden="false" customHeight="false" outlineLevel="0" collapsed="false">
      <c r="A151" s="2563"/>
      <c r="B151" s="2563"/>
      <c r="C151" s="2563"/>
      <c r="D151" s="2563"/>
      <c r="E151" s="2563"/>
      <c r="F151" s="2563"/>
      <c r="G151" s="2563"/>
      <c r="H151" s="2563"/>
      <c r="I151" s="2563"/>
      <c r="J151" s="2563"/>
      <c r="K151" s="2564"/>
      <c r="L151" s="2565"/>
      <c r="M151" s="2563"/>
      <c r="N151" s="2563"/>
      <c r="O151" s="2563"/>
      <c r="P151" s="2563"/>
      <c r="Q151" s="2563"/>
      <c r="R151" s="2563"/>
      <c r="S151" s="2563"/>
      <c r="T151" s="2563"/>
    </row>
    <row r="152" customFormat="false" ht="14.25" hidden="false" customHeight="false" outlineLevel="0" collapsed="false">
      <c r="A152" s="2563"/>
      <c r="B152" s="2563"/>
      <c r="C152" s="2563"/>
      <c r="D152" s="2563"/>
      <c r="E152" s="2563"/>
      <c r="F152" s="2563"/>
      <c r="G152" s="2563"/>
      <c r="H152" s="2563"/>
      <c r="I152" s="2563"/>
      <c r="J152" s="2563"/>
      <c r="K152" s="2564"/>
      <c r="L152" s="2565"/>
      <c r="M152" s="2563"/>
      <c r="N152" s="2563"/>
      <c r="O152" s="2563"/>
      <c r="P152" s="2563"/>
      <c r="Q152" s="2563"/>
      <c r="R152" s="2563"/>
      <c r="S152" s="2563"/>
      <c r="T152" s="2563"/>
    </row>
    <row r="153" customFormat="false" ht="14.25" hidden="false" customHeight="false" outlineLevel="0" collapsed="false">
      <c r="A153" s="2563"/>
      <c r="B153" s="2563"/>
      <c r="C153" s="2563"/>
      <c r="D153" s="2563"/>
      <c r="E153" s="2563"/>
      <c r="F153" s="2563"/>
      <c r="G153" s="2563"/>
      <c r="H153" s="2563"/>
      <c r="I153" s="2563"/>
      <c r="J153" s="2563"/>
      <c r="K153" s="2564"/>
      <c r="L153" s="2565"/>
      <c r="M153" s="2563"/>
      <c r="N153" s="2563"/>
      <c r="O153" s="2563"/>
      <c r="P153" s="2563"/>
      <c r="Q153" s="2563"/>
      <c r="R153" s="2563"/>
      <c r="S153" s="2563"/>
      <c r="T153" s="2563"/>
    </row>
    <row r="154" customFormat="false" ht="14.25" hidden="false" customHeight="false" outlineLevel="0" collapsed="false">
      <c r="A154" s="2563"/>
      <c r="B154" s="2563"/>
      <c r="C154" s="2563"/>
      <c r="D154" s="2563"/>
      <c r="E154" s="2563"/>
      <c r="F154" s="2563"/>
      <c r="G154" s="2563"/>
      <c r="H154" s="2563"/>
      <c r="I154" s="2563"/>
      <c r="J154" s="2563"/>
      <c r="K154" s="2564"/>
      <c r="L154" s="2565"/>
      <c r="M154" s="2563"/>
      <c r="N154" s="2563"/>
      <c r="O154" s="2563"/>
      <c r="P154" s="2563"/>
      <c r="Q154" s="2563"/>
      <c r="R154" s="2563"/>
      <c r="S154" s="2563"/>
      <c r="T154" s="2563"/>
    </row>
    <row r="155" customFormat="false" ht="14.25" hidden="false" customHeight="false" outlineLevel="0" collapsed="false">
      <c r="A155" s="2563"/>
      <c r="B155" s="2563"/>
      <c r="C155" s="2563"/>
      <c r="D155" s="2563"/>
      <c r="E155" s="2563"/>
      <c r="F155" s="2563"/>
      <c r="G155" s="2563"/>
      <c r="H155" s="2563"/>
      <c r="I155" s="2563"/>
      <c r="J155" s="2563"/>
      <c r="K155" s="2564"/>
      <c r="L155" s="2565"/>
      <c r="M155" s="2563"/>
      <c r="N155" s="2563"/>
      <c r="O155" s="2563"/>
      <c r="P155" s="2563"/>
      <c r="Q155" s="2563"/>
      <c r="R155" s="2563"/>
      <c r="S155" s="2563"/>
      <c r="T155" s="2563"/>
    </row>
    <row r="156" customFormat="false" ht="14.25" hidden="false" customHeight="false" outlineLevel="0" collapsed="false">
      <c r="A156" s="2563"/>
      <c r="B156" s="2563"/>
      <c r="C156" s="2563"/>
      <c r="D156" s="2563"/>
      <c r="E156" s="2563"/>
      <c r="F156" s="2563"/>
      <c r="G156" s="2563"/>
      <c r="H156" s="2563"/>
      <c r="I156" s="2563"/>
      <c r="J156" s="2563"/>
      <c r="K156" s="2564"/>
      <c r="L156" s="2565"/>
      <c r="M156" s="2563"/>
      <c r="N156" s="2563"/>
      <c r="O156" s="2563"/>
      <c r="P156" s="2563"/>
      <c r="Q156" s="2563"/>
      <c r="R156" s="2563"/>
      <c r="S156" s="2563"/>
      <c r="T156" s="2563"/>
    </row>
    <row r="157" customFormat="false" ht="14.25" hidden="false" customHeight="false" outlineLevel="0" collapsed="false">
      <c r="A157" s="2563"/>
      <c r="B157" s="2563"/>
      <c r="C157" s="2563"/>
      <c r="D157" s="2563"/>
      <c r="E157" s="2563"/>
      <c r="F157" s="2563"/>
      <c r="G157" s="2563"/>
      <c r="H157" s="2563"/>
      <c r="I157" s="2563"/>
      <c r="J157" s="2563"/>
      <c r="K157" s="2564"/>
      <c r="L157" s="2565"/>
      <c r="M157" s="2563"/>
      <c r="N157" s="2563"/>
      <c r="O157" s="2563"/>
      <c r="P157" s="2563"/>
      <c r="Q157" s="2563"/>
      <c r="R157" s="2563"/>
      <c r="S157" s="2563"/>
      <c r="T157" s="2563"/>
    </row>
    <row r="158" customFormat="false" ht="14.25" hidden="false" customHeight="false" outlineLevel="0" collapsed="false">
      <c r="A158" s="2563"/>
      <c r="B158" s="2563"/>
      <c r="C158" s="2563"/>
      <c r="D158" s="2563"/>
      <c r="E158" s="2563"/>
      <c r="F158" s="2563"/>
      <c r="G158" s="2563"/>
      <c r="H158" s="2563"/>
      <c r="I158" s="2563"/>
      <c r="J158" s="2563"/>
      <c r="K158" s="2564"/>
      <c r="L158" s="2565"/>
      <c r="M158" s="2563"/>
      <c r="N158" s="2563"/>
      <c r="O158" s="2563"/>
      <c r="P158" s="2563"/>
      <c r="Q158" s="2563"/>
      <c r="R158" s="2563"/>
      <c r="S158" s="2563"/>
      <c r="T158" s="2563"/>
    </row>
    <row r="159" customFormat="false" ht="14.25" hidden="false" customHeight="false" outlineLevel="0" collapsed="false">
      <c r="A159" s="2563"/>
      <c r="B159" s="2563"/>
      <c r="C159" s="2563"/>
      <c r="D159" s="2563"/>
      <c r="E159" s="2563"/>
      <c r="F159" s="2563"/>
      <c r="G159" s="2563"/>
      <c r="H159" s="2563"/>
      <c r="I159" s="2563"/>
      <c r="J159" s="2563"/>
      <c r="K159" s="2564"/>
      <c r="L159" s="2565"/>
      <c r="M159" s="2563"/>
      <c r="N159" s="2563"/>
      <c r="O159" s="2563"/>
      <c r="P159" s="2563"/>
      <c r="Q159" s="2563"/>
      <c r="R159" s="2563"/>
      <c r="S159" s="2563"/>
      <c r="T159" s="2563"/>
    </row>
    <row r="160" customFormat="false" ht="14.25" hidden="false" customHeight="false" outlineLevel="0" collapsed="false">
      <c r="A160" s="2563"/>
      <c r="B160" s="2563"/>
      <c r="C160" s="2563"/>
      <c r="D160" s="2563"/>
      <c r="E160" s="2563"/>
      <c r="F160" s="2563"/>
      <c r="G160" s="2563"/>
      <c r="H160" s="2563"/>
      <c r="I160" s="2563"/>
      <c r="J160" s="2563"/>
      <c r="K160" s="2564"/>
      <c r="L160" s="2565"/>
      <c r="M160" s="2563"/>
      <c r="N160" s="2563"/>
      <c r="O160" s="2563"/>
      <c r="P160" s="2563"/>
      <c r="Q160" s="2563"/>
      <c r="R160" s="2563"/>
      <c r="S160" s="2563"/>
      <c r="T160" s="2563"/>
    </row>
    <row r="161" customFormat="false" ht="14.25" hidden="false" customHeight="false" outlineLevel="0" collapsed="false">
      <c r="A161" s="2563"/>
      <c r="B161" s="2563"/>
      <c r="C161" s="2563"/>
      <c r="D161" s="2563"/>
      <c r="E161" s="2563"/>
      <c r="F161" s="2563"/>
      <c r="G161" s="2563"/>
      <c r="H161" s="2563"/>
      <c r="I161" s="2563"/>
      <c r="J161" s="2563"/>
      <c r="K161" s="2564"/>
      <c r="L161" s="2565"/>
      <c r="M161" s="2563"/>
      <c r="N161" s="2563"/>
      <c r="O161" s="2563"/>
      <c r="P161" s="2563"/>
      <c r="Q161" s="2563"/>
      <c r="R161" s="2563"/>
      <c r="S161" s="2563"/>
      <c r="T161" s="2563"/>
    </row>
    <row r="162" customFormat="false" ht="14.25" hidden="false" customHeight="false" outlineLevel="0" collapsed="false">
      <c r="A162" s="2563"/>
      <c r="B162" s="2563"/>
      <c r="C162" s="2563"/>
      <c r="D162" s="2563"/>
      <c r="E162" s="2563"/>
      <c r="F162" s="2563"/>
      <c r="G162" s="2563"/>
      <c r="H162" s="2563"/>
      <c r="I162" s="2563"/>
      <c r="J162" s="2563"/>
      <c r="K162" s="2564"/>
      <c r="L162" s="2565"/>
      <c r="M162" s="2563"/>
      <c r="N162" s="2563"/>
      <c r="O162" s="2563"/>
      <c r="P162" s="2563"/>
      <c r="Q162" s="2563"/>
      <c r="R162" s="2563"/>
      <c r="S162" s="2563"/>
      <c r="T162" s="2563"/>
    </row>
    <row r="163" customFormat="false" ht="14.25" hidden="false" customHeight="false" outlineLevel="0" collapsed="false">
      <c r="A163" s="2563"/>
      <c r="B163" s="2563"/>
      <c r="C163" s="2563"/>
      <c r="D163" s="2563"/>
      <c r="E163" s="2563"/>
      <c r="F163" s="2563"/>
      <c r="G163" s="2563"/>
      <c r="H163" s="2563"/>
      <c r="I163" s="2563"/>
      <c r="J163" s="2563"/>
      <c r="K163" s="2564"/>
      <c r="L163" s="2565"/>
      <c r="M163" s="2563"/>
      <c r="N163" s="2563"/>
      <c r="O163" s="2563"/>
      <c r="P163" s="2563"/>
      <c r="Q163" s="2563"/>
      <c r="R163" s="2563"/>
      <c r="S163" s="2563"/>
      <c r="T163" s="2563"/>
    </row>
    <row r="164" customFormat="false" ht="14.25" hidden="false" customHeight="false" outlineLevel="0" collapsed="false">
      <c r="A164" s="2563"/>
      <c r="B164" s="2563"/>
      <c r="C164" s="2563"/>
      <c r="D164" s="2563"/>
      <c r="E164" s="2563"/>
      <c r="F164" s="2563"/>
      <c r="G164" s="2563"/>
      <c r="H164" s="2563"/>
      <c r="I164" s="2563"/>
      <c r="J164" s="2563"/>
      <c r="K164" s="2564"/>
      <c r="L164" s="2565"/>
      <c r="M164" s="2563"/>
      <c r="N164" s="2563"/>
      <c r="O164" s="2563"/>
      <c r="P164" s="2563"/>
      <c r="Q164" s="2563"/>
      <c r="R164" s="2563"/>
      <c r="S164" s="2563"/>
      <c r="T164" s="2563"/>
    </row>
    <row r="165" customFormat="false" ht="14.25" hidden="false" customHeight="false" outlineLevel="0" collapsed="false">
      <c r="A165" s="2563"/>
      <c r="B165" s="2563"/>
      <c r="C165" s="2563"/>
      <c r="D165" s="2563"/>
      <c r="E165" s="2563"/>
      <c r="F165" s="2563"/>
      <c r="G165" s="2563"/>
      <c r="H165" s="2563"/>
      <c r="I165" s="2563"/>
      <c r="J165" s="2563"/>
      <c r="K165" s="2564"/>
      <c r="L165" s="2565"/>
      <c r="M165" s="2563"/>
      <c r="N165" s="2563"/>
      <c r="O165" s="2563"/>
      <c r="P165" s="2563"/>
      <c r="Q165" s="2563"/>
      <c r="R165" s="2563"/>
      <c r="S165" s="2563"/>
      <c r="T165" s="2563"/>
    </row>
    <row r="166" customFormat="false" ht="14.25" hidden="false" customHeight="false" outlineLevel="0" collapsed="false">
      <c r="A166" s="2563"/>
      <c r="B166" s="2563"/>
      <c r="C166" s="2563"/>
      <c r="D166" s="2563"/>
      <c r="E166" s="2563"/>
      <c r="F166" s="2563"/>
      <c r="G166" s="2563"/>
      <c r="H166" s="2563"/>
      <c r="I166" s="2563"/>
      <c r="J166" s="2563"/>
      <c r="K166" s="2564"/>
      <c r="L166" s="2565"/>
      <c r="M166" s="2563"/>
      <c r="N166" s="2563"/>
      <c r="O166" s="2563"/>
      <c r="P166" s="2563"/>
      <c r="Q166" s="2563"/>
      <c r="R166" s="2563"/>
      <c r="S166" s="2563"/>
      <c r="T166" s="2563"/>
    </row>
    <row r="167" customFormat="false" ht="14.25" hidden="false" customHeight="false" outlineLevel="0" collapsed="false">
      <c r="A167" s="2563"/>
      <c r="B167" s="2563"/>
      <c r="C167" s="2563"/>
      <c r="D167" s="2563"/>
      <c r="E167" s="2563"/>
      <c r="F167" s="2563"/>
      <c r="G167" s="2563"/>
      <c r="H167" s="2563"/>
      <c r="I167" s="2563"/>
      <c r="J167" s="2563"/>
      <c r="K167" s="2564"/>
      <c r="L167" s="2565"/>
      <c r="M167" s="2563"/>
      <c r="N167" s="2563"/>
      <c r="O167" s="2563"/>
      <c r="P167" s="2563"/>
      <c r="Q167" s="2563"/>
      <c r="R167" s="2563"/>
      <c r="S167" s="2563"/>
      <c r="T167" s="2563"/>
    </row>
    <row r="168" customFormat="false" ht="14.25" hidden="false" customHeight="false" outlineLevel="0" collapsed="false">
      <c r="A168" s="2563"/>
      <c r="B168" s="2563"/>
      <c r="C168" s="2563"/>
      <c r="D168" s="2563"/>
      <c r="E168" s="2563"/>
      <c r="F168" s="2563"/>
      <c r="G168" s="2563"/>
      <c r="H168" s="2563"/>
      <c r="I168" s="2563"/>
      <c r="J168" s="2563"/>
      <c r="K168" s="2564"/>
      <c r="L168" s="2565"/>
      <c r="M168" s="2563"/>
      <c r="N168" s="2563"/>
      <c r="O168" s="2563"/>
      <c r="P168" s="2563"/>
      <c r="Q168" s="2563"/>
      <c r="R168" s="2563"/>
      <c r="S168" s="2563"/>
      <c r="T168" s="2563"/>
    </row>
    <row r="169" customFormat="false" ht="14.25" hidden="false" customHeight="false" outlineLevel="0" collapsed="false">
      <c r="A169" s="2563"/>
      <c r="B169" s="2563"/>
      <c r="C169" s="2563"/>
      <c r="D169" s="2563"/>
      <c r="E169" s="2563"/>
      <c r="F169" s="2563"/>
      <c r="G169" s="2563"/>
      <c r="H169" s="2563"/>
      <c r="I169" s="2563"/>
      <c r="J169" s="2563"/>
      <c r="K169" s="2564"/>
      <c r="L169" s="2565"/>
      <c r="M169" s="2563"/>
      <c r="N169" s="2563"/>
      <c r="O169" s="2563"/>
      <c r="P169" s="2563"/>
      <c r="Q169" s="2563"/>
      <c r="R169" s="2563"/>
      <c r="S169" s="2563"/>
      <c r="T169" s="2563"/>
    </row>
    <row r="170" customFormat="false" ht="14.25" hidden="false" customHeight="false" outlineLevel="0" collapsed="false">
      <c r="A170" s="2563"/>
      <c r="B170" s="2563"/>
      <c r="C170" s="2563"/>
      <c r="D170" s="2563"/>
      <c r="E170" s="2563"/>
      <c r="F170" s="2563"/>
      <c r="G170" s="2563"/>
      <c r="H170" s="2563"/>
      <c r="I170" s="2563"/>
      <c r="J170" s="2563"/>
      <c r="K170" s="2564"/>
      <c r="L170" s="2565"/>
      <c r="M170" s="2563"/>
      <c r="N170" s="2563"/>
      <c r="O170" s="2563"/>
      <c r="P170" s="2563"/>
      <c r="Q170" s="2563"/>
      <c r="R170" s="2563"/>
      <c r="S170" s="2563"/>
      <c r="T170" s="2563"/>
    </row>
    <row r="171" customFormat="false" ht="14.25" hidden="false" customHeight="false" outlineLevel="0" collapsed="false">
      <c r="A171" s="2563"/>
      <c r="B171" s="2563"/>
      <c r="C171" s="2563"/>
      <c r="D171" s="2563"/>
      <c r="E171" s="2563"/>
      <c r="F171" s="2563"/>
      <c r="G171" s="2563"/>
      <c r="H171" s="2563"/>
      <c r="I171" s="2563"/>
      <c r="J171" s="2563"/>
      <c r="K171" s="2564"/>
      <c r="L171" s="2565"/>
      <c r="M171" s="2563"/>
      <c r="N171" s="2563"/>
      <c r="O171" s="2563"/>
      <c r="P171" s="2563"/>
      <c r="Q171" s="2563"/>
      <c r="R171" s="2563"/>
      <c r="S171" s="2563"/>
      <c r="T171" s="2563"/>
    </row>
    <row r="172" customFormat="false" ht="14.25" hidden="false" customHeight="false" outlineLevel="0" collapsed="false">
      <c r="A172" s="2563"/>
      <c r="B172" s="2563"/>
      <c r="C172" s="2563"/>
      <c r="D172" s="2563"/>
      <c r="E172" s="2563"/>
      <c r="F172" s="2563"/>
      <c r="G172" s="2563"/>
      <c r="H172" s="2563"/>
      <c r="I172" s="2563"/>
      <c r="J172" s="2563"/>
      <c r="K172" s="2564"/>
      <c r="L172" s="2565"/>
      <c r="M172" s="2563"/>
      <c r="N172" s="2563"/>
      <c r="O172" s="2563"/>
      <c r="P172" s="2563"/>
      <c r="Q172" s="2563"/>
      <c r="R172" s="2563"/>
      <c r="S172" s="2563"/>
      <c r="T172" s="2563"/>
    </row>
    <row r="173" customFormat="false" ht="14.25" hidden="false" customHeight="false" outlineLevel="0" collapsed="false">
      <c r="A173" s="2563"/>
      <c r="B173" s="2563"/>
      <c r="C173" s="2563"/>
      <c r="D173" s="2563"/>
      <c r="E173" s="2563"/>
      <c r="F173" s="2563"/>
      <c r="G173" s="2563"/>
      <c r="H173" s="2563"/>
      <c r="I173" s="2563"/>
      <c r="J173" s="2563"/>
      <c r="K173" s="2564"/>
      <c r="L173" s="2565"/>
      <c r="M173" s="2563"/>
      <c r="N173" s="2563"/>
      <c r="O173" s="2563"/>
      <c r="P173" s="2563"/>
      <c r="Q173" s="2563"/>
      <c r="R173" s="2563"/>
      <c r="S173" s="2563"/>
      <c r="T173" s="2563"/>
    </row>
    <row r="174" customFormat="false" ht="14.25" hidden="false" customHeight="false" outlineLevel="0" collapsed="false">
      <c r="A174" s="2563"/>
      <c r="B174" s="2563"/>
      <c r="C174" s="2563"/>
      <c r="D174" s="2563"/>
      <c r="E174" s="2563"/>
      <c r="F174" s="2563"/>
      <c r="G174" s="2563"/>
      <c r="H174" s="2563"/>
      <c r="I174" s="2563"/>
      <c r="J174" s="2563"/>
      <c r="K174" s="2564"/>
      <c r="L174" s="2565"/>
      <c r="M174" s="2563"/>
      <c r="N174" s="2563"/>
      <c r="O174" s="2563"/>
      <c r="P174" s="2563"/>
      <c r="Q174" s="2563"/>
      <c r="R174" s="2563"/>
      <c r="S174" s="2563"/>
      <c r="T174" s="2563"/>
    </row>
    <row r="175" customFormat="false" ht="14.25" hidden="false" customHeight="false" outlineLevel="0" collapsed="false">
      <c r="A175" s="2563"/>
      <c r="B175" s="2563"/>
      <c r="C175" s="2563"/>
      <c r="D175" s="2563"/>
      <c r="E175" s="2563"/>
      <c r="F175" s="2563"/>
      <c r="G175" s="2563"/>
      <c r="H175" s="2563"/>
      <c r="I175" s="2563"/>
      <c r="J175" s="2563"/>
      <c r="K175" s="2564"/>
      <c r="L175" s="2565"/>
      <c r="M175" s="2563"/>
      <c r="N175" s="2563"/>
      <c r="O175" s="2563"/>
      <c r="P175" s="2563"/>
      <c r="Q175" s="2563"/>
      <c r="R175" s="2563"/>
      <c r="S175" s="2563"/>
      <c r="T175" s="2563"/>
    </row>
    <row r="176" customFormat="false" ht="14.25" hidden="false" customHeight="false" outlineLevel="0" collapsed="false">
      <c r="A176" s="2563"/>
      <c r="B176" s="2563"/>
      <c r="C176" s="2563"/>
      <c r="D176" s="2563"/>
      <c r="E176" s="2563"/>
      <c r="F176" s="2563"/>
      <c r="G176" s="2563"/>
      <c r="H176" s="2563"/>
      <c r="I176" s="2563"/>
      <c r="J176" s="2563"/>
      <c r="K176" s="2564"/>
      <c r="L176" s="2565"/>
      <c r="M176" s="2563"/>
      <c r="N176" s="2563"/>
      <c r="O176" s="2563"/>
      <c r="P176" s="2563"/>
      <c r="Q176" s="2563"/>
      <c r="R176" s="2563"/>
      <c r="S176" s="2563"/>
      <c r="T176" s="2563"/>
    </row>
    <row r="177" customFormat="false" ht="14.25" hidden="false" customHeight="false" outlineLevel="0" collapsed="false">
      <c r="A177" s="2563"/>
      <c r="B177" s="2563"/>
      <c r="C177" s="2563"/>
      <c r="D177" s="2563"/>
      <c r="E177" s="2563"/>
      <c r="F177" s="2563"/>
      <c r="G177" s="2563"/>
      <c r="H177" s="2563"/>
      <c r="I177" s="2563"/>
      <c r="J177" s="2563"/>
      <c r="K177" s="2564"/>
      <c r="L177" s="2565"/>
      <c r="M177" s="2563"/>
      <c r="N177" s="2563"/>
      <c r="O177" s="2563"/>
      <c r="P177" s="2563"/>
      <c r="Q177" s="2563"/>
      <c r="R177" s="2563"/>
      <c r="S177" s="2563"/>
      <c r="T177" s="2563"/>
    </row>
    <row r="178" customFormat="false" ht="14.25" hidden="false" customHeight="false" outlineLevel="0" collapsed="false">
      <c r="A178" s="2563"/>
      <c r="B178" s="2563"/>
      <c r="C178" s="2563"/>
      <c r="D178" s="2563"/>
      <c r="E178" s="2563"/>
      <c r="F178" s="2563"/>
      <c r="G178" s="2563"/>
      <c r="H178" s="2563"/>
      <c r="I178" s="2563"/>
      <c r="J178" s="2563"/>
      <c r="K178" s="2564"/>
      <c r="L178" s="2565"/>
      <c r="M178" s="2563"/>
      <c r="N178" s="2563"/>
      <c r="O178" s="2563"/>
      <c r="P178" s="2563"/>
      <c r="Q178" s="2563"/>
      <c r="R178" s="2563"/>
      <c r="S178" s="2563"/>
      <c r="T178" s="2563"/>
    </row>
    <row r="179" customFormat="false" ht="14.25" hidden="false" customHeight="false" outlineLevel="0" collapsed="false">
      <c r="A179" s="2563"/>
      <c r="B179" s="2563"/>
      <c r="C179" s="2563"/>
      <c r="D179" s="2563"/>
      <c r="E179" s="2563"/>
      <c r="F179" s="2563"/>
      <c r="G179" s="2563"/>
      <c r="H179" s="2563"/>
      <c r="I179" s="2563"/>
      <c r="J179" s="2563"/>
      <c r="K179" s="2564"/>
      <c r="L179" s="2565"/>
      <c r="M179" s="2563"/>
      <c r="N179" s="2563"/>
      <c r="O179" s="2563"/>
      <c r="P179" s="2563"/>
      <c r="Q179" s="2563"/>
      <c r="R179" s="2563"/>
      <c r="S179" s="2563"/>
      <c r="T179" s="2563"/>
    </row>
    <row r="180" customFormat="false" ht="14.25" hidden="false" customHeight="false" outlineLevel="0" collapsed="false">
      <c r="A180" s="2563"/>
      <c r="B180" s="2563"/>
      <c r="C180" s="2563"/>
      <c r="D180" s="2563"/>
      <c r="E180" s="2563"/>
      <c r="F180" s="2563"/>
      <c r="G180" s="2563"/>
      <c r="H180" s="2563"/>
      <c r="I180" s="2563"/>
      <c r="J180" s="2563"/>
      <c r="K180" s="2564"/>
      <c r="L180" s="2565"/>
      <c r="M180" s="2563"/>
      <c r="N180" s="2563"/>
      <c r="O180" s="2563"/>
      <c r="P180" s="2563"/>
      <c r="Q180" s="2563"/>
      <c r="R180" s="2563"/>
      <c r="S180" s="2563"/>
      <c r="T180" s="2563"/>
    </row>
    <row r="181" customFormat="false" ht="14.25" hidden="false" customHeight="false" outlineLevel="0" collapsed="false">
      <c r="A181" s="2563"/>
      <c r="B181" s="2563"/>
      <c r="C181" s="2563"/>
      <c r="D181" s="2563"/>
      <c r="E181" s="2563"/>
      <c r="F181" s="2563"/>
      <c r="G181" s="2563"/>
      <c r="H181" s="2563"/>
      <c r="I181" s="2563"/>
      <c r="J181" s="2563"/>
      <c r="K181" s="2564"/>
      <c r="L181" s="2565"/>
      <c r="M181" s="2563"/>
      <c r="N181" s="2563"/>
      <c r="O181" s="2563"/>
      <c r="P181" s="2563"/>
      <c r="Q181" s="2563"/>
      <c r="R181" s="2563"/>
      <c r="S181" s="2563"/>
      <c r="T181" s="2563"/>
    </row>
    <row r="182" customFormat="false" ht="14.25" hidden="false" customHeight="false" outlineLevel="0" collapsed="false">
      <c r="A182" s="2563"/>
      <c r="B182" s="2563"/>
      <c r="C182" s="2563"/>
      <c r="D182" s="2563"/>
      <c r="E182" s="2563"/>
      <c r="F182" s="2563"/>
      <c r="G182" s="2563"/>
      <c r="H182" s="2563"/>
      <c r="I182" s="2563"/>
      <c r="J182" s="2563"/>
      <c r="K182" s="2564"/>
      <c r="L182" s="2565"/>
      <c r="M182" s="2563"/>
      <c r="N182" s="2563"/>
      <c r="O182" s="2563"/>
      <c r="P182" s="2563"/>
      <c r="Q182" s="2563"/>
      <c r="R182" s="2563"/>
      <c r="S182" s="2563"/>
      <c r="T182" s="2563"/>
    </row>
    <row r="183" customFormat="false" ht="14.25" hidden="false" customHeight="false" outlineLevel="0" collapsed="false">
      <c r="A183" s="2563"/>
      <c r="B183" s="2563"/>
      <c r="C183" s="2563"/>
      <c r="D183" s="2563"/>
      <c r="E183" s="2563"/>
      <c r="F183" s="2563"/>
      <c r="G183" s="2563"/>
      <c r="H183" s="2563"/>
      <c r="I183" s="2563"/>
      <c r="J183" s="2563"/>
      <c r="K183" s="2564"/>
      <c r="L183" s="2565"/>
      <c r="M183" s="2563"/>
      <c r="N183" s="2563"/>
      <c r="O183" s="2563"/>
      <c r="P183" s="2563"/>
      <c r="Q183" s="2563"/>
      <c r="R183" s="2563"/>
      <c r="S183" s="2563"/>
      <c r="T183" s="2563"/>
    </row>
    <row r="184" customFormat="false" ht="14.25" hidden="false" customHeight="false" outlineLevel="0" collapsed="false">
      <c r="A184" s="2563"/>
      <c r="B184" s="2563"/>
      <c r="C184" s="2563"/>
      <c r="D184" s="2563"/>
      <c r="E184" s="2563"/>
      <c r="F184" s="2563"/>
      <c r="G184" s="2563"/>
      <c r="H184" s="2563"/>
      <c r="I184" s="2563"/>
      <c r="J184" s="2563"/>
      <c r="K184" s="2564"/>
      <c r="L184" s="2565"/>
      <c r="M184" s="2563"/>
      <c r="N184" s="2563"/>
      <c r="O184" s="2563"/>
      <c r="P184" s="2563"/>
      <c r="Q184" s="2563"/>
      <c r="R184" s="2563"/>
      <c r="S184" s="2563"/>
      <c r="T184" s="2563"/>
    </row>
    <row r="185" customFormat="false" ht="14.25" hidden="false" customHeight="false" outlineLevel="0" collapsed="false">
      <c r="A185" s="2563"/>
      <c r="B185" s="2563"/>
      <c r="C185" s="2563"/>
      <c r="D185" s="2563"/>
      <c r="E185" s="2563"/>
      <c r="F185" s="2563"/>
      <c r="G185" s="2563"/>
      <c r="H185" s="2563"/>
      <c r="I185" s="2563"/>
      <c r="J185" s="2563"/>
      <c r="K185" s="2564"/>
      <c r="L185" s="2565"/>
      <c r="M185" s="2563"/>
      <c r="N185" s="2563"/>
      <c r="O185" s="2563"/>
      <c r="P185" s="2563"/>
      <c r="Q185" s="2563"/>
      <c r="R185" s="2563"/>
      <c r="S185" s="2563"/>
      <c r="T185" s="2563"/>
    </row>
    <row r="186" customFormat="false" ht="14.25" hidden="false" customHeight="false" outlineLevel="0" collapsed="false">
      <c r="A186" s="2563"/>
      <c r="B186" s="2563"/>
      <c r="C186" s="2563"/>
      <c r="D186" s="2563"/>
      <c r="E186" s="2563"/>
      <c r="F186" s="2563"/>
      <c r="G186" s="2563"/>
      <c r="H186" s="2563"/>
      <c r="I186" s="2563"/>
      <c r="J186" s="2563"/>
      <c r="K186" s="2564"/>
      <c r="L186" s="2565"/>
      <c r="M186" s="2563"/>
      <c r="N186" s="2563"/>
      <c r="O186" s="2563"/>
      <c r="P186" s="2563"/>
      <c r="Q186" s="2563"/>
      <c r="R186" s="2563"/>
      <c r="S186" s="2563"/>
      <c r="T186" s="2563"/>
    </row>
    <row r="187" customFormat="false" ht="14.25" hidden="false" customHeight="false" outlineLevel="0" collapsed="false">
      <c r="A187" s="2563"/>
      <c r="B187" s="2563"/>
      <c r="C187" s="2563"/>
      <c r="D187" s="2563"/>
      <c r="E187" s="2563"/>
      <c r="F187" s="2563"/>
      <c r="G187" s="2563"/>
      <c r="H187" s="2563"/>
      <c r="I187" s="2563"/>
      <c r="J187" s="2563"/>
      <c r="K187" s="2564"/>
      <c r="L187" s="2565"/>
      <c r="M187" s="2563"/>
      <c r="N187" s="2563"/>
      <c r="O187" s="2563"/>
      <c r="P187" s="2563"/>
      <c r="Q187" s="2563"/>
      <c r="R187" s="2563"/>
      <c r="S187" s="2563"/>
      <c r="T187" s="2563"/>
    </row>
    <row r="188" customFormat="false" ht="14.25" hidden="false" customHeight="false" outlineLevel="0" collapsed="false">
      <c r="A188" s="2563"/>
      <c r="B188" s="2563"/>
      <c r="C188" s="2563"/>
      <c r="D188" s="2563"/>
      <c r="E188" s="2563"/>
      <c r="F188" s="2563"/>
      <c r="G188" s="2563"/>
      <c r="H188" s="2563"/>
      <c r="I188" s="2563"/>
      <c r="J188" s="2563"/>
      <c r="K188" s="2564"/>
      <c r="L188" s="2565"/>
      <c r="M188" s="2563"/>
      <c r="N188" s="2563"/>
      <c r="O188" s="2563"/>
      <c r="P188" s="2563"/>
      <c r="Q188" s="2563"/>
      <c r="R188" s="2563"/>
      <c r="S188" s="2563"/>
      <c r="T188" s="2563"/>
    </row>
    <row r="189" customFormat="false" ht="14.25" hidden="false" customHeight="false" outlineLevel="0" collapsed="false">
      <c r="A189" s="2563"/>
      <c r="B189" s="2563"/>
      <c r="C189" s="2563"/>
      <c r="D189" s="2563"/>
      <c r="E189" s="2563"/>
      <c r="F189" s="2563"/>
      <c r="G189" s="2563"/>
      <c r="H189" s="2563"/>
      <c r="I189" s="2563"/>
      <c r="J189" s="2563"/>
      <c r="K189" s="2564"/>
      <c r="L189" s="2565"/>
      <c r="M189" s="2563"/>
      <c r="N189" s="2563"/>
      <c r="O189" s="2563"/>
      <c r="P189" s="2563"/>
      <c r="Q189" s="2563"/>
      <c r="R189" s="2563"/>
      <c r="S189" s="2563"/>
      <c r="T189" s="2563"/>
    </row>
    <row r="190" customFormat="false" ht="14.25" hidden="false" customHeight="false" outlineLevel="0" collapsed="false">
      <c r="A190" s="2563"/>
      <c r="B190" s="2563"/>
      <c r="C190" s="2563"/>
      <c r="D190" s="2563"/>
      <c r="E190" s="2563"/>
      <c r="F190" s="2563"/>
      <c r="G190" s="2563"/>
      <c r="H190" s="2563"/>
      <c r="I190" s="2563"/>
      <c r="J190" s="2563"/>
      <c r="K190" s="2564"/>
      <c r="L190" s="2565"/>
      <c r="M190" s="2563"/>
      <c r="N190" s="2563"/>
      <c r="O190" s="2563"/>
      <c r="P190" s="2563"/>
      <c r="Q190" s="2563"/>
      <c r="R190" s="2563"/>
      <c r="S190" s="2563"/>
      <c r="T190" s="2563"/>
    </row>
    <row r="191" customFormat="false" ht="14.25" hidden="false" customHeight="false" outlineLevel="0" collapsed="false">
      <c r="A191" s="2563"/>
      <c r="B191" s="2563"/>
      <c r="C191" s="2563"/>
      <c r="D191" s="2563"/>
      <c r="E191" s="2563"/>
      <c r="F191" s="2563"/>
      <c r="G191" s="2563"/>
      <c r="H191" s="2563"/>
      <c r="I191" s="2563"/>
      <c r="J191" s="2563"/>
      <c r="K191" s="2564"/>
      <c r="L191" s="2565"/>
      <c r="M191" s="2563"/>
      <c r="N191" s="2563"/>
      <c r="O191" s="2563"/>
      <c r="P191" s="2563"/>
      <c r="Q191" s="2563"/>
      <c r="R191" s="2563"/>
      <c r="S191" s="2563"/>
      <c r="T191" s="2563"/>
    </row>
    <row r="192" customFormat="false" ht="14.25" hidden="false" customHeight="false" outlineLevel="0" collapsed="false">
      <c r="A192" s="2563"/>
      <c r="B192" s="2563"/>
      <c r="C192" s="2563"/>
      <c r="D192" s="2563"/>
      <c r="E192" s="2563"/>
      <c r="F192" s="2563"/>
      <c r="G192" s="2563"/>
      <c r="H192" s="2563"/>
      <c r="I192" s="2563"/>
      <c r="J192" s="2563"/>
      <c r="K192" s="2564"/>
      <c r="L192" s="2565"/>
      <c r="M192" s="2563"/>
      <c r="N192" s="2563"/>
      <c r="O192" s="2563"/>
      <c r="P192" s="2563"/>
      <c r="Q192" s="2563"/>
      <c r="R192" s="2563"/>
      <c r="S192" s="2563"/>
      <c r="T192" s="2563"/>
    </row>
    <row r="193" customFormat="false" ht="14.25" hidden="false" customHeight="false" outlineLevel="0" collapsed="false">
      <c r="A193" s="2563"/>
      <c r="B193" s="2563"/>
      <c r="C193" s="2563"/>
      <c r="D193" s="2563"/>
      <c r="E193" s="2563"/>
      <c r="F193" s="2563"/>
      <c r="G193" s="2563"/>
      <c r="H193" s="2563"/>
      <c r="I193" s="2563"/>
      <c r="J193" s="2563"/>
      <c r="K193" s="2564"/>
      <c r="L193" s="2565"/>
      <c r="M193" s="2563"/>
      <c r="N193" s="2563"/>
      <c r="O193" s="2563"/>
      <c r="P193" s="2563"/>
      <c r="Q193" s="2563"/>
      <c r="R193" s="2563"/>
      <c r="S193" s="2563"/>
      <c r="T193" s="2563"/>
    </row>
    <row r="194" customFormat="false" ht="14.25" hidden="false" customHeight="false" outlineLevel="0" collapsed="false">
      <c r="A194" s="2563"/>
      <c r="B194" s="2563"/>
      <c r="C194" s="2563"/>
      <c r="D194" s="2563"/>
      <c r="E194" s="2563"/>
      <c r="F194" s="2563"/>
      <c r="G194" s="2563"/>
      <c r="H194" s="2563"/>
      <c r="I194" s="2563"/>
      <c r="J194" s="2563"/>
      <c r="K194" s="2564"/>
      <c r="L194" s="2565"/>
      <c r="M194" s="2563"/>
      <c r="N194" s="2563"/>
      <c r="O194" s="2563"/>
      <c r="P194" s="2563"/>
      <c r="Q194" s="2563"/>
      <c r="R194" s="2563"/>
      <c r="S194" s="2563"/>
      <c r="T194" s="2563"/>
    </row>
    <row r="195" customFormat="false" ht="14.25" hidden="false" customHeight="false" outlineLevel="0" collapsed="false">
      <c r="A195" s="2563"/>
      <c r="B195" s="2563"/>
      <c r="C195" s="2563"/>
      <c r="D195" s="2563"/>
      <c r="E195" s="2563"/>
      <c r="F195" s="2563"/>
      <c r="G195" s="2563"/>
      <c r="H195" s="2563"/>
      <c r="I195" s="2563"/>
      <c r="J195" s="2563"/>
      <c r="K195" s="2564"/>
      <c r="L195" s="2565"/>
      <c r="M195" s="2563"/>
      <c r="N195" s="2563"/>
      <c r="O195" s="2563"/>
      <c r="P195" s="2563"/>
      <c r="Q195" s="2563"/>
      <c r="R195" s="2563"/>
      <c r="S195" s="2563"/>
      <c r="T195" s="2563"/>
    </row>
    <row r="196" customFormat="false" ht="14.25" hidden="false" customHeight="false" outlineLevel="0" collapsed="false">
      <c r="A196" s="2563"/>
      <c r="B196" s="2563"/>
      <c r="C196" s="2563"/>
      <c r="D196" s="2563"/>
      <c r="E196" s="2563"/>
      <c r="F196" s="2563"/>
      <c r="G196" s="2563"/>
      <c r="H196" s="2563"/>
      <c r="I196" s="2563"/>
      <c r="J196" s="2563"/>
      <c r="K196" s="2564"/>
      <c r="L196" s="2565"/>
      <c r="M196" s="2563"/>
      <c r="N196" s="2563"/>
      <c r="O196" s="2563"/>
      <c r="P196" s="2563"/>
      <c r="Q196" s="2563"/>
      <c r="R196" s="2563"/>
      <c r="S196" s="2563"/>
      <c r="T196" s="2563"/>
    </row>
    <row r="197" customFormat="false" ht="14.25" hidden="false" customHeight="false" outlineLevel="0" collapsed="false">
      <c r="A197" s="2563"/>
      <c r="B197" s="2563"/>
      <c r="C197" s="2563"/>
      <c r="D197" s="2563"/>
      <c r="E197" s="2563"/>
      <c r="F197" s="2563"/>
      <c r="G197" s="2563"/>
      <c r="H197" s="2563"/>
      <c r="I197" s="2563"/>
      <c r="J197" s="2563"/>
      <c r="K197" s="2564"/>
      <c r="L197" s="2565"/>
      <c r="M197" s="2563"/>
      <c r="N197" s="2563"/>
      <c r="O197" s="2563"/>
      <c r="P197" s="2563"/>
      <c r="Q197" s="2563"/>
      <c r="R197" s="2563"/>
      <c r="S197" s="2563"/>
      <c r="T197" s="2563"/>
    </row>
    <row r="198" customFormat="false" ht="14.25" hidden="false" customHeight="false" outlineLevel="0" collapsed="false">
      <c r="A198" s="2563"/>
      <c r="B198" s="2563"/>
      <c r="C198" s="2563"/>
      <c r="D198" s="2563"/>
      <c r="E198" s="2563"/>
      <c r="F198" s="2563"/>
      <c r="G198" s="2563"/>
      <c r="H198" s="2563"/>
      <c r="I198" s="2563"/>
      <c r="J198" s="2563"/>
      <c r="K198" s="2564"/>
      <c r="L198" s="2565"/>
      <c r="M198" s="2563"/>
      <c r="N198" s="2563"/>
      <c r="O198" s="2563"/>
      <c r="P198" s="2563"/>
      <c r="Q198" s="2563"/>
      <c r="R198" s="2563"/>
      <c r="S198" s="2563"/>
      <c r="T198" s="2563"/>
    </row>
    <row r="199" customFormat="false" ht="14.25" hidden="false" customHeight="false" outlineLevel="0" collapsed="false">
      <c r="A199" s="2563"/>
      <c r="B199" s="2563"/>
      <c r="C199" s="2563"/>
      <c r="D199" s="2563"/>
      <c r="E199" s="2563"/>
      <c r="F199" s="2563"/>
      <c r="G199" s="2563"/>
      <c r="H199" s="2563"/>
      <c r="I199" s="2563"/>
      <c r="J199" s="2563"/>
      <c r="K199" s="2564"/>
      <c r="L199" s="2565"/>
      <c r="M199" s="2563"/>
      <c r="N199" s="2563"/>
      <c r="O199" s="2563"/>
      <c r="P199" s="2563"/>
      <c r="Q199" s="2563"/>
      <c r="R199" s="2563"/>
      <c r="S199" s="2563"/>
      <c r="T199" s="2563"/>
    </row>
    <row r="200" customFormat="false" ht="14.25" hidden="false" customHeight="false" outlineLevel="0" collapsed="false">
      <c r="A200" s="2563"/>
      <c r="B200" s="2563"/>
      <c r="C200" s="2563"/>
      <c r="D200" s="2563"/>
      <c r="E200" s="2563"/>
      <c r="F200" s="2563"/>
      <c r="G200" s="2563"/>
      <c r="H200" s="2563"/>
      <c r="I200" s="2563"/>
      <c r="J200" s="2563"/>
      <c r="K200" s="2564"/>
      <c r="L200" s="2565"/>
      <c r="M200" s="2563"/>
      <c r="N200" s="2563"/>
      <c r="O200" s="2563"/>
      <c r="P200" s="2563"/>
      <c r="Q200" s="2563"/>
      <c r="R200" s="2563"/>
      <c r="S200" s="2563"/>
      <c r="T200" s="2563"/>
    </row>
    <row r="201" customFormat="false" ht="14.25" hidden="false" customHeight="false" outlineLevel="0" collapsed="false">
      <c r="A201" s="2563"/>
      <c r="B201" s="2563"/>
      <c r="C201" s="2563"/>
      <c r="D201" s="2563"/>
      <c r="E201" s="2563"/>
      <c r="F201" s="2563"/>
      <c r="G201" s="2563"/>
      <c r="H201" s="2563"/>
      <c r="I201" s="2563"/>
      <c r="J201" s="2563"/>
      <c r="K201" s="2564"/>
      <c r="L201" s="2565"/>
      <c r="M201" s="2563"/>
      <c r="N201" s="2563"/>
      <c r="O201" s="2563"/>
      <c r="P201" s="2563"/>
      <c r="Q201" s="2563"/>
      <c r="R201" s="2563"/>
      <c r="S201" s="2563"/>
      <c r="T201" s="2563"/>
    </row>
    <row r="202" customFormat="false" ht="14.25" hidden="false" customHeight="false" outlineLevel="0" collapsed="false">
      <c r="A202" s="2563"/>
      <c r="B202" s="2563"/>
      <c r="C202" s="2563"/>
      <c r="D202" s="2563"/>
      <c r="E202" s="2563"/>
      <c r="F202" s="2563"/>
      <c r="G202" s="2563"/>
      <c r="H202" s="2563"/>
      <c r="I202" s="2563"/>
      <c r="J202" s="2563"/>
      <c r="K202" s="2564"/>
      <c r="L202" s="2565"/>
      <c r="M202" s="2563"/>
      <c r="N202" s="2563"/>
      <c r="O202" s="2563"/>
      <c r="P202" s="2563"/>
      <c r="Q202" s="2563"/>
      <c r="R202" s="2563"/>
      <c r="S202" s="2563"/>
      <c r="T202" s="2563"/>
    </row>
    <row r="203" customFormat="false" ht="14.25" hidden="false" customHeight="false" outlineLevel="0" collapsed="false">
      <c r="A203" s="2563"/>
      <c r="B203" s="2563"/>
      <c r="C203" s="2563"/>
      <c r="D203" s="2563"/>
      <c r="E203" s="2563"/>
      <c r="F203" s="2563"/>
      <c r="G203" s="2563"/>
      <c r="H203" s="2563"/>
      <c r="I203" s="2563"/>
      <c r="J203" s="2563"/>
      <c r="K203" s="2564"/>
      <c r="L203" s="2565"/>
      <c r="M203" s="2563"/>
      <c r="N203" s="2563"/>
      <c r="O203" s="2563"/>
      <c r="P203" s="2563"/>
      <c r="Q203" s="2563"/>
      <c r="R203" s="2563"/>
      <c r="S203" s="2563"/>
      <c r="T203" s="2563"/>
    </row>
    <row r="204" customFormat="false" ht="14.25" hidden="false" customHeight="false" outlineLevel="0" collapsed="false">
      <c r="A204" s="2563"/>
      <c r="B204" s="2563"/>
      <c r="C204" s="2563"/>
      <c r="D204" s="2563"/>
      <c r="E204" s="2563"/>
      <c r="F204" s="2563"/>
      <c r="G204" s="2563"/>
      <c r="H204" s="2563"/>
      <c r="I204" s="2563"/>
      <c r="J204" s="2563"/>
      <c r="K204" s="2564"/>
      <c r="L204" s="2565"/>
      <c r="M204" s="2563"/>
      <c r="N204" s="2563"/>
      <c r="O204" s="2563"/>
      <c r="P204" s="2563"/>
      <c r="Q204" s="2563"/>
      <c r="R204" s="2563"/>
      <c r="S204" s="2563"/>
      <c r="T204" s="2563"/>
    </row>
    <row r="205" customFormat="false" ht="14.25" hidden="false" customHeight="false" outlineLevel="0" collapsed="false">
      <c r="A205" s="2563"/>
      <c r="B205" s="2563"/>
      <c r="C205" s="2563"/>
      <c r="D205" s="2563"/>
      <c r="E205" s="2563"/>
      <c r="F205" s="2563"/>
      <c r="G205" s="2563"/>
      <c r="H205" s="2563"/>
      <c r="I205" s="2563"/>
      <c r="J205" s="2563"/>
      <c r="K205" s="2564"/>
      <c r="L205" s="2565"/>
      <c r="M205" s="2563"/>
      <c r="N205" s="2563"/>
      <c r="O205" s="2563"/>
      <c r="P205" s="2563"/>
      <c r="Q205" s="2563"/>
      <c r="R205" s="2563"/>
      <c r="S205" s="2563"/>
      <c r="T205" s="2563"/>
    </row>
    <row r="206" customFormat="false" ht="14.25" hidden="false" customHeight="false" outlineLevel="0" collapsed="false">
      <c r="A206" s="2563"/>
      <c r="B206" s="2563"/>
      <c r="C206" s="2563"/>
      <c r="D206" s="2563"/>
      <c r="E206" s="2563"/>
      <c r="F206" s="2563"/>
      <c r="G206" s="2563"/>
      <c r="H206" s="2563"/>
      <c r="I206" s="2563"/>
      <c r="J206" s="2563"/>
      <c r="K206" s="2564"/>
      <c r="L206" s="2565"/>
      <c r="M206" s="2563"/>
      <c r="N206" s="2563"/>
      <c r="O206" s="2563"/>
      <c r="P206" s="2563"/>
      <c r="Q206" s="2563"/>
      <c r="R206" s="2563"/>
      <c r="S206" s="2563"/>
      <c r="T206" s="2563"/>
    </row>
    <row r="207" customFormat="false" ht="14.25" hidden="false" customHeight="false" outlineLevel="0" collapsed="false">
      <c r="A207" s="2563"/>
      <c r="B207" s="2563"/>
      <c r="C207" s="2563"/>
      <c r="D207" s="2563"/>
      <c r="E207" s="2563"/>
      <c r="F207" s="2563"/>
      <c r="G207" s="2563"/>
      <c r="H207" s="2563"/>
      <c r="I207" s="2563"/>
      <c r="J207" s="2563"/>
      <c r="K207" s="2564"/>
      <c r="L207" s="2565"/>
      <c r="M207" s="2563"/>
      <c r="N207" s="2563"/>
      <c r="O207" s="2563"/>
      <c r="P207" s="2563"/>
      <c r="Q207" s="2563"/>
      <c r="R207" s="2563"/>
      <c r="S207" s="2563"/>
      <c r="T207" s="2563"/>
    </row>
    <row r="208" customFormat="false" ht="14.25" hidden="false" customHeight="false" outlineLevel="0" collapsed="false">
      <c r="A208" s="2563"/>
      <c r="B208" s="2563"/>
      <c r="C208" s="2563"/>
      <c r="D208" s="2563"/>
      <c r="E208" s="2563"/>
      <c r="F208" s="2563"/>
      <c r="G208" s="2563"/>
      <c r="H208" s="2563"/>
      <c r="I208" s="2563"/>
      <c r="J208" s="2563"/>
      <c r="K208" s="2564"/>
      <c r="L208" s="2565"/>
      <c r="M208" s="2563"/>
      <c r="N208" s="2563"/>
      <c r="O208" s="2563"/>
      <c r="P208" s="2563"/>
      <c r="Q208" s="2563"/>
      <c r="R208" s="2563"/>
      <c r="S208" s="2563"/>
      <c r="T208" s="2563"/>
    </row>
    <row r="209" customFormat="false" ht="14.25" hidden="false" customHeight="false" outlineLevel="0" collapsed="false">
      <c r="A209" s="2563"/>
      <c r="B209" s="2563"/>
      <c r="C209" s="2563"/>
      <c r="D209" s="2563"/>
      <c r="E209" s="2563"/>
      <c r="F209" s="2563"/>
      <c r="G209" s="2563"/>
      <c r="H209" s="2563"/>
      <c r="I209" s="2563"/>
      <c r="J209" s="2563"/>
      <c r="K209" s="2564"/>
      <c r="L209" s="2565"/>
      <c r="M209" s="2563"/>
      <c r="N209" s="2563"/>
      <c r="O209" s="2563"/>
      <c r="P209" s="2563"/>
      <c r="Q209" s="2563"/>
      <c r="R209" s="2563"/>
      <c r="S209" s="2563"/>
      <c r="T209" s="2563"/>
    </row>
    <row r="210" customFormat="false" ht="14.25" hidden="false" customHeight="false" outlineLevel="0" collapsed="false">
      <c r="A210" s="2563"/>
      <c r="B210" s="2563"/>
      <c r="C210" s="2563"/>
      <c r="D210" s="2563"/>
      <c r="E210" s="2563"/>
      <c r="F210" s="2563"/>
      <c r="G210" s="2563"/>
      <c r="H210" s="2563"/>
      <c r="I210" s="2563"/>
      <c r="J210" s="2563"/>
      <c r="K210" s="2564"/>
      <c r="L210" s="2565"/>
      <c r="M210" s="2563"/>
      <c r="N210" s="2563"/>
      <c r="O210" s="2563"/>
      <c r="P210" s="2563"/>
      <c r="Q210" s="2563"/>
      <c r="R210" s="2563"/>
      <c r="S210" s="2563"/>
      <c r="T210" s="2563"/>
    </row>
    <row r="211" customFormat="false" ht="14.25" hidden="false" customHeight="false" outlineLevel="0" collapsed="false">
      <c r="A211" s="2563"/>
      <c r="B211" s="2563"/>
      <c r="C211" s="2563"/>
      <c r="D211" s="2563"/>
      <c r="E211" s="2563"/>
      <c r="F211" s="2563"/>
      <c r="G211" s="2563"/>
      <c r="H211" s="2563"/>
      <c r="I211" s="2563"/>
      <c r="J211" s="2563"/>
      <c r="K211" s="2564"/>
      <c r="L211" s="2565"/>
      <c r="M211" s="2563"/>
      <c r="N211" s="2563"/>
      <c r="O211" s="2563"/>
      <c r="P211" s="2563"/>
      <c r="Q211" s="2563"/>
      <c r="R211" s="2563"/>
      <c r="S211" s="2563"/>
      <c r="T211" s="2563"/>
    </row>
    <row r="212" customFormat="false" ht="14.25" hidden="false" customHeight="false" outlineLevel="0" collapsed="false">
      <c r="A212" s="2563"/>
      <c r="B212" s="2563"/>
      <c r="C212" s="2563"/>
      <c r="D212" s="2563"/>
      <c r="E212" s="2563"/>
      <c r="F212" s="2563"/>
      <c r="G212" s="2563"/>
      <c r="H212" s="2563"/>
      <c r="I212" s="2563"/>
      <c r="J212" s="2563"/>
      <c r="K212" s="2564"/>
      <c r="L212" s="2565"/>
      <c r="M212" s="2563"/>
      <c r="N212" s="2563"/>
      <c r="O212" s="2563"/>
      <c r="P212" s="2563"/>
      <c r="Q212" s="2563"/>
      <c r="R212" s="2563"/>
      <c r="S212" s="2563"/>
      <c r="T212" s="2563"/>
    </row>
    <row r="213" customFormat="false" ht="14.25" hidden="false" customHeight="false" outlineLevel="0" collapsed="false">
      <c r="A213" s="2563"/>
      <c r="B213" s="2563"/>
      <c r="C213" s="2563"/>
      <c r="D213" s="2563"/>
      <c r="E213" s="2563"/>
      <c r="F213" s="2563"/>
      <c r="G213" s="2563"/>
      <c r="H213" s="2563"/>
      <c r="I213" s="2563"/>
      <c r="J213" s="2563"/>
      <c r="K213" s="2564"/>
      <c r="L213" s="2565"/>
      <c r="M213" s="2563"/>
      <c r="N213" s="2563"/>
      <c r="O213" s="2563"/>
      <c r="P213" s="2563"/>
      <c r="Q213" s="2563"/>
      <c r="R213" s="2563"/>
      <c r="S213" s="2563"/>
      <c r="T213" s="2563"/>
    </row>
    <row r="214" customFormat="false" ht="14.25" hidden="false" customHeight="false" outlineLevel="0" collapsed="false">
      <c r="A214" s="2563"/>
      <c r="B214" s="2563"/>
      <c r="C214" s="2563"/>
      <c r="D214" s="2563"/>
      <c r="E214" s="2563"/>
      <c r="F214" s="2563"/>
      <c r="G214" s="2563"/>
      <c r="H214" s="2563"/>
      <c r="I214" s="2563"/>
      <c r="J214" s="2563"/>
      <c r="K214" s="2564"/>
      <c r="L214" s="2565"/>
      <c r="M214" s="2563"/>
      <c r="N214" s="2563"/>
      <c r="O214" s="2563"/>
      <c r="P214" s="2563"/>
      <c r="Q214" s="2563"/>
      <c r="R214" s="2563"/>
      <c r="S214" s="2563"/>
      <c r="T214" s="2563"/>
    </row>
    <row r="215" customFormat="false" ht="14.25" hidden="false" customHeight="false" outlineLevel="0" collapsed="false">
      <c r="A215" s="2563"/>
      <c r="B215" s="2563"/>
      <c r="C215" s="2563"/>
      <c r="D215" s="2563"/>
      <c r="E215" s="2563"/>
      <c r="F215" s="2563"/>
      <c r="G215" s="2563"/>
      <c r="H215" s="2563"/>
      <c r="I215" s="2563"/>
      <c r="J215" s="2563"/>
      <c r="K215" s="2564"/>
      <c r="L215" s="2565"/>
      <c r="M215" s="2563"/>
      <c r="N215" s="2563"/>
      <c r="O215" s="2563"/>
      <c r="P215" s="2563"/>
      <c r="Q215" s="2563"/>
      <c r="R215" s="2563"/>
      <c r="S215" s="2563"/>
      <c r="T215" s="2563"/>
    </row>
    <row r="216" customFormat="false" ht="14.25" hidden="false" customHeight="false" outlineLevel="0" collapsed="false">
      <c r="A216" s="2563"/>
      <c r="B216" s="2563"/>
      <c r="C216" s="2563"/>
      <c r="D216" s="2563"/>
      <c r="E216" s="2563"/>
      <c r="F216" s="2563"/>
      <c r="G216" s="2563"/>
      <c r="H216" s="2563"/>
      <c r="I216" s="2563"/>
      <c r="J216" s="2563"/>
      <c r="K216" s="2564"/>
      <c r="L216" s="2565"/>
      <c r="M216" s="2563"/>
      <c r="N216" s="2563"/>
      <c r="O216" s="2563"/>
      <c r="P216" s="2563"/>
      <c r="Q216" s="2563"/>
      <c r="R216" s="2563"/>
      <c r="S216" s="2563"/>
      <c r="T216" s="2563"/>
    </row>
    <row r="217" customFormat="false" ht="14.25" hidden="false" customHeight="false" outlineLevel="0" collapsed="false">
      <c r="A217" s="2563"/>
      <c r="B217" s="2563"/>
      <c r="C217" s="2563"/>
      <c r="D217" s="2563"/>
      <c r="E217" s="2563"/>
      <c r="F217" s="2563"/>
      <c r="G217" s="2563"/>
      <c r="H217" s="2563"/>
      <c r="I217" s="2563"/>
      <c r="J217" s="2563"/>
      <c r="K217" s="2564"/>
      <c r="L217" s="2565"/>
      <c r="M217" s="2563"/>
      <c r="N217" s="2563"/>
      <c r="O217" s="2563"/>
      <c r="P217" s="2563"/>
      <c r="Q217" s="2563"/>
      <c r="R217" s="2563"/>
      <c r="S217" s="2563"/>
      <c r="T217" s="2563"/>
    </row>
    <row r="218" customFormat="false" ht="14.25" hidden="false" customHeight="false" outlineLevel="0" collapsed="false">
      <c r="A218" s="2563"/>
      <c r="B218" s="2563"/>
      <c r="C218" s="2563"/>
      <c r="D218" s="2563"/>
      <c r="E218" s="2563"/>
      <c r="F218" s="2563"/>
      <c r="G218" s="2563"/>
      <c r="H218" s="2563"/>
      <c r="I218" s="2563"/>
      <c r="J218" s="2563"/>
      <c r="K218" s="2564"/>
      <c r="L218" s="2565"/>
      <c r="M218" s="2563"/>
      <c r="N218" s="2563"/>
      <c r="O218" s="2563"/>
      <c r="P218" s="2563"/>
      <c r="Q218" s="2563"/>
      <c r="R218" s="2563"/>
      <c r="S218" s="2563"/>
      <c r="T218" s="2563"/>
    </row>
    <row r="219" customFormat="false" ht="14.25" hidden="false" customHeight="false" outlineLevel="0" collapsed="false">
      <c r="A219" s="2563"/>
      <c r="B219" s="2563"/>
      <c r="C219" s="2563"/>
      <c r="D219" s="2563"/>
      <c r="E219" s="2563"/>
      <c r="F219" s="2563"/>
      <c r="G219" s="2563"/>
      <c r="H219" s="2563"/>
      <c r="I219" s="2563"/>
      <c r="J219" s="2563"/>
      <c r="K219" s="2564"/>
      <c r="L219" s="2565"/>
      <c r="M219" s="2563"/>
      <c r="N219" s="2563"/>
      <c r="O219" s="2563"/>
      <c r="P219" s="2563"/>
      <c r="Q219" s="2563"/>
      <c r="R219" s="2563"/>
      <c r="S219" s="2563"/>
      <c r="T219" s="2563"/>
    </row>
    <row r="220" customFormat="false" ht="14.25" hidden="false" customHeight="false" outlineLevel="0" collapsed="false">
      <c r="A220" s="2563"/>
      <c r="B220" s="2563"/>
      <c r="C220" s="2563"/>
      <c r="D220" s="2563"/>
      <c r="E220" s="2563"/>
      <c r="F220" s="2563"/>
      <c r="G220" s="2563"/>
      <c r="H220" s="2563"/>
      <c r="I220" s="2563"/>
      <c r="J220" s="2563"/>
      <c r="K220" s="2564"/>
      <c r="L220" s="2565"/>
      <c r="M220" s="2563"/>
      <c r="N220" s="2563"/>
      <c r="O220" s="2563"/>
      <c r="P220" s="2563"/>
      <c r="Q220" s="2563"/>
      <c r="R220" s="2563"/>
      <c r="S220" s="2563"/>
      <c r="T220" s="2563"/>
    </row>
    <row r="221" customFormat="false" ht="14.25" hidden="false" customHeight="false" outlineLevel="0" collapsed="false">
      <c r="A221" s="2563"/>
      <c r="B221" s="2563"/>
      <c r="C221" s="2563"/>
      <c r="D221" s="2563"/>
      <c r="E221" s="2563"/>
      <c r="F221" s="2563"/>
      <c r="G221" s="2563"/>
      <c r="H221" s="2563"/>
      <c r="I221" s="2563"/>
      <c r="J221" s="2563"/>
      <c r="K221" s="2564"/>
      <c r="L221" s="2565"/>
      <c r="M221" s="2563"/>
      <c r="N221" s="2563"/>
      <c r="O221" s="2563"/>
      <c r="P221" s="2563"/>
      <c r="Q221" s="2563"/>
      <c r="R221" s="2563"/>
      <c r="S221" s="2563"/>
      <c r="T221" s="2563"/>
    </row>
    <row r="222" customFormat="false" ht="14.25" hidden="false" customHeight="false" outlineLevel="0" collapsed="false">
      <c r="A222" s="2563"/>
      <c r="B222" s="2563"/>
      <c r="C222" s="2563"/>
      <c r="D222" s="2563"/>
      <c r="E222" s="2563"/>
      <c r="F222" s="2563"/>
      <c r="G222" s="2563"/>
      <c r="H222" s="2563"/>
      <c r="I222" s="2563"/>
      <c r="J222" s="2563"/>
      <c r="K222" s="2564"/>
      <c r="L222" s="2565"/>
      <c r="M222" s="2563"/>
      <c r="N222" s="2563"/>
      <c r="O222" s="2563"/>
      <c r="P222" s="2563"/>
      <c r="Q222" s="2563"/>
      <c r="R222" s="2563"/>
      <c r="S222" s="2563"/>
      <c r="T222" s="2563"/>
    </row>
    <row r="223" customFormat="false" ht="14.25" hidden="false" customHeight="false" outlineLevel="0" collapsed="false">
      <c r="A223" s="2563"/>
      <c r="B223" s="2563"/>
      <c r="C223" s="2563"/>
      <c r="D223" s="2563"/>
      <c r="E223" s="2563"/>
      <c r="F223" s="2563"/>
      <c r="G223" s="2563"/>
      <c r="H223" s="2563"/>
      <c r="I223" s="2563"/>
      <c r="J223" s="2563"/>
      <c r="K223" s="2564"/>
      <c r="L223" s="2565"/>
      <c r="M223" s="2563"/>
      <c r="N223" s="2563"/>
      <c r="O223" s="2563"/>
      <c r="P223" s="2563"/>
      <c r="Q223" s="2563"/>
      <c r="R223" s="2563"/>
      <c r="S223" s="2563"/>
      <c r="T223" s="2563"/>
    </row>
    <row r="224" customFormat="false" ht="14.25" hidden="false" customHeight="false" outlineLevel="0" collapsed="false">
      <c r="A224" s="2563"/>
      <c r="B224" s="2563"/>
      <c r="C224" s="2563"/>
      <c r="D224" s="2563"/>
      <c r="E224" s="2563"/>
      <c r="F224" s="2563"/>
      <c r="G224" s="2563"/>
      <c r="H224" s="2563"/>
      <c r="I224" s="2563"/>
      <c r="J224" s="2563"/>
      <c r="K224" s="2564"/>
      <c r="L224" s="2565"/>
      <c r="M224" s="2563"/>
      <c r="N224" s="2563"/>
      <c r="O224" s="2563"/>
      <c r="P224" s="2563"/>
      <c r="Q224" s="2563"/>
      <c r="R224" s="2563"/>
      <c r="S224" s="2563"/>
      <c r="T224" s="2563"/>
    </row>
    <row r="225" customFormat="false" ht="14.25" hidden="false" customHeight="false" outlineLevel="0" collapsed="false">
      <c r="A225" s="2563"/>
      <c r="B225" s="2563"/>
      <c r="C225" s="2563"/>
      <c r="D225" s="2563"/>
      <c r="E225" s="2563"/>
      <c r="F225" s="2563"/>
      <c r="G225" s="2563"/>
      <c r="H225" s="2563"/>
      <c r="I225" s="2563"/>
      <c r="J225" s="2563"/>
      <c r="K225" s="2564"/>
      <c r="L225" s="2565"/>
      <c r="M225" s="2563"/>
      <c r="N225" s="2563"/>
      <c r="O225" s="2563"/>
      <c r="P225" s="2563"/>
      <c r="Q225" s="2563"/>
      <c r="R225" s="2563"/>
      <c r="S225" s="2563"/>
      <c r="T225" s="2563"/>
    </row>
    <row r="226" customFormat="false" ht="14.25" hidden="false" customHeight="false" outlineLevel="0" collapsed="false">
      <c r="A226" s="2563"/>
      <c r="B226" s="2563"/>
      <c r="C226" s="2563"/>
      <c r="D226" s="2563"/>
      <c r="E226" s="2563"/>
      <c r="F226" s="2563"/>
      <c r="G226" s="2563"/>
      <c r="H226" s="2563"/>
      <c r="I226" s="2563"/>
      <c r="J226" s="2563"/>
      <c r="K226" s="2564"/>
      <c r="L226" s="2565"/>
      <c r="M226" s="2563"/>
      <c r="N226" s="2563"/>
      <c r="O226" s="2563"/>
      <c r="P226" s="2563"/>
      <c r="Q226" s="2563"/>
      <c r="R226" s="2563"/>
      <c r="S226" s="2563"/>
      <c r="T226" s="2563"/>
    </row>
    <row r="227" customFormat="false" ht="14.25" hidden="false" customHeight="false" outlineLevel="0" collapsed="false">
      <c r="A227" s="2563"/>
      <c r="B227" s="2563"/>
      <c r="C227" s="2563"/>
      <c r="D227" s="2563"/>
      <c r="E227" s="2563"/>
      <c r="F227" s="2563"/>
      <c r="G227" s="2563"/>
      <c r="H227" s="2563"/>
      <c r="I227" s="2563"/>
      <c r="J227" s="2563"/>
      <c r="K227" s="2564"/>
      <c r="L227" s="2565"/>
      <c r="M227" s="2563"/>
      <c r="N227" s="2563"/>
      <c r="O227" s="2563"/>
      <c r="P227" s="2563"/>
      <c r="Q227" s="2563"/>
      <c r="R227" s="2563"/>
      <c r="S227" s="2563"/>
      <c r="T227" s="2563"/>
    </row>
    <row r="228" customFormat="false" ht="14.25" hidden="false" customHeight="false" outlineLevel="0" collapsed="false">
      <c r="A228" s="2563"/>
      <c r="B228" s="2563"/>
      <c r="C228" s="2563"/>
      <c r="D228" s="2563"/>
      <c r="E228" s="2563"/>
      <c r="F228" s="2563"/>
      <c r="G228" s="2563"/>
      <c r="H228" s="2563"/>
      <c r="I228" s="2563"/>
      <c r="J228" s="2563"/>
      <c r="K228" s="2564"/>
      <c r="L228" s="2565"/>
      <c r="M228" s="2563"/>
      <c r="N228" s="2563"/>
      <c r="O228" s="2563"/>
      <c r="P228" s="2563"/>
      <c r="Q228" s="2563"/>
      <c r="R228" s="2563"/>
      <c r="S228" s="2563"/>
      <c r="T228" s="2563"/>
    </row>
    <row r="229" customFormat="false" ht="14.25" hidden="false" customHeight="false" outlineLevel="0" collapsed="false">
      <c r="A229" s="2563"/>
      <c r="B229" s="2563"/>
      <c r="C229" s="2563"/>
      <c r="D229" s="2563"/>
      <c r="E229" s="2563"/>
      <c r="F229" s="2563"/>
      <c r="G229" s="2563"/>
      <c r="H229" s="2563"/>
      <c r="I229" s="2563"/>
      <c r="J229" s="2563"/>
      <c r="K229" s="2564"/>
      <c r="L229" s="2565"/>
      <c r="M229" s="2563"/>
      <c r="N229" s="2563"/>
      <c r="O229" s="2563"/>
      <c r="P229" s="2563"/>
      <c r="Q229" s="2563"/>
      <c r="R229" s="2563"/>
      <c r="S229" s="2563"/>
      <c r="T229" s="2563"/>
    </row>
    <row r="230" customFormat="false" ht="14.25" hidden="false" customHeight="false" outlineLevel="0" collapsed="false">
      <c r="A230" s="2563"/>
      <c r="B230" s="2563"/>
      <c r="C230" s="2563"/>
      <c r="D230" s="2563"/>
      <c r="E230" s="2563"/>
      <c r="F230" s="2563"/>
      <c r="G230" s="2563"/>
      <c r="H230" s="2563"/>
      <c r="I230" s="2563"/>
      <c r="J230" s="2563"/>
      <c r="K230" s="2564"/>
      <c r="L230" s="2565"/>
      <c r="M230" s="2563"/>
      <c r="N230" s="2563"/>
      <c r="O230" s="2563"/>
      <c r="P230" s="2563"/>
      <c r="Q230" s="2563"/>
      <c r="R230" s="2563"/>
      <c r="S230" s="2563"/>
      <c r="T230" s="2563"/>
    </row>
    <row r="231" customFormat="false" ht="14.25" hidden="false" customHeight="false" outlineLevel="0" collapsed="false">
      <c r="A231" s="2563"/>
      <c r="B231" s="2563"/>
      <c r="C231" s="2563"/>
      <c r="D231" s="2563"/>
      <c r="E231" s="2563"/>
      <c r="F231" s="2563"/>
      <c r="G231" s="2563"/>
      <c r="H231" s="2563"/>
      <c r="I231" s="2563"/>
      <c r="J231" s="2563"/>
      <c r="K231" s="2564"/>
      <c r="L231" s="2565"/>
      <c r="M231" s="2563"/>
      <c r="N231" s="2563"/>
      <c r="O231" s="2563"/>
      <c r="P231" s="2563"/>
      <c r="Q231" s="2563"/>
      <c r="R231" s="2563"/>
      <c r="S231" s="2563"/>
      <c r="T231" s="2563"/>
    </row>
    <row r="232" customFormat="false" ht="14.25" hidden="false" customHeight="false" outlineLevel="0" collapsed="false">
      <c r="A232" s="2563"/>
      <c r="B232" s="2563"/>
      <c r="C232" s="2563"/>
      <c r="D232" s="2563"/>
      <c r="E232" s="2563"/>
      <c r="F232" s="2563"/>
      <c r="G232" s="2563"/>
      <c r="H232" s="2563"/>
      <c r="I232" s="2563"/>
      <c r="J232" s="2563"/>
      <c r="K232" s="2564"/>
      <c r="L232" s="2565"/>
      <c r="M232" s="2563"/>
      <c r="N232" s="2563"/>
      <c r="O232" s="2563"/>
      <c r="P232" s="2563"/>
      <c r="Q232" s="2563"/>
      <c r="R232" s="2563"/>
      <c r="S232" s="2563"/>
      <c r="T232" s="2563"/>
    </row>
    <row r="233" customFormat="false" ht="14.25" hidden="false" customHeight="false" outlineLevel="0" collapsed="false">
      <c r="A233" s="2563"/>
      <c r="B233" s="2563"/>
      <c r="C233" s="2563"/>
      <c r="D233" s="2563"/>
      <c r="E233" s="2563"/>
      <c r="F233" s="2563"/>
      <c r="G233" s="2563"/>
      <c r="H233" s="2563"/>
      <c r="I233" s="2563"/>
      <c r="J233" s="2563"/>
      <c r="K233" s="2564"/>
      <c r="L233" s="2565"/>
      <c r="M233" s="2563"/>
      <c r="N233" s="2563"/>
      <c r="O233" s="2563"/>
      <c r="P233" s="2563"/>
      <c r="Q233" s="2563"/>
      <c r="R233" s="2563"/>
      <c r="S233" s="2563"/>
      <c r="T233" s="2563"/>
    </row>
    <row r="234" customFormat="false" ht="14.25" hidden="false" customHeight="false" outlineLevel="0" collapsed="false">
      <c r="A234" s="2563"/>
      <c r="B234" s="2563"/>
      <c r="C234" s="2563"/>
      <c r="D234" s="2563"/>
      <c r="E234" s="2563"/>
      <c r="F234" s="2563"/>
      <c r="G234" s="2563"/>
      <c r="H234" s="2563"/>
      <c r="I234" s="2563"/>
      <c r="J234" s="2563"/>
      <c r="K234" s="2564"/>
      <c r="L234" s="2565"/>
      <c r="M234" s="2563"/>
      <c r="N234" s="2563"/>
      <c r="O234" s="2563"/>
      <c r="P234" s="2563"/>
      <c r="Q234" s="2563"/>
      <c r="R234" s="2563"/>
      <c r="S234" s="2563"/>
      <c r="T234" s="2563"/>
    </row>
    <row r="235" customFormat="false" ht="14.25" hidden="false" customHeight="false" outlineLevel="0" collapsed="false">
      <c r="A235" s="2563"/>
      <c r="B235" s="2563"/>
      <c r="C235" s="2563"/>
      <c r="D235" s="2563"/>
      <c r="E235" s="2563"/>
      <c r="F235" s="2563"/>
      <c r="G235" s="2563"/>
      <c r="H235" s="2563"/>
      <c r="I235" s="2563"/>
      <c r="J235" s="2563"/>
      <c r="K235" s="2564"/>
      <c r="L235" s="2565"/>
      <c r="M235" s="2563"/>
      <c r="N235" s="2563"/>
      <c r="O235" s="2563"/>
      <c r="P235" s="2563"/>
      <c r="Q235" s="2563"/>
      <c r="R235" s="2563"/>
      <c r="S235" s="2563"/>
      <c r="T235" s="2563"/>
    </row>
    <row r="236" customFormat="false" ht="14.25" hidden="false" customHeight="false" outlineLevel="0" collapsed="false">
      <c r="A236" s="2563"/>
      <c r="B236" s="2563"/>
      <c r="C236" s="2563"/>
      <c r="D236" s="2563"/>
      <c r="E236" s="2563"/>
      <c r="F236" s="2563"/>
      <c r="G236" s="2563"/>
      <c r="H236" s="2563"/>
      <c r="I236" s="2563"/>
      <c r="J236" s="2563"/>
      <c r="K236" s="2564"/>
      <c r="L236" s="2565"/>
      <c r="M236" s="2563"/>
      <c r="N236" s="2563"/>
      <c r="O236" s="2563"/>
      <c r="P236" s="2563"/>
      <c r="Q236" s="2563"/>
      <c r="R236" s="2563"/>
      <c r="S236" s="2563"/>
      <c r="T236" s="2563"/>
    </row>
    <row r="237" customFormat="false" ht="14.25" hidden="false" customHeight="false" outlineLevel="0" collapsed="false">
      <c r="A237" s="2563"/>
      <c r="B237" s="2563"/>
      <c r="C237" s="2563"/>
      <c r="D237" s="2563"/>
      <c r="E237" s="2563"/>
      <c r="F237" s="2563"/>
      <c r="G237" s="2563"/>
      <c r="H237" s="2563"/>
      <c r="I237" s="2563"/>
      <c r="J237" s="2563"/>
      <c r="K237" s="2564"/>
      <c r="L237" s="2565"/>
      <c r="M237" s="2563"/>
      <c r="N237" s="2563"/>
      <c r="O237" s="2563"/>
      <c r="P237" s="2563"/>
      <c r="Q237" s="2563"/>
      <c r="R237" s="2563"/>
      <c r="S237" s="2563"/>
      <c r="T237" s="2563"/>
    </row>
    <row r="238" customFormat="false" ht="14.25" hidden="false" customHeight="false" outlineLevel="0" collapsed="false">
      <c r="A238" s="2563"/>
      <c r="B238" s="2563"/>
      <c r="C238" s="2563"/>
      <c r="D238" s="2563"/>
      <c r="E238" s="2563"/>
      <c r="F238" s="2563"/>
      <c r="G238" s="2563"/>
      <c r="H238" s="2563"/>
      <c r="I238" s="2563"/>
      <c r="J238" s="2563"/>
      <c r="K238" s="2564"/>
      <c r="L238" s="2565"/>
      <c r="M238" s="2563"/>
      <c r="N238" s="2563"/>
      <c r="O238" s="2563"/>
      <c r="P238" s="2563"/>
      <c r="Q238" s="2563"/>
      <c r="R238" s="2563"/>
      <c r="S238" s="2563"/>
      <c r="T238" s="2563"/>
    </row>
    <row r="239" customFormat="false" ht="14.25" hidden="false" customHeight="false" outlineLevel="0" collapsed="false">
      <c r="A239" s="2563"/>
      <c r="B239" s="2563"/>
      <c r="C239" s="2563"/>
      <c r="D239" s="2563"/>
      <c r="E239" s="2563"/>
      <c r="F239" s="2563"/>
      <c r="G239" s="2563"/>
      <c r="H239" s="2563"/>
      <c r="I239" s="2563"/>
      <c r="J239" s="2563"/>
      <c r="K239" s="2564"/>
      <c r="L239" s="2565"/>
      <c r="M239" s="2563"/>
      <c r="N239" s="2563"/>
      <c r="O239" s="2563"/>
      <c r="P239" s="2563"/>
      <c r="Q239" s="2563"/>
      <c r="R239" s="2563"/>
      <c r="S239" s="2563"/>
      <c r="T239" s="2563"/>
    </row>
    <row r="240" customFormat="false" ht="14.25" hidden="false" customHeight="false" outlineLevel="0" collapsed="false">
      <c r="A240" s="2563"/>
      <c r="B240" s="2563"/>
      <c r="C240" s="2563"/>
      <c r="D240" s="2563"/>
      <c r="E240" s="2563"/>
      <c r="F240" s="2563"/>
      <c r="G240" s="2563"/>
      <c r="H240" s="2563"/>
      <c r="I240" s="2563"/>
      <c r="J240" s="2563"/>
      <c r="K240" s="2564"/>
      <c r="L240" s="2565"/>
      <c r="M240" s="2563"/>
      <c r="N240" s="2563"/>
      <c r="O240" s="2563"/>
      <c r="P240" s="2563"/>
      <c r="Q240" s="2563"/>
      <c r="R240" s="2563"/>
      <c r="S240" s="2563"/>
      <c r="T240" s="2563"/>
    </row>
    <row r="241" customFormat="false" ht="14.25" hidden="false" customHeight="false" outlineLevel="0" collapsed="false">
      <c r="A241" s="2563"/>
      <c r="B241" s="2563"/>
      <c r="C241" s="2563"/>
      <c r="D241" s="2563"/>
      <c r="E241" s="2563"/>
      <c r="F241" s="2563"/>
      <c r="G241" s="2563"/>
      <c r="H241" s="2563"/>
      <c r="I241" s="2563"/>
      <c r="J241" s="2563"/>
      <c r="K241" s="2564"/>
      <c r="L241" s="2565"/>
      <c r="M241" s="2563"/>
      <c r="N241" s="2563"/>
      <c r="O241" s="2563"/>
      <c r="P241" s="2563"/>
      <c r="Q241" s="2563"/>
      <c r="R241" s="2563"/>
      <c r="S241" s="2563"/>
      <c r="T241" s="2563"/>
    </row>
  </sheetData>
  <sheetProtection sheet="true" password="cee9" objects="true" scenarios="true" formatCells="false" formatColumns="false" formatRows="false"/>
  <mergeCells count="40">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3"/>
    <mergeCell ref="Y9:Y13"/>
    <mergeCell ref="P14:P25"/>
    <mergeCell ref="Y14:Y25"/>
    <mergeCell ref="P26:P34"/>
    <mergeCell ref="Y26:Y34"/>
    <mergeCell ref="P35:Q35"/>
    <mergeCell ref="R35:S35"/>
    <mergeCell ref="T35:U35"/>
    <mergeCell ref="V35:W35"/>
    <mergeCell ref="P36:Q36"/>
    <mergeCell ref="R36:S36"/>
    <mergeCell ref="T36:U36"/>
    <mergeCell ref="V36:W36"/>
    <mergeCell ref="P37:Q37"/>
    <mergeCell ref="R37:W37"/>
  </mergeCells>
  <conditionalFormatting sqref="F36">
    <cfRule type="expression" priority="2" aboveAverage="0" equalAverage="0" bottom="0" percent="0" rank="0" text="" dxfId="171">
      <formula>$D$36="简单平均"</formula>
    </cfRule>
  </conditionalFormatting>
  <conditionalFormatting sqref="H36">
    <cfRule type="expression" priority="3" aboveAverage="0" equalAverage="0" bottom="0" percent="0" rank="0" text="" dxfId="172">
      <formula>$D$36="简单平均"</formula>
    </cfRule>
  </conditionalFormatting>
  <conditionalFormatting sqref="J36">
    <cfRule type="expression" priority="4" aboveAverage="0" equalAverage="0" bottom="0" percent="0" rank="0" text="" dxfId="173">
      <formula>$D$36="简单平均"</formula>
    </cfRule>
  </conditionalFormatting>
  <conditionalFormatting sqref="E40">
    <cfRule type="expression" priority="5" aboveAverage="0" equalAverage="0" bottom="0" percent="0" rank="0" text="" dxfId="174">
      <formula>$F$40="超过30%"</formula>
    </cfRule>
  </conditionalFormatting>
  <conditionalFormatting sqref="G40">
    <cfRule type="expression" priority="6" aboveAverage="0" equalAverage="0" bottom="0" percent="0" rank="0" text="" dxfId="175">
      <formula>$H$52+$H$40="超过30%"</formula>
    </cfRule>
  </conditionalFormatting>
  <conditionalFormatting sqref="I40">
    <cfRule type="expression" priority="7" aboveAverage="0" equalAverage="0" bottom="0" percent="0" rank="0" text="" dxfId="176">
      <formula>$J$40="超过30%"</formula>
    </cfRule>
  </conditionalFormatting>
  <conditionalFormatting sqref="E41">
    <cfRule type="expression" priority="8" aboveAverage="0" equalAverage="0" bottom="0" percent="0" rank="0" text="" dxfId="177">
      <formula>$F$41="超过20%"</formula>
    </cfRule>
  </conditionalFormatting>
  <conditionalFormatting sqref="G41">
    <cfRule type="expression" priority="9" aboveAverage="0" equalAverage="0" bottom="0" percent="0" rank="0" text="" dxfId="178">
      <formula>$H$53+$H$41="超过20%"</formula>
    </cfRule>
  </conditionalFormatting>
  <conditionalFormatting sqref="I41">
    <cfRule type="expression" priority="10" aboveAverage="0" equalAverage="0" bottom="0" percent="0" rank="0" text="" dxfId="179">
      <formula>$J$41="超过20%"</formula>
    </cfRule>
  </conditionalFormatting>
  <conditionalFormatting sqref="E42">
    <cfRule type="expression" priority="11" aboveAverage="0" equalAverage="0" bottom="0" percent="0" rank="0" text="" dxfId="180">
      <formula>$F$42="超过30%"</formula>
    </cfRule>
  </conditionalFormatting>
  <conditionalFormatting sqref="F42">
    <cfRule type="containsText" priority="12" operator="containsText" aboveAverage="0" equalAverage="0" bottom="0" percent="0" rank="0" text="超过" dxfId="181">
      <formula>NOT(ISERROR(SEARCH("超过",F42)))</formula>
    </cfRule>
  </conditionalFormatting>
  <conditionalFormatting sqref="G42">
    <cfRule type="expression" priority="13" aboveAverage="0" equalAverage="0" bottom="0" percent="0" rank="0" text="" dxfId="182">
      <formula>$H$54+$H$42="超过30%"</formula>
    </cfRule>
  </conditionalFormatting>
  <conditionalFormatting sqref="H42">
    <cfRule type="containsText" priority="14" operator="containsText" aboveAverage="0" equalAverage="0" bottom="0" percent="0" rank="0" text="超过" dxfId="183">
      <formula>NOT(ISERROR(SEARCH("超过",H42)))</formula>
    </cfRule>
  </conditionalFormatting>
  <conditionalFormatting sqref="I42">
    <cfRule type="expression" priority="15" aboveAverage="0" equalAverage="0" bottom="0" percent="0" rank="0" text="" dxfId="184">
      <formula>$J$42="超过30%"</formula>
    </cfRule>
  </conditionalFormatting>
  <conditionalFormatting sqref="J42">
    <cfRule type="containsText" priority="16" operator="containsText" aboveAverage="0" equalAverage="0" bottom="0" percent="0" rank="0" text="超过" dxfId="185">
      <formula>NOT(ISERROR(SEARCH("超过",J42)))</formula>
    </cfRule>
  </conditionalFormatting>
  <conditionalFormatting sqref="F7:F34 H7:H34 J7:J34">
    <cfRule type="cellIs" priority="17" operator="notEqual" aboveAverage="0" equalAverage="0" bottom="0" percent="0" rank="0" text="" dxfId="186">
      <formula>100</formula>
    </cfRule>
  </conditionalFormatting>
  <conditionalFormatting sqref="F40 H40 J40">
    <cfRule type="containsText" priority="18" operator="containsText" aboveAverage="0" equalAverage="0" bottom="0" percent="0" rank="0" text="超过" dxfId="187">
      <formula>NOT(ISERROR(SEARCH("超过",F40)))</formula>
    </cfRule>
  </conditionalFormatting>
  <conditionalFormatting sqref="F41 H41 J41">
    <cfRule type="containsText" priority="19" operator="containsText" aboveAverage="0" equalAverage="0" bottom="0" percent="0" rank="0" text="超过" dxfId="188">
      <formula>NOT(ISERROR(SEARCH("超过",F41)))</formula>
    </cfRule>
  </conditionalFormatting>
  <dataValidations count="18">
    <dataValidation allowBlank="true" operator="between" showDropDown="false" showErrorMessage="true" showInputMessage="true" sqref="B1" type="list">
      <formula1>地类判定</formula1>
      <formula2>0</formula2>
    </dataValidation>
    <dataValidation allowBlank="true" operator="between" showDropDown="false" showErrorMessage="true" showInputMessage="true" sqref="E1" type="list">
      <formula1>"项目模式,单套模式"</formula1>
      <formula2>0</formula2>
    </dataValidation>
    <dataValidation allowBlank="true" operator="between" showDropDown="false" showErrorMessage="true" showInputMessage="true" sqref="D1" type="list">
      <formula1>项目类型</formula1>
      <formula2>0</formula2>
    </dataValidation>
    <dataValidation allowBlank="true" operator="between" showDropDown="false" showErrorMessage="true" showInputMessage="true" sqref="C8 E8 G8 I8" type="list">
      <formula1>仓储交易情况</formula1>
      <formula2>0</formula2>
    </dataValidation>
    <dataValidation allowBlank="true" operator="between" showDropDown="false" showErrorMessage="true" showInputMessage="true" sqref="F1" type="list">
      <formula1>"售价,租金"</formula1>
      <formula2>0</formula2>
    </dataValidation>
    <dataValidation allowBlank="true" operator="between" showDropDown="false" showErrorMessage="true" showInputMessage="true" sqref="F2" type="list">
      <formula1>估价方法</formula1>
      <formula2>0</formula2>
    </dataValidation>
    <dataValidation allowBlank="true" operator="between" showDropDown="false" showErrorMessage="true" showInputMessage="true" sqref="C28 E28 G28 I28" type="list">
      <formula1>仓储物业等级</formula1>
      <formula2>0</formula2>
    </dataValidation>
    <dataValidation allowBlank="true" operator="between" showDropDown="false" showErrorMessage="true" showInputMessage="true" sqref="C2" type="list">
      <formula1>"需扣减承租人权益,——"</formula1>
      <formula2>0</formula2>
    </dataValidation>
    <dataValidation allowBlank="true" operator="between" showDropDown="false" showErrorMessage="true" showInputMessage="true" sqref="C29 E29 G29 I29" type="list">
      <formula1>有无电梯</formula1>
      <formula2>0</formula2>
    </dataValidation>
    <dataValidation allowBlank="true" operator="between" showDropDown="false" showErrorMessage="true" showInputMessage="true" sqref="E9 G9 I9" type="list">
      <formula1>仓储用途</formula1>
      <formula2>0</formula2>
    </dataValidation>
    <dataValidation allowBlank="true" operator="between" showDropDown="false" showErrorMessage="true" showInputMessage="true" sqref="C15 E15 G15 I15" type="list">
      <formula1>交通便捷度</formula1>
      <formula2>0</formula2>
    </dataValidation>
    <dataValidation allowBlank="true" operator="between" showDropDown="false" showErrorMessage="true" showInputMessage="true" sqref="C17 E17 G17 I17" type="list">
      <formula1>公共配套设施</formula1>
      <formula2>0</formula2>
    </dataValidation>
    <dataValidation allowBlank="true" operator="between" showDropDown="false" showErrorMessage="true" showInputMessage="true" sqref="C19 E19 G19 I19" type="list">
      <formula1>基础设施水平</formula1>
      <formula2>0</formula2>
    </dataValidation>
    <dataValidation allowBlank="true" operator="between" showDropDown="false" showErrorMessage="true" showInputMessage="true" sqref="C21 E21 G21 I21" type="list">
      <formula1>环境</formula1>
      <formula2>0</formula2>
    </dataValidation>
    <dataValidation allowBlank="true" operator="between" showDropDown="false" showErrorMessage="true" showInputMessage="true" sqref="C22 E22 G22 I22" type="list">
      <formula1>仓储楼层</formula1>
      <formula2>0</formula2>
    </dataValidation>
    <dataValidation allowBlank="true" operator="between" showDropDown="false" showErrorMessage="true" showInputMessage="true" sqref="C26 E26 G26 I26" type="list">
      <formula1>仓储公共部分装修</formula1>
      <formula2>0</formula2>
    </dataValidation>
    <dataValidation allowBlank="true" operator="between" showDropDown="false" showErrorMessage="true" showInputMessage="true" sqref="C31 E31 G31 I31" type="list">
      <formula1>是否封闭</formula1>
      <formula2>0</formula2>
    </dataValidation>
    <dataValidation allowBlank="true" operator="between" showDropDown="false" showErrorMessage="true" showInputMessage="true" sqref="D36" type="list">
      <formula1>"简单平均,加权平均"</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33.xml><?xml version="1.0" encoding="utf-8"?>
<worksheet xmlns="http://schemas.openxmlformats.org/spreadsheetml/2006/main" xmlns:r="http://schemas.openxmlformats.org/officeDocument/2006/relationships">
  <sheetPr filterMode="false">
    <pageSetUpPr fitToPage="true"/>
  </sheetPr>
  <dimension ref="A1:AD131"/>
  <sheetViews>
    <sheetView showFormulas="false" showGridLines="true" showRowColHeaders="true" showZeros="true" rightToLeft="false" tabSelected="false" showOutlineSymbols="true" defaultGridColor="true" view="pageBreakPreview" topLeftCell="A1" colorId="64" zoomScale="100" zoomScaleNormal="6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1913" width="14.38"/>
    <col collapsed="false" customWidth="true" hidden="false" outlineLevel="0" max="2" min="2" style="1913" width="15.76"/>
    <col collapsed="false" customWidth="true" hidden="false" outlineLevel="0" max="3" min="3" style="1913" width="14.38"/>
    <col collapsed="false" customWidth="true" hidden="false" outlineLevel="0" max="4" min="4" style="1913" width="14.12"/>
    <col collapsed="false" customWidth="true" hidden="false" outlineLevel="0" max="5" min="5" style="1913" width="14.38"/>
    <col collapsed="false" customWidth="true" hidden="false" outlineLevel="0" max="6" min="6" style="1913" width="12.26"/>
    <col collapsed="false" customWidth="true" hidden="false" outlineLevel="0" max="7" min="7" style="1913" width="14.5"/>
    <col collapsed="false" customWidth="true" hidden="false" outlineLevel="0" max="8" min="8" style="1913" width="12.26"/>
    <col collapsed="false" customWidth="true" hidden="false" outlineLevel="0" max="9" min="9" style="1913" width="14.5"/>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1913"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2354" customFormat="true" ht="28.5" hidden="false" customHeight="true" outlineLevel="0" collapsed="false">
      <c r="A1" s="2566" t="s">
        <v>1572</v>
      </c>
      <c r="B1" s="2567"/>
      <c r="C1" s="2568" t="s">
        <v>1573</v>
      </c>
      <c r="D1" s="2569"/>
      <c r="E1" s="2569"/>
      <c r="F1" s="2570" t="s">
        <v>1268</v>
      </c>
      <c r="G1" s="2569"/>
      <c r="H1" s="2569"/>
      <c r="I1" s="2569"/>
      <c r="J1" s="2569"/>
      <c r="K1" s="2571"/>
      <c r="L1" s="2572"/>
      <c r="M1" s="2573"/>
      <c r="N1" s="2573"/>
      <c r="O1" s="2573"/>
      <c r="P1" s="2414"/>
      <c r="Q1" s="2414"/>
      <c r="R1" s="2414"/>
      <c r="S1" s="2414"/>
      <c r="T1" s="2414"/>
      <c r="U1" s="2414"/>
      <c r="V1" s="2414"/>
      <c r="W1" s="2414"/>
      <c r="X1" s="2414"/>
      <c r="Y1" s="2414"/>
      <c r="Z1" s="2414"/>
      <c r="AA1" s="2414"/>
      <c r="AB1" s="2414"/>
      <c r="AC1" s="2415"/>
      <c r="AD1" s="2574"/>
    </row>
    <row r="2" s="2354" customFormat="true" ht="28.5" hidden="false" customHeight="true" outlineLevel="0" collapsed="false">
      <c r="A2" s="1254" t="s">
        <v>97</v>
      </c>
      <c r="B2" s="2575" t="e">
        <f aca="false">F65</f>
        <v>#DIV/0!</v>
      </c>
      <c r="C2" s="1937"/>
      <c r="D2" s="1937"/>
      <c r="E2" s="2348"/>
      <c r="F2" s="2357"/>
      <c r="G2" s="2348"/>
      <c r="H2" s="2348"/>
      <c r="I2" s="2348"/>
      <c r="J2" s="2348"/>
      <c r="K2" s="2358"/>
      <c r="L2" s="2349"/>
      <c r="M2" s="2350"/>
      <c r="N2" s="2350"/>
      <c r="O2" s="2350"/>
      <c r="P2" s="2414"/>
      <c r="Q2" s="2414"/>
      <c r="R2" s="2414"/>
      <c r="S2" s="2414"/>
      <c r="T2" s="2414"/>
      <c r="U2" s="2414"/>
      <c r="V2" s="2414"/>
      <c r="W2" s="2414"/>
      <c r="X2" s="2414"/>
      <c r="Y2" s="2414"/>
      <c r="Z2" s="2414"/>
      <c r="AA2" s="2414"/>
      <c r="AB2" s="2414"/>
      <c r="AC2" s="2415"/>
      <c r="AD2" s="2574"/>
    </row>
    <row r="3" s="2354" customFormat="true" ht="28.5" hidden="false" customHeight="true" outlineLevel="0" collapsed="false">
      <c r="A3" s="1261" t="s">
        <v>110</v>
      </c>
      <c r="B3" s="2355" t="e">
        <f aca="false">ROUND(IF(D3="",B2*10000/'数据-汇总表'!E3,B2*10000/D3),0)</f>
        <v>#DIV/0!</v>
      </c>
      <c r="C3" s="1261" t="s">
        <v>107</v>
      </c>
      <c r="D3" s="2576"/>
      <c r="E3" s="2348"/>
      <c r="F3" s="2357"/>
      <c r="G3" s="2348"/>
      <c r="H3" s="2348"/>
      <c r="I3" s="2348"/>
      <c r="J3" s="2348"/>
      <c r="K3" s="2358"/>
      <c r="L3" s="2349"/>
      <c r="M3" s="2350"/>
      <c r="N3" s="2350"/>
      <c r="O3" s="2350"/>
      <c r="P3" s="2414"/>
      <c r="Q3" s="2414"/>
      <c r="R3" s="2414"/>
      <c r="S3" s="2414"/>
      <c r="T3" s="2414"/>
      <c r="U3" s="2414"/>
      <c r="V3" s="2414"/>
      <c r="W3" s="2414"/>
      <c r="X3" s="2414"/>
      <c r="Y3" s="2414"/>
      <c r="Z3" s="2414"/>
      <c r="AA3" s="2414"/>
      <c r="AB3" s="2463"/>
      <c r="AC3" s="1443"/>
    </row>
    <row r="4" customFormat="false" ht="15" hidden="false" customHeight="true" outlineLevel="0" collapsed="false">
      <c r="A4" s="1948" t="s">
        <v>1269</v>
      </c>
      <c r="B4" s="1949"/>
      <c r="C4" s="1950" t="s">
        <v>373</v>
      </c>
      <c r="D4" s="1950"/>
      <c r="E4" s="1951" t="s">
        <v>1270</v>
      </c>
      <c r="F4" s="1951"/>
      <c r="G4" s="1950" t="s">
        <v>1271</v>
      </c>
      <c r="H4" s="1950"/>
      <c r="I4" s="1950" t="s">
        <v>1272</v>
      </c>
      <c r="J4" s="1950"/>
      <c r="K4" s="2359" t="s">
        <v>376</v>
      </c>
      <c r="L4" s="1953"/>
      <c r="M4" s="1954"/>
      <c r="N4" s="1954"/>
      <c r="O4" s="1954"/>
      <c r="P4" s="1955" t="s">
        <v>1269</v>
      </c>
      <c r="Q4" s="1955"/>
      <c r="R4" s="1956" t="s">
        <v>1270</v>
      </c>
      <c r="S4" s="1956"/>
      <c r="T4" s="1957" t="s">
        <v>1271</v>
      </c>
      <c r="U4" s="1957"/>
      <c r="V4" s="1957" t="s">
        <v>1272</v>
      </c>
      <c r="W4" s="1957"/>
      <c r="X4" s="1958"/>
      <c r="Y4" s="1957" t="s">
        <v>1269</v>
      </c>
      <c r="Z4" s="1957"/>
      <c r="AA4" s="1957" t="s">
        <v>1270</v>
      </c>
      <c r="AB4" s="2466" t="s">
        <v>1271</v>
      </c>
      <c r="AC4" s="1957" t="s">
        <v>1272</v>
      </c>
    </row>
    <row r="5" customFormat="false" ht="15" hidden="false" customHeight="true" outlineLevel="0" collapsed="false">
      <c r="A5" s="1959"/>
      <c r="B5" s="1960"/>
      <c r="C5" s="1961" t="s">
        <v>1273</v>
      </c>
      <c r="D5" s="1961"/>
      <c r="E5" s="2360" t="s">
        <v>1546</v>
      </c>
      <c r="F5" s="2360"/>
      <c r="G5" s="1961" t="s">
        <v>1547</v>
      </c>
      <c r="H5" s="1961"/>
      <c r="I5" s="1961" t="s">
        <v>1548</v>
      </c>
      <c r="J5" s="1961"/>
      <c r="K5" s="2359"/>
      <c r="L5" s="1953"/>
      <c r="M5" s="1954"/>
      <c r="N5" s="1954"/>
      <c r="O5" s="1954"/>
      <c r="P5" s="1955"/>
      <c r="Q5" s="1955"/>
      <c r="R5" s="1956"/>
      <c r="S5" s="1956"/>
      <c r="T5" s="1957"/>
      <c r="U5" s="1957"/>
      <c r="V5" s="1957"/>
      <c r="W5" s="1957"/>
      <c r="X5" s="1958"/>
      <c r="Y5" s="1957"/>
      <c r="Z5" s="1957"/>
      <c r="AA5" s="1957"/>
      <c r="AB5" s="1957"/>
      <c r="AC5" s="1957"/>
    </row>
    <row r="6" customFormat="false" ht="15" hidden="false" customHeight="true" outlineLevel="0" collapsed="false">
      <c r="A6" s="1964"/>
      <c r="B6" s="1965"/>
      <c r="C6" s="1966" t="s">
        <v>1274</v>
      </c>
      <c r="D6" s="1966"/>
      <c r="E6" s="1967" t="s">
        <v>1274</v>
      </c>
      <c r="F6" s="1967"/>
      <c r="G6" s="1966" t="s">
        <v>1274</v>
      </c>
      <c r="H6" s="1966"/>
      <c r="I6" s="1966" t="s">
        <v>1274</v>
      </c>
      <c r="J6" s="1966"/>
      <c r="K6" s="2359" t="s">
        <v>1275</v>
      </c>
      <c r="L6" s="1953"/>
      <c r="M6" s="1954"/>
      <c r="N6" s="1954"/>
      <c r="O6" s="1954"/>
      <c r="P6" s="1955"/>
      <c r="Q6" s="1955"/>
      <c r="R6" s="1956"/>
      <c r="S6" s="1956"/>
      <c r="T6" s="1957"/>
      <c r="U6" s="1957"/>
      <c r="V6" s="1957"/>
      <c r="W6" s="1957"/>
      <c r="X6" s="1958"/>
      <c r="Y6" s="1957"/>
      <c r="Z6" s="1957"/>
      <c r="AA6" s="1957"/>
      <c r="AB6" s="1957"/>
      <c r="AC6" s="1957"/>
    </row>
    <row r="7" s="1983" customFormat="true" ht="15" hidden="false" customHeight="false" outlineLevel="0" collapsed="false">
      <c r="A7" s="1969" t="s">
        <v>1276</v>
      </c>
      <c r="B7" s="1970"/>
      <c r="C7" s="1971" t="n">
        <f aca="false">'数据-取费表'!B2</f>
        <v>39031</v>
      </c>
      <c r="D7" s="1972" t="n">
        <v>100</v>
      </c>
      <c r="E7" s="1973"/>
      <c r="F7" s="1974" t="n">
        <f aca="false">SUMIF(69:69,YEAR(E7)&amp;"-"&amp;INT((MONTH(E7)+2)/3),70:70)</f>
        <v>0</v>
      </c>
      <c r="G7" s="2543"/>
      <c r="H7" s="1975" t="n">
        <f aca="false">SUMIF(69:69,YEAR(G7)&amp;"-"&amp;INT((MONTH(G7)+2)/3),70:70)</f>
        <v>0</v>
      </c>
      <c r="I7" s="2543"/>
      <c r="J7" s="1975" t="n">
        <f aca="false">SUMIF(69:69,YEAR(I7)&amp;"-"&amp;INT((MONTH(I7)+2)/3),70:70)</f>
        <v>0</v>
      </c>
      <c r="K7" s="2361"/>
      <c r="L7" s="1977"/>
      <c r="M7" s="1978"/>
      <c r="N7" s="1978"/>
      <c r="O7" s="1978"/>
      <c r="P7" s="1979" t="s">
        <v>1276</v>
      </c>
      <c r="Q7" s="1979"/>
      <c r="R7" s="1980" t="s">
        <v>1277</v>
      </c>
      <c r="S7" s="1981" t="n">
        <f aca="false">F7</f>
        <v>0</v>
      </c>
      <c r="T7" s="1980" t="s">
        <v>1277</v>
      </c>
      <c r="U7" s="1981" t="n">
        <f aca="false">H7</f>
        <v>0</v>
      </c>
      <c r="V7" s="1980" t="s">
        <v>1277</v>
      </c>
      <c r="W7" s="1981" t="n">
        <f aca="false">J7</f>
        <v>0</v>
      </c>
      <c r="X7" s="1982"/>
      <c r="Y7" s="540" t="s">
        <v>1276</v>
      </c>
      <c r="Z7" s="540"/>
      <c r="AA7" s="741" t="e">
        <f aca="false">D7/F7</f>
        <v>#DIV/0!</v>
      </c>
      <c r="AB7" s="741" t="e">
        <f aca="false">D7/H7</f>
        <v>#DIV/0!</v>
      </c>
      <c r="AC7" s="741" t="e">
        <f aca="false">D7/J7</f>
        <v>#DIV/0!</v>
      </c>
    </row>
    <row r="8" s="1983" customFormat="true" ht="15" hidden="false" customHeight="false" outlineLevel="0" collapsed="false">
      <c r="A8" s="1969" t="s">
        <v>1278</v>
      </c>
      <c r="B8" s="1970"/>
      <c r="C8" s="2577" t="s">
        <v>1279</v>
      </c>
      <c r="D8" s="1972" t="n">
        <v>100</v>
      </c>
      <c r="E8" s="2577"/>
      <c r="F8" s="1974" t="n">
        <f aca="false">SUMIF(72:72,E8,73:73)-SUMIF(72:72,C8,73:73)+100</f>
        <v>0</v>
      </c>
      <c r="G8" s="2577"/>
      <c r="H8" s="1975" t="n">
        <f aca="false">SUMIF(72:72,G8,73:73)-SUMIF(72:72,C8,73:73)+100</f>
        <v>0</v>
      </c>
      <c r="I8" s="2577"/>
      <c r="J8" s="1975" t="n">
        <f aca="false">SUMIF(72:72,I8,73:73)-SUMIF(72:72,C8,73:73)+100</f>
        <v>0</v>
      </c>
      <c r="K8" s="2361"/>
      <c r="L8" s="1977"/>
      <c r="M8" s="1978"/>
      <c r="N8" s="1978"/>
      <c r="O8" s="1978"/>
      <c r="P8" s="540" t="s">
        <v>1278</v>
      </c>
      <c r="Q8" s="540"/>
      <c r="R8" s="1980" t="s">
        <v>1277</v>
      </c>
      <c r="S8" s="1981" t="n">
        <f aca="false">F8</f>
        <v>0</v>
      </c>
      <c r="T8" s="1980" t="s">
        <v>1277</v>
      </c>
      <c r="U8" s="1981" t="n">
        <f aca="false">H8</f>
        <v>0</v>
      </c>
      <c r="V8" s="1980" t="s">
        <v>1277</v>
      </c>
      <c r="W8" s="1981" t="n">
        <f aca="false">J8</f>
        <v>0</v>
      </c>
      <c r="X8" s="1982"/>
      <c r="Y8" s="540" t="s">
        <v>1278</v>
      </c>
      <c r="Z8" s="540"/>
      <c r="AA8" s="741" t="e">
        <f aca="false">D8/F8</f>
        <v>#DIV/0!</v>
      </c>
      <c r="AB8" s="741" t="e">
        <f aca="false">D8/H8</f>
        <v>#DIV/0!</v>
      </c>
      <c r="AC8" s="741" t="e">
        <f aca="false">D8/J8</f>
        <v>#DIV/0!</v>
      </c>
    </row>
    <row r="9" s="1983" customFormat="true" ht="14.25" hidden="false" customHeight="true" outlineLevel="0" collapsed="false">
      <c r="A9" s="1986" t="s">
        <v>1280</v>
      </c>
      <c r="B9" s="678" t="s">
        <v>399</v>
      </c>
      <c r="C9" s="2578"/>
      <c r="D9" s="1988" t="n">
        <v>100</v>
      </c>
      <c r="E9" s="2578"/>
      <c r="F9" s="1992" t="n">
        <f aca="false">SUMIF(74:74,E9,75:75)-SUMIF(74:74,C9,75:75)+100</f>
        <v>100</v>
      </c>
      <c r="G9" s="2578"/>
      <c r="H9" s="1992" t="n">
        <f aca="false">SUMIF(74:74,G9,75:75)-SUMIF(74:74,C9,75:75)+100</f>
        <v>100</v>
      </c>
      <c r="I9" s="2578"/>
      <c r="J9" s="1992" t="n">
        <f aca="false">SUMIF(74:74,I9,75:75)-SUMIF(74:74,C9,75:75)+100</f>
        <v>100</v>
      </c>
      <c r="K9" s="2361"/>
      <c r="L9" s="1977"/>
      <c r="M9" s="1978"/>
      <c r="N9" s="1978"/>
      <c r="O9" s="2544"/>
      <c r="P9" s="1955"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540" t="str">
        <f aca="false">Q9</f>
        <v>用途</v>
      </c>
      <c r="AA9" s="741" t="n">
        <f aca="false">D9/F9</f>
        <v>1</v>
      </c>
      <c r="AB9" s="741" t="n">
        <f aca="false">D9/H9</f>
        <v>1</v>
      </c>
      <c r="AC9" s="741" t="n">
        <f aca="false">D9/J9</f>
        <v>1</v>
      </c>
    </row>
    <row r="10" s="2004" customFormat="true" ht="27" hidden="false" customHeight="false" outlineLevel="0" collapsed="false">
      <c r="A10" s="1995"/>
      <c r="B10" s="1996" t="s">
        <v>1281</v>
      </c>
      <c r="C10" s="2012"/>
      <c r="D10" s="1998" t="n">
        <v>100</v>
      </c>
      <c r="E10" s="2066"/>
      <c r="F10" s="2001" t="n">
        <f aca="false">ROUND(100/'数据-取费表'!G16,0)</f>
        <v>100</v>
      </c>
      <c r="G10" s="2069"/>
      <c r="H10" s="2001" t="n">
        <f aca="false">ROUND(100/'数据-取费表'!G16,0)</f>
        <v>100</v>
      </c>
      <c r="I10" s="2069"/>
      <c r="J10" s="2001" t="n">
        <f aca="false">ROUND(100/'数据-取费表'!G16,0)</f>
        <v>100</v>
      </c>
      <c r="K10" s="2579"/>
      <c r="L10" s="2002"/>
      <c r="M10" s="2003"/>
      <c r="N10" s="2003"/>
      <c r="O10" s="2545"/>
      <c r="P10" s="1955"/>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540" t="str">
        <f aca="false">Q10</f>
        <v>土地使用年限（年）</v>
      </c>
      <c r="AA10" s="741" t="n">
        <f aca="false">D10/F10</f>
        <v>1</v>
      </c>
      <c r="AB10" s="741" t="n">
        <f aca="false">D10/H10</f>
        <v>1</v>
      </c>
      <c r="AC10" s="741" t="n">
        <f aca="false">D10/J10</f>
        <v>1</v>
      </c>
    </row>
    <row r="11" customFormat="false" ht="15" hidden="false" customHeight="false" outlineLevel="0" collapsed="false">
      <c r="A11" s="2005"/>
      <c r="B11" s="1996" t="s">
        <v>524</v>
      </c>
      <c r="C11" s="2006"/>
      <c r="D11" s="1998" t="n">
        <v>100</v>
      </c>
      <c r="E11" s="2006"/>
      <c r="F11" s="2001" t="e">
        <f aca="false">LOOKUP(E11,79:79,80:80)-LOOKUP(C11,79:79,80:80)+100</f>
        <v>#N/A</v>
      </c>
      <c r="G11" s="2007"/>
      <c r="H11" s="2001" t="e">
        <f aca="false">LOOKUP(G11,79:79,80:80)-LOOKUP(C11,79:79,80:80)+100</f>
        <v>#N/A</v>
      </c>
      <c r="I11" s="2006"/>
      <c r="J11" s="2001" t="e">
        <f aca="false">LOOKUP(I11,79:79,80:80)-LOOKUP(C11,79:79,80:80)+100</f>
        <v>#N/A</v>
      </c>
      <c r="K11" s="2580"/>
      <c r="L11" s="2009"/>
      <c r="M11" s="1954"/>
      <c r="N11" s="1954"/>
      <c r="O11" s="2546"/>
      <c r="P11" s="1955"/>
      <c r="Q11" s="510" t="str">
        <f aca="false">B11</f>
        <v>容积率</v>
      </c>
      <c r="R11" s="1980" t="s">
        <v>1277</v>
      </c>
      <c r="S11" s="1981" t="e">
        <f aca="false">F11</f>
        <v>#N/A</v>
      </c>
      <c r="T11" s="1980" t="s">
        <v>1277</v>
      </c>
      <c r="U11" s="1981" t="e">
        <f aca="false">H11</f>
        <v>#N/A</v>
      </c>
      <c r="V11" s="1980" t="s">
        <v>1277</v>
      </c>
      <c r="W11" s="1981" t="e">
        <f aca="false">J11</f>
        <v>#N/A</v>
      </c>
      <c r="X11" s="1982"/>
      <c r="Y11" s="1994"/>
      <c r="Z11" s="540" t="str">
        <f aca="false">Q11</f>
        <v>容积率</v>
      </c>
      <c r="AA11" s="741" t="e">
        <f aca="false">D11/F11</f>
        <v>#N/A</v>
      </c>
      <c r="AB11" s="741" t="e">
        <f aca="false">D11/H11</f>
        <v>#N/A</v>
      </c>
      <c r="AC11" s="741" t="e">
        <f aca="false">D11/J11</f>
        <v>#N/A</v>
      </c>
    </row>
    <row r="12" s="1983" customFormat="true" ht="15" hidden="false" customHeight="false" outlineLevel="0" collapsed="false">
      <c r="A12" s="2010"/>
      <c r="B12" s="2581" t="s">
        <v>1574</v>
      </c>
      <c r="C12" s="2012"/>
      <c r="D12" s="2013" t="n">
        <v>100</v>
      </c>
      <c r="E12" s="2066"/>
      <c r="F12" s="2001" t="n">
        <f aca="false">SUMIF(81:81,E12,82:82)-SUMIF(81:81,C12,82:82)+100</f>
        <v>100</v>
      </c>
      <c r="G12" s="2069"/>
      <c r="H12" s="2001" t="n">
        <f aca="false">SUMIF(81:81,G12,82:82)-SUMIF(81:81,C12,82:82)+100</f>
        <v>100</v>
      </c>
      <c r="I12" s="2066"/>
      <c r="J12" s="2001" t="n">
        <f aca="false">SUMIF(81:81,I12,82:82)-SUMIF(81:81,C12,82:82)+100</f>
        <v>100</v>
      </c>
      <c r="K12" s="2579"/>
      <c r="L12" s="1977"/>
      <c r="M12" s="1978"/>
      <c r="N12" s="1978"/>
      <c r="O12" s="2544"/>
      <c r="P12" s="1955"/>
      <c r="Q12" s="510" t="str">
        <f aca="false">B12</f>
        <v>配建</v>
      </c>
      <c r="R12" s="1980" t="s">
        <v>1277</v>
      </c>
      <c r="S12" s="1981" t="n">
        <f aca="false">F12</f>
        <v>100</v>
      </c>
      <c r="T12" s="1980" t="s">
        <v>1277</v>
      </c>
      <c r="U12" s="1981" t="n">
        <f aca="false">H12</f>
        <v>100</v>
      </c>
      <c r="V12" s="1980" t="s">
        <v>1277</v>
      </c>
      <c r="W12" s="1981" t="n">
        <f aca="false">J12</f>
        <v>100</v>
      </c>
      <c r="X12" s="1982"/>
      <c r="Y12" s="1994"/>
      <c r="Z12" s="540" t="str">
        <f aca="false">Q12</f>
        <v>配建</v>
      </c>
      <c r="AA12" s="741" t="n">
        <f aca="false">D12/F12</f>
        <v>1</v>
      </c>
      <c r="AB12" s="741" t="n">
        <f aca="false">D12/H12</f>
        <v>1</v>
      </c>
      <c r="AC12" s="741" t="n">
        <f aca="false">D12/J12</f>
        <v>1</v>
      </c>
    </row>
    <row r="13" customFormat="false" ht="15" hidden="false" customHeight="false" outlineLevel="0" collapsed="false">
      <c r="A13" s="2005"/>
      <c r="B13" s="2011" t="n">
        <v>111</v>
      </c>
      <c r="C13" s="2015"/>
      <c r="D13" s="2016" t="n">
        <v>100</v>
      </c>
      <c r="E13" s="2195"/>
      <c r="F13" s="2001" t="n">
        <f aca="false">SUMIF(83:83,E13,84:84)-SUMIF(83:83,C13,84:84)+100</f>
        <v>100</v>
      </c>
      <c r="G13" s="2582"/>
      <c r="H13" s="2017" t="n">
        <f aca="false">SUMIF(83:83,G13,84:84)-SUMIF(83:83,C13,84:84)+100</f>
        <v>100</v>
      </c>
      <c r="I13" s="2582"/>
      <c r="J13" s="2017" t="n">
        <f aca="false">SUMIF(83:83,I13,84:84)-SUMIF(83:83,C13,84:84)+100</f>
        <v>100</v>
      </c>
      <c r="K13" s="2579"/>
      <c r="L13" s="2018"/>
      <c r="M13" s="1954"/>
      <c r="N13" s="1954"/>
      <c r="O13" s="2546"/>
      <c r="P13" s="1955"/>
      <c r="Q13" s="510" t="n">
        <f aca="false">B13</f>
        <v>111</v>
      </c>
      <c r="R13" s="1980" t="s">
        <v>1277</v>
      </c>
      <c r="S13" s="1981" t="n">
        <f aca="false">F13</f>
        <v>100</v>
      </c>
      <c r="T13" s="1980" t="s">
        <v>1277</v>
      </c>
      <c r="U13" s="1981" t="n">
        <f aca="false">H13</f>
        <v>100</v>
      </c>
      <c r="V13" s="1980" t="s">
        <v>1277</v>
      </c>
      <c r="W13" s="1981" t="n">
        <f aca="false">J13</f>
        <v>100</v>
      </c>
      <c r="X13" s="1982"/>
      <c r="Y13" s="1994"/>
      <c r="Z13" s="540" t="n">
        <f aca="false">Q13</f>
        <v>111</v>
      </c>
      <c r="AA13" s="741" t="n">
        <f aca="false">D13/F13</f>
        <v>1</v>
      </c>
      <c r="AB13" s="741" t="n">
        <f aca="false">D13/H13</f>
        <v>1</v>
      </c>
      <c r="AC13" s="741" t="n">
        <f aca="false">D13/J13</f>
        <v>1</v>
      </c>
    </row>
    <row r="14" customFormat="false" ht="15" hidden="false" customHeight="false" outlineLevel="0" collapsed="false">
      <c r="A14" s="2019"/>
      <c r="B14" s="2020" t="n">
        <v>111</v>
      </c>
      <c r="C14" s="2021"/>
      <c r="D14" s="2022" t="n">
        <v>100</v>
      </c>
      <c r="E14" s="2195"/>
      <c r="F14" s="2024" t="n">
        <f aca="false">SUMIF(85:85,E14,86:86)-SUMIF(85:85,C14,86:86)+100</f>
        <v>100</v>
      </c>
      <c r="G14" s="2582"/>
      <c r="H14" s="2024" t="n">
        <f aca="false">SUMIF(85:85,G14,86:86)-SUMIF(85:85,C14,86:86)+100</f>
        <v>100</v>
      </c>
      <c r="I14" s="2582"/>
      <c r="J14" s="2024" t="n">
        <f aca="false">SUMIF(85:85,I14,86:86)-SUMIF(85:85,C14,86:86)+100</f>
        <v>100</v>
      </c>
      <c r="K14" s="2579"/>
      <c r="L14" s="2018"/>
      <c r="M14" s="1954"/>
      <c r="N14" s="1954"/>
      <c r="O14" s="2546"/>
      <c r="P14" s="1955"/>
      <c r="Q14" s="510" t="n">
        <f aca="false">B14</f>
        <v>111</v>
      </c>
      <c r="R14" s="1980" t="s">
        <v>1277</v>
      </c>
      <c r="S14" s="1981" t="n">
        <f aca="false">F14</f>
        <v>100</v>
      </c>
      <c r="T14" s="1980" t="s">
        <v>1277</v>
      </c>
      <c r="U14" s="1981" t="n">
        <f aca="false">H14</f>
        <v>100</v>
      </c>
      <c r="V14" s="1980" t="s">
        <v>1277</v>
      </c>
      <c r="W14" s="1981" t="n">
        <f aca="false">J14</f>
        <v>100</v>
      </c>
      <c r="X14" s="1982"/>
      <c r="Y14" s="1994"/>
      <c r="Z14" s="540" t="n">
        <f aca="false">Q14</f>
        <v>111</v>
      </c>
      <c r="AA14" s="741" t="n">
        <f aca="false">D14/F14</f>
        <v>1</v>
      </c>
      <c r="AB14" s="741" t="n">
        <f aca="false">D14/H14</f>
        <v>1</v>
      </c>
      <c r="AC14" s="741" t="n">
        <f aca="false">D14/J14</f>
        <v>1</v>
      </c>
    </row>
    <row r="15" customFormat="false" ht="99.75" hidden="false" customHeight="true" outlineLevel="0" collapsed="false">
      <c r="A15" s="2025" t="s">
        <v>648</v>
      </c>
      <c r="B15" s="671" t="s">
        <v>212</v>
      </c>
      <c r="C15" s="2026" t="str">
        <f aca="false">估价对象房地状况!C15</f>
        <v>估价对象周边居住用地比例、居住小区规模和社区发展完善程度，综合评价居住社区成熟度一般</v>
      </c>
      <c r="D15" s="2027" t="n">
        <v>100</v>
      </c>
      <c r="E15" s="2030"/>
      <c r="F15" s="2029" t="n">
        <f aca="false">SUMIF(87:87,E16,88:88)-SUMIF(87:87,C16,88:88)+100</f>
        <v>100</v>
      </c>
      <c r="G15" s="2030"/>
      <c r="H15" s="2029" t="n">
        <f aca="false">SUMIF(87:87,G16,88:88)-SUMIF(87:87,C16,88:88)+100</f>
        <v>100</v>
      </c>
      <c r="I15" s="2028"/>
      <c r="J15" s="2029" t="n">
        <f aca="false">SUMIF(87:87,I16,88:88)-SUMIF(87:87,C16,88:88)+100</f>
        <v>100</v>
      </c>
      <c r="K15" s="2580"/>
      <c r="L15" s="2018"/>
      <c r="M15" s="1954"/>
      <c r="N15" s="1954"/>
      <c r="O15" s="2546"/>
      <c r="P15" s="2036" t="s">
        <v>648</v>
      </c>
      <c r="Q15" s="2033" t="str">
        <f aca="false">B15</f>
        <v>居住社区成熟度</v>
      </c>
      <c r="R15" s="2034" t="s">
        <v>1277</v>
      </c>
      <c r="S15" s="2035" t="n">
        <f aca="false">F15</f>
        <v>100</v>
      </c>
      <c r="T15" s="2034" t="s">
        <v>1277</v>
      </c>
      <c r="U15" s="2035" t="n">
        <f aca="false">H15</f>
        <v>100</v>
      </c>
      <c r="V15" s="2034" t="s">
        <v>1277</v>
      </c>
      <c r="W15" s="2035" t="n">
        <f aca="false">J15</f>
        <v>100</v>
      </c>
      <c r="X15" s="1958"/>
      <c r="Y15" s="2036" t="s">
        <v>648</v>
      </c>
      <c r="Z15" s="2037" t="str">
        <f aca="false">Q15</f>
        <v>居住社区成熟度</v>
      </c>
      <c r="AA15" s="2038" t="n">
        <f aca="false">D15/F15</f>
        <v>1</v>
      </c>
      <c r="AB15" s="2038" t="n">
        <f aca="false">D15/H15</f>
        <v>1</v>
      </c>
      <c r="AC15" s="2038" t="n">
        <f aca="false">D15/J15</f>
        <v>1</v>
      </c>
    </row>
    <row r="16" customFormat="false" ht="15" hidden="false" customHeight="false" outlineLevel="0" collapsed="false">
      <c r="A16" s="2005"/>
      <c r="B16" s="2039"/>
      <c r="C16" s="2040"/>
      <c r="D16" s="2041"/>
      <c r="E16" s="2043"/>
      <c r="F16" s="2041"/>
      <c r="G16" s="2043"/>
      <c r="H16" s="2044"/>
      <c r="I16" s="2042"/>
      <c r="J16" s="2041"/>
      <c r="K16" s="2579"/>
      <c r="L16" s="2018"/>
      <c r="M16" s="1954"/>
      <c r="N16" s="1954"/>
      <c r="O16" s="2546"/>
      <c r="P16" s="2036"/>
      <c r="Q16" s="2033"/>
      <c r="R16" s="2034"/>
      <c r="S16" s="2035"/>
      <c r="T16" s="2034"/>
      <c r="U16" s="2035"/>
      <c r="V16" s="2034"/>
      <c r="W16" s="2035"/>
      <c r="X16" s="1958"/>
      <c r="Y16" s="2036"/>
      <c r="Z16" s="2037"/>
      <c r="AA16" s="2038" t="n">
        <v>1</v>
      </c>
      <c r="AB16" s="2038" t="n">
        <v>1</v>
      </c>
      <c r="AC16" s="2038" t="n">
        <v>1</v>
      </c>
    </row>
    <row r="17" customFormat="false" ht="71.25" hidden="false" customHeight="false" outlineLevel="0" collapsed="false">
      <c r="A17" s="2005"/>
      <c r="B17" s="2046" t="s">
        <v>213</v>
      </c>
      <c r="C17" s="2372" t="str">
        <f aca="false">估价对象房地状况!C16</f>
        <v>估价对象位于XX商圈，周边商业氛围成熟，人流量大，商业繁华度好</v>
      </c>
      <c r="D17" s="2048" t="n">
        <v>100</v>
      </c>
      <c r="E17" s="2050"/>
      <c r="F17" s="2044" t="n">
        <f aca="false">SUMIF(89:89,E18,90:90)-SUMIF(89:89,C18,90:90)+100</f>
        <v>100</v>
      </c>
      <c r="G17" s="2050"/>
      <c r="H17" s="2051" t="n">
        <f aca="false">SUMIF(89:89,G18,90:90)-SUMIF(89:89,C18,90:90)+100</f>
        <v>100</v>
      </c>
      <c r="I17" s="2049"/>
      <c r="J17" s="2051" t="n">
        <f aca="false">SUMIF(89:89,I18,90:90)-SUMIF(89:89,C18,90:90)+100</f>
        <v>100</v>
      </c>
      <c r="K17" s="2580"/>
      <c r="L17" s="2018"/>
      <c r="M17" s="1954"/>
      <c r="N17" s="1954"/>
      <c r="O17" s="2546"/>
      <c r="P17" s="2036"/>
      <c r="Q17" s="2033" t="str">
        <f aca="false">B17</f>
        <v>商业繁华度</v>
      </c>
      <c r="R17" s="2034" t="s">
        <v>1277</v>
      </c>
      <c r="S17" s="2035" t="n">
        <f aca="false">F17</f>
        <v>100</v>
      </c>
      <c r="T17" s="2034" t="s">
        <v>1277</v>
      </c>
      <c r="U17" s="2035" t="n">
        <f aca="false">H17</f>
        <v>100</v>
      </c>
      <c r="V17" s="2034" t="s">
        <v>1277</v>
      </c>
      <c r="W17" s="2035" t="n">
        <f aca="false">J17</f>
        <v>100</v>
      </c>
      <c r="X17" s="1958"/>
      <c r="Y17" s="2036"/>
      <c r="Z17" s="2037" t="str">
        <f aca="false">Q17</f>
        <v>商业繁华度</v>
      </c>
      <c r="AA17" s="2038" t="n">
        <f aca="false">D17/F17</f>
        <v>1</v>
      </c>
      <c r="AB17" s="2038" t="n">
        <f aca="false">D17/H17</f>
        <v>1</v>
      </c>
      <c r="AC17" s="2038" t="n">
        <f aca="false">D17/J17</f>
        <v>1</v>
      </c>
    </row>
    <row r="18" customFormat="false" ht="15" hidden="false" customHeight="false" outlineLevel="0" collapsed="false">
      <c r="A18" s="2005"/>
      <c r="B18" s="2052"/>
      <c r="C18" s="2053"/>
      <c r="D18" s="2048"/>
      <c r="E18" s="2055"/>
      <c r="F18" s="2044"/>
      <c r="G18" s="2055"/>
      <c r="H18" s="2041"/>
      <c r="I18" s="2054"/>
      <c r="J18" s="2041"/>
      <c r="K18" s="2579"/>
      <c r="L18" s="2018"/>
      <c r="M18" s="1954"/>
      <c r="N18" s="1954"/>
      <c r="O18" s="2546"/>
      <c r="P18" s="2036"/>
      <c r="Q18" s="2033"/>
      <c r="R18" s="2034"/>
      <c r="S18" s="2035"/>
      <c r="T18" s="2034"/>
      <c r="U18" s="2035"/>
      <c r="V18" s="2034"/>
      <c r="W18" s="2035"/>
      <c r="X18" s="1958"/>
      <c r="Y18" s="2036"/>
      <c r="Z18" s="2037"/>
      <c r="AA18" s="2038" t="n">
        <v>1</v>
      </c>
      <c r="AB18" s="2038" t="n">
        <v>1</v>
      </c>
      <c r="AC18" s="2038" t="n">
        <v>1</v>
      </c>
    </row>
    <row r="19" customFormat="false" ht="71.25" hidden="false" customHeight="false" outlineLevel="0" collapsed="false">
      <c r="A19" s="2005"/>
      <c r="B19" s="2046" t="s">
        <v>214</v>
      </c>
      <c r="C19" s="2372" t="str">
        <f aca="false">估价对象房地状况!C17</f>
        <v>估价对象位于XX商圈，周边办公楼项目较多，入驻率高，办公集聚程度较好</v>
      </c>
      <c r="D19" s="2056" t="n">
        <v>100</v>
      </c>
      <c r="E19" s="2058"/>
      <c r="F19" s="2051" t="n">
        <f aca="false">SUMIF(91:91,E20,92:92)-SUMIF(91:91,C20,92:92)+100</f>
        <v>100</v>
      </c>
      <c r="G19" s="2058"/>
      <c r="H19" s="2044" t="n">
        <f aca="false">SUMIF(91:91,G20,92:92)-SUMIF(91:91,C20,92:92)+100</f>
        <v>100</v>
      </c>
      <c r="I19" s="2057"/>
      <c r="J19" s="2044" t="n">
        <f aca="false">SUMIF(91:91,I20,92:92)-SUMIF(91:91,C20,92:92)+100</f>
        <v>100</v>
      </c>
      <c r="K19" s="2580"/>
      <c r="L19" s="2018"/>
      <c r="M19" s="1954"/>
      <c r="N19" s="1954"/>
      <c r="O19" s="2546"/>
      <c r="P19" s="2036"/>
      <c r="Q19" s="2033" t="str">
        <f aca="false">B19</f>
        <v>办公集聚程度</v>
      </c>
      <c r="R19" s="2034" t="s">
        <v>1277</v>
      </c>
      <c r="S19" s="2035" t="n">
        <f aca="false">F19</f>
        <v>100</v>
      </c>
      <c r="T19" s="2034" t="s">
        <v>1277</v>
      </c>
      <c r="U19" s="2035" t="n">
        <f aca="false">H19</f>
        <v>100</v>
      </c>
      <c r="V19" s="2034" t="s">
        <v>1277</v>
      </c>
      <c r="W19" s="2035" t="n">
        <f aca="false">J19</f>
        <v>100</v>
      </c>
      <c r="X19" s="1958"/>
      <c r="Y19" s="2036"/>
      <c r="Z19" s="2037" t="str">
        <f aca="false">Q19</f>
        <v>办公集聚程度</v>
      </c>
      <c r="AA19" s="2038" t="n">
        <f aca="false">D19/F19</f>
        <v>1</v>
      </c>
      <c r="AB19" s="2038" t="n">
        <f aca="false">D19/H19</f>
        <v>1</v>
      </c>
      <c r="AC19" s="2038" t="n">
        <f aca="false">D19/J19</f>
        <v>1</v>
      </c>
    </row>
    <row r="20" customFormat="false" ht="15" hidden="false" customHeight="false" outlineLevel="0" collapsed="false">
      <c r="A20" s="2005"/>
      <c r="B20" s="2052"/>
      <c r="C20" s="2040"/>
      <c r="D20" s="2041"/>
      <c r="E20" s="2043"/>
      <c r="F20" s="2041"/>
      <c r="G20" s="2043"/>
      <c r="H20" s="2041"/>
      <c r="I20" s="2042"/>
      <c r="J20" s="2041"/>
      <c r="K20" s="2579"/>
      <c r="L20" s="2018"/>
      <c r="M20" s="1954"/>
      <c r="N20" s="1954"/>
      <c r="O20" s="2546"/>
      <c r="P20" s="2036"/>
      <c r="Q20" s="2033"/>
      <c r="R20" s="2034"/>
      <c r="S20" s="2035"/>
      <c r="T20" s="2034"/>
      <c r="U20" s="2035"/>
      <c r="V20" s="2034"/>
      <c r="W20" s="2035"/>
      <c r="X20" s="1958"/>
      <c r="Y20" s="2036"/>
      <c r="Z20" s="2037"/>
      <c r="AA20" s="2038" t="n">
        <v>1</v>
      </c>
      <c r="AB20" s="2038" t="n">
        <v>1</v>
      </c>
      <c r="AC20" s="2038" t="n">
        <v>1</v>
      </c>
    </row>
    <row r="21" customFormat="false" ht="85.5" hidden="false" customHeight="false" outlineLevel="0" collapsed="false">
      <c r="A21" s="2005"/>
      <c r="B21" s="2046" t="s">
        <v>216</v>
      </c>
      <c r="C21" s="2047" t="str">
        <f aca="false">估价对象房地状况!C18</f>
        <v>估价对象周边道路状况、公共交通通达情况、停车便捷程度，综合评价交通便捷度较好</v>
      </c>
      <c r="D21" s="2048" t="n">
        <v>100</v>
      </c>
      <c r="E21" s="2050"/>
      <c r="F21" s="2051" t="n">
        <f aca="false">SUMIF(93:93,E22,94:94)-SUMIF(93:93,C22,94:94)+100</f>
        <v>100</v>
      </c>
      <c r="G21" s="2050"/>
      <c r="H21" s="2044" t="n">
        <f aca="false">SUMIF(93:93,G22,94:94)-SUMIF(93:93,C22,94:94)+100</f>
        <v>100</v>
      </c>
      <c r="I21" s="2049"/>
      <c r="J21" s="2044" t="n">
        <f aca="false">SUMIF(93:93,I22,94:94)-SUMIF(93:93,C22,94:94)+100</f>
        <v>100</v>
      </c>
      <c r="K21" s="2580"/>
      <c r="L21" s="2018"/>
      <c r="M21" s="1954"/>
      <c r="N21" s="1954"/>
      <c r="O21" s="2546"/>
      <c r="P21" s="2036"/>
      <c r="Q21" s="2033" t="str">
        <f aca="false">B21</f>
        <v>交通便捷度</v>
      </c>
      <c r="R21" s="2034" t="s">
        <v>1277</v>
      </c>
      <c r="S21" s="2035" t="n">
        <f aca="false">F21</f>
        <v>100</v>
      </c>
      <c r="T21" s="2034" t="s">
        <v>1277</v>
      </c>
      <c r="U21" s="2035" t="n">
        <f aca="false">H21</f>
        <v>100</v>
      </c>
      <c r="V21" s="2034" t="s">
        <v>1277</v>
      </c>
      <c r="W21" s="2035" t="n">
        <f aca="false">J21</f>
        <v>100</v>
      </c>
      <c r="X21" s="1958"/>
      <c r="Y21" s="2036"/>
      <c r="Z21" s="2037" t="str">
        <f aca="false">Q21</f>
        <v>交通便捷度</v>
      </c>
      <c r="AA21" s="2038" t="n">
        <f aca="false">D21/F21</f>
        <v>1</v>
      </c>
      <c r="AB21" s="2038" t="n">
        <f aca="false">D21/H21</f>
        <v>1</v>
      </c>
      <c r="AC21" s="2038" t="n">
        <f aca="false">D21/J21</f>
        <v>1</v>
      </c>
    </row>
    <row r="22" customFormat="false" ht="15" hidden="false" customHeight="false" outlineLevel="0" collapsed="false">
      <c r="A22" s="2005"/>
      <c r="B22" s="2059"/>
      <c r="C22" s="2040"/>
      <c r="D22" s="2048"/>
      <c r="E22" s="2043"/>
      <c r="F22" s="2041"/>
      <c r="G22" s="2043"/>
      <c r="H22" s="2041"/>
      <c r="I22" s="2042"/>
      <c r="J22" s="2041"/>
      <c r="K22" s="2579"/>
      <c r="L22" s="2018"/>
      <c r="M22" s="1954"/>
      <c r="N22" s="1954"/>
      <c r="O22" s="2546"/>
      <c r="P22" s="2036"/>
      <c r="Q22" s="2033"/>
      <c r="R22" s="2034"/>
      <c r="S22" s="2035"/>
      <c r="T22" s="2034"/>
      <c r="U22" s="2035"/>
      <c r="V22" s="2034"/>
      <c r="W22" s="2035"/>
      <c r="X22" s="1958"/>
      <c r="Y22" s="2036"/>
      <c r="Z22" s="2037"/>
      <c r="AA22" s="2038" t="n">
        <v>1</v>
      </c>
      <c r="AB22" s="2038" t="n">
        <v>1</v>
      </c>
      <c r="AC22" s="2038" t="n">
        <v>1</v>
      </c>
    </row>
    <row r="23" customFormat="false" ht="15" hidden="false" customHeight="false" outlineLevel="0" collapsed="false">
      <c r="A23" s="1959"/>
      <c r="B23" s="2046" t="s">
        <v>217</v>
      </c>
      <c r="C23" s="2583" t="n">
        <f aca="false">估价对象房地状况!C19</f>
        <v>0</v>
      </c>
      <c r="D23" s="2056" t="n">
        <v>100</v>
      </c>
      <c r="E23" s="2050"/>
      <c r="F23" s="2051" t="n">
        <f aca="false">SUMIF(95:95,E24,96:96)-SUMIF(95:95,C24,96:96)+100</f>
        <v>100</v>
      </c>
      <c r="G23" s="2049"/>
      <c r="H23" s="2051" t="n">
        <f aca="false">SUMIF(95:95,G24,96:96)-SUMIF(95:95,C24,96:96)+100</f>
        <v>100</v>
      </c>
      <c r="I23" s="2049"/>
      <c r="J23" s="2051" t="n">
        <f aca="false">SUMIF(95:95,I24,96:96)-SUMIF(95:95,C24,96:96)+100</f>
        <v>100</v>
      </c>
      <c r="K23" s="2580"/>
      <c r="L23" s="2018"/>
      <c r="M23" s="1954"/>
      <c r="N23" s="1954"/>
      <c r="O23" s="2546"/>
      <c r="P23" s="2036"/>
      <c r="Q23" s="2033" t="str">
        <f aca="false">B23</f>
        <v>区域土地利用方向</v>
      </c>
      <c r="R23" s="2034" t="s">
        <v>1277</v>
      </c>
      <c r="S23" s="2035" t="n">
        <f aca="false">F23</f>
        <v>100</v>
      </c>
      <c r="T23" s="2034" t="s">
        <v>1277</v>
      </c>
      <c r="U23" s="2035" t="n">
        <f aca="false">H23</f>
        <v>100</v>
      </c>
      <c r="V23" s="2034" t="s">
        <v>1277</v>
      </c>
      <c r="W23" s="2035" t="n">
        <f aca="false">J23</f>
        <v>100</v>
      </c>
      <c r="X23" s="1958"/>
      <c r="Y23" s="2036"/>
      <c r="Z23" s="2037" t="str">
        <f aca="false">Q23</f>
        <v>区域土地利用方向</v>
      </c>
      <c r="AA23" s="2038" t="n">
        <f aca="false">D23/F23</f>
        <v>1</v>
      </c>
      <c r="AB23" s="2038" t="n">
        <f aca="false">D23/H23</f>
        <v>1</v>
      </c>
      <c r="AC23" s="2038" t="n">
        <f aca="false">D23/J23</f>
        <v>1</v>
      </c>
    </row>
    <row r="24" customFormat="false" ht="15" hidden="false" customHeight="false" outlineLevel="0" collapsed="false">
      <c r="A24" s="1959"/>
      <c r="B24" s="2052"/>
      <c r="C24" s="2373"/>
      <c r="D24" s="2041"/>
      <c r="E24" s="2043"/>
      <c r="F24" s="2041"/>
      <c r="G24" s="2042"/>
      <c r="H24" s="2041"/>
      <c r="I24" s="2042"/>
      <c r="J24" s="2041"/>
      <c r="K24" s="2584"/>
      <c r="L24" s="2018"/>
      <c r="M24" s="1954"/>
      <c r="N24" s="1954"/>
      <c r="O24" s="2546"/>
      <c r="P24" s="2036"/>
      <c r="Q24" s="2033"/>
      <c r="R24" s="2034"/>
      <c r="S24" s="2035"/>
      <c r="T24" s="2034"/>
      <c r="U24" s="2035"/>
      <c r="V24" s="2034"/>
      <c r="W24" s="2035"/>
      <c r="X24" s="1958"/>
      <c r="Y24" s="2036"/>
      <c r="Z24" s="2037"/>
      <c r="AA24" s="2038"/>
      <c r="AB24" s="2038"/>
      <c r="AC24" s="2038"/>
    </row>
    <row r="25" customFormat="false" ht="57" hidden="false" customHeight="false" outlineLevel="0" collapsed="false">
      <c r="A25" s="1959"/>
      <c r="B25" s="2059" t="s">
        <v>662</v>
      </c>
      <c r="C25" s="2372" t="str">
        <f aca="false">估价对象房地状况!C20</f>
        <v>区域自然环境：；人文环境；综合评价环境状况一般</v>
      </c>
      <c r="D25" s="2048" t="n">
        <v>100</v>
      </c>
      <c r="E25" s="2050"/>
      <c r="F25" s="2044" t="n">
        <f aca="false">SUMIF(97:97,E26,98:98)-SUMIF(97:97,C26,98:98)+100</f>
        <v>100</v>
      </c>
      <c r="G25" s="2050"/>
      <c r="H25" s="2044" t="n">
        <f aca="false">SUMIF(97:97,G26,98:98)-SUMIF(97:97,C26,98:98)+100</f>
        <v>100</v>
      </c>
      <c r="I25" s="2049"/>
      <c r="J25" s="2044" t="n">
        <f aca="false">SUMIF(97:97,I26,98:98)-SUMIF(97:97,C26,98:98)+100</f>
        <v>100</v>
      </c>
      <c r="K25" s="2580"/>
      <c r="L25" s="2018"/>
      <c r="M25" s="1954"/>
      <c r="N25" s="1954"/>
      <c r="O25" s="2546"/>
      <c r="P25" s="2036"/>
      <c r="Q25" s="2033" t="str">
        <f aca="false">B25</f>
        <v>自然及人文环境状况</v>
      </c>
      <c r="R25" s="2034" t="s">
        <v>1277</v>
      </c>
      <c r="S25" s="2035" t="n">
        <f aca="false">F25</f>
        <v>100</v>
      </c>
      <c r="T25" s="2034" t="s">
        <v>1277</v>
      </c>
      <c r="U25" s="2035" t="n">
        <f aca="false">H25</f>
        <v>100</v>
      </c>
      <c r="V25" s="2034" t="s">
        <v>1277</v>
      </c>
      <c r="W25" s="2035" t="n">
        <f aca="false">J25</f>
        <v>100</v>
      </c>
      <c r="X25" s="1958"/>
      <c r="Y25" s="2036"/>
      <c r="Z25" s="2037" t="str">
        <f aca="false">Q25</f>
        <v>自然及人文环境状况</v>
      </c>
      <c r="AA25" s="2038" t="n">
        <f aca="false">D25/F25</f>
        <v>1</v>
      </c>
      <c r="AB25" s="2038" t="n">
        <f aca="false">D25/H25</f>
        <v>1</v>
      </c>
      <c r="AC25" s="2038" t="n">
        <f aca="false">D25/J25</f>
        <v>1</v>
      </c>
    </row>
    <row r="26" customFormat="false" ht="15" hidden="false" customHeight="false" outlineLevel="0" collapsed="false">
      <c r="A26" s="1959"/>
      <c r="B26" s="2052"/>
      <c r="C26" s="2040"/>
      <c r="D26" s="2041"/>
      <c r="E26" s="2060"/>
      <c r="F26" s="2041"/>
      <c r="G26" s="2060"/>
      <c r="H26" s="2041"/>
      <c r="I26" s="2040"/>
      <c r="J26" s="2041"/>
      <c r="K26" s="2579"/>
      <c r="L26" s="2018"/>
      <c r="M26" s="1954"/>
      <c r="N26" s="1954"/>
      <c r="O26" s="2546"/>
      <c r="P26" s="2036"/>
      <c r="Q26" s="2033"/>
      <c r="R26" s="2034"/>
      <c r="S26" s="2035"/>
      <c r="T26" s="2034"/>
      <c r="U26" s="2035"/>
      <c r="V26" s="2034"/>
      <c r="W26" s="2035"/>
      <c r="X26" s="1958"/>
      <c r="Y26" s="2036"/>
      <c r="Z26" s="2037"/>
      <c r="AA26" s="2038" t="n">
        <v>1</v>
      </c>
      <c r="AB26" s="2038" t="n">
        <v>1</v>
      </c>
      <c r="AC26" s="2038" t="n">
        <v>1</v>
      </c>
    </row>
    <row r="27" s="1983" customFormat="true" ht="42.75" hidden="false" customHeight="false" outlineLevel="0" collapsed="false">
      <c r="A27" s="2517"/>
      <c r="B27" s="2059" t="s">
        <v>218</v>
      </c>
      <c r="C27" s="2047" t="str">
        <f aca="false">估价对象房地状况!C21</f>
        <v>估价对象所在区域公共配套设施齐备情况</v>
      </c>
      <c r="D27" s="2048" t="n">
        <v>100</v>
      </c>
      <c r="E27" s="2050"/>
      <c r="F27" s="2044" t="n">
        <f aca="false">SUMIF(99:99,E28,100:100)-SUMIF(99:99,C28,100:100)+100</f>
        <v>100</v>
      </c>
      <c r="G27" s="2050"/>
      <c r="H27" s="2044" t="n">
        <f aca="false">SUMIF(99:99,G28,100:100)-SUMIF(99:99,C28,100:100)+100</f>
        <v>100</v>
      </c>
      <c r="I27" s="2049"/>
      <c r="J27" s="2044" t="n">
        <f aca="false">SUMIF(99:99,I28,100:100)-SUMIF(99:99,C28,100:100)+100</f>
        <v>100</v>
      </c>
      <c r="K27" s="2580"/>
      <c r="L27" s="1977"/>
      <c r="M27" s="1978"/>
      <c r="N27" s="1978"/>
      <c r="O27" s="2544"/>
      <c r="P27" s="2036"/>
      <c r="Q27" s="510" t="str">
        <f aca="false">B27</f>
        <v>公共配套设施</v>
      </c>
      <c r="R27" s="1980" t="s">
        <v>1277</v>
      </c>
      <c r="S27" s="1981" t="n">
        <f aca="false">F27</f>
        <v>100</v>
      </c>
      <c r="T27" s="1980" t="s">
        <v>1277</v>
      </c>
      <c r="U27" s="1981" t="n">
        <f aca="false">H27</f>
        <v>100</v>
      </c>
      <c r="V27" s="1980" t="s">
        <v>1277</v>
      </c>
      <c r="W27" s="1981" t="n">
        <f aca="false">J27</f>
        <v>100</v>
      </c>
      <c r="X27" s="1982"/>
      <c r="Y27" s="2036"/>
      <c r="Z27" s="540" t="str">
        <f aca="false">Q27</f>
        <v>公共配套设施</v>
      </c>
      <c r="AA27" s="2038" t="n">
        <f aca="false">D27/F27</f>
        <v>1</v>
      </c>
      <c r="AB27" s="2038" t="n">
        <f aca="false">D27/H27</f>
        <v>1</v>
      </c>
      <c r="AC27" s="2038" t="n">
        <f aca="false">D27/J27</f>
        <v>1</v>
      </c>
    </row>
    <row r="28" s="1983" customFormat="true" ht="15" hidden="false" customHeight="false" outlineLevel="0" collapsed="false">
      <c r="A28" s="2517"/>
      <c r="B28" s="2052"/>
      <c r="C28" s="2585"/>
      <c r="D28" s="2041"/>
      <c r="E28" s="2060"/>
      <c r="F28" s="2041"/>
      <c r="G28" s="2060"/>
      <c r="H28" s="2041"/>
      <c r="I28" s="2040"/>
      <c r="J28" s="2041"/>
      <c r="K28" s="2579"/>
      <c r="L28" s="1977"/>
      <c r="M28" s="1978"/>
      <c r="N28" s="1978"/>
      <c r="O28" s="2544"/>
      <c r="P28" s="2036"/>
      <c r="Q28" s="510"/>
      <c r="R28" s="1980"/>
      <c r="S28" s="1981"/>
      <c r="T28" s="1980"/>
      <c r="U28" s="1981"/>
      <c r="V28" s="1980"/>
      <c r="W28" s="1981"/>
      <c r="X28" s="1982"/>
      <c r="Y28" s="2036"/>
      <c r="Z28" s="715"/>
      <c r="AA28" s="2038" t="n">
        <v>1</v>
      </c>
      <c r="AB28" s="2038" t="n">
        <v>1</v>
      </c>
      <c r="AC28" s="2038" t="n">
        <v>1</v>
      </c>
    </row>
    <row r="29" s="1983" customFormat="true" ht="28.5" hidden="false" customHeight="false" outlineLevel="0" collapsed="false">
      <c r="A29" s="2517"/>
      <c r="B29" s="2059" t="s">
        <v>219</v>
      </c>
      <c r="C29" s="2047" t="str">
        <f aca="false">估价对象房地状况!C22</f>
        <v>估价对象所在区域基础设施水平</v>
      </c>
      <c r="D29" s="2048" t="n">
        <v>100</v>
      </c>
      <c r="E29" s="2050"/>
      <c r="F29" s="2044" t="n">
        <f aca="false">SUMIF(101:101,E30,102:102)-SUMIF(101:101,C30,102:102)+100</f>
        <v>100</v>
      </c>
      <c r="G29" s="2050"/>
      <c r="H29" s="2044" t="n">
        <f aca="false">SUMIF(101:101,G30,102:102)-SUMIF(101:101,C30,102:102)+100</f>
        <v>100</v>
      </c>
      <c r="I29" s="2049"/>
      <c r="J29" s="2044" t="n">
        <f aca="false">SUMIF(101:101,I30,102:102)-SUMIF(101:101,C30,102:102)+100</f>
        <v>100</v>
      </c>
      <c r="K29" s="2580"/>
      <c r="L29" s="1977"/>
      <c r="M29" s="1978"/>
      <c r="N29" s="1978"/>
      <c r="O29" s="2544"/>
      <c r="P29" s="2036"/>
      <c r="Q29" s="510" t="str">
        <f aca="false">B29</f>
        <v>基础设施水平</v>
      </c>
      <c r="R29" s="1980" t="s">
        <v>1277</v>
      </c>
      <c r="S29" s="1981" t="n">
        <f aca="false">F29</f>
        <v>100</v>
      </c>
      <c r="T29" s="1980" t="s">
        <v>1277</v>
      </c>
      <c r="U29" s="1981" t="n">
        <f aca="false">H29</f>
        <v>100</v>
      </c>
      <c r="V29" s="1980" t="s">
        <v>1277</v>
      </c>
      <c r="W29" s="1981" t="n">
        <f aca="false">J29</f>
        <v>100</v>
      </c>
      <c r="X29" s="1982"/>
      <c r="Y29" s="2036"/>
      <c r="Z29" s="540" t="str">
        <f aca="false">Q29</f>
        <v>基础设施水平</v>
      </c>
      <c r="AA29" s="2038" t="n">
        <f aca="false">D29/F29</f>
        <v>1</v>
      </c>
      <c r="AB29" s="2038" t="n">
        <f aca="false">D29/H29</f>
        <v>1</v>
      </c>
      <c r="AC29" s="2038" t="n">
        <f aca="false">D29/J29</f>
        <v>1</v>
      </c>
    </row>
    <row r="30" s="1983" customFormat="true" ht="15" hidden="false" customHeight="false" outlineLevel="0" collapsed="false">
      <c r="A30" s="2517"/>
      <c r="B30" s="2052"/>
      <c r="C30" s="2585"/>
      <c r="D30" s="2041"/>
      <c r="E30" s="2586"/>
      <c r="F30" s="2041"/>
      <c r="G30" s="2586"/>
      <c r="H30" s="2041"/>
      <c r="I30" s="2586"/>
      <c r="J30" s="2041"/>
      <c r="K30" s="2579"/>
      <c r="L30" s="1977"/>
      <c r="M30" s="1978"/>
      <c r="N30" s="1978"/>
      <c r="O30" s="2544"/>
      <c r="P30" s="2036"/>
      <c r="Q30" s="510"/>
      <c r="R30" s="1980"/>
      <c r="S30" s="1981"/>
      <c r="T30" s="1980"/>
      <c r="U30" s="1981"/>
      <c r="V30" s="1980"/>
      <c r="W30" s="1981"/>
      <c r="X30" s="1982"/>
      <c r="Y30" s="2036"/>
      <c r="Z30" s="715"/>
      <c r="AA30" s="2038" t="n">
        <v>1</v>
      </c>
      <c r="AB30" s="2038" t="n">
        <v>1</v>
      </c>
      <c r="AC30" s="2038" t="n">
        <v>1</v>
      </c>
    </row>
    <row r="31" customFormat="false" ht="15" hidden="false" customHeight="false" outlineLevel="0" collapsed="false">
      <c r="A31" s="2005"/>
      <c r="B31" s="2587" t="s">
        <v>221</v>
      </c>
      <c r="C31" s="2373"/>
      <c r="D31" s="2016" t="n">
        <v>100</v>
      </c>
      <c r="E31" s="2434"/>
      <c r="F31" s="2017" t="n">
        <f aca="false">SUMIF(103:103,E31,104:104)-SUMIF(103:103,C31,104:104)+100</f>
        <v>100</v>
      </c>
      <c r="G31" s="2434"/>
      <c r="H31" s="2017" t="n">
        <f aca="false">SUMIF(103:103,G31,104:104)-SUMIF(103:103,C31,104:104)+100</f>
        <v>100</v>
      </c>
      <c r="I31" s="2434"/>
      <c r="J31" s="2017" t="n">
        <f aca="false">SUMIF(103:103,I31,104:104)-SUMIF(103:103,C31,104:104)+100</f>
        <v>100</v>
      </c>
      <c r="K31" s="2580"/>
      <c r="L31" s="2018"/>
      <c r="M31" s="1954"/>
      <c r="N31" s="1954"/>
      <c r="O31" s="2546"/>
      <c r="P31" s="2036"/>
      <c r="Q31" s="2033" t="str">
        <f aca="false">B31</f>
        <v>临街状况</v>
      </c>
      <c r="R31" s="2034" t="s">
        <v>1277</v>
      </c>
      <c r="S31" s="2035" t="n">
        <f aca="false">F31</f>
        <v>100</v>
      </c>
      <c r="T31" s="2034" t="s">
        <v>1277</v>
      </c>
      <c r="U31" s="2035" t="n">
        <f aca="false">H31</f>
        <v>100</v>
      </c>
      <c r="V31" s="2034" t="s">
        <v>1277</v>
      </c>
      <c r="W31" s="2035" t="n">
        <f aca="false">J31</f>
        <v>100</v>
      </c>
      <c r="X31" s="1958"/>
      <c r="Y31" s="2036"/>
      <c r="Z31" s="2037" t="str">
        <f aca="false">Q31</f>
        <v>临街状况</v>
      </c>
      <c r="AA31" s="2038" t="n">
        <f aca="false">D31/F31</f>
        <v>1</v>
      </c>
      <c r="AB31" s="2038" t="n">
        <f aca="false">D31/H31</f>
        <v>1</v>
      </c>
      <c r="AC31" s="2038" t="n">
        <f aca="false">D31/J31</f>
        <v>1</v>
      </c>
    </row>
    <row r="32" customFormat="false" ht="27" hidden="false" customHeight="false" outlineLevel="0" collapsed="false">
      <c r="A32" s="2005"/>
      <c r="B32" s="2059" t="s">
        <v>660</v>
      </c>
      <c r="C32" s="2049"/>
      <c r="D32" s="2048" t="n">
        <v>100</v>
      </c>
      <c r="E32" s="2050"/>
      <c r="F32" s="2044" t="n">
        <f aca="false">SUMIF(105:105,E33,106:106)-SUMIF(105:105,C33,106:106)+100</f>
        <v>100</v>
      </c>
      <c r="G32" s="2050"/>
      <c r="H32" s="2044" t="n">
        <f aca="false">SUMIF(105:105,G33,106:106)-SUMIF(105:105,C33,106:106)+100</f>
        <v>100</v>
      </c>
      <c r="I32" s="2049"/>
      <c r="J32" s="2044" t="n">
        <f aca="false">SUMIF(105:105,I33,106:106)-SUMIF(105:105,C33,106:106)+100</f>
        <v>100</v>
      </c>
      <c r="K32" s="2580"/>
      <c r="L32" s="2018"/>
      <c r="M32" s="1954"/>
      <c r="N32" s="1954"/>
      <c r="O32" s="2546"/>
      <c r="P32" s="2036"/>
      <c r="Q32" s="2033" t="str">
        <f aca="false">B32</f>
        <v>毗邻道路的类型与等级</v>
      </c>
      <c r="R32" s="2034" t="s">
        <v>1277</v>
      </c>
      <c r="S32" s="2035" t="n">
        <f aca="false">F32</f>
        <v>100</v>
      </c>
      <c r="T32" s="2034" t="s">
        <v>1277</v>
      </c>
      <c r="U32" s="2035" t="n">
        <f aca="false">H32</f>
        <v>100</v>
      </c>
      <c r="V32" s="2034" t="s">
        <v>1277</v>
      </c>
      <c r="W32" s="2035" t="n">
        <f aca="false">J32</f>
        <v>100</v>
      </c>
      <c r="X32" s="1958"/>
      <c r="Y32" s="2036"/>
      <c r="Z32" s="2037" t="str">
        <f aca="false">Q32</f>
        <v>毗邻道路的类型与等级</v>
      </c>
      <c r="AA32" s="2038" t="n">
        <f aca="false">D32/F32</f>
        <v>1</v>
      </c>
      <c r="AB32" s="2038" t="n">
        <f aca="false">D32/H32</f>
        <v>1</v>
      </c>
      <c r="AC32" s="2038" t="n">
        <f aca="false">D32/J32</f>
        <v>1</v>
      </c>
    </row>
    <row r="33" customFormat="false" ht="15" hidden="false" customHeight="false" outlineLevel="0" collapsed="false">
      <c r="A33" s="2005"/>
      <c r="B33" s="2052"/>
      <c r="C33" s="2040"/>
      <c r="D33" s="2041"/>
      <c r="E33" s="2060"/>
      <c r="F33" s="2041"/>
      <c r="G33" s="2060"/>
      <c r="H33" s="2041"/>
      <c r="I33" s="2040"/>
      <c r="J33" s="2041"/>
      <c r="K33" s="2364"/>
      <c r="L33" s="2018"/>
      <c r="M33" s="1954"/>
      <c r="N33" s="1954"/>
      <c r="O33" s="2546"/>
      <c r="P33" s="2036"/>
      <c r="Q33" s="2033"/>
      <c r="R33" s="2034"/>
      <c r="S33" s="2035"/>
      <c r="T33" s="2034"/>
      <c r="U33" s="2035"/>
      <c r="V33" s="2034"/>
      <c r="W33" s="2035"/>
      <c r="X33" s="1958"/>
      <c r="Y33" s="2036"/>
      <c r="Z33" s="2037"/>
      <c r="AA33" s="2038" t="n">
        <v>1</v>
      </c>
      <c r="AB33" s="2038" t="n">
        <v>1</v>
      </c>
      <c r="AC33" s="2038" t="n">
        <v>1</v>
      </c>
    </row>
    <row r="34" customFormat="false" ht="15" hidden="false" customHeight="false" outlineLevel="0" collapsed="false">
      <c r="A34" s="2005"/>
      <c r="B34" s="1996" t="s">
        <v>204</v>
      </c>
      <c r="C34" s="2373"/>
      <c r="D34" s="2016" t="n">
        <v>100</v>
      </c>
      <c r="E34" s="2434"/>
      <c r="F34" s="2017" t="n">
        <f aca="false">SUMIF(107:107,E34,108:108)-SUMIF(107:107,C34,108:108)+100</f>
        <v>100</v>
      </c>
      <c r="G34" s="2434"/>
      <c r="H34" s="2017" t="n">
        <f aca="false">SUMIF(107:107,G34,108:108)-SUMIF(107:107,C34,108:108)+100</f>
        <v>100</v>
      </c>
      <c r="I34" s="2373"/>
      <c r="J34" s="2017" t="n">
        <f aca="false">SUMIF(107:107,I34,108:108)-SUMIF(107:107,C34,108:108)+100</f>
        <v>100</v>
      </c>
      <c r="K34" s="2363"/>
      <c r="L34" s="2018"/>
      <c r="M34" s="1954"/>
      <c r="N34" s="1954"/>
      <c r="O34" s="2546"/>
      <c r="P34" s="2036"/>
      <c r="Q34" s="2033" t="str">
        <f aca="false">B34</f>
        <v>土地级别</v>
      </c>
      <c r="R34" s="2034" t="s">
        <v>1277</v>
      </c>
      <c r="S34" s="2035" t="n">
        <f aca="false">F34</f>
        <v>100</v>
      </c>
      <c r="T34" s="2034" t="s">
        <v>1277</v>
      </c>
      <c r="U34" s="2035" t="n">
        <f aca="false">H34</f>
        <v>100</v>
      </c>
      <c r="V34" s="2034" t="s">
        <v>1277</v>
      </c>
      <c r="W34" s="2035" t="n">
        <f aca="false">J34</f>
        <v>100</v>
      </c>
      <c r="X34" s="1958"/>
      <c r="Y34" s="2036"/>
      <c r="Z34" s="2037" t="str">
        <f aca="false">Q34</f>
        <v>土地级别</v>
      </c>
      <c r="AA34" s="2038" t="n">
        <f aca="false">D34/F34</f>
        <v>1</v>
      </c>
      <c r="AB34" s="2038" t="n">
        <f aca="false">D34/H34</f>
        <v>1</v>
      </c>
      <c r="AC34" s="2038" t="n">
        <f aca="false">D34/J34</f>
        <v>1</v>
      </c>
    </row>
    <row r="35" customFormat="false" ht="15" hidden="false" customHeight="false" outlineLevel="0" collapsed="false">
      <c r="A35" s="1959"/>
      <c r="B35" s="2070" t="n">
        <v>111</v>
      </c>
      <c r="C35" s="2582"/>
      <c r="D35" s="2016" t="n">
        <v>100</v>
      </c>
      <c r="E35" s="2096"/>
      <c r="F35" s="2017" t="n">
        <f aca="false">SUMIF(109:109,E35,110:110)-SUMIF(109:109,C35,110:110)+100</f>
        <v>100</v>
      </c>
      <c r="G35" s="2096"/>
      <c r="H35" s="2017" t="n">
        <f aca="false">SUMIF(109:109,G35,110:110)-SUMIF(109:109,C35,110:110)+100</f>
        <v>100</v>
      </c>
      <c r="I35" s="2582"/>
      <c r="J35" s="2017" t="n">
        <f aca="false">SUMIF(109:109,I35,110:110)-SUMIF(109:109,C35,110:110)+100</f>
        <v>100</v>
      </c>
      <c r="K35" s="2364"/>
      <c r="L35" s="2018"/>
      <c r="M35" s="1954"/>
      <c r="N35" s="1954"/>
      <c r="O35" s="2546"/>
      <c r="P35" s="2036"/>
      <c r="Q35" s="2033" t="n">
        <f aca="false">B35</f>
        <v>111</v>
      </c>
      <c r="R35" s="2034" t="s">
        <v>1277</v>
      </c>
      <c r="S35" s="2035" t="n">
        <f aca="false">F35</f>
        <v>100</v>
      </c>
      <c r="T35" s="2034" t="s">
        <v>1277</v>
      </c>
      <c r="U35" s="2035" t="n">
        <f aca="false">H35</f>
        <v>100</v>
      </c>
      <c r="V35" s="2034" t="s">
        <v>1277</v>
      </c>
      <c r="W35" s="2035" t="n">
        <f aca="false">J35</f>
        <v>100</v>
      </c>
      <c r="X35" s="1958"/>
      <c r="Y35" s="2036"/>
      <c r="Z35" s="2037" t="n">
        <f aca="false">Q35</f>
        <v>111</v>
      </c>
      <c r="AA35" s="2038" t="n">
        <f aca="false">D35/F35</f>
        <v>1</v>
      </c>
      <c r="AB35" s="2038" t="n">
        <f aca="false">D35/H35</f>
        <v>1</v>
      </c>
      <c r="AC35" s="2038" t="n">
        <f aca="false">D35/J35</f>
        <v>1</v>
      </c>
    </row>
    <row r="36" customFormat="false" ht="15" hidden="false" customHeight="true" outlineLevel="0" collapsed="false">
      <c r="A36" s="2588"/>
      <c r="B36" s="2589" t="n">
        <v>111</v>
      </c>
      <c r="C36" s="2582"/>
      <c r="D36" s="2016" t="n">
        <v>100</v>
      </c>
      <c r="E36" s="2096"/>
      <c r="F36" s="2017" t="n">
        <f aca="false">SUMIF(111:111,E37,112:112)-SUMIF(111:111,C37,112:112)+100</f>
        <v>100</v>
      </c>
      <c r="G36" s="2096"/>
      <c r="H36" s="2017" t="n">
        <f aca="false">SUMIF(111:111,G36,112:112)-SUMIF(111:111,C36,112:112)+100</f>
        <v>100</v>
      </c>
      <c r="I36" s="2582"/>
      <c r="J36" s="2017" t="n">
        <f aca="false">SUMIF(111:111,I36,112:112)-SUMIF(111:111,C36,112:112)+100</f>
        <v>100</v>
      </c>
      <c r="K36" s="2364"/>
      <c r="L36" s="2018"/>
      <c r="M36" s="1954"/>
      <c r="N36" s="1954"/>
      <c r="O36" s="2546"/>
      <c r="P36" s="2523" t="s">
        <v>1292</v>
      </c>
      <c r="Q36" s="2033" t="n">
        <f aca="false">B36</f>
        <v>111</v>
      </c>
      <c r="R36" s="2034" t="s">
        <v>1277</v>
      </c>
      <c r="S36" s="2035" t="n">
        <f aca="false">F36</f>
        <v>100</v>
      </c>
      <c r="T36" s="2034" t="s">
        <v>1277</v>
      </c>
      <c r="U36" s="2035" t="n">
        <f aca="false">H36</f>
        <v>100</v>
      </c>
      <c r="V36" s="2034" t="s">
        <v>1277</v>
      </c>
      <c r="W36" s="2035" t="n">
        <f aca="false">J36</f>
        <v>100</v>
      </c>
      <c r="X36" s="1958"/>
      <c r="Y36" s="2524" t="s">
        <v>1292</v>
      </c>
      <c r="Z36" s="2037" t="n">
        <f aca="false">Q36</f>
        <v>111</v>
      </c>
      <c r="AA36" s="2038" t="n">
        <f aca="false">D36/F36</f>
        <v>1</v>
      </c>
      <c r="AB36" s="2038" t="n">
        <f aca="false">D36/H36</f>
        <v>1</v>
      </c>
      <c r="AC36" s="2038" t="n">
        <f aca="false">D36/J36</f>
        <v>1</v>
      </c>
    </row>
    <row r="37" s="2088" customFormat="true" ht="15" hidden="false" customHeight="false" outlineLevel="0" collapsed="false">
      <c r="A37" s="2590"/>
      <c r="B37" s="2591" t="n">
        <v>111</v>
      </c>
      <c r="C37" s="2592"/>
      <c r="D37" s="2593" t="n">
        <v>100</v>
      </c>
      <c r="E37" s="2594"/>
      <c r="F37" s="2024" t="n">
        <f aca="false">SUMIF(113:113,E37,114:114)-SUMIF(113:113,C37,114:114)+100</f>
        <v>100</v>
      </c>
      <c r="G37" s="2594"/>
      <c r="H37" s="2024" t="n">
        <f aca="false">SUMIF(113:113,G37,114:114)-SUMIF(113:113,C37,114:114)+100</f>
        <v>100</v>
      </c>
      <c r="I37" s="2592"/>
      <c r="J37" s="2024" t="n">
        <f aca="false">SUMIF(113:113,I37,114:114)-SUMIF(113:113,C37,114:114)+100</f>
        <v>100</v>
      </c>
      <c r="K37" s="2364"/>
      <c r="L37" s="2009"/>
      <c r="M37" s="2082"/>
      <c r="N37" s="2082"/>
      <c r="O37" s="2553"/>
      <c r="P37" s="2523"/>
      <c r="Q37" s="2033" t="n">
        <f aca="false">B37</f>
        <v>111</v>
      </c>
      <c r="R37" s="2084" t="s">
        <v>1277</v>
      </c>
      <c r="S37" s="2085" t="n">
        <f aca="false">F37</f>
        <v>100</v>
      </c>
      <c r="T37" s="2084" t="s">
        <v>1277</v>
      </c>
      <c r="U37" s="2085" t="n">
        <f aca="false">H37</f>
        <v>100</v>
      </c>
      <c r="V37" s="2084" t="s">
        <v>1277</v>
      </c>
      <c r="W37" s="2085" t="n">
        <f aca="false">J37</f>
        <v>100</v>
      </c>
      <c r="X37" s="2086"/>
      <c r="Y37" s="2524"/>
      <c r="Z37" s="2087" t="n">
        <f aca="false">Q37</f>
        <v>111</v>
      </c>
      <c r="AA37" s="2038" t="n">
        <f aca="false">D37/F37</f>
        <v>1</v>
      </c>
      <c r="AB37" s="2038" t="n">
        <f aca="false">D37/H37</f>
        <v>1</v>
      </c>
      <c r="AC37" s="2038" t="n">
        <f aca="false">D37/J37</f>
        <v>1</v>
      </c>
    </row>
    <row r="38" customFormat="false" ht="15" hidden="false" customHeight="false" outlineLevel="0" collapsed="false">
      <c r="A38" s="2595" t="s">
        <v>1292</v>
      </c>
      <c r="B38" s="2587" t="s">
        <v>1575</v>
      </c>
      <c r="C38" s="2596"/>
      <c r="D38" s="2074" t="n">
        <v>100</v>
      </c>
      <c r="E38" s="2596"/>
      <c r="F38" s="2077" t="e">
        <f aca="false">LOOKUP(E38,116:116,117:117)-LOOKUP(C38,116:116,117:117)+100</f>
        <v>#N/A</v>
      </c>
      <c r="G38" s="2596"/>
      <c r="H38" s="2077" t="e">
        <f aca="false">LOOKUP(G38,116:116,117:117)-LOOKUP(C38,116:116,117:117)+100</f>
        <v>#N/A</v>
      </c>
      <c r="I38" s="2178"/>
      <c r="J38" s="2077" t="e">
        <f aca="false">LOOKUP(I38,116:116,117:117)-LOOKUP(C38,116:116,117:117)+100</f>
        <v>#N/A</v>
      </c>
      <c r="K38" s="2364"/>
      <c r="L38" s="2018"/>
      <c r="M38" s="1954"/>
      <c r="N38" s="1954"/>
      <c r="O38" s="2546"/>
      <c r="P38" s="2523"/>
      <c r="Q38" s="2033" t="str">
        <f aca="false">B38</f>
        <v>宗地面积</v>
      </c>
      <c r="R38" s="2034" t="s">
        <v>1277</v>
      </c>
      <c r="S38" s="2035" t="e">
        <f aca="false">F38</f>
        <v>#N/A</v>
      </c>
      <c r="T38" s="2034" t="s">
        <v>1277</v>
      </c>
      <c r="U38" s="2035" t="e">
        <f aca="false">H38</f>
        <v>#N/A</v>
      </c>
      <c r="V38" s="2034" t="s">
        <v>1277</v>
      </c>
      <c r="W38" s="2035" t="e">
        <f aca="false">J38</f>
        <v>#N/A</v>
      </c>
      <c r="X38" s="1958"/>
      <c r="Y38" s="2524"/>
      <c r="Z38" s="2037" t="str">
        <f aca="false">Q38</f>
        <v>宗地面积</v>
      </c>
      <c r="AA38" s="2038" t="e">
        <f aca="false">D38/F38</f>
        <v>#N/A</v>
      </c>
      <c r="AB38" s="2038" t="e">
        <f aca="false">D38/H38</f>
        <v>#N/A</v>
      </c>
      <c r="AC38" s="2038" t="e">
        <f aca="false">D38/J38</f>
        <v>#N/A</v>
      </c>
    </row>
    <row r="39" customFormat="false" ht="15" hidden="false" customHeight="false" outlineLevel="0" collapsed="false">
      <c r="A39" s="2089"/>
      <c r="B39" s="1996" t="s">
        <v>1576</v>
      </c>
      <c r="C39" s="2063"/>
      <c r="D39" s="2016" t="n">
        <v>100</v>
      </c>
      <c r="E39" s="2063"/>
      <c r="F39" s="2017" t="n">
        <f aca="false">SUMIF(118:118,E39,119:119)-SUMIF(118:118,C39,119:119)+100</f>
        <v>100</v>
      </c>
      <c r="G39" s="2063"/>
      <c r="H39" s="2017" t="n">
        <f aca="false">SUMIF(118:118,G39,119:119)-SUMIF(118:118,C39,119:119)+100</f>
        <v>100</v>
      </c>
      <c r="I39" s="2063"/>
      <c r="J39" s="2017" t="n">
        <f aca="false">SUMIF(118:118,I39,119:119)-SUMIF(118:118,C39,119:119)+100</f>
        <v>100</v>
      </c>
      <c r="K39" s="2363"/>
      <c r="L39" s="2018"/>
      <c r="M39" s="1954"/>
      <c r="N39" s="1954"/>
      <c r="O39" s="2546"/>
      <c r="P39" s="2523"/>
      <c r="Q39" s="2033" t="str">
        <f aca="false">B39</f>
        <v>宗地形状</v>
      </c>
      <c r="R39" s="2034" t="s">
        <v>1277</v>
      </c>
      <c r="S39" s="2035" t="n">
        <f aca="false">F39</f>
        <v>100</v>
      </c>
      <c r="T39" s="2034" t="s">
        <v>1277</v>
      </c>
      <c r="U39" s="2035" t="n">
        <f aca="false">H39</f>
        <v>100</v>
      </c>
      <c r="V39" s="2034" t="s">
        <v>1277</v>
      </c>
      <c r="W39" s="2035" t="n">
        <f aca="false">J39</f>
        <v>100</v>
      </c>
      <c r="X39" s="1958"/>
      <c r="Y39" s="2524"/>
      <c r="Z39" s="2037" t="str">
        <f aca="false">Q39</f>
        <v>宗地形状</v>
      </c>
      <c r="AA39" s="2038" t="n">
        <f aca="false">D39/F39</f>
        <v>1</v>
      </c>
      <c r="AB39" s="2038" t="n">
        <f aca="false">D39/H39</f>
        <v>1</v>
      </c>
      <c r="AC39" s="2038" t="n">
        <f aca="false">D39/J39</f>
        <v>1</v>
      </c>
    </row>
    <row r="40" customFormat="false" ht="15" hidden="false" customHeight="false" outlineLevel="0" collapsed="false">
      <c r="A40" s="2089"/>
      <c r="B40" s="1996" t="s">
        <v>1577</v>
      </c>
      <c r="C40" s="2063"/>
      <c r="D40" s="2016" t="n">
        <v>100</v>
      </c>
      <c r="E40" s="2063"/>
      <c r="F40" s="2017" t="n">
        <f aca="false">SUMIF(120:120,E40,121:121)-SUMIF(120:120,C40,121:121)+100</f>
        <v>100</v>
      </c>
      <c r="G40" s="2063"/>
      <c r="H40" s="2017" t="n">
        <f aca="false">SUMIF(120:120,G40,121:121)-SUMIF(120:120,C40,121:121)+100</f>
        <v>100</v>
      </c>
      <c r="I40" s="2063"/>
      <c r="J40" s="2017" t="n">
        <f aca="false">SUMIF(120:120,I40,121:121)-SUMIF(120:120,C40,121:121)+100</f>
        <v>100</v>
      </c>
      <c r="K40" s="2363"/>
      <c r="L40" s="2018"/>
      <c r="M40" s="1954"/>
      <c r="N40" s="1954"/>
      <c r="O40" s="2546"/>
      <c r="P40" s="2523"/>
      <c r="Q40" s="2033" t="str">
        <f aca="false">B40</f>
        <v>临街宽度及深度</v>
      </c>
      <c r="R40" s="2034" t="s">
        <v>1277</v>
      </c>
      <c r="S40" s="2035" t="n">
        <f aca="false">F40</f>
        <v>100</v>
      </c>
      <c r="T40" s="2034" t="s">
        <v>1277</v>
      </c>
      <c r="U40" s="2035" t="n">
        <f aca="false">H40</f>
        <v>100</v>
      </c>
      <c r="V40" s="2034" t="s">
        <v>1277</v>
      </c>
      <c r="W40" s="2035" t="n">
        <f aca="false">J40</f>
        <v>100</v>
      </c>
      <c r="X40" s="1958"/>
      <c r="Y40" s="2524"/>
      <c r="Z40" s="2037" t="str">
        <f aca="false">Q40</f>
        <v>临街宽度及深度</v>
      </c>
      <c r="AA40" s="2038" t="n">
        <f aca="false">D40/F40</f>
        <v>1</v>
      </c>
      <c r="AB40" s="2038" t="n">
        <f aca="false">D40/H40</f>
        <v>1</v>
      </c>
      <c r="AC40" s="2038" t="n">
        <f aca="false">D40/J40</f>
        <v>1</v>
      </c>
    </row>
    <row r="41" s="1983" customFormat="true" ht="15" hidden="false" customHeight="false" outlineLevel="0" collapsed="false">
      <c r="A41" s="2092"/>
      <c r="B41" s="1996" t="s">
        <v>1578</v>
      </c>
      <c r="C41" s="2597"/>
      <c r="D41" s="1998" t="n">
        <v>100</v>
      </c>
      <c r="E41" s="2597"/>
      <c r="F41" s="2017" t="n">
        <f aca="false">SUMIF(122:122,E41,123:123)-SUMIF(122:122,C41,123:123)+100</f>
        <v>100</v>
      </c>
      <c r="G41" s="2597"/>
      <c r="H41" s="2017" t="n">
        <f aca="false">SUMIF(122:122,G41,123:123)-SUMIF(122:122,C41,123:123)+100</f>
        <v>100</v>
      </c>
      <c r="I41" s="2597"/>
      <c r="J41" s="2017" t="n">
        <f aca="false">SUMIF(122:122,I41,123:123)-SUMIF(122:122,C41,123:123)+100</f>
        <v>100</v>
      </c>
      <c r="K41" s="2363"/>
      <c r="L41" s="1977"/>
      <c r="M41" s="1978"/>
      <c r="N41" s="1978"/>
      <c r="O41" s="2544"/>
      <c r="P41" s="2523"/>
      <c r="Q41" s="2033" t="str">
        <f aca="false">B41</f>
        <v>宗地开发程度</v>
      </c>
      <c r="R41" s="1980" t="s">
        <v>1277</v>
      </c>
      <c r="S41" s="1981" t="n">
        <f aca="false">F41</f>
        <v>100</v>
      </c>
      <c r="T41" s="1980" t="s">
        <v>1277</v>
      </c>
      <c r="U41" s="1981" t="n">
        <f aca="false">H41</f>
        <v>100</v>
      </c>
      <c r="V41" s="1980" t="s">
        <v>1277</v>
      </c>
      <c r="W41" s="1981" t="n">
        <f aca="false">J41</f>
        <v>100</v>
      </c>
      <c r="X41" s="1982"/>
      <c r="Y41" s="2524"/>
      <c r="Z41" s="540" t="str">
        <f aca="false">Q41</f>
        <v>宗地开发程度</v>
      </c>
      <c r="AA41" s="741" t="n">
        <f aca="false">D41/F41</f>
        <v>1</v>
      </c>
      <c r="AB41" s="741" t="n">
        <f aca="false">D41/H41</f>
        <v>1</v>
      </c>
      <c r="AC41" s="741" t="n">
        <f aca="false">D41/J41</f>
        <v>1</v>
      </c>
    </row>
    <row r="42" customFormat="false" ht="15" hidden="false" customHeight="false" outlineLevel="0" collapsed="false">
      <c r="A42" s="2089"/>
      <c r="B42" s="1996" t="s">
        <v>1579</v>
      </c>
      <c r="C42" s="2063"/>
      <c r="D42" s="2016" t="n">
        <v>100</v>
      </c>
      <c r="E42" s="2063"/>
      <c r="F42" s="2017" t="n">
        <f aca="false">SUMIF(124:124,E42,125:125)-SUMIF(124:124,C42,125:125)+100</f>
        <v>100</v>
      </c>
      <c r="G42" s="2063"/>
      <c r="H42" s="2017" t="n">
        <f aca="false">SUMIF(124:124,G42,125:125)-SUMIF(124:124,C42,125:125)+100</f>
        <v>100</v>
      </c>
      <c r="I42" s="2063"/>
      <c r="J42" s="2017" t="n">
        <f aca="false">SUMIF(124:124,I42,125:125)-SUMIF(124:124,C42,125:125)+100</f>
        <v>100</v>
      </c>
      <c r="K42" s="2363"/>
      <c r="L42" s="2018"/>
      <c r="M42" s="1954"/>
      <c r="N42" s="1954"/>
      <c r="O42" s="2546"/>
      <c r="P42" s="2523" t="s">
        <v>1292</v>
      </c>
      <c r="Q42" s="2033" t="str">
        <f aca="false">B42</f>
        <v>工程地质条件</v>
      </c>
      <c r="R42" s="2034" t="s">
        <v>1277</v>
      </c>
      <c r="S42" s="2035" t="n">
        <f aca="false">F42</f>
        <v>100</v>
      </c>
      <c r="T42" s="2034" t="s">
        <v>1277</v>
      </c>
      <c r="U42" s="2035" t="n">
        <f aca="false">H42</f>
        <v>100</v>
      </c>
      <c r="V42" s="2034" t="s">
        <v>1277</v>
      </c>
      <c r="W42" s="2035" t="n">
        <f aca="false">J42</f>
        <v>100</v>
      </c>
      <c r="X42" s="1958"/>
      <c r="Y42" s="2524" t="s">
        <v>1292</v>
      </c>
      <c r="Z42" s="2037" t="str">
        <f aca="false">Q42</f>
        <v>工程地质条件</v>
      </c>
      <c r="AA42" s="2038" t="n">
        <f aca="false">D42/F42</f>
        <v>1</v>
      </c>
      <c r="AB42" s="2038" t="n">
        <f aca="false">D42/H42</f>
        <v>1</v>
      </c>
      <c r="AC42" s="2038" t="n">
        <f aca="false">D42/J42</f>
        <v>1</v>
      </c>
    </row>
    <row r="43" customFormat="false" ht="15" hidden="false" customHeight="false" outlineLevel="0" collapsed="false">
      <c r="A43" s="2089"/>
      <c r="B43" s="2589" t="n">
        <v>111</v>
      </c>
      <c r="C43" s="2582"/>
      <c r="D43" s="2016" t="n">
        <v>100</v>
      </c>
      <c r="E43" s="2582"/>
      <c r="F43" s="2017" t="n">
        <f aca="false">SUMIF(126:126,E43,127:127)-SUMIF(126:126,C43,127:127)+100</f>
        <v>100</v>
      </c>
      <c r="G43" s="2582"/>
      <c r="H43" s="2017" t="n">
        <f aca="false">SUMIF(126:126,G43,127:127)-SUMIF(126:126,C43,127:127)+100</f>
        <v>100</v>
      </c>
      <c r="I43" s="2195"/>
      <c r="J43" s="2017" t="n">
        <f aca="false">SUMIF(126:126,I43,127:127)-SUMIF(126:126,C43,127:127)+100</f>
        <v>100</v>
      </c>
      <c r="K43" s="2364"/>
      <c r="L43" s="2018"/>
      <c r="M43" s="1954"/>
      <c r="N43" s="1954"/>
      <c r="O43" s="2546"/>
      <c r="P43" s="2523"/>
      <c r="Q43" s="2033" t="n">
        <f aca="false">B43</f>
        <v>111</v>
      </c>
      <c r="R43" s="2034" t="s">
        <v>1277</v>
      </c>
      <c r="S43" s="2035" t="n">
        <f aca="false">F43</f>
        <v>100</v>
      </c>
      <c r="T43" s="2034" t="s">
        <v>1277</v>
      </c>
      <c r="U43" s="2035" t="n">
        <f aca="false">H43</f>
        <v>100</v>
      </c>
      <c r="V43" s="2034" t="s">
        <v>1277</v>
      </c>
      <c r="W43" s="2035" t="n">
        <f aca="false">J43</f>
        <v>100</v>
      </c>
      <c r="X43" s="1958"/>
      <c r="Y43" s="2524"/>
      <c r="Z43" s="2037" t="n">
        <f aca="false">Q43</f>
        <v>111</v>
      </c>
      <c r="AA43" s="2038" t="n">
        <f aca="false">D43/F43</f>
        <v>1</v>
      </c>
      <c r="AB43" s="2038" t="n">
        <f aca="false">D43/H43</f>
        <v>1</v>
      </c>
      <c r="AC43" s="2038" t="n">
        <f aca="false">D43/J43</f>
        <v>1</v>
      </c>
    </row>
    <row r="44" customFormat="false" ht="15" hidden="false" customHeight="false" outlineLevel="0" collapsed="false">
      <c r="A44" s="2089"/>
      <c r="B44" s="2589" t="n">
        <v>111</v>
      </c>
      <c r="C44" s="2582"/>
      <c r="D44" s="2016" t="n">
        <v>100</v>
      </c>
      <c r="E44" s="2582"/>
      <c r="F44" s="2017" t="n">
        <f aca="false">SUMIF(128:128,E44,129:129)-SUMIF(128:128,C44,129:129)+100</f>
        <v>100</v>
      </c>
      <c r="G44" s="2582"/>
      <c r="H44" s="2017" t="n">
        <f aca="false">SUMIF(128:128,G44,129:129)-SUMIF(128:128,C44,129:129)+100</f>
        <v>100</v>
      </c>
      <c r="I44" s="2195"/>
      <c r="J44" s="2017" t="n">
        <f aca="false">SUMIF(128:128,I44,129:129)-SUMIF(128:128,C44,129:129)+100</f>
        <v>100</v>
      </c>
      <c r="K44" s="2364"/>
      <c r="L44" s="2018"/>
      <c r="M44" s="1954"/>
      <c r="N44" s="1954"/>
      <c r="O44" s="2546"/>
      <c r="P44" s="2523"/>
      <c r="Q44" s="2033" t="n">
        <f aca="false">B44</f>
        <v>111</v>
      </c>
      <c r="R44" s="2034" t="s">
        <v>1277</v>
      </c>
      <c r="S44" s="2035" t="n">
        <f aca="false">F44</f>
        <v>100</v>
      </c>
      <c r="T44" s="2034" t="s">
        <v>1277</v>
      </c>
      <c r="U44" s="2035" t="n">
        <f aca="false">H44</f>
        <v>100</v>
      </c>
      <c r="V44" s="2034" t="s">
        <v>1277</v>
      </c>
      <c r="W44" s="2035" t="n">
        <f aca="false">J44</f>
        <v>100</v>
      </c>
      <c r="X44" s="1958"/>
      <c r="Y44" s="2524"/>
      <c r="Z44" s="2037" t="n">
        <f aca="false">Q44</f>
        <v>111</v>
      </c>
      <c r="AA44" s="2038" t="n">
        <f aca="false">D44/F44</f>
        <v>1</v>
      </c>
      <c r="AB44" s="2038" t="n">
        <f aca="false">D44/H44</f>
        <v>1</v>
      </c>
      <c r="AC44" s="2038" t="n">
        <f aca="false">D44/J44</f>
        <v>1</v>
      </c>
    </row>
    <row r="45" s="2088" customFormat="true" ht="15" hidden="false" customHeight="false" outlineLevel="0" collapsed="false">
      <c r="A45" s="2080"/>
      <c r="B45" s="2589" t="n">
        <v>111</v>
      </c>
      <c r="C45" s="2598"/>
      <c r="D45" s="2599" t="n">
        <v>100</v>
      </c>
      <c r="E45" s="2582"/>
      <c r="F45" s="2024" t="n">
        <f aca="false">SUMIF(130:130,E45,131:131)-SUMIF(130:130,C45,131:131)+100</f>
        <v>100</v>
      </c>
      <c r="G45" s="2582"/>
      <c r="H45" s="2024" t="n">
        <f aca="false">SUMIF(130:130,G45,131:131)-SUMIF(130:130,C45,131:131)+100</f>
        <v>100</v>
      </c>
      <c r="I45" s="2582"/>
      <c r="J45" s="2024" t="n">
        <f aca="false">SUMIF(130:130,I45,131:131)-SUMIF(130:130,C45,131:131)+100</f>
        <v>100</v>
      </c>
      <c r="K45" s="2600"/>
      <c r="L45" s="2009"/>
      <c r="M45" s="2082"/>
      <c r="N45" s="2082"/>
      <c r="O45" s="2553"/>
      <c r="P45" s="2523"/>
      <c r="Q45" s="2033" t="n">
        <f aca="false">B45</f>
        <v>111</v>
      </c>
      <c r="R45" s="2084" t="s">
        <v>1277</v>
      </c>
      <c r="S45" s="2085" t="n">
        <f aca="false">F45</f>
        <v>100</v>
      </c>
      <c r="T45" s="2084" t="s">
        <v>1277</v>
      </c>
      <c r="U45" s="2085" t="n">
        <f aca="false">H45</f>
        <v>100</v>
      </c>
      <c r="V45" s="2084" t="s">
        <v>1277</v>
      </c>
      <c r="W45" s="2085" t="n">
        <f aca="false">J45</f>
        <v>100</v>
      </c>
      <c r="X45" s="2086"/>
      <c r="Y45" s="2524"/>
      <c r="Z45" s="2087" t="n">
        <f aca="false">Q45</f>
        <v>111</v>
      </c>
      <c r="AA45" s="2038" t="n">
        <f aca="false">D45/F45</f>
        <v>1</v>
      </c>
      <c r="AB45" s="2038" t="n">
        <f aca="false">D45/H45</f>
        <v>1</v>
      </c>
      <c r="AC45" s="2038" t="n">
        <f aca="false">D45/J45</f>
        <v>1</v>
      </c>
    </row>
    <row r="46" customFormat="false" ht="15" hidden="false" customHeight="false" outlineLevel="0" collapsed="false">
      <c r="A46" s="2100" t="s">
        <v>1360</v>
      </c>
      <c r="B46" s="2601" t="s">
        <v>244</v>
      </c>
      <c r="C46" s="2602" t="s">
        <v>122</v>
      </c>
      <c r="D46" s="2603"/>
      <c r="E46" s="2604"/>
      <c r="F46" s="2605"/>
      <c r="G46" s="2606"/>
      <c r="H46" s="2440"/>
      <c r="I46" s="2604"/>
      <c r="J46" s="2440"/>
      <c r="K46" s="2379"/>
      <c r="L46" s="2109"/>
      <c r="M46" s="2110"/>
      <c r="N46" s="1954"/>
      <c r="O46" s="2110"/>
      <c r="P46" s="2033" t="str">
        <f aca="false">A46</f>
        <v>成交单价</v>
      </c>
      <c r="Q46" s="2033"/>
      <c r="R46" s="2037" t="n">
        <f aca="false">E46</f>
        <v>0</v>
      </c>
      <c r="S46" s="2037"/>
      <c r="T46" s="2037" t="n">
        <f aca="false">G46</f>
        <v>0</v>
      </c>
      <c r="U46" s="2037"/>
      <c r="V46" s="2037" t="n">
        <f aca="false">I46</f>
        <v>0</v>
      </c>
      <c r="W46" s="2037"/>
      <c r="X46" s="2111"/>
      <c r="Y46" s="2112"/>
      <c r="Z46" s="2111"/>
      <c r="AA46" s="2111"/>
      <c r="AB46" s="2111"/>
      <c r="AC46" s="2111"/>
    </row>
    <row r="47" customFormat="false" ht="15" hidden="false" customHeight="false" outlineLevel="0" collapsed="false">
      <c r="A47" s="2113" t="s">
        <v>1309</v>
      </c>
      <c r="B47" s="2607"/>
      <c r="C47" s="2608" t="e">
        <f aca="false">R48</f>
        <v>#DIV/0!</v>
      </c>
      <c r="D47" s="2116" t="s">
        <v>1310</v>
      </c>
      <c r="E47" s="2608" t="e">
        <f aca="false">R47</f>
        <v>#DIV/0!</v>
      </c>
      <c r="F47" s="2118"/>
      <c r="G47" s="2609" t="e">
        <f aca="false">T47</f>
        <v>#DIV/0!</v>
      </c>
      <c r="H47" s="2118"/>
      <c r="I47" s="2608" t="e">
        <f aca="false">V47</f>
        <v>#DIV/0!</v>
      </c>
      <c r="J47" s="2118"/>
      <c r="K47" s="2380" t="n">
        <f aca="false">F47+H47+J47</f>
        <v>0</v>
      </c>
      <c r="L47" s="2109"/>
      <c r="M47" s="2110"/>
      <c r="N47" s="2110"/>
      <c r="O47" s="2110"/>
      <c r="P47" s="2033" t="str">
        <f aca="false">A47</f>
        <v>比较价值（元/平方米）</v>
      </c>
      <c r="Q47" s="2033"/>
      <c r="R47" s="2610" t="e">
        <f aca="false">ROUND(PRODUCT(R46,AA7:AA45),0)</f>
        <v>#DIV/0!</v>
      </c>
      <c r="S47" s="2610"/>
      <c r="T47" s="2610" t="e">
        <f aca="false">ROUND(PRODUCT(T46,AB7:AB45),0)</f>
        <v>#DIV/0!</v>
      </c>
      <c r="U47" s="2610"/>
      <c r="V47" s="2610" t="e">
        <f aca="false">ROUND(PRODUCT(V46,AC7:AC45),0)</f>
        <v>#DIV/0!</v>
      </c>
      <c r="W47" s="2610"/>
      <c r="X47" s="2111"/>
      <c r="Y47" s="2111"/>
      <c r="Z47" s="2111"/>
      <c r="AA47" s="2111"/>
      <c r="AB47" s="2111"/>
      <c r="AC47" s="2111"/>
    </row>
    <row r="48" customFormat="false" ht="15" hidden="false" customHeight="false" outlineLevel="0" collapsed="false">
      <c r="A48" s="2120" t="s">
        <v>1580</v>
      </c>
      <c r="B48" s="2121"/>
      <c r="C48" s="2442" t="e">
        <f aca="false">R48</f>
        <v>#DIV/0!</v>
      </c>
      <c r="D48" s="2442"/>
      <c r="E48" s="2442"/>
      <c r="F48" s="2442"/>
      <c r="G48" s="2442"/>
      <c r="H48" s="2442"/>
      <c r="I48" s="2442"/>
      <c r="J48" s="2442"/>
      <c r="K48" s="2381"/>
      <c r="L48" s="2109"/>
      <c r="M48" s="2110"/>
      <c r="N48" s="2110"/>
      <c r="O48" s="2110"/>
      <c r="P48" s="2033" t="str">
        <f aca="false">A48</f>
        <v>估价对象XX用房的比较价值（楼面单价，元/平方米）</v>
      </c>
      <c r="Q48" s="2033"/>
      <c r="R48" s="2611" t="e">
        <f aca="false">ROUND(IF(D47="简单平均",AVERAGE(R47:W47),R47*F47+T47*H47+V47*J47),0)</f>
        <v>#DIV/0!</v>
      </c>
      <c r="S48" s="2611"/>
      <c r="T48" s="2611"/>
      <c r="U48" s="2611"/>
      <c r="V48" s="2611"/>
      <c r="W48" s="2611"/>
      <c r="X48" s="2111"/>
      <c r="Y48" s="2111"/>
      <c r="Z48" s="2111"/>
      <c r="AA48" s="2111"/>
      <c r="AB48" s="2111"/>
      <c r="AC48" s="2111"/>
    </row>
    <row r="49" customFormat="false" ht="14.25" hidden="false" customHeight="false" outlineLevel="0" collapsed="false">
      <c r="A49" s="2110"/>
      <c r="B49" s="2110"/>
      <c r="C49" s="2110"/>
      <c r="D49" s="2110"/>
      <c r="E49" s="2110"/>
      <c r="F49" s="2110"/>
      <c r="G49" s="2126"/>
      <c r="H49" s="2110"/>
      <c r="I49" s="2110"/>
      <c r="J49" s="2110"/>
      <c r="K49" s="2127"/>
      <c r="L49" s="2128"/>
      <c r="M49" s="2110"/>
      <c r="N49" s="2110"/>
      <c r="O49" s="2110"/>
      <c r="P49" s="2110"/>
      <c r="Q49" s="2110"/>
      <c r="R49" s="2110"/>
      <c r="S49" s="2110"/>
      <c r="T49" s="2110"/>
      <c r="U49" s="2110"/>
      <c r="V49" s="2110"/>
      <c r="W49" s="2110"/>
      <c r="X49" s="2110"/>
      <c r="Y49" s="2110"/>
      <c r="Z49" s="2110"/>
      <c r="AA49" s="2110"/>
      <c r="AB49" s="2110"/>
      <c r="AC49" s="2110"/>
    </row>
    <row r="50" customFormat="false" ht="14.25" hidden="false" customHeight="false" outlineLevel="0" collapsed="false">
      <c r="A50" s="2110"/>
      <c r="B50" s="2110"/>
      <c r="C50" s="2110"/>
      <c r="D50" s="2110"/>
      <c r="E50" s="2110"/>
      <c r="F50" s="2110"/>
      <c r="G50" s="2110"/>
      <c r="H50" s="2110"/>
      <c r="I50" s="2110"/>
      <c r="J50" s="2110"/>
      <c r="K50" s="2127"/>
      <c r="L50" s="2128"/>
      <c r="M50" s="2110"/>
      <c r="N50" s="2110"/>
      <c r="O50" s="2110"/>
      <c r="P50" s="2110"/>
      <c r="Q50" s="2110"/>
      <c r="R50" s="2110"/>
      <c r="S50" s="2110"/>
      <c r="T50" s="2110"/>
      <c r="U50" s="2110"/>
      <c r="V50" s="2110"/>
      <c r="W50" s="2110"/>
      <c r="X50" s="2110"/>
      <c r="Y50" s="2110"/>
      <c r="Z50" s="2110"/>
      <c r="AA50" s="2110"/>
      <c r="AB50" s="2110"/>
      <c r="AC50" s="2110"/>
    </row>
    <row r="51" customFormat="false" ht="13.5" hidden="false" customHeight="true" outlineLevel="0" collapsed="false">
      <c r="A51" s="2110"/>
      <c r="B51" s="2110"/>
      <c r="C51" s="2129" t="s">
        <v>1312</v>
      </c>
      <c r="D51" s="2130"/>
      <c r="E51" s="2131" t="e">
        <f aca="false">IF(E46&lt;E47,E47/E46-1,E46/E47-1)</f>
        <v>#DIV/0!</v>
      </c>
      <c r="F51" s="2132" t="e">
        <f aca="false">IF(OR(E51&gt;=0.3,E51&lt;=-0.3),"超过30%","")</f>
        <v>#DIV/0!</v>
      </c>
      <c r="G51" s="2131" t="e">
        <f aca="false">IF(G46&lt;G47,G47/G46-1,G46/G47-1)</f>
        <v>#DIV/0!</v>
      </c>
      <c r="H51" s="2132" t="e">
        <f aca="false">IF(OR(G51&gt;=0.3,G51&lt;=-0.3),"超过30%","")</f>
        <v>#DIV/0!</v>
      </c>
      <c r="I51" s="2131" t="e">
        <f aca="false">IF(I46&lt;I47,I47/I46-1,I46/I47-1)</f>
        <v>#DIV/0!</v>
      </c>
      <c r="J51" s="2132" t="e">
        <f aca="false">IF(OR(I51&gt;=0.3,I51&lt;=-0.3),"超过30%","")</f>
        <v>#DIV/0!</v>
      </c>
      <c r="K51" s="2127"/>
      <c r="L51" s="2128"/>
      <c r="M51" s="2110"/>
      <c r="N51" s="2110"/>
      <c r="O51" s="2110"/>
      <c r="P51" s="2110"/>
      <c r="Q51" s="2110"/>
      <c r="R51" s="2110"/>
      <c r="S51" s="2110"/>
      <c r="T51" s="2110"/>
      <c r="U51" s="2110"/>
      <c r="V51" s="2110"/>
      <c r="W51" s="2110"/>
      <c r="X51" s="2110"/>
      <c r="Y51" s="2110"/>
      <c r="Z51" s="2110"/>
      <c r="AA51" s="2110"/>
      <c r="AB51" s="2110"/>
      <c r="AC51" s="2110"/>
    </row>
    <row r="52" customFormat="false" ht="13.5" hidden="false" customHeight="true" outlineLevel="0" collapsed="false">
      <c r="A52" s="2110"/>
      <c r="B52" s="2110"/>
      <c r="C52" s="2129" t="s">
        <v>1313</v>
      </c>
      <c r="D52" s="2133"/>
      <c r="E52" s="2131" t="e">
        <f aca="false">IF(E47&lt;G47,G47/E47-1,E47/G47-1)</f>
        <v>#DIV/0!</v>
      </c>
      <c r="F52" s="2132" t="e">
        <f aca="false">IF(OR(E52&gt;=0.2,E52&lt;=-0.2),"超过20%","")</f>
        <v>#DIV/0!</v>
      </c>
      <c r="G52" s="2131" t="e">
        <f aca="false">IF(G47&lt;I47,I47/G47-1,G47/I47-1)</f>
        <v>#DIV/0!</v>
      </c>
      <c r="H52" s="2132" t="e">
        <f aca="false">IF(OR(G52&gt;=0.2,G52&lt;=-0.2),"超过20%","")</f>
        <v>#DIV/0!</v>
      </c>
      <c r="I52" s="2131" t="e">
        <f aca="false">IF(I47&lt;E47,E47/I47-1,I47/E47-1)</f>
        <v>#DIV/0!</v>
      </c>
      <c r="J52" s="2132" t="e">
        <f aca="false">IF(OR(I52&gt;=0.2,I52&lt;=-0.2),"超过20%","")</f>
        <v>#DIV/0!</v>
      </c>
      <c r="K52" s="2127"/>
      <c r="L52" s="2128"/>
      <c r="M52" s="2110"/>
      <c r="N52" s="2110"/>
      <c r="O52" s="2110"/>
      <c r="P52" s="2110"/>
      <c r="Q52" s="2110"/>
      <c r="R52" s="2110"/>
      <c r="S52" s="2110"/>
      <c r="T52" s="2110"/>
      <c r="U52" s="2110"/>
      <c r="V52" s="2110"/>
      <c r="W52" s="2110"/>
      <c r="X52" s="2110"/>
      <c r="Y52" s="2110"/>
      <c r="Z52" s="2110"/>
      <c r="AA52" s="2110"/>
      <c r="AB52" s="2110"/>
      <c r="AC52" s="2110"/>
    </row>
    <row r="53" s="2138" customFormat="true" ht="13.5" hidden="false" customHeight="true" outlineLevel="0" collapsed="false">
      <c r="A53" s="2134"/>
      <c r="B53" s="2134"/>
      <c r="C53" s="2129" t="s">
        <v>1314</v>
      </c>
      <c r="D53" s="2133"/>
      <c r="E53" s="2131" t="e">
        <f aca="false">IF(E46&lt;G46,G46/E46-1,E46/G46-1)</f>
        <v>#DIV/0!</v>
      </c>
      <c r="F53" s="2132" t="e">
        <f aca="false">IF(OR(E53&gt;=0.3,E53&lt;=-0.3),"超过30%","")</f>
        <v>#DIV/0!</v>
      </c>
      <c r="G53" s="2131" t="e">
        <f aca="false">IF(G46&lt;I46,I46/G46-1,G46/I46-1)</f>
        <v>#DIV/0!</v>
      </c>
      <c r="H53" s="2132" t="e">
        <f aca="false">IF(OR(G53&gt;=0.3,G53&lt;=-0.3),"超过30%","")</f>
        <v>#DIV/0!</v>
      </c>
      <c r="I53" s="2131" t="e">
        <f aca="false">IF(I46&lt;E46,E46/I46-1,I46/E46-1)</f>
        <v>#DIV/0!</v>
      </c>
      <c r="J53" s="2132" t="e">
        <f aca="false">IF(OR(I53&gt;=0.3,I53&lt;=-0.3),"超过30%","")</f>
        <v>#DIV/0!</v>
      </c>
      <c r="K53" s="2135"/>
      <c r="L53" s="2136"/>
      <c r="M53" s="2134"/>
      <c r="N53" s="2134"/>
      <c r="O53" s="2134"/>
      <c r="P53" s="2134"/>
      <c r="Q53" s="2134"/>
      <c r="R53" s="2134"/>
      <c r="S53" s="2134"/>
      <c r="T53" s="2134"/>
      <c r="U53" s="2134"/>
      <c r="V53" s="2134"/>
      <c r="W53" s="2134"/>
      <c r="X53" s="2134"/>
      <c r="Y53" s="2134"/>
      <c r="Z53" s="2134"/>
      <c r="AA53" s="2134"/>
      <c r="AB53" s="2134"/>
      <c r="AC53" s="2134"/>
    </row>
    <row r="54" s="2138" customFormat="true" ht="14.25" hidden="false" customHeight="false" outlineLevel="0" collapsed="false">
      <c r="A54" s="2134"/>
      <c r="B54" s="2139"/>
      <c r="C54" s="2612"/>
      <c r="D54" s="2613"/>
      <c r="E54" s="2613"/>
      <c r="F54" s="2613"/>
      <c r="G54" s="2613"/>
      <c r="H54" s="2613"/>
      <c r="I54" s="2613"/>
      <c r="J54" s="2613"/>
      <c r="K54" s="2135"/>
      <c r="L54" s="2136"/>
      <c r="M54" s="2134"/>
      <c r="N54" s="2134"/>
      <c r="O54" s="2134"/>
      <c r="P54" s="2134"/>
      <c r="Q54" s="2134"/>
      <c r="R54" s="2134"/>
      <c r="S54" s="2134"/>
      <c r="T54" s="2134"/>
      <c r="U54" s="2134"/>
      <c r="V54" s="2134"/>
      <c r="W54" s="2134"/>
      <c r="X54" s="2134"/>
      <c r="Y54" s="2134"/>
      <c r="Z54" s="2134"/>
      <c r="AA54" s="2134"/>
      <c r="AB54" s="2134"/>
      <c r="AC54" s="2134"/>
    </row>
    <row r="55" customFormat="false" ht="27" hidden="false" customHeight="true" outlineLevel="0" collapsed="false">
      <c r="A55" s="2614" t="s">
        <v>1581</v>
      </c>
      <c r="B55" s="2615" t="s">
        <v>1582</v>
      </c>
      <c r="C55" s="2616" t="s">
        <v>1583</v>
      </c>
      <c r="D55" s="2617" t="s">
        <v>1584</v>
      </c>
      <c r="E55" s="2418" t="s">
        <v>107</v>
      </c>
      <c r="F55" s="2618" t="s">
        <v>97</v>
      </c>
      <c r="G55" s="2416" t="s">
        <v>1585</v>
      </c>
      <c r="H55" s="2416"/>
      <c r="I55" s="2619" t="s">
        <v>430</v>
      </c>
      <c r="J55" s="2620" t="n">
        <f aca="false">项目基本情况!F35</f>
        <v>0</v>
      </c>
      <c r="K55" s="2621" t="s">
        <v>1586</v>
      </c>
      <c r="L55" s="2128"/>
      <c r="M55" s="2110"/>
      <c r="N55" s="2110"/>
      <c r="O55" s="2110"/>
      <c r="P55" s="2110"/>
      <c r="Q55" s="2110"/>
      <c r="R55" s="2110"/>
      <c r="S55" s="2110"/>
      <c r="T55" s="2110"/>
      <c r="U55" s="2110"/>
      <c r="V55" s="2110"/>
      <c r="W55" s="2110"/>
      <c r="X55" s="2110"/>
      <c r="Y55" s="2110"/>
      <c r="Z55" s="2110"/>
      <c r="AA55" s="2110"/>
      <c r="AB55" s="2110"/>
      <c r="AC55" s="2110"/>
    </row>
    <row r="56" s="2629" customFormat="true" ht="14.25" hidden="false" customHeight="false" outlineLevel="0" collapsed="false">
      <c r="A56" s="2622" t="s">
        <v>228</v>
      </c>
      <c r="B56" s="2623" t="e">
        <f aca="false">C48</f>
        <v>#DIV/0!</v>
      </c>
      <c r="C56" s="2624" t="n">
        <v>1</v>
      </c>
      <c r="D56" s="2625" t="n">
        <v>1</v>
      </c>
      <c r="E56" s="2624" t="n">
        <f aca="false">'数据-汇总表'!E8+'数据-汇总表'!E9</f>
        <v>58.3</v>
      </c>
      <c r="F56" s="2626" t="e">
        <f aca="false">ROUND(B56*E56/10000,0)</f>
        <v>#DIV/0!</v>
      </c>
      <c r="G56" s="2416"/>
      <c r="H56" s="2416"/>
      <c r="I56" s="1527" t="n">
        <v>1</v>
      </c>
      <c r="J56" s="2627" t="n">
        <v>1</v>
      </c>
      <c r="K56" s="2134"/>
      <c r="L56" s="2628"/>
      <c r="M56" s="2628"/>
      <c r="N56" s="2628"/>
      <c r="O56" s="2628"/>
      <c r="P56" s="2628"/>
      <c r="Q56" s="2628"/>
      <c r="R56" s="2628"/>
      <c r="S56" s="2628"/>
      <c r="T56" s="2628"/>
      <c r="U56" s="2628"/>
      <c r="V56" s="2628"/>
      <c r="W56" s="2628"/>
      <c r="X56" s="2628"/>
      <c r="Y56" s="2628"/>
      <c r="Z56" s="2628"/>
      <c r="AA56" s="2628"/>
      <c r="AB56" s="2628"/>
      <c r="AC56" s="2628"/>
    </row>
    <row r="57" s="2629" customFormat="true" ht="14.25" hidden="false" customHeight="false" outlineLevel="0" collapsed="false">
      <c r="A57" s="2630" t="s">
        <v>1587</v>
      </c>
      <c r="B57" s="1278" t="e">
        <f aca="false">ROUND($C$48*C57*D57,0)</f>
        <v>#DIV/0!</v>
      </c>
      <c r="C57" s="2631" t="n">
        <f aca="false">IF($C$55="北京市系数",I57,J57)</f>
        <v>0</v>
      </c>
      <c r="D57" s="2632" t="n">
        <v>0.25</v>
      </c>
      <c r="E57" s="2633"/>
      <c r="F57" s="2626" t="e">
        <f aca="false">ROUND(B57*E57/10000,0)</f>
        <v>#DIV/0!</v>
      </c>
      <c r="G57" s="2634" t="s">
        <v>1588</v>
      </c>
      <c r="H57" s="2635" t="n">
        <f aca="false">项目基本情况!B37</f>
        <v>0</v>
      </c>
      <c r="I57" s="1527" t="n">
        <f aca="false">SUMIF(修正!A57:A68,H57,修正!B57:B68)</f>
        <v>0</v>
      </c>
      <c r="J57" s="2636"/>
      <c r="K57" s="2110"/>
      <c r="L57" s="2628"/>
      <c r="M57" s="2628"/>
      <c r="N57" s="2628"/>
      <c r="O57" s="2628"/>
      <c r="P57" s="2628"/>
      <c r="Q57" s="2628"/>
      <c r="R57" s="2628"/>
      <c r="S57" s="2628"/>
      <c r="T57" s="2628"/>
      <c r="U57" s="2628"/>
      <c r="V57" s="2628"/>
      <c r="W57" s="2628"/>
      <c r="X57" s="2628"/>
      <c r="Y57" s="2628"/>
      <c r="Z57" s="2628"/>
      <c r="AA57" s="2628"/>
      <c r="AB57" s="2628"/>
      <c r="AC57" s="2628"/>
    </row>
    <row r="58" s="2629" customFormat="true" ht="14.25" hidden="false" customHeight="false" outlineLevel="0" collapsed="false">
      <c r="A58" s="2630" t="s">
        <v>1589</v>
      </c>
      <c r="B58" s="1278" t="e">
        <f aca="false">ROUND($C$48*C58*D58,0)</f>
        <v>#DIV/0!</v>
      </c>
      <c r="C58" s="2631" t="n">
        <f aca="false">IF($C$55="北京市系数",I58,J58)</f>
        <v>0</v>
      </c>
      <c r="D58" s="2632" t="n">
        <v>0.25</v>
      </c>
      <c r="E58" s="2633"/>
      <c r="F58" s="2626" t="e">
        <f aca="false">ROUND(B58*E58/10000,0)</f>
        <v>#DIV/0!</v>
      </c>
      <c r="G58" s="2637"/>
      <c r="H58" s="2635" t="n">
        <f aca="false">项目基本情况!B37</f>
        <v>0</v>
      </c>
      <c r="I58" s="1527" t="n">
        <f aca="false">SUMIF(修正!A57:A68,H58,修正!C57:C68)</f>
        <v>0</v>
      </c>
      <c r="J58" s="2636"/>
      <c r="K58" s="2134"/>
      <c r="L58" s="2628"/>
      <c r="M58" s="2628"/>
      <c r="N58" s="2628"/>
      <c r="O58" s="2628"/>
      <c r="P58" s="2628"/>
      <c r="Q58" s="2628"/>
      <c r="R58" s="2628"/>
      <c r="S58" s="2628"/>
      <c r="T58" s="2628"/>
      <c r="U58" s="2628"/>
      <c r="V58" s="2628"/>
      <c r="W58" s="2628"/>
      <c r="X58" s="2628"/>
      <c r="Y58" s="2628"/>
      <c r="Z58" s="2628"/>
      <c r="AA58" s="2628"/>
      <c r="AB58" s="2628"/>
      <c r="AC58" s="2628"/>
    </row>
    <row r="59" s="2629" customFormat="true" ht="14.25" hidden="false" customHeight="false" outlineLevel="0" collapsed="false">
      <c r="A59" s="2630" t="s">
        <v>1590</v>
      </c>
      <c r="B59" s="1278" t="e">
        <f aca="false">ROUND($C$48*C59*D59,0)</f>
        <v>#DIV/0!</v>
      </c>
      <c r="C59" s="2631" t="n">
        <f aca="false">IF($C$55="北京市系数",I59,J59)</f>
        <v>0</v>
      </c>
      <c r="D59" s="2632" t="n">
        <v>0.25</v>
      </c>
      <c r="E59" s="2633"/>
      <c r="F59" s="2626" t="e">
        <f aca="false">ROUND(B59*E59/10000,0)</f>
        <v>#DIV/0!</v>
      </c>
      <c r="G59" s="2637"/>
      <c r="H59" s="2635" t="n">
        <f aca="false">项目基本情况!B37</f>
        <v>0</v>
      </c>
      <c r="I59" s="1527" t="n">
        <f aca="false">SUMIF(修正!A57:A68,H59,修正!D57:D68)</f>
        <v>0</v>
      </c>
      <c r="J59" s="2636"/>
      <c r="K59" s="2110"/>
      <c r="L59" s="2628"/>
      <c r="M59" s="2628"/>
      <c r="N59" s="2628"/>
      <c r="O59" s="2628"/>
      <c r="P59" s="2628"/>
      <c r="Q59" s="2628"/>
      <c r="R59" s="2628"/>
      <c r="S59" s="2628"/>
      <c r="T59" s="2628"/>
      <c r="U59" s="2628"/>
      <c r="V59" s="2628"/>
      <c r="W59" s="2628"/>
      <c r="X59" s="2628"/>
      <c r="Y59" s="2628"/>
      <c r="Z59" s="2628"/>
      <c r="AA59" s="2628"/>
      <c r="AB59" s="2628"/>
      <c r="AC59" s="2628"/>
    </row>
    <row r="60" s="2629" customFormat="true" ht="14.25" hidden="false" customHeight="false" outlineLevel="0" collapsed="false">
      <c r="A60" s="2630" t="s">
        <v>536</v>
      </c>
      <c r="B60" s="1278" t="e">
        <f aca="false">ROUND($C$48*C60*D60,0)</f>
        <v>#DIV/0!</v>
      </c>
      <c r="C60" s="2631" t="n">
        <f aca="false">IF($C$55="北京市系数",I60,J60)</f>
        <v>0</v>
      </c>
      <c r="D60" s="2632" t="n">
        <v>0.25</v>
      </c>
      <c r="E60" s="1277" t="n">
        <f aca="false">'数据-汇总表'!E11</f>
        <v>0</v>
      </c>
      <c r="F60" s="2626" t="e">
        <f aca="false">ROUND(B60*E60/10000,0)</f>
        <v>#DIV/0!</v>
      </c>
      <c r="G60" s="2638" t="s">
        <v>1591</v>
      </c>
      <c r="H60" s="2635" t="n">
        <f aca="false">项目基本情况!C37</f>
        <v>0</v>
      </c>
      <c r="I60" s="1527" t="n">
        <f aca="false">SUMIF(修正!A57:A68,H60,修正!E57:E68)</f>
        <v>0</v>
      </c>
      <c r="J60" s="2636"/>
      <c r="K60" s="2110"/>
      <c r="L60" s="2628"/>
      <c r="M60" s="2628"/>
      <c r="N60" s="2628"/>
      <c r="O60" s="2628"/>
      <c r="P60" s="2628"/>
      <c r="Q60" s="2628"/>
      <c r="R60" s="2628"/>
      <c r="S60" s="2628"/>
      <c r="T60" s="2628"/>
      <c r="U60" s="2628"/>
      <c r="V60" s="2628"/>
      <c r="W60" s="2628"/>
      <c r="X60" s="2628"/>
      <c r="Y60" s="2628"/>
      <c r="Z60" s="2628"/>
      <c r="AA60" s="2628"/>
      <c r="AB60" s="2628"/>
      <c r="AC60" s="2628"/>
    </row>
    <row r="61" s="2629" customFormat="true" ht="14.25" hidden="false" customHeight="false" outlineLevel="0" collapsed="false">
      <c r="A61" s="2630" t="s">
        <v>537</v>
      </c>
      <c r="B61" s="1278" t="e">
        <f aca="false">ROUND($C$48*C61*D61,0)</f>
        <v>#DIV/0!</v>
      </c>
      <c r="C61" s="2631" t="n">
        <f aca="false">IF($C$55="北京市系数",I61,J61)</f>
        <v>0</v>
      </c>
      <c r="D61" s="2632" t="n">
        <v>0.25</v>
      </c>
      <c r="E61" s="1277" t="n">
        <f aca="false">'数据-汇总表'!E12</f>
        <v>0</v>
      </c>
      <c r="F61" s="2626" t="e">
        <f aca="false">ROUND(B61*E61/10000,0)</f>
        <v>#DIV/0!</v>
      </c>
      <c r="G61" s="2639" t="s">
        <v>158</v>
      </c>
      <c r="H61" s="2635" t="n">
        <f aca="false">IF(G61="商业",项目基本情况!B37,IF(G61="办公",项目基本情况!C37,IF(G61="住宅",项目基本情况!D37,项目基本情况!E37)))</f>
        <v>0</v>
      </c>
      <c r="I61" s="1527" t="n">
        <f aca="false">SUMIF(修正!A57:A68,H61,修正!F57:F68)</f>
        <v>0</v>
      </c>
      <c r="J61" s="2636"/>
      <c r="K61" s="2134"/>
      <c r="L61" s="2628"/>
      <c r="M61" s="2628"/>
      <c r="N61" s="2628"/>
      <c r="O61" s="2628"/>
      <c r="P61" s="2628"/>
      <c r="Q61" s="2628"/>
      <c r="R61" s="2628"/>
      <c r="S61" s="2628"/>
      <c r="T61" s="2628"/>
      <c r="U61" s="2628"/>
      <c r="V61" s="2628"/>
      <c r="W61" s="2628"/>
      <c r="X61" s="2628"/>
      <c r="Y61" s="2628"/>
      <c r="Z61" s="2628"/>
      <c r="AA61" s="2628"/>
      <c r="AB61" s="2628"/>
      <c r="AC61" s="2628"/>
    </row>
    <row r="62" s="2629" customFormat="true" ht="14.25" hidden="false" customHeight="false" outlineLevel="0" collapsed="false">
      <c r="A62" s="2630" t="s">
        <v>1592</v>
      </c>
      <c r="B62" s="1278" t="e">
        <f aca="false">ROUND($C$48*C62*D62,0)</f>
        <v>#DIV/0!</v>
      </c>
      <c r="C62" s="2631" t="n">
        <f aca="false">IF($C$55="北京市系数",I62,J62)</f>
        <v>0</v>
      </c>
      <c r="D62" s="2632" t="n">
        <v>0.25</v>
      </c>
      <c r="E62" s="1277" t="n">
        <f aca="false">'数据-汇总表'!E13</f>
        <v>0</v>
      </c>
      <c r="F62" s="2626" t="e">
        <f aca="false">ROUND(B62*E62/10000,0)</f>
        <v>#DIV/0!</v>
      </c>
      <c r="G62" s="2639" t="s">
        <v>156</v>
      </c>
      <c r="H62" s="2635" t="n">
        <f aca="false">IF(G62="商业",项目基本情况!B37,IF(G62="办公",项目基本情况!C37,IF(G62="住宅",项目基本情况!D37,项目基本情况!E37)))</f>
        <v>0</v>
      </c>
      <c r="I62" s="1527" t="n">
        <f aca="false">SUMIF(修正!A57:A68,H62,修正!G57:G68)</f>
        <v>0</v>
      </c>
      <c r="J62" s="2636"/>
      <c r="K62" s="2110"/>
      <c r="L62" s="2628"/>
      <c r="M62" s="2628"/>
      <c r="N62" s="2628"/>
      <c r="O62" s="2628"/>
      <c r="P62" s="2628"/>
      <c r="Q62" s="2628"/>
      <c r="R62" s="2628"/>
      <c r="S62" s="2628"/>
      <c r="T62" s="2628"/>
      <c r="U62" s="2628"/>
      <c r="V62" s="2628"/>
      <c r="W62" s="2628"/>
      <c r="X62" s="2628"/>
      <c r="Y62" s="2628"/>
      <c r="Z62" s="2628"/>
      <c r="AA62" s="2628"/>
      <c r="AB62" s="2628"/>
      <c r="AC62" s="2628"/>
    </row>
    <row r="63" s="2629" customFormat="true" ht="14.25" hidden="false" customHeight="false" outlineLevel="0" collapsed="false">
      <c r="A63" s="2630" t="s">
        <v>1593</v>
      </c>
      <c r="B63" s="1278" t="e">
        <f aca="false">ROUND($C$48*C63*D63,0)</f>
        <v>#DIV/0!</v>
      </c>
      <c r="C63" s="2631" t="n">
        <f aca="false">IF($C$55="北京市系数",I63,J63)</f>
        <v>0</v>
      </c>
      <c r="D63" s="2632" t="n">
        <v>0.25</v>
      </c>
      <c r="E63" s="1277" t="n">
        <f aca="false">'数据-汇总表'!E14</f>
        <v>0</v>
      </c>
      <c r="F63" s="2626" t="e">
        <f aca="false">ROUND(B63*E63/10000,0)</f>
        <v>#DIV/0!</v>
      </c>
      <c r="G63" s="2638" t="s">
        <v>1588</v>
      </c>
      <c r="H63" s="2635" t="n">
        <f aca="false">项目基本情况!B37</f>
        <v>0</v>
      </c>
      <c r="I63" s="1527" t="n">
        <f aca="false">SUMIF(修正!A57:A68,H63,修正!G57:G68)</f>
        <v>0</v>
      </c>
      <c r="J63" s="2636"/>
      <c r="K63" s="2134"/>
      <c r="L63" s="2628"/>
      <c r="M63" s="2628"/>
      <c r="N63" s="2628"/>
      <c r="O63" s="2628"/>
      <c r="P63" s="2628"/>
      <c r="Q63" s="2628"/>
      <c r="R63" s="2628"/>
      <c r="S63" s="2628"/>
      <c r="T63" s="2628"/>
      <c r="U63" s="2628"/>
      <c r="V63" s="2628"/>
      <c r="W63" s="2628"/>
      <c r="X63" s="2628"/>
      <c r="Y63" s="2628"/>
      <c r="Z63" s="2628"/>
      <c r="AA63" s="2628"/>
      <c r="AB63" s="2628"/>
      <c r="AC63" s="2628"/>
    </row>
    <row r="64" s="2629" customFormat="true" ht="14.25" hidden="false" customHeight="false" outlineLevel="0" collapsed="false">
      <c r="A64" s="2630" t="s">
        <v>1594</v>
      </c>
      <c r="B64" s="1278" t="e">
        <f aca="false">ROUND($C$48*C64*D64,0)</f>
        <v>#DIV/0!</v>
      </c>
      <c r="C64" s="2631" t="n">
        <f aca="false">IF($C$55="北京市系数",I64,J64)</f>
        <v>0</v>
      </c>
      <c r="D64" s="2632" t="n">
        <v>0.25</v>
      </c>
      <c r="E64" s="1277" t="n">
        <f aca="false">'数据-汇总表'!E15</f>
        <v>0</v>
      </c>
      <c r="F64" s="2626" t="e">
        <f aca="false">ROUND(B64*E64/10000,0)</f>
        <v>#DIV/0!</v>
      </c>
      <c r="G64" s="2640" t="s">
        <v>1591</v>
      </c>
      <c r="H64" s="2641" t="n">
        <f aca="false">项目基本情况!C37</f>
        <v>0</v>
      </c>
      <c r="I64" s="2642" t="n">
        <f aca="false">SUMIF(修正!A57:A68,H64,修正!G57:G68)</f>
        <v>0</v>
      </c>
      <c r="J64" s="2643"/>
      <c r="K64" s="2110"/>
      <c r="L64" s="2628"/>
      <c r="M64" s="2628"/>
      <c r="N64" s="2628"/>
      <c r="O64" s="2628"/>
      <c r="P64" s="2628"/>
      <c r="Q64" s="2628"/>
      <c r="R64" s="2628"/>
      <c r="S64" s="2628"/>
      <c r="T64" s="2628"/>
      <c r="U64" s="2628"/>
      <c r="V64" s="2628"/>
      <c r="W64" s="2628"/>
      <c r="X64" s="2628"/>
      <c r="Y64" s="2628"/>
      <c r="Z64" s="2628"/>
      <c r="AA64" s="2628"/>
      <c r="AB64" s="2628"/>
      <c r="AC64" s="2628"/>
    </row>
    <row r="65" s="2629" customFormat="true" ht="12.75" hidden="false" customHeight="false" outlineLevel="0" collapsed="false">
      <c r="A65" s="2644" t="s">
        <v>882</v>
      </c>
      <c r="B65" s="2645" t="s">
        <v>1595</v>
      </c>
      <c r="C65" s="2645" t="s">
        <v>1595</v>
      </c>
      <c r="D65" s="2645" t="s">
        <v>1595</v>
      </c>
      <c r="E65" s="2645" t="n">
        <f aca="false">IF(B46="楼面地价",SUM(E56:E64),'数据-汇总表'!D3)</f>
        <v>58.3</v>
      </c>
      <c r="F65" s="2646" t="e">
        <f aca="false">IF(B46="楼面地价",SUM(F56:F64),ROUND(C48*E65/10000,0))</f>
        <v>#DIV/0!</v>
      </c>
      <c r="G65" s="2647"/>
      <c r="H65" s="2647"/>
      <c r="I65" s="2647"/>
      <c r="J65" s="2647"/>
      <c r="K65" s="2648"/>
      <c r="L65" s="2628"/>
      <c r="M65" s="2628"/>
      <c r="N65" s="2628"/>
      <c r="O65" s="2628"/>
      <c r="P65" s="2628"/>
      <c r="Q65" s="2628"/>
      <c r="R65" s="2628"/>
      <c r="S65" s="2628"/>
      <c r="T65" s="2628"/>
      <c r="U65" s="2628"/>
      <c r="V65" s="2628"/>
      <c r="W65" s="2628"/>
      <c r="X65" s="2628"/>
      <c r="Y65" s="2628"/>
      <c r="Z65" s="2628"/>
      <c r="AA65" s="2628"/>
      <c r="AB65" s="2628"/>
      <c r="AC65" s="2628"/>
    </row>
    <row r="66" customFormat="false" ht="14.25" hidden="false" customHeight="false" outlineLevel="0" collapsed="false">
      <c r="A66" s="2111"/>
      <c r="B66" s="2649"/>
      <c r="C66" s="2612"/>
      <c r="D66" s="2111"/>
      <c r="E66" s="2111"/>
      <c r="F66" s="2111"/>
      <c r="G66" s="2111"/>
      <c r="H66" s="2111"/>
      <c r="I66" s="2111"/>
      <c r="J66" s="2482"/>
      <c r="K66" s="2650"/>
      <c r="L66" s="2483"/>
      <c r="M66" s="2482"/>
      <c r="N66" s="2482"/>
      <c r="O66" s="2482"/>
      <c r="P66" s="2110"/>
      <c r="Q66" s="2110"/>
      <c r="R66" s="2110"/>
      <c r="S66" s="2110"/>
      <c r="T66" s="2110"/>
      <c r="U66" s="2110"/>
      <c r="V66" s="2110"/>
      <c r="W66" s="2110"/>
      <c r="X66" s="2110"/>
      <c r="Y66" s="2110"/>
      <c r="Z66" s="2110"/>
      <c r="AA66" s="2110"/>
      <c r="AB66" s="2110"/>
      <c r="AC66" s="2110"/>
    </row>
    <row r="67" customFormat="false" ht="14.25" hidden="false" customHeight="false" outlineLevel="0" collapsed="false">
      <c r="A67" s="2111"/>
      <c r="B67" s="2649"/>
      <c r="C67" s="2649" t="str">
        <f aca="false">YEAR(C7)&amp;"-"&amp;MONTH(C7)&amp;"-1"</f>
        <v>2006-11-1</v>
      </c>
      <c r="D67" s="2649" t="n">
        <f aca="false">EDATE(C67,-3)</f>
        <v>38930</v>
      </c>
      <c r="E67" s="2649" t="n">
        <f aca="false">EDATE(D67,-3)</f>
        <v>38838</v>
      </c>
      <c r="F67" s="2649" t="n">
        <f aca="false">EDATE(E67,-3)</f>
        <v>38749</v>
      </c>
      <c r="G67" s="2649" t="n">
        <f aca="false">EDATE(F67,-3)</f>
        <v>38657</v>
      </c>
      <c r="H67" s="2649" t="n">
        <f aca="false">EDATE(G67,-3)</f>
        <v>38565</v>
      </c>
      <c r="I67" s="2649" t="n">
        <f aca="false">EDATE(H67,-3)</f>
        <v>38473</v>
      </c>
      <c r="J67" s="2649" t="n">
        <f aca="false">EDATE(I67,-3)</f>
        <v>38384</v>
      </c>
      <c r="K67" s="2649" t="n">
        <f aca="false">EDATE(J67,-3)</f>
        <v>38292</v>
      </c>
      <c r="L67" s="2649" t="n">
        <f aca="false">EDATE(K67,-3)</f>
        <v>38200</v>
      </c>
      <c r="M67" s="2649" t="n">
        <f aca="false">EDATE(L67,-3)</f>
        <v>38108</v>
      </c>
      <c r="N67" s="2649" t="n">
        <f aca="false">EDATE(M67,-3)</f>
        <v>38018</v>
      </c>
      <c r="O67" s="2649" t="n">
        <f aca="false">EDATE(N67,-3)</f>
        <v>37926</v>
      </c>
      <c r="P67" s="2110"/>
      <c r="Q67" s="2110"/>
      <c r="R67" s="2110"/>
      <c r="S67" s="2110"/>
      <c r="T67" s="2110"/>
      <c r="U67" s="2110"/>
      <c r="V67" s="2110"/>
      <c r="W67" s="2110"/>
      <c r="X67" s="2110"/>
      <c r="Y67" s="2110"/>
      <c r="Z67" s="2110"/>
      <c r="AA67" s="2110"/>
      <c r="AB67" s="2110"/>
      <c r="AC67" s="2110"/>
    </row>
    <row r="68" customFormat="false" ht="21" hidden="false" customHeight="false" outlineLevel="0" collapsed="false">
      <c r="A68" s="2141" t="s">
        <v>1315</v>
      </c>
      <c r="B68" s="2111"/>
      <c r="C68" s="2142"/>
      <c r="D68" s="2142"/>
      <c r="E68" s="2142"/>
      <c r="F68" s="2143"/>
      <c r="G68" s="2143"/>
      <c r="H68" s="2142"/>
      <c r="I68" s="2142"/>
      <c r="J68" s="2146"/>
      <c r="K68" s="2144"/>
      <c r="L68" s="2145"/>
      <c r="M68" s="2146"/>
      <c r="N68" s="2447"/>
      <c r="O68" s="2447"/>
      <c r="P68" s="2447"/>
      <c r="Q68" s="2386"/>
      <c r="R68" s="2110"/>
      <c r="S68" s="2110"/>
      <c r="T68" s="2110"/>
      <c r="U68" s="2110"/>
      <c r="V68" s="2110"/>
      <c r="W68" s="2110"/>
      <c r="X68" s="2110"/>
      <c r="Y68" s="2110"/>
      <c r="Z68" s="2110"/>
      <c r="AA68" s="2110"/>
      <c r="AB68" s="2110"/>
      <c r="AC68" s="2110"/>
    </row>
    <row r="69" s="2154" customFormat="true" ht="15" hidden="false" customHeight="false" outlineLevel="0" collapsed="false">
      <c r="A69" s="2651" t="s">
        <v>1596</v>
      </c>
      <c r="B69" s="2652"/>
      <c r="C69" s="2653" t="str">
        <f aca="false">YEAR(C67)&amp;"-"&amp;ROUNDUP(MONTH(C67)/3,0)</f>
        <v>2006-4</v>
      </c>
      <c r="D69" s="2653" t="str">
        <f aca="false">YEAR(D67)&amp;"-"&amp;ROUNDUP(MONTH(D67)/3,0)</f>
        <v>2006-3</v>
      </c>
      <c r="E69" s="2653" t="str">
        <f aca="false">YEAR(E67)&amp;"-"&amp;ROUNDUP(MONTH(E67)/3,0)</f>
        <v>2006-2</v>
      </c>
      <c r="F69" s="2653" t="str">
        <f aca="false">YEAR(F67)&amp;"-"&amp;ROUNDUP(MONTH(F67)/3,0)</f>
        <v>2006-1</v>
      </c>
      <c r="G69" s="2653" t="str">
        <f aca="false">YEAR(G67)&amp;"-"&amp;ROUNDUP(MONTH(G67)/3,0)</f>
        <v>2005-4</v>
      </c>
      <c r="H69" s="2653" t="str">
        <f aca="false">YEAR(H67)&amp;"-"&amp;ROUNDUP(MONTH(H67)/3,0)</f>
        <v>2005-3</v>
      </c>
      <c r="I69" s="2653" t="str">
        <f aca="false">YEAR(I67)&amp;"-"&amp;ROUNDUP(MONTH(I67)/3,0)</f>
        <v>2005-2</v>
      </c>
      <c r="J69" s="2653" t="str">
        <f aca="false">YEAR(J67)&amp;"-"&amp;ROUNDUP(MONTH(J67)/3,0)</f>
        <v>2005-1</v>
      </c>
      <c r="K69" s="2653" t="str">
        <f aca="false">YEAR(K67)&amp;"-"&amp;ROUNDUP(MONTH(K67)/3,0)</f>
        <v>2004-4</v>
      </c>
      <c r="L69" s="2653" t="str">
        <f aca="false">YEAR(L67)&amp;"-"&amp;ROUNDUP(MONTH(L67)/3,0)</f>
        <v>2004-3</v>
      </c>
      <c r="M69" s="2653" t="str">
        <f aca="false">YEAR(M67)&amp;"-"&amp;ROUNDUP(MONTH(M67)/3,0)</f>
        <v>2004-2</v>
      </c>
      <c r="N69" s="2653" t="str">
        <f aca="false">YEAR(N67)&amp;"-"&amp;ROUNDUP(MONTH(N67)/3,0)</f>
        <v>2004-1</v>
      </c>
      <c r="O69" s="2653" t="str">
        <f aca="false">YEAR(O67)&amp;"-"&amp;ROUNDUP(MONTH(O67)/3,0)</f>
        <v>2003-4</v>
      </c>
      <c r="P69" s="2555"/>
      <c r="Q69" s="2389"/>
      <c r="R69" s="2389"/>
      <c r="S69" s="2389"/>
      <c r="T69" s="2389"/>
      <c r="U69" s="2389"/>
      <c r="V69" s="2389"/>
      <c r="W69" s="2389"/>
      <c r="X69" s="2389"/>
      <c r="Y69" s="2389"/>
      <c r="Z69" s="2389"/>
      <c r="AA69" s="2389"/>
      <c r="AB69" s="2389"/>
      <c r="AC69" s="2389"/>
    </row>
    <row r="70" s="1983" customFormat="true" ht="30" hidden="false" customHeight="true" outlineLevel="0" collapsed="false">
      <c r="A70" s="2654" t="s">
        <v>156</v>
      </c>
      <c r="B70" s="1421" t="str">
        <f aca="false">"北京市平均增长率"&amp;TEXT(SUMIF(基准地价修正!N25:N29,A70,基准地价修正!P25:P29),"0.00%")</f>
        <v>北京市平均增长率0.00%</v>
      </c>
      <c r="C70" s="2268" t="n">
        <v>100</v>
      </c>
      <c r="D70" s="2259"/>
      <c r="E70" s="2259"/>
      <c r="F70" s="2259"/>
      <c r="G70" s="2259"/>
      <c r="H70" s="2259"/>
      <c r="I70" s="2259"/>
      <c r="J70" s="2259"/>
      <c r="K70" s="2259"/>
      <c r="L70" s="2259"/>
      <c r="M70" s="2655"/>
      <c r="N70" s="2259"/>
      <c r="O70" s="2656"/>
      <c r="P70" s="2386"/>
      <c r="Q70" s="529"/>
      <c r="R70" s="529"/>
      <c r="S70" s="529"/>
      <c r="T70" s="529"/>
      <c r="U70" s="529"/>
      <c r="V70" s="529"/>
      <c r="W70" s="529"/>
      <c r="X70" s="529"/>
      <c r="Y70" s="529"/>
      <c r="Z70" s="529"/>
      <c r="AA70" s="529"/>
      <c r="AB70" s="529"/>
      <c r="AC70" s="529"/>
    </row>
    <row r="71" s="1983" customFormat="true" ht="15" hidden="false" customHeight="false" outlineLevel="0" collapsed="false">
      <c r="A71" s="2161" t="s">
        <v>1316</v>
      </c>
      <c r="B71" s="2162"/>
      <c r="C71" s="2163"/>
      <c r="D71" s="2164"/>
      <c r="E71" s="2164"/>
      <c r="F71" s="2164"/>
      <c r="G71" s="2164"/>
      <c r="H71" s="2164"/>
      <c r="I71" s="2164"/>
      <c r="J71" s="2164"/>
      <c r="K71" s="2164"/>
      <c r="L71" s="2164"/>
      <c r="M71" s="2165"/>
      <c r="N71" s="2164"/>
      <c r="O71" s="2657"/>
      <c r="P71" s="2386"/>
      <c r="Q71" s="2386"/>
      <c r="R71" s="529"/>
      <c r="S71" s="529"/>
      <c r="T71" s="529"/>
      <c r="U71" s="529"/>
      <c r="V71" s="529"/>
      <c r="W71" s="529"/>
      <c r="X71" s="529"/>
      <c r="Y71" s="529"/>
      <c r="Z71" s="529"/>
      <c r="AA71" s="529"/>
      <c r="AB71" s="529"/>
      <c r="AC71" s="529"/>
    </row>
    <row r="72" s="1983" customFormat="true" ht="15" hidden="false" customHeight="false" outlineLevel="0" collapsed="false">
      <c r="A72" s="2166" t="s">
        <v>1278</v>
      </c>
      <c r="B72" s="2167"/>
      <c r="C72" s="2168" t="s">
        <v>1279</v>
      </c>
      <c r="D72" s="2169"/>
      <c r="E72" s="2169"/>
      <c r="F72" s="2169"/>
      <c r="G72" s="2169"/>
      <c r="H72" s="2169"/>
      <c r="I72" s="2169"/>
      <c r="J72" s="2169"/>
      <c r="K72" s="2169"/>
      <c r="L72" s="2170"/>
      <c r="M72" s="2171"/>
      <c r="N72" s="2392"/>
      <c r="O72" s="2392"/>
      <c r="P72" s="831"/>
      <c r="Q72" s="2386"/>
      <c r="R72" s="529"/>
      <c r="S72" s="529"/>
      <c r="T72" s="529"/>
      <c r="U72" s="529"/>
      <c r="V72" s="529"/>
      <c r="W72" s="529"/>
      <c r="X72" s="529"/>
      <c r="Y72" s="529"/>
      <c r="Z72" s="529"/>
      <c r="AA72" s="529"/>
      <c r="AB72" s="529"/>
      <c r="AC72" s="529"/>
    </row>
    <row r="73" s="1983" customFormat="true" ht="15" hidden="false" customHeight="false" outlineLevel="0" collapsed="false">
      <c r="A73" s="2166"/>
      <c r="B73" s="2167"/>
      <c r="C73" s="2491" t="n">
        <v>100</v>
      </c>
      <c r="D73" s="2159"/>
      <c r="E73" s="2159"/>
      <c r="F73" s="2159"/>
      <c r="G73" s="2159"/>
      <c r="H73" s="2159"/>
      <c r="I73" s="2159"/>
      <c r="J73" s="2159"/>
      <c r="K73" s="2159"/>
      <c r="L73" s="2159"/>
      <c r="M73" s="2174"/>
      <c r="N73" s="2392"/>
      <c r="O73" s="2392"/>
      <c r="P73" s="2386"/>
      <c r="Q73" s="2386"/>
      <c r="R73" s="529"/>
      <c r="S73" s="529"/>
      <c r="T73" s="529"/>
      <c r="U73" s="529"/>
      <c r="V73" s="529"/>
      <c r="W73" s="529"/>
      <c r="X73" s="529"/>
      <c r="Y73" s="529"/>
      <c r="Z73" s="529"/>
      <c r="AA73" s="529"/>
      <c r="AB73" s="529"/>
      <c r="AC73" s="529"/>
    </row>
    <row r="74" customFormat="false" ht="14.25" hidden="false" customHeight="false" outlineLevel="0" collapsed="false">
      <c r="A74" s="2175" t="s">
        <v>1280</v>
      </c>
      <c r="B74" s="2176" t="s">
        <v>399</v>
      </c>
      <c r="C74" s="2178"/>
      <c r="D74" s="2178"/>
      <c r="E74" s="2178"/>
      <c r="F74" s="2178"/>
      <c r="G74" s="2178"/>
      <c r="H74" s="2178"/>
      <c r="I74" s="2178"/>
      <c r="J74" s="2178"/>
      <c r="K74" s="2179"/>
      <c r="L74" s="2180"/>
      <c r="M74" s="2181"/>
      <c r="N74" s="2394"/>
      <c r="O74" s="2394"/>
      <c r="P74" s="2557"/>
      <c r="Q74" s="2386"/>
      <c r="R74" s="2110"/>
      <c r="S74" s="2110"/>
      <c r="T74" s="2110"/>
      <c r="U74" s="2110"/>
      <c r="V74" s="2110"/>
      <c r="W74" s="2110"/>
      <c r="X74" s="2110"/>
      <c r="Y74" s="2110"/>
      <c r="Z74" s="2110"/>
      <c r="AA74" s="2110"/>
      <c r="AB74" s="2110"/>
      <c r="AC74" s="2110"/>
    </row>
    <row r="75" customFormat="false" ht="15" hidden="false" customHeight="false" outlineLevel="0" collapsed="false">
      <c r="A75" s="2184"/>
      <c r="B75" s="2185"/>
      <c r="C75" s="2186"/>
      <c r="D75" s="2186"/>
      <c r="E75" s="2186"/>
      <c r="F75" s="2186"/>
      <c r="G75" s="2186"/>
      <c r="H75" s="2186"/>
      <c r="I75" s="2186"/>
      <c r="J75" s="2186"/>
      <c r="K75" s="2186"/>
      <c r="L75" s="2186"/>
      <c r="M75" s="2187"/>
      <c r="N75" s="2396"/>
      <c r="O75" s="2396"/>
      <c r="P75" s="2557"/>
      <c r="Q75" s="2386"/>
      <c r="R75" s="2110"/>
      <c r="S75" s="2110"/>
      <c r="T75" s="2110"/>
      <c r="U75" s="2110"/>
      <c r="V75" s="2110"/>
      <c r="W75" s="2110"/>
      <c r="X75" s="2110"/>
      <c r="Y75" s="2110"/>
      <c r="Z75" s="2110"/>
      <c r="AA75" s="2110"/>
      <c r="AB75" s="2110"/>
      <c r="AC75" s="2110"/>
    </row>
    <row r="76" customFormat="false" ht="27" hidden="false" customHeight="false" outlineLevel="0" collapsed="false">
      <c r="A76" s="2184"/>
      <c r="B76" s="2189" t="s">
        <v>1281</v>
      </c>
      <c r="C76" s="2229"/>
      <c r="D76" s="2229"/>
      <c r="E76" s="2229"/>
      <c r="F76" s="2229"/>
      <c r="G76" s="2229"/>
      <c r="H76" s="2229"/>
      <c r="I76" s="2229"/>
      <c r="J76" s="2229"/>
      <c r="K76" s="2230"/>
      <c r="L76" s="2231"/>
      <c r="M76" s="2232"/>
      <c r="N76" s="2394"/>
      <c r="O76" s="2394"/>
      <c r="P76" s="2557"/>
      <c r="Q76" s="2386"/>
      <c r="R76" s="2110"/>
      <c r="S76" s="2110"/>
      <c r="T76" s="2110"/>
      <c r="U76" s="2110"/>
      <c r="V76" s="2110"/>
      <c r="W76" s="2110"/>
      <c r="X76" s="2110"/>
      <c r="Y76" s="2110"/>
      <c r="Z76" s="2110"/>
      <c r="AA76" s="2110"/>
      <c r="AB76" s="2110"/>
      <c r="AC76" s="2110"/>
    </row>
    <row r="77" customFormat="false" ht="15" hidden="false" customHeight="false" outlineLevel="0" collapsed="false">
      <c r="A77" s="2184"/>
      <c r="B77" s="2191"/>
      <c r="C77" s="2199"/>
      <c r="D77" s="2199"/>
      <c r="E77" s="2199"/>
      <c r="F77" s="2199"/>
      <c r="G77" s="2199"/>
      <c r="H77" s="2199"/>
      <c r="I77" s="2199"/>
      <c r="J77" s="2199"/>
      <c r="K77" s="2199"/>
      <c r="L77" s="2199"/>
      <c r="M77" s="2200"/>
      <c r="N77" s="2396"/>
      <c r="O77" s="2396"/>
      <c r="P77" s="2557"/>
      <c r="Q77" s="2386"/>
      <c r="R77" s="2110"/>
      <c r="S77" s="2110"/>
      <c r="T77" s="2110"/>
      <c r="U77" s="2110"/>
      <c r="V77" s="2110"/>
      <c r="W77" s="2110"/>
      <c r="X77" s="2110"/>
      <c r="Y77" s="2110"/>
      <c r="Z77" s="2110"/>
      <c r="AA77" s="2110"/>
      <c r="AB77" s="2110"/>
      <c r="AC77" s="2110"/>
    </row>
    <row r="78" customFormat="false" ht="15" hidden="false" customHeight="false" outlineLevel="0" collapsed="false">
      <c r="A78" s="2184"/>
      <c r="B78" s="2192" t="s">
        <v>524</v>
      </c>
      <c r="C78" s="2193" t="str">
        <f aca="false">C79&amp;"（含）"&amp;"-"&amp;D79</f>
        <v>（含）-</v>
      </c>
      <c r="D78" s="2193" t="str">
        <f aca="false">D79&amp;"（含）"&amp;"-"&amp;E79</f>
        <v>（含）-</v>
      </c>
      <c r="E78" s="2193" t="str">
        <f aca="false">E79&amp;"（含）"&amp;"-"&amp;F79</f>
        <v>（含）-</v>
      </c>
      <c r="F78" s="2193" t="str">
        <f aca="false">F79&amp;"（含）"&amp;"-"&amp;G79</f>
        <v>（含）-</v>
      </c>
      <c r="G78" s="2193" t="str">
        <f aca="false">G79&amp;"（含）"&amp;"-"&amp;H79</f>
        <v>（含）-</v>
      </c>
      <c r="H78" s="2193" t="str">
        <f aca="false">H79&amp;"（含）"&amp;"-"&amp;I79</f>
        <v>（含）-</v>
      </c>
      <c r="I78" s="2193" t="str">
        <f aca="false">I79&amp;"（含）"&amp;"-"&amp;J79</f>
        <v>（含）-</v>
      </c>
      <c r="J78" s="2193" t="str">
        <f aca="false">J79&amp;"（含）"&amp;"-"&amp;K79</f>
        <v>（含）-</v>
      </c>
      <c r="K78" s="2193" t="str">
        <f aca="false">K79&amp;"（含）"&amp;"-"&amp;L79</f>
        <v>（含）-</v>
      </c>
      <c r="L78" s="2193" t="str">
        <f aca="false">L79&amp;"（含）"&amp;"-"&amp;M79</f>
        <v>（含）-</v>
      </c>
      <c r="M78" s="2041" t="str">
        <f aca="false">M79&amp;"（含）"&amp;"-"&amp;P79</f>
        <v>（含）-</v>
      </c>
      <c r="N78" s="2396"/>
      <c r="O78" s="2396"/>
      <c r="P78" s="2557"/>
      <c r="Q78" s="2386"/>
      <c r="R78" s="2110"/>
      <c r="S78" s="2110"/>
      <c r="T78" s="2110"/>
      <c r="U78" s="2110"/>
      <c r="V78" s="2110"/>
      <c r="W78" s="2110"/>
      <c r="X78" s="2110"/>
      <c r="Y78" s="2110"/>
      <c r="Z78" s="2110"/>
      <c r="AA78" s="2110"/>
      <c r="AB78" s="2110"/>
      <c r="AC78" s="2110"/>
    </row>
    <row r="79" customFormat="false" ht="15" hidden="false" customHeight="false" outlineLevel="0" collapsed="false">
      <c r="A79" s="2184"/>
      <c r="B79" s="2194"/>
      <c r="C79" s="2195"/>
      <c r="D79" s="2195"/>
      <c r="E79" s="2195"/>
      <c r="F79" s="2195"/>
      <c r="G79" s="2195"/>
      <c r="H79" s="2195"/>
      <c r="I79" s="2195"/>
      <c r="J79" s="2195"/>
      <c r="K79" s="2196"/>
      <c r="L79" s="2197"/>
      <c r="M79" s="2198"/>
      <c r="N79" s="2394"/>
      <c r="O79" s="2394"/>
      <c r="P79" s="2557"/>
      <c r="Q79" s="2386"/>
      <c r="R79" s="2110"/>
      <c r="S79" s="2110"/>
      <c r="T79" s="2110"/>
      <c r="U79" s="2110"/>
      <c r="V79" s="2110"/>
      <c r="W79" s="2110"/>
      <c r="X79" s="2110"/>
      <c r="Y79" s="2110"/>
      <c r="Z79" s="2110"/>
      <c r="AA79" s="2110"/>
      <c r="AB79" s="2110"/>
      <c r="AC79" s="2110"/>
    </row>
    <row r="80" customFormat="false" ht="15" hidden="false" customHeight="false" outlineLevel="0" collapsed="false">
      <c r="A80" s="2184"/>
      <c r="B80" s="2185"/>
      <c r="C80" s="2199" t="n">
        <v>100</v>
      </c>
      <c r="D80" s="2199" t="n">
        <f aca="false">IF($B$46="单位面积地价",C80+$K11,C80-$K11)</f>
        <v>100</v>
      </c>
      <c r="E80" s="2199" t="n">
        <f aca="false">IF($B$46="单位面积地价",D80+$K11,D80-$K11)</f>
        <v>100</v>
      </c>
      <c r="F80" s="2199" t="n">
        <f aca="false">IF($B$46="单位面积地价",E80+$K11,E80-$K11)</f>
        <v>100</v>
      </c>
      <c r="G80" s="2199" t="n">
        <f aca="false">IF($B$46="单位面积地价",F80+$K11,F80-$K11)</f>
        <v>100</v>
      </c>
      <c r="H80" s="2199" t="n">
        <f aca="false">IF($B$46="单位面积地价",G80+$K11,G80-$K11)</f>
        <v>100</v>
      </c>
      <c r="I80" s="2199" t="n">
        <f aca="false">IF($B$46="单位面积地价",H80+$K11,H80-$K11)</f>
        <v>100</v>
      </c>
      <c r="J80" s="2199" t="n">
        <f aca="false">IF($B$46="单位面积地价",I80+$K11,I80-$K11)</f>
        <v>100</v>
      </c>
      <c r="K80" s="2199" t="n">
        <f aca="false">IF($B$46="单位面积地价",J80+$K11,J80-$K11)</f>
        <v>100</v>
      </c>
      <c r="L80" s="2199" t="n">
        <f aca="false">IF($B$46="单位面积地价",K80+$K11,K80-$K11)</f>
        <v>100</v>
      </c>
      <c r="M80" s="2199" t="n">
        <f aca="false">IF($B$46="单位面积地价",L80+$K11,L80-$K11)</f>
        <v>100</v>
      </c>
      <c r="N80" s="2396"/>
      <c r="O80" s="2396"/>
      <c r="P80" s="2557"/>
      <c r="Q80" s="2386"/>
      <c r="R80" s="2110"/>
      <c r="S80" s="2110"/>
      <c r="T80" s="2110"/>
      <c r="U80" s="2110"/>
      <c r="V80" s="2110"/>
      <c r="W80" s="2110"/>
      <c r="X80" s="2110"/>
      <c r="Y80" s="2110"/>
      <c r="Z80" s="2110"/>
      <c r="AA80" s="2110"/>
      <c r="AB80" s="2110"/>
      <c r="AC80" s="2110"/>
    </row>
    <row r="81" s="2088" customFormat="true" ht="15" hidden="false" customHeight="false" outlineLevel="0" collapsed="false">
      <c r="A81" s="2201"/>
      <c r="B81" s="2189" t="str">
        <f aca="false">B12</f>
        <v>配建</v>
      </c>
      <c r="C81" s="2202"/>
      <c r="D81" s="2202"/>
      <c r="E81" s="2202"/>
      <c r="F81" s="2202"/>
      <c r="G81" s="2202"/>
      <c r="H81" s="2203"/>
      <c r="I81" s="2203"/>
      <c r="J81" s="2203"/>
      <c r="K81" s="2203"/>
      <c r="L81" s="2204"/>
      <c r="M81" s="2205"/>
      <c r="N81" s="2397"/>
      <c r="O81" s="2397"/>
      <c r="P81" s="2558"/>
      <c r="Q81" s="2399"/>
      <c r="R81" s="791"/>
      <c r="S81" s="791"/>
      <c r="T81" s="791"/>
      <c r="U81" s="791"/>
      <c r="V81" s="791"/>
      <c r="W81" s="791"/>
      <c r="X81" s="791"/>
      <c r="Y81" s="791"/>
      <c r="Z81" s="791"/>
      <c r="AA81" s="791"/>
      <c r="AB81" s="791"/>
      <c r="AC81" s="791"/>
    </row>
    <row r="82" s="2088" customFormat="true" ht="15" hidden="false" customHeight="false" outlineLevel="0" collapsed="false">
      <c r="A82" s="2201"/>
      <c r="B82" s="2191"/>
      <c r="C82" s="2209"/>
      <c r="D82" s="2186"/>
      <c r="E82" s="2186"/>
      <c r="F82" s="2186"/>
      <c r="G82" s="2186"/>
      <c r="H82" s="2186"/>
      <c r="I82" s="2186"/>
      <c r="J82" s="2186"/>
      <c r="K82" s="2186"/>
      <c r="L82" s="2186"/>
      <c r="M82" s="2187"/>
      <c r="N82" s="2396"/>
      <c r="O82" s="2396"/>
      <c r="P82" s="2558"/>
      <c r="Q82" s="2399"/>
      <c r="R82" s="791"/>
      <c r="S82" s="791"/>
      <c r="T82" s="791"/>
      <c r="U82" s="791"/>
      <c r="V82" s="791"/>
      <c r="W82" s="791"/>
      <c r="X82" s="791"/>
      <c r="Y82" s="791"/>
      <c r="Z82" s="791"/>
      <c r="AA82" s="791"/>
      <c r="AB82" s="791"/>
      <c r="AC82" s="791"/>
    </row>
    <row r="83" s="2088" customFormat="true" ht="15" hidden="false" customHeight="false" outlineLevel="0" collapsed="false">
      <c r="A83" s="2201"/>
      <c r="B83" s="2189" t="n">
        <f aca="false">B13</f>
        <v>111</v>
      </c>
      <c r="C83" s="2202"/>
      <c r="D83" s="2202"/>
      <c r="E83" s="2202"/>
      <c r="F83" s="2202"/>
      <c r="G83" s="2202"/>
      <c r="H83" s="2203"/>
      <c r="I83" s="2203"/>
      <c r="J83" s="2203"/>
      <c r="K83" s="2203"/>
      <c r="L83" s="2204"/>
      <c r="M83" s="2205"/>
      <c r="N83" s="2397"/>
      <c r="O83" s="2397"/>
      <c r="P83" s="2082"/>
      <c r="Q83" s="2401"/>
      <c r="R83" s="791"/>
      <c r="S83" s="791"/>
      <c r="T83" s="791"/>
      <c r="U83" s="791"/>
      <c r="V83" s="791"/>
      <c r="W83" s="791"/>
      <c r="X83" s="791"/>
      <c r="Y83" s="791"/>
      <c r="Z83" s="791"/>
      <c r="AA83" s="791"/>
      <c r="AB83" s="791"/>
      <c r="AC83" s="791"/>
    </row>
    <row r="84" s="2088" customFormat="true" ht="15" hidden="false" customHeight="false" outlineLevel="0" collapsed="false">
      <c r="A84" s="2201"/>
      <c r="B84" s="2191"/>
      <c r="C84" s="2209"/>
      <c r="D84" s="2209"/>
      <c r="E84" s="2209"/>
      <c r="F84" s="2209"/>
      <c r="G84" s="2209"/>
      <c r="H84" s="2212"/>
      <c r="I84" s="2212"/>
      <c r="J84" s="2212"/>
      <c r="K84" s="2212"/>
      <c r="L84" s="2212"/>
      <c r="M84" s="2213"/>
      <c r="N84" s="2397"/>
      <c r="O84" s="2397"/>
      <c r="P84" s="2558"/>
      <c r="Q84" s="2399"/>
      <c r="R84" s="791"/>
      <c r="S84" s="791"/>
      <c r="T84" s="791"/>
      <c r="U84" s="791"/>
      <c r="V84" s="791"/>
      <c r="W84" s="791"/>
      <c r="X84" s="791"/>
      <c r="Y84" s="791"/>
      <c r="Z84" s="791"/>
      <c r="AA84" s="791"/>
      <c r="AB84" s="791"/>
      <c r="AC84" s="791"/>
    </row>
    <row r="85" s="2088" customFormat="true" ht="15" hidden="false" customHeight="false" outlineLevel="0" collapsed="false">
      <c r="A85" s="2201"/>
      <c r="B85" s="2192" t="n">
        <f aca="false">B14</f>
        <v>111</v>
      </c>
      <c r="C85" s="2169"/>
      <c r="D85" s="2169"/>
      <c r="E85" s="2169"/>
      <c r="F85" s="2169"/>
      <c r="G85" s="2169"/>
      <c r="H85" s="2214"/>
      <c r="I85" s="2214"/>
      <c r="J85" s="2214"/>
      <c r="K85" s="2214"/>
      <c r="L85" s="2215"/>
      <c r="M85" s="2216"/>
      <c r="N85" s="2397"/>
      <c r="O85" s="2397"/>
      <c r="P85" s="2658"/>
      <c r="Q85" s="2399"/>
      <c r="R85" s="791"/>
      <c r="S85" s="791"/>
      <c r="T85" s="791"/>
      <c r="U85" s="791"/>
      <c r="V85" s="791"/>
      <c r="W85" s="791"/>
      <c r="X85" s="791"/>
      <c r="Y85" s="791"/>
      <c r="Z85" s="791"/>
      <c r="AA85" s="791"/>
      <c r="AB85" s="791"/>
      <c r="AC85" s="791"/>
    </row>
    <row r="86" s="2088" customFormat="true" ht="15" hidden="false" customHeight="false" outlineLevel="0" collapsed="false">
      <c r="A86" s="2218"/>
      <c r="B86" s="2219"/>
      <c r="C86" s="2220"/>
      <c r="D86" s="2220"/>
      <c r="E86" s="2220"/>
      <c r="F86" s="2220"/>
      <c r="G86" s="2220"/>
      <c r="H86" s="2221"/>
      <c r="I86" s="2221"/>
      <c r="J86" s="2221"/>
      <c r="K86" s="2221"/>
      <c r="L86" s="2221"/>
      <c r="M86" s="2222"/>
      <c r="N86" s="2397"/>
      <c r="O86" s="2397"/>
      <c r="P86" s="2558"/>
      <c r="Q86" s="2399"/>
      <c r="R86" s="791"/>
      <c r="S86" s="791"/>
      <c r="T86" s="791"/>
      <c r="U86" s="791"/>
      <c r="V86" s="791"/>
      <c r="W86" s="791"/>
      <c r="X86" s="791"/>
      <c r="Y86" s="791"/>
      <c r="Z86" s="791"/>
      <c r="AA86" s="791"/>
      <c r="AB86" s="791"/>
      <c r="AC86" s="791"/>
    </row>
    <row r="87" customFormat="false" ht="14.25" hidden="false" customHeight="false" outlineLevel="0" collapsed="false">
      <c r="A87" s="2175" t="s">
        <v>648</v>
      </c>
      <c r="B87" s="2176" t="s">
        <v>212</v>
      </c>
      <c r="C87" s="2223" t="s">
        <v>231</v>
      </c>
      <c r="D87" s="2223" t="s">
        <v>241</v>
      </c>
      <c r="E87" s="2223" t="s">
        <v>250</v>
      </c>
      <c r="F87" s="2223" t="s">
        <v>258</v>
      </c>
      <c r="G87" s="2223" t="s">
        <v>265</v>
      </c>
      <c r="H87" s="2177"/>
      <c r="I87" s="2177"/>
      <c r="J87" s="2177"/>
      <c r="K87" s="2224"/>
      <c r="L87" s="2225"/>
      <c r="M87" s="2226"/>
      <c r="N87" s="2394"/>
      <c r="O87" s="2394"/>
      <c r="P87" s="870"/>
      <c r="Q87" s="2386"/>
      <c r="R87" s="2110"/>
      <c r="S87" s="2110"/>
      <c r="T87" s="2110"/>
      <c r="U87" s="2110"/>
      <c r="V87" s="2110"/>
      <c r="W87" s="2110"/>
      <c r="X87" s="2110"/>
      <c r="Y87" s="2110"/>
      <c r="Z87" s="2110"/>
      <c r="AA87" s="2110"/>
      <c r="AB87" s="2110"/>
      <c r="AC87" s="2110"/>
    </row>
    <row r="88" customFormat="false" ht="15" hidden="false" customHeight="false" outlineLevel="0" collapsed="false">
      <c r="A88" s="2184"/>
      <c r="B88" s="2191"/>
      <c r="C88" s="2199" t="n">
        <v>100</v>
      </c>
      <c r="D88" s="2199" t="n">
        <f aca="false">C88-$K15</f>
        <v>100</v>
      </c>
      <c r="E88" s="2199" t="n">
        <f aca="false">D88-$K15</f>
        <v>100</v>
      </c>
      <c r="F88" s="2199" t="n">
        <f aca="false">E88-$K15</f>
        <v>100</v>
      </c>
      <c r="G88" s="2199" t="n">
        <f aca="false">F88-$K15</f>
        <v>100</v>
      </c>
      <c r="H88" s="2199"/>
      <c r="I88" s="2199"/>
      <c r="J88" s="2199"/>
      <c r="K88" s="2199"/>
      <c r="L88" s="2199"/>
      <c r="M88" s="2200"/>
      <c r="N88" s="2396"/>
      <c r="O88" s="2396"/>
      <c r="P88" s="2557"/>
      <c r="Q88" s="2386"/>
      <c r="R88" s="2110"/>
      <c r="S88" s="2110"/>
      <c r="T88" s="2110"/>
      <c r="U88" s="2110"/>
      <c r="V88" s="2110"/>
      <c r="W88" s="2110"/>
      <c r="X88" s="2110"/>
      <c r="Y88" s="2110"/>
      <c r="Z88" s="2110"/>
      <c r="AA88" s="2110"/>
      <c r="AB88" s="2110"/>
      <c r="AC88" s="2110"/>
    </row>
    <row r="89" customFormat="false" ht="15" hidden="false" customHeight="false" outlineLevel="0" collapsed="false">
      <c r="A89" s="2184"/>
      <c r="B89" s="2189" t="s">
        <v>213</v>
      </c>
      <c r="C89" s="2228" t="s">
        <v>231</v>
      </c>
      <c r="D89" s="2228" t="s">
        <v>241</v>
      </c>
      <c r="E89" s="2228" t="s">
        <v>250</v>
      </c>
      <c r="F89" s="2228" t="s">
        <v>258</v>
      </c>
      <c r="G89" s="2228" t="s">
        <v>265</v>
      </c>
      <c r="H89" s="2229"/>
      <c r="I89" s="2229"/>
      <c r="J89" s="2229"/>
      <c r="K89" s="2230"/>
      <c r="L89" s="2231"/>
      <c r="M89" s="2232"/>
      <c r="N89" s="2394"/>
      <c r="O89" s="2394"/>
      <c r="P89" s="2557"/>
      <c r="Q89" s="2386"/>
      <c r="R89" s="2110"/>
      <c r="S89" s="2110"/>
      <c r="T89" s="2110"/>
      <c r="U89" s="2110"/>
      <c r="V89" s="2110"/>
      <c r="W89" s="2110"/>
      <c r="X89" s="2110"/>
      <c r="Y89" s="2110"/>
      <c r="Z89" s="2110"/>
      <c r="AA89" s="2110"/>
      <c r="AB89" s="2110"/>
      <c r="AC89" s="2110"/>
    </row>
    <row r="90" customFormat="false" ht="15" hidden="false" customHeight="false" outlineLevel="0" collapsed="false">
      <c r="A90" s="2184"/>
      <c r="B90" s="2191"/>
      <c r="C90" s="2199" t="n">
        <v>100</v>
      </c>
      <c r="D90" s="2199" t="n">
        <f aca="false">C90-$K17</f>
        <v>100</v>
      </c>
      <c r="E90" s="2199" t="n">
        <f aca="false">D90-$K17</f>
        <v>100</v>
      </c>
      <c r="F90" s="2199" t="n">
        <f aca="false">E90-$K17</f>
        <v>100</v>
      </c>
      <c r="G90" s="2199" t="n">
        <f aca="false">F90-$K17</f>
        <v>100</v>
      </c>
      <c r="H90" s="2199"/>
      <c r="I90" s="2199"/>
      <c r="J90" s="2199"/>
      <c r="K90" s="2199"/>
      <c r="L90" s="2199"/>
      <c r="M90" s="2200"/>
      <c r="N90" s="2396"/>
      <c r="O90" s="2396"/>
      <c r="P90" s="2557"/>
      <c r="Q90" s="2386"/>
      <c r="R90" s="2110"/>
      <c r="S90" s="2110"/>
      <c r="T90" s="2110"/>
      <c r="U90" s="2110"/>
      <c r="V90" s="2110"/>
      <c r="W90" s="2110"/>
      <c r="X90" s="2110"/>
      <c r="Y90" s="2110"/>
      <c r="Z90" s="2110"/>
      <c r="AA90" s="2110"/>
      <c r="AB90" s="2110"/>
      <c r="AC90" s="2110"/>
    </row>
    <row r="91" customFormat="false" ht="15" hidden="false" customHeight="false" outlineLevel="0" collapsed="false">
      <c r="A91" s="2184"/>
      <c r="B91" s="2189" t="s">
        <v>214</v>
      </c>
      <c r="C91" s="2228" t="s">
        <v>231</v>
      </c>
      <c r="D91" s="2228" t="s">
        <v>241</v>
      </c>
      <c r="E91" s="2228" t="s">
        <v>250</v>
      </c>
      <c r="F91" s="2228" t="s">
        <v>258</v>
      </c>
      <c r="G91" s="2228" t="s">
        <v>265</v>
      </c>
      <c r="H91" s="2229"/>
      <c r="I91" s="2229"/>
      <c r="J91" s="2229"/>
      <c r="K91" s="2230"/>
      <c r="L91" s="2231"/>
      <c r="M91" s="2232"/>
      <c r="N91" s="2394"/>
      <c r="O91" s="2394"/>
      <c r="P91" s="2557"/>
      <c r="Q91" s="2386"/>
      <c r="R91" s="2110"/>
      <c r="S91" s="2110"/>
      <c r="T91" s="2110"/>
      <c r="U91" s="2110"/>
      <c r="V91" s="2110"/>
      <c r="W91" s="2110"/>
      <c r="X91" s="2110"/>
      <c r="Y91" s="2110"/>
      <c r="Z91" s="2110"/>
      <c r="AA91" s="2110"/>
      <c r="AB91" s="2110"/>
      <c r="AC91" s="2110"/>
    </row>
    <row r="92" customFormat="false" ht="15" hidden="false" customHeight="false" outlineLevel="0" collapsed="false">
      <c r="A92" s="2184"/>
      <c r="B92" s="2191"/>
      <c r="C92" s="2199" t="n">
        <v>100</v>
      </c>
      <c r="D92" s="2199" t="n">
        <f aca="false">C92-$K19</f>
        <v>100</v>
      </c>
      <c r="E92" s="2199" t="n">
        <f aca="false">D92-$K19</f>
        <v>100</v>
      </c>
      <c r="F92" s="2199" t="n">
        <f aca="false">E92-$K19</f>
        <v>100</v>
      </c>
      <c r="G92" s="2199" t="n">
        <f aca="false">F92-$K19</f>
        <v>100</v>
      </c>
      <c r="H92" s="2199"/>
      <c r="I92" s="2199"/>
      <c r="J92" s="2199"/>
      <c r="K92" s="2199"/>
      <c r="L92" s="2199"/>
      <c r="M92" s="2200"/>
      <c r="N92" s="2396"/>
      <c r="O92" s="2396"/>
      <c r="P92" s="2557"/>
      <c r="Q92" s="2386"/>
      <c r="R92" s="2110"/>
      <c r="S92" s="2110"/>
      <c r="T92" s="2110"/>
      <c r="U92" s="2110"/>
      <c r="V92" s="2110"/>
      <c r="W92" s="2110"/>
      <c r="X92" s="2110"/>
      <c r="Y92" s="2110"/>
      <c r="Z92" s="2110"/>
      <c r="AA92" s="2110"/>
      <c r="AB92" s="2110"/>
      <c r="AC92" s="2110"/>
    </row>
    <row r="93" customFormat="false" ht="15" hidden="false" customHeight="false" outlineLevel="0" collapsed="false">
      <c r="A93" s="2184"/>
      <c r="B93" s="2189" t="s">
        <v>216</v>
      </c>
      <c r="C93" s="2228" t="s">
        <v>231</v>
      </c>
      <c r="D93" s="2228" t="s">
        <v>241</v>
      </c>
      <c r="E93" s="2228" t="s">
        <v>250</v>
      </c>
      <c r="F93" s="2228" t="s">
        <v>258</v>
      </c>
      <c r="G93" s="2228" t="s">
        <v>265</v>
      </c>
      <c r="H93" s="2229"/>
      <c r="I93" s="2229"/>
      <c r="J93" s="2229"/>
      <c r="K93" s="2230"/>
      <c r="L93" s="2231"/>
      <c r="M93" s="2232"/>
      <c r="N93" s="2394"/>
      <c r="O93" s="2394"/>
      <c r="P93" s="2557"/>
      <c r="Q93" s="2386"/>
      <c r="R93" s="2110"/>
      <c r="S93" s="2110"/>
      <c r="T93" s="2110"/>
      <c r="U93" s="2110"/>
      <c r="V93" s="2110"/>
      <c r="W93" s="2110"/>
      <c r="X93" s="2110"/>
      <c r="Y93" s="2110"/>
      <c r="Z93" s="2110"/>
      <c r="AA93" s="2110"/>
      <c r="AB93" s="2110"/>
      <c r="AC93" s="2110"/>
    </row>
    <row r="94" customFormat="false" ht="15" hidden="false" customHeight="false" outlineLevel="0" collapsed="false">
      <c r="A94" s="2184"/>
      <c r="B94" s="2191"/>
      <c r="C94" s="2199" t="n">
        <v>100</v>
      </c>
      <c r="D94" s="2199" t="n">
        <f aca="false">C94-$K21</f>
        <v>100</v>
      </c>
      <c r="E94" s="2199" t="n">
        <f aca="false">D94-$K21</f>
        <v>100</v>
      </c>
      <c r="F94" s="2199" t="n">
        <f aca="false">E94-$K21</f>
        <v>100</v>
      </c>
      <c r="G94" s="2199" t="n">
        <f aca="false">F94-$K21</f>
        <v>100</v>
      </c>
      <c r="H94" s="2199"/>
      <c r="I94" s="2199"/>
      <c r="J94" s="2199"/>
      <c r="K94" s="2199"/>
      <c r="L94" s="2199"/>
      <c r="M94" s="2200"/>
      <c r="N94" s="2396"/>
      <c r="O94" s="2396"/>
      <c r="P94" s="2557"/>
      <c r="Q94" s="2386"/>
      <c r="R94" s="2110"/>
      <c r="S94" s="2110"/>
      <c r="T94" s="2110"/>
      <c r="U94" s="2110"/>
      <c r="V94" s="2110"/>
      <c r="W94" s="2110"/>
      <c r="X94" s="2110"/>
      <c r="Y94" s="2110"/>
      <c r="Z94" s="2110"/>
      <c r="AA94" s="2110"/>
      <c r="AB94" s="2110"/>
      <c r="AC94" s="2110"/>
    </row>
    <row r="95" s="1983" customFormat="true" ht="15" hidden="false" customHeight="false" outlineLevel="0" collapsed="false">
      <c r="A95" s="2236"/>
      <c r="B95" s="2189" t="s">
        <v>217</v>
      </c>
      <c r="C95" s="2228" t="s">
        <v>231</v>
      </c>
      <c r="D95" s="2228" t="s">
        <v>241</v>
      </c>
      <c r="E95" s="2228" t="s">
        <v>250</v>
      </c>
      <c r="F95" s="2228" t="s">
        <v>258</v>
      </c>
      <c r="G95" s="2228" t="s">
        <v>265</v>
      </c>
      <c r="H95" s="2228"/>
      <c r="I95" s="2228"/>
      <c r="J95" s="2228"/>
      <c r="K95" s="2228"/>
      <c r="L95" s="2659"/>
      <c r="M95" s="2406"/>
      <c r="N95" s="2392"/>
      <c r="O95" s="2392"/>
      <c r="P95" s="2557"/>
      <c r="Q95" s="2386"/>
      <c r="R95" s="529"/>
      <c r="S95" s="529"/>
      <c r="T95" s="529"/>
      <c r="U95" s="529"/>
      <c r="V95" s="529"/>
      <c r="W95" s="529"/>
      <c r="X95" s="529"/>
      <c r="Y95" s="529"/>
      <c r="Z95" s="529"/>
      <c r="AA95" s="529"/>
      <c r="AB95" s="529"/>
      <c r="AC95" s="529"/>
    </row>
    <row r="96" s="1983" customFormat="true" ht="15" hidden="false" customHeight="false" outlineLevel="0" collapsed="false">
      <c r="A96" s="2236"/>
      <c r="B96" s="2191"/>
      <c r="C96" s="2239" t="n">
        <v>100</v>
      </c>
      <c r="D96" s="2199" t="n">
        <f aca="false">C96-$K23</f>
        <v>100</v>
      </c>
      <c r="E96" s="2199" t="n">
        <f aca="false">D96-$K23</f>
        <v>100</v>
      </c>
      <c r="F96" s="2199" t="n">
        <f aca="false">E96-$K23</f>
        <v>100</v>
      </c>
      <c r="G96" s="2199" t="n">
        <f aca="false">F96-$K23</f>
        <v>100</v>
      </c>
      <c r="H96" s="2199"/>
      <c r="I96" s="2199"/>
      <c r="J96" s="2199"/>
      <c r="K96" s="2199"/>
      <c r="L96" s="2199"/>
      <c r="M96" s="2200"/>
      <c r="N96" s="2396"/>
      <c r="O96" s="2396"/>
      <c r="P96" s="2557"/>
      <c r="Q96" s="2386"/>
      <c r="R96" s="529"/>
      <c r="S96" s="529"/>
      <c r="T96" s="529"/>
      <c r="U96" s="529"/>
      <c r="V96" s="529"/>
      <c r="W96" s="529"/>
      <c r="X96" s="529"/>
      <c r="Y96" s="529"/>
      <c r="Z96" s="529"/>
      <c r="AA96" s="529"/>
      <c r="AB96" s="529"/>
      <c r="AC96" s="529"/>
    </row>
    <row r="97" s="1983" customFormat="true" ht="27" hidden="false" customHeight="false" outlineLevel="0" collapsed="false">
      <c r="A97" s="2236"/>
      <c r="B97" s="2189" t="s">
        <v>662</v>
      </c>
      <c r="C97" s="2223" t="s">
        <v>231</v>
      </c>
      <c r="D97" s="2223" t="s">
        <v>241</v>
      </c>
      <c r="E97" s="2223" t="s">
        <v>250</v>
      </c>
      <c r="F97" s="2223" t="s">
        <v>258</v>
      </c>
      <c r="G97" s="2223" t="s">
        <v>265</v>
      </c>
      <c r="H97" s="2228"/>
      <c r="I97" s="2228"/>
      <c r="J97" s="2228"/>
      <c r="K97" s="2228"/>
      <c r="L97" s="2228"/>
      <c r="M97" s="2406"/>
      <c r="N97" s="2392"/>
      <c r="O97" s="2392"/>
      <c r="P97" s="2557"/>
      <c r="Q97" s="2386"/>
      <c r="R97" s="529"/>
      <c r="S97" s="529"/>
      <c r="T97" s="529"/>
      <c r="U97" s="529"/>
      <c r="V97" s="529"/>
      <c r="W97" s="529"/>
      <c r="X97" s="529"/>
      <c r="Y97" s="529"/>
      <c r="Z97" s="529"/>
      <c r="AA97" s="529"/>
      <c r="AB97" s="529"/>
      <c r="AC97" s="529"/>
    </row>
    <row r="98" s="1983" customFormat="true" ht="15" hidden="false" customHeight="false" outlineLevel="0" collapsed="false">
      <c r="A98" s="2236"/>
      <c r="B98" s="2191"/>
      <c r="C98" s="2199" t="n">
        <v>100</v>
      </c>
      <c r="D98" s="2199" t="n">
        <f aca="false">C98-$K25</f>
        <v>100</v>
      </c>
      <c r="E98" s="2199" t="n">
        <f aca="false">D98-$K25</f>
        <v>100</v>
      </c>
      <c r="F98" s="2199" t="n">
        <f aca="false">E98-$K25</f>
        <v>100</v>
      </c>
      <c r="G98" s="2199" t="n">
        <f aca="false">F98-$K25</f>
        <v>100</v>
      </c>
      <c r="H98" s="2199"/>
      <c r="I98" s="2199"/>
      <c r="J98" s="2199"/>
      <c r="K98" s="2199"/>
      <c r="L98" s="2199"/>
      <c r="M98" s="2200"/>
      <c r="N98" s="2396"/>
      <c r="O98" s="2396"/>
      <c r="P98" s="2557"/>
      <c r="Q98" s="2386"/>
      <c r="R98" s="529"/>
      <c r="S98" s="529"/>
      <c r="T98" s="529"/>
      <c r="U98" s="529"/>
      <c r="V98" s="529"/>
      <c r="W98" s="529"/>
      <c r="X98" s="529"/>
      <c r="Y98" s="529"/>
      <c r="Z98" s="529"/>
      <c r="AA98" s="529"/>
      <c r="AB98" s="529"/>
      <c r="AC98" s="529"/>
    </row>
    <row r="99" s="2088" customFormat="true" ht="15" hidden="false" customHeight="false" outlineLevel="0" collapsed="false">
      <c r="A99" s="2201"/>
      <c r="B99" s="2189" t="s">
        <v>218</v>
      </c>
      <c r="C99" s="2223" t="s">
        <v>231</v>
      </c>
      <c r="D99" s="2223" t="s">
        <v>241</v>
      </c>
      <c r="E99" s="2223" t="s">
        <v>250</v>
      </c>
      <c r="F99" s="2223" t="s">
        <v>258</v>
      </c>
      <c r="G99" s="2223" t="s">
        <v>265</v>
      </c>
      <c r="H99" s="2265"/>
      <c r="I99" s="2265"/>
      <c r="J99" s="2265"/>
      <c r="K99" s="2265"/>
      <c r="L99" s="2266"/>
      <c r="M99" s="2267"/>
      <c r="N99" s="2397"/>
      <c r="O99" s="2397"/>
      <c r="P99" s="2558"/>
      <c r="Q99" s="2399"/>
      <c r="R99" s="791"/>
      <c r="S99" s="791"/>
      <c r="T99" s="791"/>
      <c r="U99" s="791"/>
      <c r="V99" s="791"/>
      <c r="W99" s="791"/>
      <c r="X99" s="791"/>
      <c r="Y99" s="791"/>
      <c r="Z99" s="791"/>
      <c r="AA99" s="791"/>
      <c r="AB99" s="791"/>
      <c r="AC99" s="791"/>
    </row>
    <row r="100" s="2088" customFormat="true" ht="15" hidden="false" customHeight="false" outlineLevel="0" collapsed="false">
      <c r="A100" s="2201"/>
      <c r="B100" s="2191"/>
      <c r="C100" s="2199" t="n">
        <v>100</v>
      </c>
      <c r="D100" s="2199" t="n">
        <f aca="false">C100-$K27</f>
        <v>100</v>
      </c>
      <c r="E100" s="2199" t="n">
        <f aca="false">D100-$K27</f>
        <v>100</v>
      </c>
      <c r="F100" s="2199" t="n">
        <f aca="false">E100-$K27</f>
        <v>100</v>
      </c>
      <c r="G100" s="2199" t="n">
        <f aca="false">F100-$K27</f>
        <v>100</v>
      </c>
      <c r="H100" s="2272"/>
      <c r="I100" s="2272"/>
      <c r="J100" s="2272"/>
      <c r="K100" s="2272"/>
      <c r="L100" s="2272"/>
      <c r="M100" s="2273"/>
      <c r="N100" s="2397"/>
      <c r="O100" s="2397"/>
      <c r="P100" s="2558"/>
      <c r="Q100" s="2399"/>
      <c r="R100" s="791"/>
      <c r="S100" s="791"/>
      <c r="T100" s="791"/>
      <c r="U100" s="791"/>
      <c r="V100" s="791"/>
      <c r="W100" s="791"/>
      <c r="X100" s="791"/>
      <c r="Y100" s="791"/>
      <c r="Z100" s="791"/>
      <c r="AA100" s="791"/>
      <c r="AB100" s="791"/>
      <c r="AC100" s="791"/>
    </row>
    <row r="101" s="2088" customFormat="true" ht="15" hidden="false" customHeight="false" outlineLevel="0" collapsed="false">
      <c r="A101" s="2201"/>
      <c r="B101" s="2192" t="s">
        <v>219</v>
      </c>
      <c r="C101" s="2404" t="s">
        <v>232</v>
      </c>
      <c r="D101" s="2404" t="s">
        <v>242</v>
      </c>
      <c r="E101" s="2404" t="s">
        <v>251</v>
      </c>
      <c r="F101" s="2404" t="s">
        <v>259</v>
      </c>
      <c r="G101" s="2404" t="s">
        <v>266</v>
      </c>
      <c r="H101" s="2265"/>
      <c r="I101" s="2265"/>
      <c r="J101" s="2265"/>
      <c r="K101" s="2265"/>
      <c r="L101" s="2265"/>
      <c r="M101" s="2660"/>
      <c r="N101" s="2397"/>
      <c r="O101" s="2397"/>
      <c r="P101" s="2558"/>
      <c r="Q101" s="2399"/>
      <c r="R101" s="791"/>
      <c r="S101" s="791"/>
      <c r="T101" s="791"/>
      <c r="U101" s="791"/>
      <c r="V101" s="791"/>
      <c r="W101" s="791"/>
      <c r="X101" s="791"/>
      <c r="Y101" s="791"/>
      <c r="Z101" s="791"/>
      <c r="AA101" s="791"/>
      <c r="AB101" s="791"/>
      <c r="AC101" s="791"/>
    </row>
    <row r="102" s="2088" customFormat="true" ht="15" hidden="false" customHeight="false" outlineLevel="0" collapsed="false">
      <c r="A102" s="2201"/>
      <c r="B102" s="2192"/>
      <c r="C102" s="2199" t="n">
        <v>100</v>
      </c>
      <c r="D102" s="2199" t="n">
        <f aca="false">C102-$K29</f>
        <v>100</v>
      </c>
      <c r="E102" s="2199" t="n">
        <f aca="false">D102-$K29</f>
        <v>100</v>
      </c>
      <c r="F102" s="2199" t="n">
        <f aca="false">E102-$K29</f>
        <v>100</v>
      </c>
      <c r="G102" s="2199" t="n">
        <f aca="false">F102-$K29</f>
        <v>100</v>
      </c>
      <c r="H102" s="2194"/>
      <c r="I102" s="2194"/>
      <c r="J102" s="2194"/>
      <c r="K102" s="2194"/>
      <c r="L102" s="2194"/>
      <c r="M102" s="2660"/>
      <c r="N102" s="2397"/>
      <c r="O102" s="2397"/>
      <c r="P102" s="2558"/>
      <c r="Q102" s="2399"/>
      <c r="R102" s="791"/>
      <c r="S102" s="791"/>
      <c r="T102" s="791"/>
      <c r="U102" s="791"/>
      <c r="V102" s="791"/>
      <c r="W102" s="791"/>
      <c r="X102" s="791"/>
      <c r="Y102" s="791"/>
      <c r="Z102" s="791"/>
      <c r="AA102" s="791"/>
      <c r="AB102" s="791"/>
      <c r="AC102" s="791"/>
    </row>
    <row r="103" customFormat="false" ht="15" hidden="false" customHeight="false" outlineLevel="0" collapsed="false">
      <c r="A103" s="2184"/>
      <c r="B103" s="2189" t="str">
        <f aca="false">B31</f>
        <v>临街状况</v>
      </c>
      <c r="C103" s="2233" t="s">
        <v>233</v>
      </c>
      <c r="D103" s="2233" t="s">
        <v>243</v>
      </c>
      <c r="E103" s="2233" t="s">
        <v>252</v>
      </c>
      <c r="F103" s="2233" t="s">
        <v>260</v>
      </c>
      <c r="G103" s="2229"/>
      <c r="H103" s="2229"/>
      <c r="I103" s="2229"/>
      <c r="J103" s="2229"/>
      <c r="K103" s="2230"/>
      <c r="L103" s="2231"/>
      <c r="M103" s="2232"/>
      <c r="N103" s="2394"/>
      <c r="O103" s="2394"/>
      <c r="P103" s="2557"/>
      <c r="Q103" s="2386"/>
      <c r="R103" s="2110"/>
      <c r="S103" s="2110"/>
      <c r="T103" s="2110"/>
      <c r="U103" s="2110"/>
      <c r="V103" s="2110"/>
      <c r="W103" s="2110"/>
      <c r="X103" s="2110"/>
      <c r="Y103" s="2110"/>
      <c r="Z103" s="2110"/>
      <c r="AA103" s="2110"/>
      <c r="AB103" s="2110"/>
      <c r="AC103" s="2110"/>
    </row>
    <row r="104" customFormat="false" ht="15" hidden="false" customHeight="false" outlineLevel="0" collapsed="false">
      <c r="A104" s="2184"/>
      <c r="B104" s="2191"/>
      <c r="C104" s="2199" t="n">
        <v>100</v>
      </c>
      <c r="D104" s="2199" t="n">
        <f aca="false">C104-$K31</f>
        <v>100</v>
      </c>
      <c r="E104" s="2199" t="n">
        <f aca="false">D104-$K31</f>
        <v>100</v>
      </c>
      <c r="F104" s="2199" t="n">
        <f aca="false">E104-$K31</f>
        <v>100</v>
      </c>
      <c r="G104" s="2199" t="n">
        <f aca="false">F104-$K31</f>
        <v>100</v>
      </c>
      <c r="H104" s="2199" t="n">
        <f aca="false">G104-$K31</f>
        <v>100</v>
      </c>
      <c r="I104" s="2199" t="n">
        <f aca="false">H104-$K31</f>
        <v>100</v>
      </c>
      <c r="J104" s="2199" t="n">
        <f aca="false">I104-$K31</f>
        <v>100</v>
      </c>
      <c r="K104" s="2199" t="n">
        <f aca="false">J104-$K31</f>
        <v>100</v>
      </c>
      <c r="L104" s="2199" t="n">
        <f aca="false">K104-$K31</f>
        <v>100</v>
      </c>
      <c r="M104" s="2199" t="n">
        <f aca="false">L104-$K31</f>
        <v>100</v>
      </c>
      <c r="N104" s="2396"/>
      <c r="O104" s="2396"/>
      <c r="P104" s="2557"/>
      <c r="Q104" s="2386"/>
      <c r="R104" s="2110"/>
      <c r="S104" s="2110"/>
      <c r="T104" s="2110"/>
      <c r="U104" s="2110"/>
      <c r="V104" s="2110"/>
      <c r="W104" s="2110"/>
      <c r="X104" s="2110"/>
      <c r="Y104" s="2110"/>
      <c r="Z104" s="2110"/>
      <c r="AA104" s="2110"/>
      <c r="AB104" s="2110"/>
      <c r="AC104" s="2110"/>
    </row>
    <row r="105" customFormat="false" ht="27" hidden="false" customHeight="false" outlineLevel="0" collapsed="false">
      <c r="A105" s="2184"/>
      <c r="B105" s="2189" t="s">
        <v>660</v>
      </c>
      <c r="C105" s="2202"/>
      <c r="D105" s="2202"/>
      <c r="E105" s="2202"/>
      <c r="F105" s="2202"/>
      <c r="G105" s="2202"/>
      <c r="H105" s="2190"/>
      <c r="I105" s="2190"/>
      <c r="J105" s="2190"/>
      <c r="K105" s="2246"/>
      <c r="L105" s="2247"/>
      <c r="M105" s="2248"/>
      <c r="N105" s="2394"/>
      <c r="O105" s="2394"/>
      <c r="P105" s="2557"/>
      <c r="Q105" s="2386"/>
      <c r="R105" s="2110"/>
      <c r="S105" s="2110"/>
      <c r="T105" s="2110"/>
      <c r="U105" s="2110"/>
      <c r="V105" s="2110"/>
      <c r="W105" s="2110"/>
      <c r="X105" s="2110"/>
      <c r="Y105" s="2110"/>
      <c r="Z105" s="2110"/>
      <c r="AA105" s="2110"/>
      <c r="AB105" s="2110"/>
      <c r="AC105" s="2110"/>
    </row>
    <row r="106" customFormat="false" ht="15" hidden="false" customHeight="false" outlineLevel="0" collapsed="false">
      <c r="A106" s="2184"/>
      <c r="B106" s="2191"/>
      <c r="C106" s="2199" t="n">
        <v>100</v>
      </c>
      <c r="D106" s="2199" t="n">
        <f aca="false">C106-$K32</f>
        <v>100</v>
      </c>
      <c r="E106" s="2199" t="n">
        <f aca="false">D106-$K32</f>
        <v>100</v>
      </c>
      <c r="F106" s="2199" t="n">
        <f aca="false">E106-$K32</f>
        <v>100</v>
      </c>
      <c r="G106" s="2199" t="n">
        <f aca="false">F106-$K32</f>
        <v>100</v>
      </c>
      <c r="H106" s="2199" t="n">
        <f aca="false">G106-$K32</f>
        <v>100</v>
      </c>
      <c r="I106" s="2199" t="n">
        <f aca="false">H106-$K32</f>
        <v>100</v>
      </c>
      <c r="J106" s="2199" t="n">
        <f aca="false">I106-$K32</f>
        <v>100</v>
      </c>
      <c r="K106" s="2199" t="n">
        <f aca="false">J106-$K32</f>
        <v>100</v>
      </c>
      <c r="L106" s="2199" t="n">
        <f aca="false">K106-$K32</f>
        <v>100</v>
      </c>
      <c r="M106" s="2199" t="n">
        <f aca="false">L106-$K32</f>
        <v>100</v>
      </c>
      <c r="N106" s="2396"/>
      <c r="O106" s="2396"/>
      <c r="P106" s="2557"/>
      <c r="Q106" s="2386"/>
      <c r="R106" s="2110"/>
      <c r="S106" s="2110"/>
      <c r="T106" s="2110"/>
      <c r="U106" s="2110"/>
      <c r="V106" s="2110"/>
      <c r="W106" s="2110"/>
      <c r="X106" s="2110"/>
      <c r="Y106" s="2110"/>
      <c r="Z106" s="2110"/>
      <c r="AA106" s="2110"/>
      <c r="AB106" s="2110"/>
      <c r="AC106" s="2110"/>
    </row>
    <row r="107" customFormat="false" ht="15" hidden="false" customHeight="false" outlineLevel="0" collapsed="false">
      <c r="A107" s="2184"/>
      <c r="B107" s="2189" t="s">
        <v>204</v>
      </c>
      <c r="C107" s="2190"/>
      <c r="D107" s="2190"/>
      <c r="E107" s="2190"/>
      <c r="F107" s="2190"/>
      <c r="G107" s="2190"/>
      <c r="H107" s="2190"/>
      <c r="I107" s="2190"/>
      <c r="J107" s="2190"/>
      <c r="K107" s="2246"/>
      <c r="L107" s="2247"/>
      <c r="M107" s="2248"/>
      <c r="N107" s="2394"/>
      <c r="O107" s="2394"/>
      <c r="P107" s="2557"/>
      <c r="Q107" s="2386"/>
      <c r="R107" s="2110"/>
      <c r="S107" s="2110"/>
      <c r="T107" s="2110"/>
      <c r="U107" s="2110"/>
      <c r="V107" s="2110"/>
      <c r="W107" s="2110"/>
      <c r="X107" s="2110"/>
      <c r="Y107" s="2110"/>
      <c r="Z107" s="2110"/>
      <c r="AA107" s="2110"/>
      <c r="AB107" s="2110"/>
      <c r="AC107" s="2110"/>
    </row>
    <row r="108" customFormat="false" ht="15" hidden="false" customHeight="false" outlineLevel="0" collapsed="false">
      <c r="A108" s="2184"/>
      <c r="B108" s="2191"/>
      <c r="C108" s="2199" t="n">
        <v>100</v>
      </c>
      <c r="D108" s="2199" t="n">
        <f aca="false">C108-$K34</f>
        <v>100</v>
      </c>
      <c r="E108" s="2199" t="n">
        <f aca="false">D108-$K34</f>
        <v>100</v>
      </c>
      <c r="F108" s="2199" t="n">
        <f aca="false">E108-$K34</f>
        <v>100</v>
      </c>
      <c r="G108" s="2199" t="n">
        <f aca="false">F108-$K34</f>
        <v>100</v>
      </c>
      <c r="H108" s="2199" t="n">
        <f aca="false">G108-$K34</f>
        <v>100</v>
      </c>
      <c r="I108" s="2199" t="n">
        <f aca="false">H108-$K34</f>
        <v>100</v>
      </c>
      <c r="J108" s="2199" t="n">
        <f aca="false">I108-$K34</f>
        <v>100</v>
      </c>
      <c r="K108" s="2199" t="n">
        <f aca="false">J108-$K34</f>
        <v>100</v>
      </c>
      <c r="L108" s="2199" t="n">
        <f aca="false">K108-$K34</f>
        <v>100</v>
      </c>
      <c r="M108" s="2199" t="n">
        <f aca="false">L108-$K34</f>
        <v>100</v>
      </c>
      <c r="N108" s="2396"/>
      <c r="O108" s="2396"/>
      <c r="P108" s="2557"/>
      <c r="Q108" s="2386"/>
      <c r="R108" s="2110"/>
      <c r="S108" s="2110"/>
      <c r="T108" s="2110"/>
      <c r="U108" s="2110"/>
      <c r="V108" s="2110"/>
      <c r="W108" s="2110"/>
      <c r="X108" s="2110"/>
      <c r="Y108" s="2110"/>
      <c r="Z108" s="2110"/>
      <c r="AA108" s="2110"/>
      <c r="AB108" s="2110"/>
      <c r="AC108" s="2110"/>
    </row>
    <row r="109" customFormat="false" ht="15" hidden="false" customHeight="false" outlineLevel="0" collapsed="false">
      <c r="A109" s="2184"/>
      <c r="B109" s="2192" t="n">
        <f aca="false">B35</f>
        <v>111</v>
      </c>
      <c r="C109" s="2202"/>
      <c r="D109" s="2202"/>
      <c r="E109" s="2202"/>
      <c r="F109" s="2202"/>
      <c r="G109" s="2249"/>
      <c r="H109" s="2249"/>
      <c r="I109" s="2249"/>
      <c r="J109" s="2249"/>
      <c r="K109" s="2250"/>
      <c r="L109" s="2251"/>
      <c r="M109" s="2252"/>
      <c r="N109" s="2394"/>
      <c r="O109" s="2394"/>
      <c r="P109" s="2557"/>
      <c r="Q109" s="2386"/>
      <c r="R109" s="2110"/>
      <c r="S109" s="2110"/>
      <c r="T109" s="2110"/>
      <c r="U109" s="2110"/>
      <c r="V109" s="2110"/>
      <c r="W109" s="2110"/>
      <c r="X109" s="2110"/>
      <c r="Y109" s="2110"/>
      <c r="Z109" s="2110"/>
      <c r="AA109" s="2110"/>
      <c r="AB109" s="2110"/>
      <c r="AC109" s="2110"/>
    </row>
    <row r="110" customFormat="false" ht="15" hidden="false" customHeight="false" outlineLevel="0" collapsed="false">
      <c r="A110" s="2184"/>
      <c r="B110" s="2219"/>
      <c r="C110" s="2209"/>
      <c r="D110" s="2209"/>
      <c r="E110" s="2209"/>
      <c r="F110" s="2209"/>
      <c r="G110" s="2254"/>
      <c r="H110" s="2254"/>
      <c r="I110" s="2254"/>
      <c r="J110" s="2254"/>
      <c r="K110" s="2254"/>
      <c r="L110" s="2254"/>
      <c r="M110" s="2255"/>
      <c r="N110" s="2396"/>
      <c r="O110" s="2396"/>
      <c r="P110" s="2557"/>
      <c r="Q110" s="2386"/>
      <c r="R110" s="2110"/>
      <c r="S110" s="2110"/>
      <c r="T110" s="2110"/>
      <c r="U110" s="2110"/>
      <c r="V110" s="2110"/>
      <c r="W110" s="2110"/>
      <c r="X110" s="2110"/>
      <c r="Y110" s="2110"/>
      <c r="Z110" s="2110"/>
      <c r="AA110" s="2110"/>
      <c r="AB110" s="2110"/>
      <c r="AC110" s="2110"/>
    </row>
    <row r="111" customFormat="false" ht="14.25" hidden="false" customHeight="false" outlineLevel="0" collapsed="false">
      <c r="A111" s="2588"/>
      <c r="B111" s="2189" t="n">
        <f aca="false">B36</f>
        <v>111</v>
      </c>
      <c r="C111" s="2169"/>
      <c r="D111" s="2169"/>
      <c r="E111" s="2169"/>
      <c r="F111" s="2169"/>
      <c r="G111" s="2190"/>
      <c r="H111" s="2190"/>
      <c r="I111" s="2190"/>
      <c r="J111" s="2190"/>
      <c r="K111" s="2246"/>
      <c r="L111" s="2247"/>
      <c r="M111" s="2248"/>
      <c r="N111" s="2394"/>
      <c r="O111" s="2394"/>
      <c r="P111" s="2557"/>
      <c r="Q111" s="2386"/>
      <c r="R111" s="2110"/>
      <c r="S111" s="2110"/>
      <c r="T111" s="2110"/>
      <c r="U111" s="2110"/>
      <c r="V111" s="2110"/>
      <c r="W111" s="2110"/>
      <c r="X111" s="2110"/>
      <c r="Y111" s="2110"/>
      <c r="Z111" s="2110"/>
      <c r="AA111" s="2110"/>
      <c r="AB111" s="2110"/>
      <c r="AC111" s="2110"/>
    </row>
    <row r="112" customFormat="false" ht="15" hidden="false" customHeight="false" outlineLevel="0" collapsed="false">
      <c r="A112" s="2184"/>
      <c r="B112" s="2191"/>
      <c r="C112" s="2220"/>
      <c r="D112" s="2220"/>
      <c r="E112" s="2220"/>
      <c r="F112" s="2220"/>
      <c r="G112" s="2186"/>
      <c r="H112" s="2186"/>
      <c r="I112" s="2186"/>
      <c r="J112" s="2186"/>
      <c r="K112" s="2186"/>
      <c r="L112" s="2186"/>
      <c r="M112" s="2187"/>
      <c r="N112" s="2396"/>
      <c r="O112" s="2396"/>
      <c r="P112" s="2557"/>
      <c r="Q112" s="2386"/>
      <c r="R112" s="2110"/>
      <c r="S112" s="2110"/>
      <c r="T112" s="2110"/>
      <c r="U112" s="2110"/>
      <c r="V112" s="2110"/>
      <c r="W112" s="2110"/>
      <c r="X112" s="2110"/>
      <c r="Y112" s="2110"/>
      <c r="Z112" s="2110"/>
      <c r="AA112" s="2110"/>
      <c r="AB112" s="2110"/>
      <c r="AC112" s="2110"/>
    </row>
    <row r="113" s="2088" customFormat="true" ht="14.25" hidden="false" customHeight="false" outlineLevel="0" collapsed="false">
      <c r="A113" s="2257"/>
      <c r="B113" s="2258" t="n">
        <f aca="false">B37</f>
        <v>111</v>
      </c>
      <c r="C113" s="2259"/>
      <c r="D113" s="2259"/>
      <c r="E113" s="2259"/>
      <c r="F113" s="2259"/>
      <c r="G113" s="2259"/>
      <c r="H113" s="2259"/>
      <c r="I113" s="2259"/>
      <c r="J113" s="2260"/>
      <c r="K113" s="2260"/>
      <c r="L113" s="2261"/>
      <c r="M113" s="2262"/>
      <c r="N113" s="2397"/>
      <c r="O113" s="2397"/>
      <c r="P113" s="2558"/>
      <c r="Q113" s="2399"/>
      <c r="R113" s="791"/>
      <c r="S113" s="791"/>
      <c r="T113" s="791"/>
      <c r="U113" s="791"/>
      <c r="V113" s="791"/>
      <c r="W113" s="791"/>
      <c r="X113" s="791"/>
      <c r="Y113" s="791"/>
      <c r="Z113" s="791"/>
      <c r="AA113" s="791"/>
      <c r="AB113" s="791"/>
      <c r="AC113" s="791"/>
    </row>
    <row r="114" s="2088" customFormat="true" ht="15" hidden="false" customHeight="false" outlineLevel="0" collapsed="false">
      <c r="A114" s="2201"/>
      <c r="B114" s="2192"/>
      <c r="C114" s="2159"/>
      <c r="D114" s="2661"/>
      <c r="E114" s="2661"/>
      <c r="F114" s="2661"/>
      <c r="G114" s="2661"/>
      <c r="H114" s="2661"/>
      <c r="I114" s="2661"/>
      <c r="J114" s="2661"/>
      <c r="K114" s="2661"/>
      <c r="L114" s="2661"/>
      <c r="M114" s="2662"/>
      <c r="N114" s="2396"/>
      <c r="O114" s="2396"/>
      <c r="P114" s="2558"/>
      <c r="Q114" s="2399"/>
      <c r="R114" s="791"/>
      <c r="S114" s="791"/>
      <c r="T114" s="791"/>
      <c r="U114" s="791"/>
      <c r="V114" s="791"/>
      <c r="W114" s="791"/>
      <c r="X114" s="791"/>
      <c r="Y114" s="791"/>
      <c r="Z114" s="791"/>
      <c r="AA114" s="791"/>
      <c r="AB114" s="791"/>
      <c r="AC114" s="791"/>
    </row>
    <row r="115" customFormat="false" ht="14.25" hidden="false" customHeight="false" outlineLevel="0" collapsed="false">
      <c r="A115" s="2175" t="s">
        <v>1292</v>
      </c>
      <c r="B115" s="2176" t="s">
        <v>1575</v>
      </c>
      <c r="C115" s="2177" t="str">
        <f aca="false">C116&amp;"(含)"&amp;"-"&amp;D116</f>
        <v>(含)-</v>
      </c>
      <c r="D115" s="2177" t="str">
        <f aca="false">D116&amp;"(含)"&amp;"-"&amp;E116</f>
        <v>(含)-</v>
      </c>
      <c r="E115" s="2177" t="str">
        <f aca="false">E116&amp;"(含)"&amp;"-"&amp;F116</f>
        <v>(含)-</v>
      </c>
      <c r="F115" s="2177" t="str">
        <f aca="false">F116&amp;"(含)"&amp;"-"&amp;G116</f>
        <v>(含)-</v>
      </c>
      <c r="G115" s="2177" t="str">
        <f aca="false">G116&amp;"(含)"&amp;"-"&amp;H116</f>
        <v>(含)-</v>
      </c>
      <c r="H115" s="2177" t="str">
        <f aca="false">H116&amp;"(含)"&amp;"-"&amp;I116</f>
        <v>(含)-</v>
      </c>
      <c r="I115" s="2177" t="str">
        <f aca="false">I116&amp;"(含)"&amp;"-"&amp;J116</f>
        <v>(含)-</v>
      </c>
      <c r="J115" s="2177" t="str">
        <f aca="false">J116&amp;"(含)"&amp;"-"&amp;K116</f>
        <v>(含)-</v>
      </c>
      <c r="K115" s="2177" t="str">
        <f aca="false">K116&amp;"(含)"&amp;"-"&amp;L116</f>
        <v>(含)-</v>
      </c>
      <c r="L115" s="2177" t="str">
        <f aca="false">L116&amp;"(含)"&amp;"-"&amp;M116</f>
        <v>(含)-</v>
      </c>
      <c r="M115" s="2177" t="str">
        <f aca="false">M116&amp;"(含)"&amp;"-"&amp;N116</f>
        <v>(含)-</v>
      </c>
      <c r="N115" s="2394"/>
      <c r="O115" s="2394"/>
      <c r="P115" s="2557"/>
      <c r="Q115" s="2386"/>
      <c r="R115" s="2110"/>
      <c r="S115" s="2110"/>
      <c r="T115" s="2110"/>
      <c r="U115" s="2110"/>
      <c r="V115" s="2110"/>
      <c r="W115" s="2110"/>
      <c r="X115" s="2110"/>
      <c r="Y115" s="2110"/>
      <c r="Z115" s="2110"/>
      <c r="AA115" s="2110"/>
      <c r="AB115" s="2110"/>
      <c r="AC115" s="2110"/>
    </row>
    <row r="116" customFormat="false" ht="15" hidden="false" customHeight="false" outlineLevel="0" collapsed="false">
      <c r="A116" s="2184"/>
      <c r="B116" s="2192"/>
      <c r="C116" s="2259"/>
      <c r="D116" s="2259"/>
      <c r="E116" s="2259"/>
      <c r="F116" s="2259"/>
      <c r="G116" s="2259"/>
      <c r="H116" s="2259"/>
      <c r="I116" s="2259"/>
      <c r="J116" s="2260"/>
      <c r="K116" s="2260"/>
      <c r="L116" s="2261"/>
      <c r="M116" s="2262"/>
      <c r="N116" s="2394"/>
      <c r="O116" s="2394"/>
      <c r="P116" s="2557"/>
      <c r="Q116" s="2386"/>
      <c r="R116" s="2110"/>
      <c r="S116" s="2110"/>
      <c r="T116" s="2110"/>
      <c r="U116" s="2110"/>
      <c r="V116" s="2110"/>
      <c r="W116" s="2110"/>
      <c r="X116" s="2110"/>
      <c r="Y116" s="2110"/>
      <c r="Z116" s="2110"/>
      <c r="AA116" s="2110"/>
      <c r="AB116" s="2110"/>
      <c r="AC116" s="2110"/>
    </row>
    <row r="117" customFormat="false" ht="15" hidden="false" customHeight="false" outlineLevel="0" collapsed="false">
      <c r="A117" s="2184"/>
      <c r="B117" s="2191"/>
      <c r="C117" s="2220"/>
      <c r="D117" s="2254"/>
      <c r="E117" s="2254"/>
      <c r="F117" s="2254"/>
      <c r="G117" s="2254"/>
      <c r="H117" s="2254"/>
      <c r="I117" s="2254"/>
      <c r="J117" s="2254"/>
      <c r="K117" s="2254"/>
      <c r="L117" s="2254"/>
      <c r="M117" s="2255"/>
      <c r="N117" s="2396"/>
      <c r="O117" s="2396"/>
      <c r="P117" s="2557"/>
      <c r="Q117" s="2386"/>
      <c r="R117" s="2110"/>
      <c r="S117" s="2110"/>
      <c r="T117" s="2110"/>
      <c r="U117" s="2110"/>
      <c r="V117" s="2110"/>
      <c r="W117" s="2110"/>
      <c r="X117" s="2110"/>
      <c r="Y117" s="2110"/>
      <c r="Z117" s="2110"/>
      <c r="AA117" s="2110"/>
      <c r="AB117" s="2110"/>
      <c r="AC117" s="2110"/>
    </row>
    <row r="118" customFormat="false" ht="14.25" hidden="false" customHeight="false" outlineLevel="0" collapsed="false">
      <c r="A118" s="2263"/>
      <c r="B118" s="2189" t="s">
        <v>1576</v>
      </c>
      <c r="C118" s="2190"/>
      <c r="D118" s="2190"/>
      <c r="E118" s="2190"/>
      <c r="F118" s="2190"/>
      <c r="G118" s="2190"/>
      <c r="H118" s="2190"/>
      <c r="I118" s="2190"/>
      <c r="J118" s="2190"/>
      <c r="K118" s="2246"/>
      <c r="L118" s="2247"/>
      <c r="M118" s="2248"/>
      <c r="N118" s="2394"/>
      <c r="O118" s="2394"/>
      <c r="P118" s="2557"/>
      <c r="Q118" s="2386"/>
      <c r="R118" s="2110"/>
      <c r="S118" s="2110"/>
      <c r="T118" s="2110"/>
      <c r="U118" s="2110"/>
      <c r="V118" s="2110"/>
      <c r="W118" s="2110"/>
      <c r="X118" s="2110"/>
      <c r="Y118" s="2110"/>
      <c r="Z118" s="2110"/>
      <c r="AA118" s="2110"/>
      <c r="AB118" s="2110"/>
      <c r="AC118" s="2110"/>
    </row>
    <row r="119" customFormat="false" ht="15" hidden="false" customHeight="false" outlineLevel="0" collapsed="false">
      <c r="A119" s="2184"/>
      <c r="B119" s="2191"/>
      <c r="C119" s="2199" t="n">
        <v>100</v>
      </c>
      <c r="D119" s="2199" t="n">
        <f aca="false">C119-$K39</f>
        <v>100</v>
      </c>
      <c r="E119" s="2199" t="n">
        <f aca="false">D119-$K39</f>
        <v>100</v>
      </c>
      <c r="F119" s="2199" t="n">
        <f aca="false">E119-$K39</f>
        <v>100</v>
      </c>
      <c r="G119" s="2199" t="n">
        <f aca="false">F119-$K39</f>
        <v>100</v>
      </c>
      <c r="H119" s="2199" t="n">
        <f aca="false">G119-$K39</f>
        <v>100</v>
      </c>
      <c r="I119" s="2199" t="n">
        <f aca="false">H119-$K39</f>
        <v>100</v>
      </c>
      <c r="J119" s="2199" t="n">
        <f aca="false">I119-$K39</f>
        <v>100</v>
      </c>
      <c r="K119" s="2199" t="n">
        <f aca="false">J119-$K39</f>
        <v>100</v>
      </c>
      <c r="L119" s="2199" t="n">
        <f aca="false">K119-$K39</f>
        <v>100</v>
      </c>
      <c r="M119" s="2200" t="n">
        <f aca="false">L119-$K39</f>
        <v>100</v>
      </c>
      <c r="N119" s="2396"/>
      <c r="O119" s="2396"/>
      <c r="P119" s="2557"/>
      <c r="Q119" s="2386"/>
      <c r="R119" s="2110"/>
      <c r="S119" s="2110"/>
      <c r="T119" s="2110"/>
      <c r="U119" s="2110"/>
      <c r="V119" s="2110"/>
      <c r="W119" s="2110"/>
      <c r="X119" s="2110"/>
      <c r="Y119" s="2110"/>
      <c r="Z119" s="2110"/>
      <c r="AA119" s="2110"/>
      <c r="AB119" s="2110"/>
      <c r="AC119" s="2110"/>
    </row>
    <row r="120" customFormat="false" ht="14.25" hidden="false" customHeight="false" outlineLevel="0" collapsed="false">
      <c r="A120" s="2263"/>
      <c r="B120" s="2189" t="s">
        <v>1577</v>
      </c>
      <c r="C120" s="2202"/>
      <c r="D120" s="2202"/>
      <c r="E120" s="2202"/>
      <c r="F120" s="2190"/>
      <c r="G120" s="2190"/>
      <c r="H120" s="2190"/>
      <c r="I120" s="2190"/>
      <c r="J120" s="2190"/>
      <c r="K120" s="2246"/>
      <c r="L120" s="2247"/>
      <c r="M120" s="2248"/>
      <c r="N120" s="2394"/>
      <c r="O120" s="2394"/>
      <c r="P120" s="2557"/>
      <c r="Q120" s="2386"/>
      <c r="R120" s="2110"/>
      <c r="S120" s="2110"/>
      <c r="T120" s="2110"/>
      <c r="U120" s="2110"/>
      <c r="V120" s="2110"/>
      <c r="W120" s="2110"/>
      <c r="X120" s="2110"/>
      <c r="Y120" s="2110"/>
      <c r="Z120" s="2110"/>
      <c r="AA120" s="2110"/>
      <c r="AB120" s="2110"/>
      <c r="AC120" s="2110"/>
    </row>
    <row r="121" customFormat="false" ht="15" hidden="false" customHeight="false" outlineLevel="0" collapsed="false">
      <c r="A121" s="2184"/>
      <c r="B121" s="2191"/>
      <c r="C121" s="2199" t="n">
        <v>100</v>
      </c>
      <c r="D121" s="2199" t="n">
        <f aca="false">C121-$K40</f>
        <v>100</v>
      </c>
      <c r="E121" s="2199" t="n">
        <f aca="false">D121-$K40</f>
        <v>100</v>
      </c>
      <c r="F121" s="2199" t="n">
        <f aca="false">E121-$K40</f>
        <v>100</v>
      </c>
      <c r="G121" s="2199" t="n">
        <f aca="false">F121-$K40</f>
        <v>100</v>
      </c>
      <c r="H121" s="2199" t="n">
        <f aca="false">G121-$K40</f>
        <v>100</v>
      </c>
      <c r="I121" s="2199" t="n">
        <f aca="false">H121-$K40</f>
        <v>100</v>
      </c>
      <c r="J121" s="2199" t="n">
        <f aca="false">I121-$K40</f>
        <v>100</v>
      </c>
      <c r="K121" s="2199" t="n">
        <f aca="false">J121-$K40</f>
        <v>100</v>
      </c>
      <c r="L121" s="2199" t="n">
        <f aca="false">K121-$K40</f>
        <v>100</v>
      </c>
      <c r="M121" s="2200" t="n">
        <f aca="false">L121-$K40</f>
        <v>100</v>
      </c>
      <c r="N121" s="2396"/>
      <c r="O121" s="2396"/>
      <c r="P121" s="2557"/>
      <c r="Q121" s="2386"/>
      <c r="R121" s="2110"/>
      <c r="S121" s="2110"/>
      <c r="T121" s="2110"/>
      <c r="U121" s="2110"/>
      <c r="V121" s="2110"/>
      <c r="W121" s="2110"/>
      <c r="X121" s="2110"/>
      <c r="Y121" s="2110"/>
      <c r="Z121" s="2110"/>
      <c r="AA121" s="2110"/>
      <c r="AB121" s="2110"/>
      <c r="AC121" s="2110"/>
    </row>
    <row r="122" s="2088" customFormat="true" ht="14.25" hidden="false" customHeight="false" outlineLevel="0" collapsed="false">
      <c r="A122" s="2257"/>
      <c r="B122" s="2189" t="s">
        <v>1578</v>
      </c>
      <c r="C122" s="2202"/>
      <c r="D122" s="2202"/>
      <c r="E122" s="2202"/>
      <c r="F122" s="2202"/>
      <c r="G122" s="2202"/>
      <c r="H122" s="2190"/>
      <c r="I122" s="2190"/>
      <c r="J122" s="2190"/>
      <c r="K122" s="2246"/>
      <c r="L122" s="2247"/>
      <c r="M122" s="2248"/>
      <c r="N122" s="2397"/>
      <c r="O122" s="2397"/>
      <c r="P122" s="2558"/>
      <c r="Q122" s="2399"/>
      <c r="R122" s="791"/>
      <c r="S122" s="791"/>
      <c r="T122" s="791"/>
      <c r="U122" s="791"/>
      <c r="V122" s="791"/>
      <c r="W122" s="791"/>
      <c r="X122" s="791"/>
      <c r="Y122" s="791"/>
      <c r="Z122" s="791"/>
      <c r="AA122" s="791"/>
      <c r="AB122" s="791"/>
      <c r="AC122" s="791"/>
    </row>
    <row r="123" s="2088" customFormat="true" ht="15" hidden="false" customHeight="false" outlineLevel="0" collapsed="false">
      <c r="A123" s="2201"/>
      <c r="B123" s="2191"/>
      <c r="C123" s="2199" t="n">
        <v>100</v>
      </c>
      <c r="D123" s="2199" t="n">
        <f aca="false">C123-$K41</f>
        <v>100</v>
      </c>
      <c r="E123" s="2199" t="n">
        <f aca="false">D123-$K41</f>
        <v>100</v>
      </c>
      <c r="F123" s="2199" t="n">
        <f aca="false">E123-$K41</f>
        <v>100</v>
      </c>
      <c r="G123" s="2199" t="n">
        <f aca="false">F123-$K41</f>
        <v>100</v>
      </c>
      <c r="H123" s="2199" t="n">
        <f aca="false">G123-$K41</f>
        <v>100</v>
      </c>
      <c r="I123" s="2199" t="n">
        <f aca="false">H123-$K41</f>
        <v>100</v>
      </c>
      <c r="J123" s="2199" t="n">
        <f aca="false">I123-$K41</f>
        <v>100</v>
      </c>
      <c r="K123" s="2199" t="n">
        <f aca="false">J123-$K41</f>
        <v>100</v>
      </c>
      <c r="L123" s="2199" t="n">
        <f aca="false">K123-$K41</f>
        <v>100</v>
      </c>
      <c r="M123" s="2200" t="n">
        <f aca="false">L123-$K41</f>
        <v>100</v>
      </c>
      <c r="N123" s="2397"/>
      <c r="O123" s="2397"/>
      <c r="P123" s="2558"/>
      <c r="Q123" s="2399"/>
      <c r="R123" s="791"/>
      <c r="S123" s="791"/>
      <c r="T123" s="791"/>
      <c r="U123" s="791"/>
      <c r="V123" s="791"/>
      <c r="W123" s="791"/>
      <c r="X123" s="791"/>
      <c r="Y123" s="791"/>
      <c r="Z123" s="791"/>
      <c r="AA123" s="791"/>
      <c r="AB123" s="791"/>
      <c r="AC123" s="791"/>
    </row>
    <row r="124" customFormat="false" ht="14.25" hidden="false" customHeight="false" outlineLevel="0" collapsed="false">
      <c r="A124" s="2263"/>
      <c r="B124" s="2189" t="s">
        <v>1579</v>
      </c>
      <c r="C124" s="2202"/>
      <c r="D124" s="2202"/>
      <c r="E124" s="2190"/>
      <c r="F124" s="2190"/>
      <c r="G124" s="2190"/>
      <c r="H124" s="2190"/>
      <c r="I124" s="2190"/>
      <c r="J124" s="2190"/>
      <c r="K124" s="2246"/>
      <c r="L124" s="2247"/>
      <c r="M124" s="2248"/>
      <c r="N124" s="2394"/>
      <c r="O124" s="2394"/>
      <c r="P124" s="2557"/>
      <c r="Q124" s="2386"/>
      <c r="R124" s="2110"/>
      <c r="S124" s="2110"/>
      <c r="T124" s="2110"/>
      <c r="U124" s="2110"/>
      <c r="V124" s="2110"/>
      <c r="W124" s="2110"/>
      <c r="X124" s="2110"/>
      <c r="Y124" s="2110"/>
      <c r="Z124" s="2110"/>
      <c r="AA124" s="2110"/>
      <c r="AB124" s="2110"/>
      <c r="AC124" s="2110"/>
    </row>
    <row r="125" customFormat="false" ht="15" hidden="false" customHeight="false" outlineLevel="0" collapsed="false">
      <c r="A125" s="2184"/>
      <c r="B125" s="2191"/>
      <c r="C125" s="2199" t="n">
        <v>100</v>
      </c>
      <c r="D125" s="2199" t="n">
        <f aca="false">C125-$K42</f>
        <v>100</v>
      </c>
      <c r="E125" s="2199" t="n">
        <f aca="false">D125-$K42</f>
        <v>100</v>
      </c>
      <c r="F125" s="2199" t="n">
        <f aca="false">E125-$K42</f>
        <v>100</v>
      </c>
      <c r="G125" s="2199" t="n">
        <f aca="false">F125-$K42</f>
        <v>100</v>
      </c>
      <c r="H125" s="2199" t="n">
        <f aca="false">G125-$K42</f>
        <v>100</v>
      </c>
      <c r="I125" s="2199" t="n">
        <f aca="false">H125-$K42</f>
        <v>100</v>
      </c>
      <c r="J125" s="2199" t="n">
        <f aca="false">I125-$K42</f>
        <v>100</v>
      </c>
      <c r="K125" s="2199" t="n">
        <f aca="false">J125-$K42</f>
        <v>100</v>
      </c>
      <c r="L125" s="2199" t="n">
        <f aca="false">K125-$K42</f>
        <v>100</v>
      </c>
      <c r="M125" s="2200" t="n">
        <f aca="false">L125-$K42</f>
        <v>100</v>
      </c>
      <c r="N125" s="2396"/>
      <c r="O125" s="2396"/>
      <c r="P125" s="2557"/>
      <c r="Q125" s="2386"/>
      <c r="R125" s="2110"/>
      <c r="S125" s="2110"/>
      <c r="T125" s="2110"/>
      <c r="U125" s="2110"/>
      <c r="V125" s="2110"/>
      <c r="W125" s="2110"/>
      <c r="X125" s="2110"/>
      <c r="Y125" s="2110"/>
      <c r="Z125" s="2110"/>
      <c r="AA125" s="2110"/>
      <c r="AB125" s="2110"/>
      <c r="AC125" s="2110"/>
    </row>
    <row r="126" customFormat="false" ht="14.25" hidden="false" customHeight="false" outlineLevel="0" collapsed="false">
      <c r="A126" s="2263"/>
      <c r="B126" s="2189" t="n">
        <f aca="false">B43</f>
        <v>111</v>
      </c>
      <c r="C126" s="2202"/>
      <c r="D126" s="2202"/>
      <c r="E126" s="2202"/>
      <c r="F126" s="2202"/>
      <c r="G126" s="2202"/>
      <c r="H126" s="2190"/>
      <c r="I126" s="2190"/>
      <c r="J126" s="2190"/>
      <c r="K126" s="2246"/>
      <c r="L126" s="2247"/>
      <c r="M126" s="2248"/>
      <c r="N126" s="2394"/>
      <c r="O126" s="2394"/>
      <c r="P126" s="2557"/>
      <c r="Q126" s="2386"/>
      <c r="R126" s="2110"/>
      <c r="S126" s="2110"/>
      <c r="T126" s="2110"/>
      <c r="U126" s="2110"/>
      <c r="V126" s="2110"/>
      <c r="W126" s="2110"/>
      <c r="X126" s="2110"/>
      <c r="Y126" s="2110"/>
      <c r="Z126" s="2110"/>
      <c r="AA126" s="2110"/>
      <c r="AB126" s="2110"/>
      <c r="AC126" s="2110"/>
    </row>
    <row r="127" customFormat="false" ht="15" hidden="false" customHeight="false" outlineLevel="0" collapsed="false">
      <c r="A127" s="2184"/>
      <c r="B127" s="2191"/>
      <c r="C127" s="2209"/>
      <c r="D127" s="2209"/>
      <c r="E127" s="2209"/>
      <c r="F127" s="2209"/>
      <c r="G127" s="2186"/>
      <c r="H127" s="2186"/>
      <c r="I127" s="2186"/>
      <c r="J127" s="2186"/>
      <c r="K127" s="2186"/>
      <c r="L127" s="2186"/>
      <c r="M127" s="2187"/>
      <c r="N127" s="2396"/>
      <c r="O127" s="2396"/>
      <c r="P127" s="2557"/>
      <c r="Q127" s="2386"/>
      <c r="R127" s="2110"/>
      <c r="S127" s="2110"/>
      <c r="T127" s="2110"/>
      <c r="U127" s="2110"/>
      <c r="V127" s="2110"/>
      <c r="W127" s="2110"/>
      <c r="X127" s="2110"/>
      <c r="Y127" s="2110"/>
      <c r="Z127" s="2110"/>
      <c r="AA127" s="2110"/>
      <c r="AB127" s="2110"/>
      <c r="AC127" s="2110"/>
    </row>
    <row r="128" customFormat="false" ht="14.25" hidden="false" customHeight="false" outlineLevel="0" collapsed="false">
      <c r="A128" s="2263"/>
      <c r="B128" s="2189" t="n">
        <f aca="false">B44</f>
        <v>111</v>
      </c>
      <c r="C128" s="2169"/>
      <c r="D128" s="2169"/>
      <c r="E128" s="2169"/>
      <c r="F128" s="2169"/>
      <c r="G128" s="2190"/>
      <c r="H128" s="2190"/>
      <c r="I128" s="2190"/>
      <c r="J128" s="2190"/>
      <c r="K128" s="2246"/>
      <c r="L128" s="2247"/>
      <c r="M128" s="2248"/>
      <c r="N128" s="2394"/>
      <c r="O128" s="2394"/>
      <c r="P128" s="2557"/>
      <c r="Q128" s="2386"/>
      <c r="R128" s="2110"/>
      <c r="S128" s="2110"/>
      <c r="T128" s="2110"/>
      <c r="U128" s="2110"/>
      <c r="V128" s="2110"/>
      <c r="W128" s="2110"/>
      <c r="X128" s="2110"/>
      <c r="Y128" s="2110"/>
      <c r="Z128" s="2110"/>
      <c r="AA128" s="2110"/>
      <c r="AB128" s="2110"/>
      <c r="AC128" s="2110"/>
    </row>
    <row r="129" customFormat="false" ht="15" hidden="false" customHeight="false" outlineLevel="0" collapsed="false">
      <c r="A129" s="2184"/>
      <c r="B129" s="2191"/>
      <c r="C129" s="2220"/>
      <c r="D129" s="2220"/>
      <c r="E129" s="2220"/>
      <c r="F129" s="2220"/>
      <c r="G129" s="2186"/>
      <c r="H129" s="2186"/>
      <c r="I129" s="2186"/>
      <c r="J129" s="2186"/>
      <c r="K129" s="2186"/>
      <c r="L129" s="2186"/>
      <c r="M129" s="2187"/>
      <c r="N129" s="2396"/>
      <c r="O129" s="2396"/>
      <c r="P129" s="2557"/>
      <c r="Q129" s="2386"/>
      <c r="R129" s="2110"/>
      <c r="S129" s="2110"/>
      <c r="T129" s="2110"/>
      <c r="U129" s="2110"/>
      <c r="V129" s="2110"/>
      <c r="W129" s="2110"/>
      <c r="X129" s="2110"/>
      <c r="Y129" s="2110"/>
      <c r="Z129" s="2110"/>
      <c r="AA129" s="2110"/>
      <c r="AB129" s="2110"/>
      <c r="AC129" s="2110"/>
    </row>
    <row r="130" s="2088" customFormat="true" ht="14.25" hidden="false" customHeight="false" outlineLevel="0" collapsed="false">
      <c r="A130" s="2257"/>
      <c r="B130" s="2189" t="n">
        <f aca="false">B45</f>
        <v>111</v>
      </c>
      <c r="C130" s="2169"/>
      <c r="D130" s="2169"/>
      <c r="E130" s="2169"/>
      <c r="F130" s="2169"/>
      <c r="G130" s="2203"/>
      <c r="H130" s="2203"/>
      <c r="I130" s="2203"/>
      <c r="J130" s="2203"/>
      <c r="K130" s="2203"/>
      <c r="L130" s="2204"/>
      <c r="M130" s="2205"/>
      <c r="N130" s="2397"/>
      <c r="O130" s="2397"/>
      <c r="P130" s="2558"/>
      <c r="Q130" s="2399"/>
      <c r="R130" s="791"/>
      <c r="S130" s="791"/>
      <c r="T130" s="791"/>
      <c r="U130" s="791"/>
      <c r="V130" s="791"/>
      <c r="W130" s="791"/>
      <c r="X130" s="791"/>
      <c r="Y130" s="791"/>
      <c r="Z130" s="791"/>
      <c r="AA130" s="791"/>
      <c r="AB130" s="791"/>
      <c r="AC130" s="791"/>
    </row>
    <row r="131" s="2088" customFormat="true" ht="15" hidden="false" customHeight="false" outlineLevel="0" collapsed="false">
      <c r="A131" s="2218"/>
      <c r="B131" s="2663"/>
      <c r="C131" s="2220"/>
      <c r="D131" s="2220"/>
      <c r="E131" s="2220"/>
      <c r="F131" s="2220"/>
      <c r="G131" s="2254"/>
      <c r="H131" s="2254"/>
      <c r="I131" s="2254"/>
      <c r="J131" s="2254"/>
      <c r="K131" s="2254"/>
      <c r="L131" s="2254"/>
      <c r="M131" s="2255"/>
      <c r="N131" s="2397"/>
      <c r="O131" s="2397"/>
      <c r="P131" s="2558"/>
      <c r="Q131" s="2399"/>
      <c r="R131" s="791"/>
      <c r="S131" s="791"/>
      <c r="T131" s="791"/>
      <c r="U131" s="791"/>
      <c r="V131" s="791"/>
      <c r="W131" s="791"/>
      <c r="X131" s="791"/>
      <c r="Y131" s="791"/>
      <c r="Z131" s="791"/>
      <c r="AA131" s="791"/>
      <c r="AB131" s="791"/>
      <c r="AC131" s="791"/>
    </row>
  </sheetData>
  <sheetProtection sheet="true" password="cee9" objects="true" scenarios="true" formatCells="false" formatColumns="false" formatRows="false"/>
  <mergeCells count="41">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4"/>
    <mergeCell ref="Y9:Y14"/>
    <mergeCell ref="P15:P35"/>
    <mergeCell ref="Y15:Y35"/>
    <mergeCell ref="P36:P45"/>
    <mergeCell ref="Y36:Y45"/>
    <mergeCell ref="P46:Q46"/>
    <mergeCell ref="R46:S46"/>
    <mergeCell ref="T46:U46"/>
    <mergeCell ref="V46:W46"/>
    <mergeCell ref="P47:Q47"/>
    <mergeCell ref="R47:S47"/>
    <mergeCell ref="T47:U47"/>
    <mergeCell ref="V47:W47"/>
    <mergeCell ref="P48:Q48"/>
    <mergeCell ref="R48:W48"/>
    <mergeCell ref="G55:H56"/>
  </mergeCells>
  <conditionalFormatting sqref="F47">
    <cfRule type="expression" priority="2" aboveAverage="0" equalAverage="0" bottom="0" percent="0" rank="0" text="" dxfId="189">
      <formula>$D$47="简单平均"</formula>
    </cfRule>
  </conditionalFormatting>
  <conditionalFormatting sqref="H47">
    <cfRule type="expression" priority="3" aboveAverage="0" equalAverage="0" bottom="0" percent="0" rank="0" text="" dxfId="190">
      <formula>$D$47="简单平均"</formula>
    </cfRule>
  </conditionalFormatting>
  <conditionalFormatting sqref="J47">
    <cfRule type="expression" priority="4" aboveAverage="0" equalAverage="0" bottom="0" percent="0" rank="0" text="" dxfId="191">
      <formula>$D$47="简单平均"</formula>
    </cfRule>
  </conditionalFormatting>
  <conditionalFormatting sqref="E51">
    <cfRule type="expression" priority="5" aboveAverage="0" equalAverage="0" bottom="0" percent="0" rank="0" text="" dxfId="192">
      <formula>$F$51="超过30%"</formula>
    </cfRule>
  </conditionalFormatting>
  <conditionalFormatting sqref="G51">
    <cfRule type="expression" priority="6" aboveAverage="0" equalAverage="0" bottom="0" percent="0" rank="0" text="" dxfId="193">
      <formula>$H$53+$H$51="超过30%"</formula>
    </cfRule>
  </conditionalFormatting>
  <conditionalFormatting sqref="I51">
    <cfRule type="expression" priority="7" aboveAverage="0" equalAverage="0" bottom="0" percent="0" rank="0" text="" dxfId="194">
      <formula>$J$51="超过30%"</formula>
    </cfRule>
  </conditionalFormatting>
  <conditionalFormatting sqref="E52">
    <cfRule type="expression" priority="8" aboveAverage="0" equalAverage="0" bottom="0" percent="0" rank="0" text="" dxfId="195">
      <formula>$F$52="超过20%"</formula>
    </cfRule>
  </conditionalFormatting>
  <conditionalFormatting sqref="G52">
    <cfRule type="expression" priority="9" aboveAverage="0" equalAverage="0" bottom="0" percent="0" rank="0" text="" dxfId="196">
      <formula>$H$52="超过20%"</formula>
    </cfRule>
  </conditionalFormatting>
  <conditionalFormatting sqref="I52">
    <cfRule type="expression" priority="10" aboveAverage="0" equalAverage="0" bottom="0" percent="0" rank="0" text="" dxfId="197">
      <formula>$J$52="超过20%"</formula>
    </cfRule>
  </conditionalFormatting>
  <conditionalFormatting sqref="E53">
    <cfRule type="expression" priority="11" aboveAverage="0" equalAverage="0" bottom="0" percent="0" rank="0" text="" dxfId="198">
      <formula>$F$53="超过30%"</formula>
    </cfRule>
  </conditionalFormatting>
  <conditionalFormatting sqref="F53">
    <cfRule type="containsText" priority="12" operator="containsText" aboveAverage="0" equalAverage="0" bottom="0" percent="0" rank="0" text="超过" dxfId="199">
      <formula>NOT(ISERROR(SEARCH("超过",F53)))</formula>
    </cfRule>
  </conditionalFormatting>
  <conditionalFormatting sqref="G53">
    <cfRule type="expression" priority="13" aboveAverage="0" equalAverage="0" bottom="0" percent="0" rank="0" text="" dxfId="200">
      <formula>$H$53="超过30%"</formula>
    </cfRule>
  </conditionalFormatting>
  <conditionalFormatting sqref="H53">
    <cfRule type="containsText" priority="14" operator="containsText" aboveAverage="0" equalAverage="0" bottom="0" percent="0" rank="0" text="超过" dxfId="201">
      <formula>NOT(ISERROR(SEARCH("超过",H53)))</formula>
    </cfRule>
  </conditionalFormatting>
  <conditionalFormatting sqref="I53">
    <cfRule type="expression" priority="15" aboveAverage="0" equalAverage="0" bottom="0" percent="0" rank="0" text="" dxfId="202">
      <formula>$J$53="超过30%"</formula>
    </cfRule>
  </conditionalFormatting>
  <conditionalFormatting sqref="J53">
    <cfRule type="containsText" priority="16" operator="containsText" aboveAverage="0" equalAverage="0" bottom="0" percent="0" rank="0" text="超过" dxfId="203">
      <formula>NOT(ISERROR(SEARCH("超过",J53)))</formula>
    </cfRule>
  </conditionalFormatting>
  <conditionalFormatting sqref="F7:F45 H7:H45 J7:J45">
    <cfRule type="cellIs" priority="17" operator="notEqual" aboveAverage="0" equalAverage="0" bottom="0" percent="0" rank="0" text="" dxfId="204">
      <formula>100</formula>
    </cfRule>
  </conditionalFormatting>
  <conditionalFormatting sqref="F51 H51 J51">
    <cfRule type="containsText" priority="18" operator="containsText" aboveAverage="0" equalAverage="0" bottom="0" percent="0" rank="0" text="超过" dxfId="205">
      <formula>NOT(ISERROR(SEARCH("超过",F51)))</formula>
    </cfRule>
  </conditionalFormatting>
  <conditionalFormatting sqref="F52 H52 J52">
    <cfRule type="containsText" priority="19" operator="containsText" aboveAverage="0" equalAverage="0" bottom="0" percent="0" rank="0" text="超过" dxfId="206">
      <formula>NOT(ISERROR(SEARCH("超过",F52)))</formula>
    </cfRule>
  </conditionalFormatting>
  <dataValidations count="25">
    <dataValidation allowBlank="true" operator="between" showDropDown="false" showErrorMessage="true" showInputMessage="true" sqref="C8 E8 G8 I8" type="list">
      <formula1>套综交易情况</formula1>
      <formula2>0</formula2>
    </dataValidation>
    <dataValidation allowBlank="true" operator="between" showDropDown="false" showErrorMessage="true" showInputMessage="true" sqref="C9 E9 G9 I9" type="list">
      <formula1>套综用途</formula1>
      <formula2>0</formula2>
    </dataValidation>
    <dataValidation allowBlank="true" operator="between" showDropDown="false" showErrorMessage="true" showInputMessage="true" sqref="C25" type="list">
      <formula1>住宅朝向</formula1>
      <formula2>0</formula2>
    </dataValidation>
    <dataValidation allowBlank="true" operator="between" showDropDown="false" showErrorMessage="true" showInputMessage="true" sqref="C39 E39 G39 I39" type="list">
      <formula1>套综宗地形状</formula1>
      <formula2>0</formula2>
    </dataValidation>
    <dataValidation allowBlank="true" operator="between" showDropDown="false" showErrorMessage="true" showInputMessage="true" sqref="C20 E20 G20 I20" type="list">
      <formula1>办公集聚程度</formula1>
      <formula2>0</formula2>
    </dataValidation>
    <dataValidation allowBlank="true" operator="between" showDropDown="false" showErrorMessage="true" showInputMessage="true" sqref="C16 E16 G16 I16" type="list">
      <formula1>居住社区成熟度</formula1>
      <formula2>0</formula2>
    </dataValidation>
    <dataValidation allowBlank="true" operator="between" showDropDown="false" showErrorMessage="true" showInputMessage="true" sqref="C18 E18 G18 I18" type="list">
      <formula1>商业繁华度</formula1>
      <formula2>0</formula2>
    </dataValidation>
    <dataValidation allowBlank="true" operator="between" showDropDown="false" showErrorMessage="true" showInputMessage="true" sqref="C24 E24 G24 I24" type="list">
      <formula1>区域土地利用方向</formula1>
      <formula2>0</formula2>
    </dataValidation>
    <dataValidation allowBlank="true" operator="between" showDropDown="false" showErrorMessage="true" showInputMessage="true" sqref="C22 E22 G22 I22" type="list">
      <formula1>交通便捷度</formula1>
      <formula2>0</formula2>
    </dataValidation>
    <dataValidation allowBlank="true" operator="between" showDropDown="false" showErrorMessage="true" showInputMessage="true" sqref="C26 E26 G26 I26" type="list">
      <formula1>环境</formula1>
      <formula2>0</formula2>
    </dataValidation>
    <dataValidation allowBlank="true" operator="between" showDropDown="false" showErrorMessage="true" showInputMessage="true" sqref="C28 E28 G28 I28" type="list">
      <formula1>公共配套设施</formula1>
      <formula2>0</formula2>
    </dataValidation>
    <dataValidation allowBlank="true" operator="between" showDropDown="false" showErrorMessage="true" showInputMessage="true" sqref="C34 E34 G34 I34" type="list">
      <formula1>套综土地级别</formula1>
      <formula2>0</formula2>
    </dataValidation>
    <dataValidation allowBlank="true" operator="between" showDropDown="false" showErrorMessage="true" showInputMessage="true" sqref="C30 E30 G30 I30" type="list">
      <formula1>基础设施水平</formula1>
      <formula2>0</formula2>
    </dataValidation>
    <dataValidation allowBlank="true" operator="between" showDropDown="false" showErrorMessage="true" showInputMessage="true" sqref="C31 E31 G31 I31" type="list">
      <formula1>临街状况</formula1>
      <formula2>0</formula2>
    </dataValidation>
    <dataValidation allowBlank="true" operator="between" showDropDown="false" showErrorMessage="true" showInputMessage="true" sqref="C33 E33 G33 I33" type="list">
      <formula1>套综道路等级</formula1>
      <formula2>0</formula2>
    </dataValidation>
    <dataValidation allowBlank="true" operator="between" showDropDown="false" showErrorMessage="true" showInputMessage="true" sqref="C40 E40 G40 I40" type="list">
      <formula1>套综临街宽度及深度</formula1>
      <formula2>0</formula2>
    </dataValidation>
    <dataValidation allowBlank="true" operator="between" showDropDown="false" showErrorMessage="true" showInputMessage="true" sqref="G61" type="list">
      <formula1>"商业,办公,住宅,工业"</formula1>
      <formula2>0</formula2>
    </dataValidation>
    <dataValidation allowBlank="true" operator="between" showDropDown="false" showErrorMessage="true" showInputMessage="true" sqref="C41 E41 G41 I41" type="list">
      <formula1>套综宗地内开发程度</formula1>
      <formula2>0</formula2>
    </dataValidation>
    <dataValidation allowBlank="true" operator="between" showDropDown="false" showErrorMessage="true" showInputMessage="true" sqref="C42 E42 G42 I42" type="list">
      <formula1>套综工程地质条件</formula1>
      <formula2>0</formula2>
    </dataValidation>
    <dataValidation allowBlank="true" operator="between" showDropDown="false" showErrorMessage="true" showInputMessage="true" sqref="B46" type="list">
      <formula1>单价内涵</formula1>
      <formula2>0</formula2>
    </dataValidation>
    <dataValidation allowBlank="true" operator="between" showDropDown="false" showErrorMessage="true" showInputMessage="true" sqref="D47" type="list">
      <formula1>"简单平均,加权平均"</formula1>
      <formula2>0</formula2>
    </dataValidation>
    <dataValidation allowBlank="true" operator="between" showDropDown="false" showErrorMessage="true" showInputMessage="true" sqref="C55" type="list">
      <formula1>"北京市系数,其他省市系数"</formula1>
      <formula2>0</formula2>
    </dataValidation>
    <dataValidation allowBlank="true" operator="between" showDropDown="false" showErrorMessage="true" showInputMessage="true" sqref="G62" type="list">
      <formula1>"住宅,工业"</formula1>
      <formula2>0</formula2>
    </dataValidation>
    <dataValidation allowBlank="true" operator="between" showDropDown="false" showErrorMessage="true" showInputMessage="true" sqref="A70" type="list">
      <formula1>"综合,商业,办公,住宅"</formula1>
      <formula2>0</formula2>
    </dataValidation>
    <dataValidation allowBlank="true" operator="between" showDropDown="false" showErrorMessage="true" showInputMessage="true" sqref="D57:D64" type="list">
      <formula1>"25%,1"</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4.xml><?xml version="1.0" encoding="utf-8"?>
<worksheet xmlns="http://schemas.openxmlformats.org/spreadsheetml/2006/main" xmlns:r="http://schemas.openxmlformats.org/officeDocument/2006/relationships">
  <sheetPr filterMode="false">
    <pageSetUpPr fitToPage="true"/>
  </sheetPr>
  <dimension ref="A1:AE123"/>
  <sheetViews>
    <sheetView showFormulas="false" showGridLines="true" showRowColHeaders="true" showZeros="true" rightToLeft="false" tabSelected="false" showOutlineSymbols="true" defaultGridColor="true" view="pageBreakPreview" topLeftCell="A1" colorId="64" zoomScale="100" zoomScaleNormal="60" zoomScalePageLayoutView="100" workbookViewId="0">
      <selection pane="topLeft" activeCell="E2" activeCellId="0" sqref="E2"/>
    </sheetView>
  </sheetViews>
  <sheetFormatPr defaultRowHeight="14.25" zeroHeight="false" outlineLevelRow="0" outlineLevelCol="0"/>
  <cols>
    <col collapsed="false" customWidth="true" hidden="false" outlineLevel="0" max="1" min="1" style="1913" width="14.38"/>
    <col collapsed="false" customWidth="true" hidden="false" outlineLevel="0" max="2" min="2" style="1913" width="15.76"/>
    <col collapsed="false" customWidth="true" hidden="false" outlineLevel="0" max="3" min="3" style="1913" width="14.38"/>
    <col collapsed="false" customWidth="true" hidden="false" outlineLevel="0" max="4" min="4" style="1913" width="12.26"/>
    <col collapsed="false" customWidth="true" hidden="false" outlineLevel="0" max="5" min="5" style="1913" width="14.38"/>
    <col collapsed="false" customWidth="true" hidden="false" outlineLevel="0" max="6" min="6" style="1913" width="12.26"/>
    <col collapsed="false" customWidth="true" hidden="false" outlineLevel="0" max="7" min="7" style="1913" width="14.5"/>
    <col collapsed="false" customWidth="true" hidden="false" outlineLevel="0" max="8" min="8" style="1913" width="12.26"/>
    <col collapsed="false" customWidth="true" hidden="false" outlineLevel="0" max="9" min="9" style="1913" width="14.5"/>
    <col collapsed="false" customWidth="true" hidden="false" outlineLevel="0" max="10" min="10" style="1913" width="12.26"/>
    <col collapsed="false" customWidth="true" hidden="false" outlineLevel="0" max="11" min="11" style="1914" width="12.26"/>
    <col collapsed="false" customWidth="true" hidden="false" outlineLevel="0" max="12" min="12" style="1915" width="12.26"/>
    <col collapsed="false" customWidth="true" hidden="false" outlineLevel="0" max="15" min="13" style="1913" width="12.26"/>
    <col collapsed="false" customWidth="true" hidden="false" outlineLevel="0" max="16" min="16" style="1913" width="4.76"/>
    <col collapsed="false" customWidth="true" hidden="false" outlineLevel="0" max="17" min="17" style="1913" width="19.51"/>
    <col collapsed="false" customWidth="true" hidden="false" outlineLevel="0" max="22" min="18" style="1913" width="6.13"/>
    <col collapsed="false" customWidth="true" hidden="false" outlineLevel="0" max="23" min="23" style="1913" width="5.76"/>
    <col collapsed="false" customWidth="true" hidden="false" outlineLevel="0" max="24" min="24" style="1913" width="4.26"/>
    <col collapsed="false" customWidth="true" hidden="false" outlineLevel="0" max="25" min="25" style="1913" width="3.5"/>
    <col collapsed="false" customWidth="true" hidden="false" outlineLevel="0" max="26" min="26" style="1913" width="19.75"/>
    <col collapsed="false" customWidth="true" hidden="false" outlineLevel="0" max="28" min="27" style="1913" width="9.38"/>
    <col collapsed="false" customWidth="true" hidden="false" outlineLevel="0" max="1025" min="29" style="1913" width="9"/>
  </cols>
  <sheetData>
    <row r="1" s="2354" customFormat="true" ht="28.5" hidden="false" customHeight="true" outlineLevel="0" collapsed="false">
      <c r="A1" s="2566" t="s">
        <v>1572</v>
      </c>
      <c r="B1" s="2567"/>
      <c r="C1" s="2568" t="s">
        <v>159</v>
      </c>
      <c r="D1" s="2569"/>
      <c r="E1" s="2569"/>
      <c r="F1" s="2570" t="s">
        <v>1268</v>
      </c>
      <c r="G1" s="2569"/>
      <c r="H1" s="2569"/>
      <c r="I1" s="2569"/>
      <c r="J1" s="2569"/>
      <c r="K1" s="2571"/>
      <c r="L1" s="2572"/>
      <c r="M1" s="2573"/>
      <c r="N1" s="2573"/>
      <c r="O1" s="2573"/>
      <c r="P1" s="2414"/>
      <c r="Q1" s="2414"/>
      <c r="R1" s="2414"/>
      <c r="S1" s="2414"/>
      <c r="T1" s="2414"/>
      <c r="U1" s="2414"/>
      <c r="V1" s="2414"/>
      <c r="W1" s="2414"/>
      <c r="X1" s="2414"/>
      <c r="Y1" s="2414"/>
      <c r="Z1" s="2414"/>
      <c r="AA1" s="2414"/>
      <c r="AB1" s="2414"/>
      <c r="AC1" s="2415"/>
    </row>
    <row r="2" s="2354" customFormat="true" ht="28.5" hidden="false" customHeight="true" outlineLevel="0" collapsed="false">
      <c r="A2" s="1254" t="s">
        <v>97</v>
      </c>
      <c r="B2" s="2575" t="e">
        <f aca="false">F61</f>
        <v>#DIV/0!</v>
      </c>
      <c r="C2" s="2348"/>
      <c r="D2" s="2348"/>
      <c r="E2" s="2348"/>
      <c r="F2" s="2357"/>
      <c r="G2" s="2348"/>
      <c r="H2" s="2348"/>
      <c r="I2" s="2348"/>
      <c r="J2" s="2348"/>
      <c r="K2" s="2358"/>
      <c r="L2" s="2349"/>
      <c r="M2" s="2350"/>
      <c r="N2" s="2350"/>
      <c r="O2" s="2350"/>
      <c r="P2" s="2414"/>
      <c r="Q2" s="2414"/>
      <c r="R2" s="2414"/>
      <c r="S2" s="2414"/>
      <c r="T2" s="2414"/>
      <c r="U2" s="2414"/>
      <c r="V2" s="2414"/>
      <c r="W2" s="2414"/>
      <c r="X2" s="2414"/>
      <c r="Y2" s="2414"/>
      <c r="Z2" s="2414"/>
      <c r="AA2" s="2414"/>
      <c r="AB2" s="2414"/>
      <c r="AC2" s="2415"/>
    </row>
    <row r="3" s="2354" customFormat="true" ht="28.5" hidden="false" customHeight="true" outlineLevel="0" collapsed="false">
      <c r="A3" s="1261" t="s">
        <v>110</v>
      </c>
      <c r="B3" s="2355" t="e">
        <f aca="false">ROUND(IF(D3="",B2*10000/'数据-汇总表'!E3,B2*10000/D3),0)</f>
        <v>#DIV/0!</v>
      </c>
      <c r="C3" s="1261" t="s">
        <v>107</v>
      </c>
      <c r="D3" s="2576"/>
      <c r="E3" s="2348"/>
      <c r="F3" s="2357"/>
      <c r="G3" s="2348"/>
      <c r="H3" s="2348"/>
      <c r="I3" s="2348"/>
      <c r="J3" s="2348"/>
      <c r="K3" s="2358"/>
      <c r="L3" s="2349"/>
      <c r="M3" s="2350"/>
      <c r="N3" s="2350"/>
      <c r="O3" s="2350"/>
      <c r="P3" s="2414"/>
      <c r="Q3" s="2414"/>
      <c r="R3" s="2414"/>
      <c r="S3" s="2414"/>
      <c r="T3" s="2414"/>
      <c r="U3" s="2414"/>
      <c r="V3" s="2414"/>
      <c r="W3" s="2414"/>
      <c r="X3" s="2414"/>
      <c r="Y3" s="2414"/>
      <c r="Z3" s="2414"/>
      <c r="AA3" s="2414"/>
      <c r="AB3" s="2463"/>
      <c r="AC3" s="1443"/>
    </row>
    <row r="4" customFormat="false" ht="15" hidden="false" customHeight="true" outlineLevel="0" collapsed="false">
      <c r="A4" s="1948" t="s">
        <v>1269</v>
      </c>
      <c r="B4" s="1949"/>
      <c r="C4" s="1950" t="s">
        <v>373</v>
      </c>
      <c r="D4" s="1950"/>
      <c r="E4" s="1951" t="s">
        <v>1270</v>
      </c>
      <c r="F4" s="1951"/>
      <c r="G4" s="1950" t="s">
        <v>1271</v>
      </c>
      <c r="H4" s="1950"/>
      <c r="I4" s="1950" t="s">
        <v>1272</v>
      </c>
      <c r="J4" s="1950"/>
      <c r="K4" s="2359" t="s">
        <v>376</v>
      </c>
      <c r="L4" s="1953"/>
      <c r="M4" s="1954"/>
      <c r="N4" s="1954"/>
      <c r="O4" s="1954"/>
      <c r="P4" s="1955" t="s">
        <v>1269</v>
      </c>
      <c r="Q4" s="1955"/>
      <c r="R4" s="1956" t="s">
        <v>1270</v>
      </c>
      <c r="S4" s="1956"/>
      <c r="T4" s="1957" t="s">
        <v>1271</v>
      </c>
      <c r="U4" s="1957"/>
      <c r="V4" s="1957" t="s">
        <v>1272</v>
      </c>
      <c r="W4" s="1957"/>
      <c r="X4" s="1958"/>
      <c r="Y4" s="1957" t="s">
        <v>1269</v>
      </c>
      <c r="Z4" s="1957"/>
      <c r="AA4" s="1957" t="s">
        <v>1270</v>
      </c>
      <c r="AB4" s="2466" t="s">
        <v>1271</v>
      </c>
      <c r="AC4" s="1957" t="s">
        <v>1272</v>
      </c>
    </row>
    <row r="5" customFormat="false" ht="15" hidden="false" customHeight="true" outlineLevel="0" collapsed="false">
      <c r="A5" s="1959"/>
      <c r="B5" s="1960"/>
      <c r="C5" s="1961" t="s">
        <v>1273</v>
      </c>
      <c r="D5" s="1961"/>
      <c r="E5" s="2360" t="s">
        <v>1546</v>
      </c>
      <c r="F5" s="2360"/>
      <c r="G5" s="1961" t="s">
        <v>1547</v>
      </c>
      <c r="H5" s="1961"/>
      <c r="I5" s="1961" t="s">
        <v>1548</v>
      </c>
      <c r="J5" s="1961"/>
      <c r="K5" s="2359"/>
      <c r="L5" s="1953"/>
      <c r="M5" s="1954"/>
      <c r="N5" s="1954"/>
      <c r="O5" s="1954"/>
      <c r="P5" s="1955"/>
      <c r="Q5" s="1955"/>
      <c r="R5" s="1956"/>
      <c r="S5" s="1956"/>
      <c r="T5" s="1957"/>
      <c r="U5" s="1957"/>
      <c r="V5" s="1957"/>
      <c r="W5" s="1957"/>
      <c r="X5" s="1958"/>
      <c r="Y5" s="1957"/>
      <c r="Z5" s="1957"/>
      <c r="AA5" s="1957"/>
      <c r="AB5" s="1957"/>
      <c r="AC5" s="1957"/>
    </row>
    <row r="6" customFormat="false" ht="15" hidden="false" customHeight="true" outlineLevel="0" collapsed="false">
      <c r="A6" s="1964"/>
      <c r="B6" s="1965"/>
      <c r="C6" s="2664" t="s">
        <v>1274</v>
      </c>
      <c r="D6" s="2664"/>
      <c r="E6" s="2665" t="s">
        <v>1274</v>
      </c>
      <c r="F6" s="2665"/>
      <c r="G6" s="2664" t="s">
        <v>1274</v>
      </c>
      <c r="H6" s="2664"/>
      <c r="I6" s="2664" t="s">
        <v>1274</v>
      </c>
      <c r="J6" s="2664"/>
      <c r="K6" s="2359" t="s">
        <v>1275</v>
      </c>
      <c r="L6" s="1953"/>
      <c r="M6" s="1954"/>
      <c r="N6" s="1954"/>
      <c r="O6" s="1954"/>
      <c r="P6" s="1955"/>
      <c r="Q6" s="1955"/>
      <c r="R6" s="1956"/>
      <c r="S6" s="1956"/>
      <c r="T6" s="1957"/>
      <c r="U6" s="1957"/>
      <c r="V6" s="1957"/>
      <c r="W6" s="1957"/>
      <c r="X6" s="1958"/>
      <c r="Y6" s="1957"/>
      <c r="Z6" s="1957"/>
      <c r="AA6" s="1957"/>
      <c r="AB6" s="1957"/>
      <c r="AC6" s="1957"/>
    </row>
    <row r="7" s="1983" customFormat="true" ht="15" hidden="false" customHeight="false" outlineLevel="0" collapsed="false">
      <c r="A7" s="1969" t="s">
        <v>1276</v>
      </c>
      <c r="B7" s="1970"/>
      <c r="C7" s="1971" t="n">
        <f aca="false">'数据-取费表'!B2</f>
        <v>39031</v>
      </c>
      <c r="D7" s="1972" t="n">
        <v>100</v>
      </c>
      <c r="E7" s="1973"/>
      <c r="F7" s="1974" t="n">
        <f aca="false">SUMIF(65:65,YEAR(E7)&amp;"-"&amp;INT((MONTH(E7)+2)/3),66:66)</f>
        <v>0</v>
      </c>
      <c r="G7" s="2543"/>
      <c r="H7" s="1975" t="n">
        <f aca="false">SUMIF(65:65,YEAR(G7)&amp;"-"&amp;INT((MONTH(G7)+2)/3),66:66)</f>
        <v>0</v>
      </c>
      <c r="I7" s="2543"/>
      <c r="J7" s="1975" t="n">
        <f aca="false">SUMIF(65:65,YEAR(I7)&amp;"-"&amp;INT((MONTH(I7)+2)/3),66:66)</f>
        <v>0</v>
      </c>
      <c r="K7" s="2361"/>
      <c r="L7" s="1977"/>
      <c r="M7" s="1978"/>
      <c r="N7" s="1978"/>
      <c r="O7" s="1978"/>
      <c r="P7" s="1979" t="s">
        <v>1276</v>
      </c>
      <c r="Q7" s="1979"/>
      <c r="R7" s="1980" t="s">
        <v>1277</v>
      </c>
      <c r="S7" s="1981" t="n">
        <f aca="false">F7</f>
        <v>0</v>
      </c>
      <c r="T7" s="1980" t="s">
        <v>1277</v>
      </c>
      <c r="U7" s="1981" t="n">
        <f aca="false">H7</f>
        <v>0</v>
      </c>
      <c r="V7" s="1980" t="s">
        <v>1277</v>
      </c>
      <c r="W7" s="1981" t="n">
        <f aca="false">J7</f>
        <v>0</v>
      </c>
      <c r="X7" s="1982"/>
      <c r="Y7" s="540" t="s">
        <v>1276</v>
      </c>
      <c r="Z7" s="540"/>
      <c r="AA7" s="741" t="e">
        <f aca="false">D7/F7</f>
        <v>#DIV/0!</v>
      </c>
      <c r="AB7" s="741" t="e">
        <f aca="false">D7/H7</f>
        <v>#DIV/0!</v>
      </c>
      <c r="AC7" s="741" t="e">
        <f aca="false">D7/J7</f>
        <v>#DIV/0!</v>
      </c>
    </row>
    <row r="8" s="1983" customFormat="true" ht="15" hidden="false" customHeight="false" outlineLevel="0" collapsed="false">
      <c r="A8" s="1969" t="s">
        <v>1278</v>
      </c>
      <c r="B8" s="1970"/>
      <c r="C8" s="2577" t="s">
        <v>1279</v>
      </c>
      <c r="D8" s="1972" t="n">
        <v>100</v>
      </c>
      <c r="E8" s="2577"/>
      <c r="F8" s="1974" t="n">
        <f aca="false">SUMIF(68:68,E8,69:69)-SUMIF(68:68,C8,69:69)+100</f>
        <v>0</v>
      </c>
      <c r="G8" s="2577"/>
      <c r="H8" s="1975" t="n">
        <f aca="false">SUMIF(68:68,G8,69:69)-SUMIF(68:68,C8,69:69)+100</f>
        <v>0</v>
      </c>
      <c r="I8" s="2577"/>
      <c r="J8" s="1975" t="n">
        <f aca="false">SUMIF(68:68,I8,69:69)-SUMIF(68:68,C8,69:69)+100</f>
        <v>0</v>
      </c>
      <c r="K8" s="2361"/>
      <c r="L8" s="1977"/>
      <c r="M8" s="1978"/>
      <c r="N8" s="1978"/>
      <c r="O8" s="1978"/>
      <c r="P8" s="540" t="s">
        <v>1278</v>
      </c>
      <c r="Q8" s="540"/>
      <c r="R8" s="1980" t="s">
        <v>1277</v>
      </c>
      <c r="S8" s="1981" t="n">
        <f aca="false">F8</f>
        <v>0</v>
      </c>
      <c r="T8" s="1980" t="s">
        <v>1277</v>
      </c>
      <c r="U8" s="1981" t="n">
        <f aca="false">H8</f>
        <v>0</v>
      </c>
      <c r="V8" s="1980" t="s">
        <v>1277</v>
      </c>
      <c r="W8" s="1981" t="n">
        <f aca="false">J8</f>
        <v>0</v>
      </c>
      <c r="X8" s="1982"/>
      <c r="Y8" s="540" t="s">
        <v>1278</v>
      </c>
      <c r="Z8" s="540"/>
      <c r="AA8" s="741" t="e">
        <f aca="false">D8/F8</f>
        <v>#DIV/0!</v>
      </c>
      <c r="AB8" s="741" t="e">
        <f aca="false">D8/H8</f>
        <v>#DIV/0!</v>
      </c>
      <c r="AC8" s="741" t="e">
        <f aca="false">D8/J8</f>
        <v>#DIV/0!</v>
      </c>
    </row>
    <row r="9" s="1983" customFormat="true" ht="14.25" hidden="false" customHeight="true" outlineLevel="0" collapsed="false">
      <c r="A9" s="1986" t="s">
        <v>1280</v>
      </c>
      <c r="B9" s="678" t="s">
        <v>399</v>
      </c>
      <c r="C9" s="2578"/>
      <c r="D9" s="1988" t="n">
        <v>100</v>
      </c>
      <c r="E9" s="2578"/>
      <c r="F9" s="1992" t="n">
        <f aca="false">SUMIF(70:70,E9,71:71)-SUMIF(70:70,C9,71:71)+100</f>
        <v>100</v>
      </c>
      <c r="G9" s="2578"/>
      <c r="H9" s="1992" t="n">
        <f aca="false">SUMIF(70:70,G9,71:71)-SUMIF(70:70,C9,71:71)+100</f>
        <v>100</v>
      </c>
      <c r="I9" s="2578"/>
      <c r="J9" s="1992" t="n">
        <f aca="false">SUMIF(70:70,I9,71:71)-SUMIF(70:70,C9,71:71)+100</f>
        <v>100</v>
      </c>
      <c r="K9" s="2361"/>
      <c r="L9" s="1977"/>
      <c r="M9" s="1978"/>
      <c r="N9" s="1978"/>
      <c r="O9" s="2544"/>
      <c r="P9" s="1955" t="s">
        <v>1280</v>
      </c>
      <c r="Q9" s="510" t="str">
        <f aca="false">B9</f>
        <v>用途</v>
      </c>
      <c r="R9" s="1980" t="s">
        <v>1277</v>
      </c>
      <c r="S9" s="1981" t="n">
        <f aca="false">F9</f>
        <v>100</v>
      </c>
      <c r="T9" s="1980" t="s">
        <v>1277</v>
      </c>
      <c r="U9" s="1981" t="n">
        <f aca="false">H9</f>
        <v>100</v>
      </c>
      <c r="V9" s="1980" t="s">
        <v>1277</v>
      </c>
      <c r="W9" s="1981" t="n">
        <f aca="false">J9</f>
        <v>100</v>
      </c>
      <c r="X9" s="1982"/>
      <c r="Y9" s="1994" t="s">
        <v>1280</v>
      </c>
      <c r="Z9" s="540" t="str">
        <f aca="false">Q9</f>
        <v>用途</v>
      </c>
      <c r="AA9" s="741" t="n">
        <f aca="false">D9/F9</f>
        <v>1</v>
      </c>
      <c r="AB9" s="741" t="n">
        <f aca="false">D9/H9</f>
        <v>1</v>
      </c>
      <c r="AC9" s="741" t="n">
        <f aca="false">D9/J9</f>
        <v>1</v>
      </c>
    </row>
    <row r="10" s="2004" customFormat="true" ht="27" hidden="false" customHeight="false" outlineLevel="0" collapsed="false">
      <c r="A10" s="1995"/>
      <c r="B10" s="1996" t="s">
        <v>1281</v>
      </c>
      <c r="C10" s="2012"/>
      <c r="D10" s="1998" t="n">
        <v>100</v>
      </c>
      <c r="E10" s="2012"/>
      <c r="F10" s="2001" t="n">
        <f aca="false">ROUND(100/'数据-取费表'!G16,0)</f>
        <v>100</v>
      </c>
      <c r="G10" s="2012"/>
      <c r="H10" s="2001" t="n">
        <f aca="false">ROUND(100/'数据-取费表'!G16,0)</f>
        <v>100</v>
      </c>
      <c r="I10" s="2012"/>
      <c r="J10" s="2001" t="n">
        <f aca="false">ROUND(100/'数据-取费表'!G16,0)</f>
        <v>100</v>
      </c>
      <c r="K10" s="2579"/>
      <c r="L10" s="2002"/>
      <c r="M10" s="2003"/>
      <c r="N10" s="2003"/>
      <c r="O10" s="2545"/>
      <c r="P10" s="1955"/>
      <c r="Q10" s="510" t="str">
        <f aca="false">B10</f>
        <v>土地使用年限（年）</v>
      </c>
      <c r="R10" s="1980" t="s">
        <v>1277</v>
      </c>
      <c r="S10" s="1981" t="n">
        <f aca="false">F10</f>
        <v>100</v>
      </c>
      <c r="T10" s="1980" t="s">
        <v>1277</v>
      </c>
      <c r="U10" s="1981" t="n">
        <f aca="false">H10</f>
        <v>100</v>
      </c>
      <c r="V10" s="1980" t="s">
        <v>1277</v>
      </c>
      <c r="W10" s="1981" t="n">
        <f aca="false">J10</f>
        <v>100</v>
      </c>
      <c r="X10" s="1982"/>
      <c r="Y10" s="1994"/>
      <c r="Z10" s="540" t="str">
        <f aca="false">Q10</f>
        <v>土地使用年限（年）</v>
      </c>
      <c r="AA10" s="741" t="n">
        <f aca="false">D10/F10</f>
        <v>1</v>
      </c>
      <c r="AB10" s="741" t="n">
        <f aca="false">D10/H10</f>
        <v>1</v>
      </c>
      <c r="AC10" s="741" t="n">
        <f aca="false">D10/J10</f>
        <v>1</v>
      </c>
    </row>
    <row r="11" customFormat="false" ht="15" hidden="false" customHeight="false" outlineLevel="0" collapsed="false">
      <c r="A11" s="2005"/>
      <c r="B11" s="1996" t="s">
        <v>524</v>
      </c>
      <c r="C11" s="2006"/>
      <c r="D11" s="1998" t="n">
        <v>100</v>
      </c>
      <c r="E11" s="2006"/>
      <c r="F11" s="2001" t="e">
        <f aca="false">LOOKUP(E11,75:75,76:76)-LOOKUP(C11,75:75,76:76)+100</f>
        <v>#N/A</v>
      </c>
      <c r="G11" s="2007"/>
      <c r="H11" s="2001" t="e">
        <f aca="false">LOOKUP(G11,75:75,76:76)-LOOKUP(C11,75:75,76:76)+100</f>
        <v>#N/A</v>
      </c>
      <c r="I11" s="2006"/>
      <c r="J11" s="2001" t="e">
        <f aca="false">LOOKUP(I11,75:75,76:76)-LOOKUP(C11,75:75,76:76)+100</f>
        <v>#N/A</v>
      </c>
      <c r="K11" s="2580"/>
      <c r="L11" s="2009"/>
      <c r="M11" s="1954"/>
      <c r="N11" s="1954"/>
      <c r="O11" s="2546"/>
      <c r="P11" s="1955"/>
      <c r="Q11" s="510" t="str">
        <f aca="false">B11</f>
        <v>容积率</v>
      </c>
      <c r="R11" s="1980" t="s">
        <v>1277</v>
      </c>
      <c r="S11" s="1981" t="e">
        <f aca="false">F11</f>
        <v>#N/A</v>
      </c>
      <c r="T11" s="1980" t="s">
        <v>1277</v>
      </c>
      <c r="U11" s="1981" t="e">
        <f aca="false">H11</f>
        <v>#N/A</v>
      </c>
      <c r="V11" s="1980" t="s">
        <v>1277</v>
      </c>
      <c r="W11" s="1981" t="e">
        <f aca="false">J11</f>
        <v>#N/A</v>
      </c>
      <c r="X11" s="1982"/>
      <c r="Y11" s="1994"/>
      <c r="Z11" s="540" t="str">
        <f aca="false">Q11</f>
        <v>容积率</v>
      </c>
      <c r="AA11" s="741" t="e">
        <f aca="false">D11/F11</f>
        <v>#N/A</v>
      </c>
      <c r="AB11" s="741" t="e">
        <f aca="false">D11/H11</f>
        <v>#N/A</v>
      </c>
      <c r="AC11" s="741" t="e">
        <f aca="false">D11/J11</f>
        <v>#N/A</v>
      </c>
    </row>
    <row r="12" s="1983" customFormat="true" ht="15" hidden="false" customHeight="false" outlineLevel="0" collapsed="false">
      <c r="A12" s="2010"/>
      <c r="B12" s="2011" t="n">
        <v>111</v>
      </c>
      <c r="C12" s="2012"/>
      <c r="D12" s="2013" t="n">
        <v>100</v>
      </c>
      <c r="E12" s="2195"/>
      <c r="F12" s="2001" t="n">
        <f aca="false">SUMIF(77:77,E12,78:78)-SUMIF(77:77,C12,78:78)+100</f>
        <v>100</v>
      </c>
      <c r="G12" s="2582"/>
      <c r="H12" s="2001" t="n">
        <f aca="false">SUMIF(77:77,G12,78:78)-SUMIF(77:77,C12,78:78)+100</f>
        <v>100</v>
      </c>
      <c r="I12" s="2195"/>
      <c r="J12" s="2001" t="n">
        <f aca="false">SUMIF(77:77,I12,78:78)-SUMIF(77:77,C12,78:78)+100</f>
        <v>100</v>
      </c>
      <c r="K12" s="2579"/>
      <c r="L12" s="1977"/>
      <c r="M12" s="1978"/>
      <c r="N12" s="1978"/>
      <c r="O12" s="2544"/>
      <c r="P12" s="1955"/>
      <c r="Q12" s="510" t="n">
        <f aca="false">B12</f>
        <v>111</v>
      </c>
      <c r="R12" s="1980" t="s">
        <v>1277</v>
      </c>
      <c r="S12" s="1981" t="n">
        <f aca="false">F12</f>
        <v>100</v>
      </c>
      <c r="T12" s="1980" t="s">
        <v>1277</v>
      </c>
      <c r="U12" s="1981" t="n">
        <f aca="false">H12</f>
        <v>100</v>
      </c>
      <c r="V12" s="1980" t="s">
        <v>1277</v>
      </c>
      <c r="W12" s="1981" t="n">
        <f aca="false">J12</f>
        <v>100</v>
      </c>
      <c r="X12" s="1982"/>
      <c r="Y12" s="1994"/>
      <c r="Z12" s="540" t="n">
        <f aca="false">Q12</f>
        <v>111</v>
      </c>
      <c r="AA12" s="741" t="n">
        <f aca="false">D12/F12</f>
        <v>1</v>
      </c>
      <c r="AB12" s="741" t="n">
        <f aca="false">D12/H12</f>
        <v>1</v>
      </c>
      <c r="AC12" s="741" t="n">
        <f aca="false">D12/J12</f>
        <v>1</v>
      </c>
    </row>
    <row r="13" customFormat="false" ht="15" hidden="false" customHeight="false" outlineLevel="0" collapsed="false">
      <c r="A13" s="2005"/>
      <c r="B13" s="2011" t="n">
        <v>111</v>
      </c>
      <c r="C13" s="2015"/>
      <c r="D13" s="2016" t="n">
        <v>100</v>
      </c>
      <c r="E13" s="2195"/>
      <c r="F13" s="2001" t="n">
        <f aca="false">SUMIF(79:79,E13,80:80)-SUMIF(79:79,C13,80:80)+100</f>
        <v>100</v>
      </c>
      <c r="G13" s="2582"/>
      <c r="H13" s="2017" t="n">
        <f aca="false">SUMIF(79:79,G13,80:80)-SUMIF(79:79,C13,80:80)+100</f>
        <v>100</v>
      </c>
      <c r="I13" s="2195"/>
      <c r="J13" s="2017" t="n">
        <f aca="false">SUMIF(79:79,I13,80:80)-SUMIF(79:79,C13,80:80)+100</f>
        <v>100</v>
      </c>
      <c r="K13" s="2579"/>
      <c r="L13" s="2018"/>
      <c r="M13" s="1954"/>
      <c r="N13" s="1954"/>
      <c r="O13" s="2546"/>
      <c r="P13" s="1955"/>
      <c r="Q13" s="510" t="n">
        <f aca="false">B13</f>
        <v>111</v>
      </c>
      <c r="R13" s="1980" t="s">
        <v>1277</v>
      </c>
      <c r="S13" s="1981" t="n">
        <f aca="false">F13</f>
        <v>100</v>
      </c>
      <c r="T13" s="1980" t="s">
        <v>1277</v>
      </c>
      <c r="U13" s="1981" t="n">
        <f aca="false">H13</f>
        <v>100</v>
      </c>
      <c r="V13" s="1980" t="s">
        <v>1277</v>
      </c>
      <c r="W13" s="1981" t="n">
        <f aca="false">J13</f>
        <v>100</v>
      </c>
      <c r="X13" s="1982"/>
      <c r="Y13" s="1994"/>
      <c r="Z13" s="540" t="n">
        <f aca="false">Q13</f>
        <v>111</v>
      </c>
      <c r="AA13" s="741" t="n">
        <f aca="false">D13/F13</f>
        <v>1</v>
      </c>
      <c r="AB13" s="741" t="n">
        <f aca="false">D13/H13</f>
        <v>1</v>
      </c>
      <c r="AC13" s="741" t="n">
        <f aca="false">D13/J13</f>
        <v>1</v>
      </c>
    </row>
    <row r="14" customFormat="false" ht="15" hidden="false" customHeight="false" outlineLevel="0" collapsed="false">
      <c r="A14" s="2019"/>
      <c r="B14" s="2020" t="n">
        <v>111</v>
      </c>
      <c r="C14" s="2021"/>
      <c r="D14" s="2022" t="n">
        <v>100</v>
      </c>
      <c r="E14" s="2195"/>
      <c r="F14" s="2024" t="n">
        <f aca="false">SUMIF(81:81,E14,82:82)-SUMIF(81:81,C14,82:82)+100</f>
        <v>100</v>
      </c>
      <c r="G14" s="2582"/>
      <c r="H14" s="2024" t="n">
        <f aca="false">SUMIF(81:81,G14,82:82)-SUMIF(81:81,C14,82:82)+100</f>
        <v>100</v>
      </c>
      <c r="I14" s="2195"/>
      <c r="J14" s="2024" t="n">
        <f aca="false">SUMIF(81:81,I14,82:82)-SUMIF(81:81,C14,82:82)+100</f>
        <v>100</v>
      </c>
      <c r="K14" s="2579"/>
      <c r="L14" s="2018"/>
      <c r="M14" s="1954"/>
      <c r="N14" s="1954"/>
      <c r="O14" s="2546"/>
      <c r="P14" s="1955"/>
      <c r="Q14" s="510" t="n">
        <f aca="false">B14</f>
        <v>111</v>
      </c>
      <c r="R14" s="1980" t="s">
        <v>1277</v>
      </c>
      <c r="S14" s="1981" t="n">
        <f aca="false">F14</f>
        <v>100</v>
      </c>
      <c r="T14" s="1980" t="s">
        <v>1277</v>
      </c>
      <c r="U14" s="1981" t="n">
        <f aca="false">H14</f>
        <v>100</v>
      </c>
      <c r="V14" s="1980" t="s">
        <v>1277</v>
      </c>
      <c r="W14" s="1981" t="n">
        <f aca="false">J14</f>
        <v>100</v>
      </c>
      <c r="X14" s="1982"/>
      <c r="Y14" s="1994"/>
      <c r="Z14" s="540" t="n">
        <f aca="false">Q14</f>
        <v>111</v>
      </c>
      <c r="AA14" s="741" t="n">
        <f aca="false">D14/F14</f>
        <v>1</v>
      </c>
      <c r="AB14" s="741" t="n">
        <f aca="false">D14/H14</f>
        <v>1</v>
      </c>
      <c r="AC14" s="741" t="n">
        <f aca="false">D14/J14</f>
        <v>1</v>
      </c>
    </row>
    <row r="15" customFormat="false" ht="57" hidden="false" customHeight="true" outlineLevel="0" collapsed="false">
      <c r="A15" s="2025" t="s">
        <v>648</v>
      </c>
      <c r="B15" s="2425" t="s">
        <v>215</v>
      </c>
      <c r="C15" s="2476" t="str">
        <f aca="false">估价对象房地状况!G15</f>
        <v>估价对象位于XX开发区，园区建设成熟度XX，产业集聚程度XX</v>
      </c>
      <c r="D15" s="2027" t="n">
        <v>100</v>
      </c>
      <c r="E15" s="2030"/>
      <c r="F15" s="2029" t="n">
        <f aca="false">SUMIF(83:83,E16,84:84)-SUMIF(83:83,C16,84:84)+100</f>
        <v>100</v>
      </c>
      <c r="G15" s="2030"/>
      <c r="H15" s="2029" t="n">
        <f aca="false">SUMIF(83:83,G16,84:84)-SUMIF(83:83,C16,84:84)+100</f>
        <v>100</v>
      </c>
      <c r="I15" s="2028"/>
      <c r="J15" s="2029" t="n">
        <f aca="false">SUMIF(83:83,I16,84:84)-SUMIF(83:83,C16,84:84)+100</f>
        <v>100</v>
      </c>
      <c r="K15" s="2580"/>
      <c r="L15" s="2018"/>
      <c r="M15" s="1954"/>
      <c r="N15" s="1954"/>
      <c r="O15" s="2546"/>
      <c r="P15" s="2036" t="s">
        <v>648</v>
      </c>
      <c r="Q15" s="2033" t="str">
        <f aca="false">B15</f>
        <v>产业集聚程度</v>
      </c>
      <c r="R15" s="2034" t="s">
        <v>1277</v>
      </c>
      <c r="S15" s="2035" t="n">
        <f aca="false">F15</f>
        <v>100</v>
      </c>
      <c r="T15" s="2034" t="s">
        <v>1277</v>
      </c>
      <c r="U15" s="2035" t="n">
        <f aca="false">H15</f>
        <v>100</v>
      </c>
      <c r="V15" s="2034" t="s">
        <v>1277</v>
      </c>
      <c r="W15" s="2035" t="n">
        <f aca="false">J15</f>
        <v>100</v>
      </c>
      <c r="X15" s="1958"/>
      <c r="Y15" s="2036" t="s">
        <v>648</v>
      </c>
      <c r="Z15" s="2037" t="str">
        <f aca="false">Q15</f>
        <v>产业集聚程度</v>
      </c>
      <c r="AA15" s="2038" t="n">
        <f aca="false">D15/F15</f>
        <v>1</v>
      </c>
      <c r="AB15" s="2038" t="n">
        <f aca="false">D15/H15</f>
        <v>1</v>
      </c>
      <c r="AC15" s="2038" t="n">
        <f aca="false">D15/J15</f>
        <v>1</v>
      </c>
    </row>
    <row r="16" customFormat="false" ht="15" hidden="false" customHeight="false" outlineLevel="0" collapsed="false">
      <c r="A16" s="2005"/>
      <c r="B16" s="2428"/>
      <c r="C16" s="2040"/>
      <c r="D16" s="2041"/>
      <c r="E16" s="2060"/>
      <c r="F16" s="2041"/>
      <c r="G16" s="2060"/>
      <c r="H16" s="2044"/>
      <c r="I16" s="2060"/>
      <c r="J16" s="2041"/>
      <c r="K16" s="2579"/>
      <c r="L16" s="2018"/>
      <c r="M16" s="1954"/>
      <c r="N16" s="1954"/>
      <c r="O16" s="2546"/>
      <c r="P16" s="2036"/>
      <c r="Q16" s="2033"/>
      <c r="R16" s="2034"/>
      <c r="S16" s="2035"/>
      <c r="T16" s="2034"/>
      <c r="U16" s="2035"/>
      <c r="V16" s="2034"/>
      <c r="W16" s="2035"/>
      <c r="X16" s="1958"/>
      <c r="Y16" s="2036"/>
      <c r="Z16" s="2037"/>
      <c r="AA16" s="2038" t="n">
        <v>1</v>
      </c>
      <c r="AB16" s="2038" t="n">
        <v>1</v>
      </c>
      <c r="AC16" s="2038" t="n">
        <v>1</v>
      </c>
    </row>
    <row r="17" customFormat="false" ht="85.5" hidden="false" customHeight="false" outlineLevel="0" collapsed="false">
      <c r="A17" s="2005"/>
      <c r="B17" s="2429" t="s">
        <v>216</v>
      </c>
      <c r="C17" s="2047" t="str">
        <f aca="false">估价对象房地状况!G16</f>
        <v>估价对象周边道路状况、公共交通通达情况、停车便捷程度，综合评价交通便捷度较好</v>
      </c>
      <c r="D17" s="2048" t="n">
        <v>100</v>
      </c>
      <c r="E17" s="2050"/>
      <c r="F17" s="2051" t="n">
        <f aca="false">SUMIF(85:85,E18,86:86)-SUMIF(85:85,C18,86:86)+100</f>
        <v>100</v>
      </c>
      <c r="G17" s="2050"/>
      <c r="H17" s="2051" t="n">
        <f aca="false">SUMIF(85:85,G18,86:86)-SUMIF(85:85,C18,86:86)+100</f>
        <v>100</v>
      </c>
      <c r="I17" s="2049"/>
      <c r="J17" s="2044" t="n">
        <f aca="false">SUMIF(85:85,I18,86:86)-SUMIF(85:85,C18,86:86)+100</f>
        <v>100</v>
      </c>
      <c r="K17" s="2580"/>
      <c r="L17" s="2018"/>
      <c r="M17" s="1954"/>
      <c r="N17" s="1954"/>
      <c r="O17" s="2546"/>
      <c r="P17" s="2036"/>
      <c r="Q17" s="2033" t="str">
        <f aca="false">B17</f>
        <v>交通便捷度</v>
      </c>
      <c r="R17" s="2034" t="s">
        <v>1277</v>
      </c>
      <c r="S17" s="2035" t="n">
        <f aca="false">F17</f>
        <v>100</v>
      </c>
      <c r="T17" s="2034" t="s">
        <v>1277</v>
      </c>
      <c r="U17" s="2035" t="n">
        <f aca="false">H17</f>
        <v>100</v>
      </c>
      <c r="V17" s="2034" t="s">
        <v>1277</v>
      </c>
      <c r="W17" s="2035" t="n">
        <f aca="false">J17</f>
        <v>100</v>
      </c>
      <c r="X17" s="1958"/>
      <c r="Y17" s="2036"/>
      <c r="Z17" s="2037" t="str">
        <f aca="false">Q17</f>
        <v>交通便捷度</v>
      </c>
      <c r="AA17" s="2038" t="n">
        <f aca="false">D17/F17</f>
        <v>1</v>
      </c>
      <c r="AB17" s="2038" t="n">
        <f aca="false">D17/H17</f>
        <v>1</v>
      </c>
      <c r="AC17" s="2038" t="n">
        <f aca="false">D17/J17</f>
        <v>1</v>
      </c>
    </row>
    <row r="18" customFormat="false" ht="15" hidden="false" customHeight="false" outlineLevel="0" collapsed="false">
      <c r="A18" s="2005"/>
      <c r="B18" s="2431"/>
      <c r="C18" s="2040"/>
      <c r="D18" s="2041"/>
      <c r="E18" s="2043"/>
      <c r="F18" s="2041"/>
      <c r="G18" s="2043"/>
      <c r="H18" s="2041"/>
      <c r="I18" s="2042"/>
      <c r="J18" s="2041"/>
      <c r="K18" s="2579"/>
      <c r="L18" s="2018"/>
      <c r="M18" s="1954"/>
      <c r="N18" s="1954"/>
      <c r="O18" s="2546"/>
      <c r="P18" s="2036"/>
      <c r="Q18" s="2033"/>
      <c r="R18" s="2034"/>
      <c r="S18" s="2035"/>
      <c r="T18" s="2034"/>
      <c r="U18" s="2035"/>
      <c r="V18" s="2034"/>
      <c r="W18" s="2035"/>
      <c r="X18" s="1958"/>
      <c r="Y18" s="2036"/>
      <c r="Z18" s="2037"/>
      <c r="AA18" s="2038" t="n">
        <v>1</v>
      </c>
      <c r="AB18" s="2038" t="n">
        <v>1</v>
      </c>
      <c r="AC18" s="2038" t="n">
        <v>1</v>
      </c>
    </row>
    <row r="19" customFormat="false" ht="15" hidden="false" customHeight="false" outlineLevel="0" collapsed="false">
      <c r="A19" s="2005"/>
      <c r="B19" s="2429" t="s">
        <v>217</v>
      </c>
      <c r="C19" s="2047" t="n">
        <f aca="false">估价对象房地状况!G17</f>
        <v>0</v>
      </c>
      <c r="D19" s="2048" t="n">
        <v>100</v>
      </c>
      <c r="E19" s="2050"/>
      <c r="F19" s="2051" t="n">
        <f aca="false">SUMIF(87:87,E20,88:88)-SUMIF(87:87,C20,88:88)+100</f>
        <v>100</v>
      </c>
      <c r="G19" s="2050"/>
      <c r="H19" s="2051" t="n">
        <f aca="false">SUMIF(87:87,G20,88:88)-SUMIF(87:87,C20,88:88)+100</f>
        <v>100</v>
      </c>
      <c r="I19" s="2050"/>
      <c r="J19" s="2051" t="n">
        <f aca="false">SUMIF(87:87,I20,88:88)-SUMIF(87:87,C20,88:88)+100</f>
        <v>100</v>
      </c>
      <c r="K19" s="2580"/>
      <c r="L19" s="2018"/>
      <c r="M19" s="1954"/>
      <c r="N19" s="1954"/>
      <c r="O19" s="2546"/>
      <c r="P19" s="2036"/>
      <c r="Q19" s="2033" t="str">
        <f aca="false">B19</f>
        <v>区域土地利用方向</v>
      </c>
      <c r="R19" s="2034" t="s">
        <v>1277</v>
      </c>
      <c r="S19" s="2035" t="n">
        <f aca="false">F19</f>
        <v>100</v>
      </c>
      <c r="T19" s="2034" t="s">
        <v>1277</v>
      </c>
      <c r="U19" s="2035" t="n">
        <f aca="false">H19</f>
        <v>100</v>
      </c>
      <c r="V19" s="2034" t="s">
        <v>1277</v>
      </c>
      <c r="W19" s="2035" t="n">
        <f aca="false">J19</f>
        <v>100</v>
      </c>
      <c r="X19" s="1958"/>
      <c r="Y19" s="2036"/>
      <c r="Z19" s="2037" t="str">
        <f aca="false">Q19</f>
        <v>区域土地利用方向</v>
      </c>
      <c r="AA19" s="2038" t="n">
        <f aca="false">D19/F19</f>
        <v>1</v>
      </c>
      <c r="AB19" s="2038" t="n">
        <f aca="false">D19/H19</f>
        <v>1</v>
      </c>
      <c r="AC19" s="2038" t="n">
        <f aca="false">D19/J19</f>
        <v>1</v>
      </c>
    </row>
    <row r="20" customFormat="false" ht="15" hidden="false" customHeight="false" outlineLevel="0" collapsed="false">
      <c r="A20" s="1959"/>
      <c r="B20" s="2431"/>
      <c r="C20" s="2040"/>
      <c r="D20" s="2041"/>
      <c r="E20" s="2043"/>
      <c r="F20" s="2041"/>
      <c r="G20" s="2043"/>
      <c r="H20" s="2041"/>
      <c r="I20" s="2043"/>
      <c r="J20" s="2041"/>
      <c r="K20" s="2584"/>
      <c r="L20" s="2018"/>
      <c r="M20" s="1954"/>
      <c r="N20" s="1954"/>
      <c r="O20" s="2546"/>
      <c r="P20" s="2036"/>
      <c r="Q20" s="2033"/>
      <c r="R20" s="2034"/>
      <c r="S20" s="2035"/>
      <c r="T20" s="2034"/>
      <c r="U20" s="2035"/>
      <c r="V20" s="2034"/>
      <c r="W20" s="2035"/>
      <c r="X20" s="1958"/>
      <c r="Y20" s="2036"/>
      <c r="Z20" s="2037"/>
      <c r="AA20" s="2038"/>
      <c r="AB20" s="2038"/>
      <c r="AC20" s="2038"/>
    </row>
    <row r="21" customFormat="false" ht="71.25" hidden="false" customHeight="false" outlineLevel="0" collapsed="false">
      <c r="A21" s="1959"/>
      <c r="B21" s="2429" t="s">
        <v>656</v>
      </c>
      <c r="C21" s="2047" t="str">
        <f aca="false">估价对象房地状况!G18</f>
        <v>该园区内是否有污染型企业，绿化情况，卫生条件，整体环境状况判断</v>
      </c>
      <c r="D21" s="2048" t="n">
        <v>100</v>
      </c>
      <c r="E21" s="2050"/>
      <c r="F21" s="2044" t="n">
        <f aca="false">SUMIF(89:89,E22,90:90)-SUMIF(89:89,C22,90:90)+100</f>
        <v>100</v>
      </c>
      <c r="G21" s="2050"/>
      <c r="H21" s="2044" t="n">
        <f aca="false">SUMIF(89:89,G22,90:90)-SUMIF(89:89,C22,90:90)+100</f>
        <v>100</v>
      </c>
      <c r="I21" s="2049"/>
      <c r="J21" s="2044" t="n">
        <f aca="false">SUMIF(89:89,I22,90:90)-SUMIF(89:89,C22,90:90)+100</f>
        <v>100</v>
      </c>
      <c r="K21" s="2580"/>
      <c r="L21" s="2018"/>
      <c r="M21" s="1954"/>
      <c r="N21" s="1954"/>
      <c r="O21" s="2546"/>
      <c r="P21" s="2036"/>
      <c r="Q21" s="2033" t="str">
        <f aca="false">B21</f>
        <v>环境状况</v>
      </c>
      <c r="R21" s="2034" t="s">
        <v>1277</v>
      </c>
      <c r="S21" s="2035" t="n">
        <f aca="false">F21</f>
        <v>100</v>
      </c>
      <c r="T21" s="2034" t="s">
        <v>1277</v>
      </c>
      <c r="U21" s="2035" t="n">
        <f aca="false">H21</f>
        <v>100</v>
      </c>
      <c r="V21" s="2034" t="s">
        <v>1277</v>
      </c>
      <c r="W21" s="2035" t="n">
        <f aca="false">J21</f>
        <v>100</v>
      </c>
      <c r="X21" s="1958"/>
      <c r="Y21" s="2036"/>
      <c r="Z21" s="2037" t="str">
        <f aca="false">Q21</f>
        <v>环境状况</v>
      </c>
      <c r="AA21" s="2038" t="n">
        <f aca="false">D21/F21</f>
        <v>1</v>
      </c>
      <c r="AB21" s="2038" t="n">
        <f aca="false">D21/H21</f>
        <v>1</v>
      </c>
      <c r="AC21" s="2038" t="n">
        <f aca="false">D21/J21</f>
        <v>1</v>
      </c>
    </row>
    <row r="22" customFormat="false" ht="15" hidden="false" customHeight="false" outlineLevel="0" collapsed="false">
      <c r="A22" s="1959"/>
      <c r="B22" s="2431"/>
      <c r="C22" s="2040"/>
      <c r="D22" s="2041"/>
      <c r="E22" s="2060"/>
      <c r="F22" s="2041"/>
      <c r="G22" s="2060"/>
      <c r="H22" s="2041"/>
      <c r="I22" s="2040"/>
      <c r="J22" s="2041"/>
      <c r="K22" s="2579"/>
      <c r="L22" s="2018"/>
      <c r="M22" s="1954"/>
      <c r="N22" s="1954"/>
      <c r="O22" s="2546"/>
      <c r="P22" s="2036"/>
      <c r="Q22" s="2033"/>
      <c r="R22" s="2034"/>
      <c r="S22" s="2035"/>
      <c r="T22" s="2034"/>
      <c r="U22" s="2035"/>
      <c r="V22" s="2034"/>
      <c r="W22" s="2035"/>
      <c r="X22" s="1958"/>
      <c r="Y22" s="2036"/>
      <c r="Z22" s="2037"/>
      <c r="AA22" s="2038" t="n">
        <v>1</v>
      </c>
      <c r="AB22" s="2038" t="n">
        <v>1</v>
      </c>
      <c r="AC22" s="2038" t="n">
        <v>1</v>
      </c>
    </row>
    <row r="23" s="1983" customFormat="true" ht="42.75" hidden="false" customHeight="false" outlineLevel="0" collapsed="false">
      <c r="A23" s="2517"/>
      <c r="B23" s="2433" t="s">
        <v>218</v>
      </c>
      <c r="C23" s="2047" t="str">
        <f aca="false">估价对象房地状况!G19</f>
        <v>估价对象所在区域公共配套设施齐备情况</v>
      </c>
      <c r="D23" s="2048" t="n">
        <v>100</v>
      </c>
      <c r="E23" s="2050"/>
      <c r="F23" s="2044" t="n">
        <f aca="false">SUMIF(91:91,E24,92:92)-SUMIF(91:91,C24,92:92)+100</f>
        <v>100</v>
      </c>
      <c r="G23" s="2050"/>
      <c r="H23" s="2044" t="n">
        <f aca="false">SUMIF(91:91,G24,92:92)-SUMIF(91:91,C24,92:92)+100</f>
        <v>100</v>
      </c>
      <c r="I23" s="2049"/>
      <c r="J23" s="2044" t="n">
        <f aca="false">SUMIF(91:91,I24,92:92)-SUMIF(91:91,C24,92:92)+100</f>
        <v>100</v>
      </c>
      <c r="K23" s="2580"/>
      <c r="L23" s="1977"/>
      <c r="M23" s="1978"/>
      <c r="N23" s="1978"/>
      <c r="O23" s="2544"/>
      <c r="P23" s="2036"/>
      <c r="Q23" s="510" t="str">
        <f aca="false">B23</f>
        <v>公共配套设施</v>
      </c>
      <c r="R23" s="1980" t="s">
        <v>1277</v>
      </c>
      <c r="S23" s="1981" t="n">
        <f aca="false">F23</f>
        <v>100</v>
      </c>
      <c r="T23" s="1980" t="s">
        <v>1277</v>
      </c>
      <c r="U23" s="1981" t="n">
        <f aca="false">H23</f>
        <v>100</v>
      </c>
      <c r="V23" s="1980" t="s">
        <v>1277</v>
      </c>
      <c r="W23" s="1981" t="n">
        <f aca="false">J23</f>
        <v>100</v>
      </c>
      <c r="X23" s="1982"/>
      <c r="Y23" s="2036"/>
      <c r="Z23" s="540" t="str">
        <f aca="false">Q23</f>
        <v>公共配套设施</v>
      </c>
      <c r="AA23" s="2038" t="n">
        <f aca="false">D23/F23</f>
        <v>1</v>
      </c>
      <c r="AB23" s="2038" t="n">
        <f aca="false">D23/H23</f>
        <v>1</v>
      </c>
      <c r="AC23" s="2038" t="n">
        <f aca="false">D23/J23</f>
        <v>1</v>
      </c>
    </row>
    <row r="24" s="1983" customFormat="true" ht="15" hidden="false" customHeight="false" outlineLevel="0" collapsed="false">
      <c r="A24" s="2517"/>
      <c r="B24" s="2431"/>
      <c r="C24" s="2585"/>
      <c r="D24" s="2041"/>
      <c r="E24" s="2060"/>
      <c r="F24" s="2041"/>
      <c r="G24" s="2060"/>
      <c r="H24" s="2041"/>
      <c r="I24" s="2040"/>
      <c r="J24" s="2041"/>
      <c r="K24" s="2579"/>
      <c r="L24" s="1977"/>
      <c r="M24" s="1978"/>
      <c r="N24" s="1978"/>
      <c r="O24" s="2544"/>
      <c r="P24" s="2036"/>
      <c r="Q24" s="510"/>
      <c r="R24" s="1980"/>
      <c r="S24" s="1981"/>
      <c r="T24" s="1980"/>
      <c r="U24" s="1981"/>
      <c r="V24" s="1980"/>
      <c r="W24" s="1981"/>
      <c r="X24" s="1982"/>
      <c r="Y24" s="2036"/>
      <c r="Z24" s="715"/>
      <c r="AA24" s="741" t="n">
        <v>1</v>
      </c>
      <c r="AB24" s="741" t="n">
        <v>1</v>
      </c>
      <c r="AC24" s="741" t="n">
        <v>1</v>
      </c>
    </row>
    <row r="25" s="1983" customFormat="true" ht="28.5" hidden="false" customHeight="false" outlineLevel="0" collapsed="false">
      <c r="A25" s="2517"/>
      <c r="B25" s="2433" t="s">
        <v>219</v>
      </c>
      <c r="C25" s="2047" t="str">
        <f aca="false">估价对象房地状况!G20</f>
        <v>估价对象所在区域基础设施水平</v>
      </c>
      <c r="D25" s="2048" t="n">
        <v>100</v>
      </c>
      <c r="E25" s="2050"/>
      <c r="F25" s="2044" t="n">
        <f aca="false">SUMIF(93:93,E26,94:94)-SUMIF(93:93,C26,94:94)+100</f>
        <v>100</v>
      </c>
      <c r="G25" s="2050"/>
      <c r="H25" s="2044" t="n">
        <f aca="false">SUMIF(93:93,G26,94:94)-SUMIF(93:93,C26,94:94)+100</f>
        <v>100</v>
      </c>
      <c r="I25" s="2049"/>
      <c r="J25" s="2044" t="n">
        <f aca="false">SUMIF(93:93,I26,94:94)-SUMIF(93:93,C26,94:94)+100</f>
        <v>100</v>
      </c>
      <c r="K25" s="2580"/>
      <c r="L25" s="1977"/>
      <c r="M25" s="1978"/>
      <c r="N25" s="1978"/>
      <c r="O25" s="2544"/>
      <c r="P25" s="2036"/>
      <c r="Q25" s="510" t="str">
        <f aca="false">B25</f>
        <v>基础设施水平</v>
      </c>
      <c r="R25" s="1980" t="s">
        <v>1277</v>
      </c>
      <c r="S25" s="1981" t="n">
        <f aca="false">F25</f>
        <v>100</v>
      </c>
      <c r="T25" s="1980" t="s">
        <v>1277</v>
      </c>
      <c r="U25" s="1981" t="n">
        <f aca="false">H25</f>
        <v>100</v>
      </c>
      <c r="V25" s="1980" t="s">
        <v>1277</v>
      </c>
      <c r="W25" s="1981" t="n">
        <f aca="false">J25</f>
        <v>100</v>
      </c>
      <c r="X25" s="1982"/>
      <c r="Y25" s="2036"/>
      <c r="Z25" s="540" t="str">
        <f aca="false">Q25</f>
        <v>基础设施水平</v>
      </c>
      <c r="AA25" s="2038" t="n">
        <f aca="false">D25/F25</f>
        <v>1</v>
      </c>
      <c r="AB25" s="2038" t="n">
        <f aca="false">D25/H25</f>
        <v>1</v>
      </c>
      <c r="AC25" s="2038" t="n">
        <f aca="false">D25/J25</f>
        <v>1</v>
      </c>
    </row>
    <row r="26" s="1983" customFormat="true" ht="15" hidden="false" customHeight="false" outlineLevel="0" collapsed="false">
      <c r="A26" s="2517"/>
      <c r="B26" s="2431"/>
      <c r="C26" s="2585"/>
      <c r="D26" s="2041"/>
      <c r="E26" s="2586"/>
      <c r="F26" s="2041"/>
      <c r="G26" s="2586"/>
      <c r="H26" s="2041"/>
      <c r="I26" s="2586"/>
      <c r="J26" s="2041"/>
      <c r="K26" s="2579"/>
      <c r="L26" s="1977"/>
      <c r="M26" s="1978"/>
      <c r="N26" s="1978"/>
      <c r="O26" s="2544"/>
      <c r="P26" s="2036"/>
      <c r="Q26" s="510"/>
      <c r="R26" s="1980"/>
      <c r="S26" s="1981"/>
      <c r="T26" s="1980"/>
      <c r="U26" s="1981"/>
      <c r="V26" s="1980"/>
      <c r="W26" s="1981"/>
      <c r="X26" s="1982"/>
      <c r="Y26" s="2036"/>
      <c r="Z26" s="715"/>
      <c r="AA26" s="741" t="n">
        <v>1</v>
      </c>
      <c r="AB26" s="741" t="n">
        <v>1</v>
      </c>
      <c r="AC26" s="741" t="n">
        <v>1</v>
      </c>
    </row>
    <row r="27" customFormat="false" ht="15" hidden="false" customHeight="false" outlineLevel="0" collapsed="false">
      <c r="A27" s="2005"/>
      <c r="B27" s="2435" t="s">
        <v>221</v>
      </c>
      <c r="C27" s="2373"/>
      <c r="D27" s="2016" t="n">
        <v>100</v>
      </c>
      <c r="E27" s="2434"/>
      <c r="F27" s="2017" t="n">
        <f aca="false">SUMIF(95:95,E27,96:96)-SUMIF(95:95,C27,96:96)+100</f>
        <v>100</v>
      </c>
      <c r="G27" s="2434"/>
      <c r="H27" s="2017" t="n">
        <f aca="false">SUMIF(95:95,G27,96:96)-SUMIF(95:95,C27,96:96)+100</f>
        <v>100</v>
      </c>
      <c r="I27" s="2434"/>
      <c r="J27" s="2017" t="n">
        <f aca="false">SUMIF(95:95,I27,96:96)-SUMIF(95:95,C27,96:96)+100</f>
        <v>100</v>
      </c>
      <c r="K27" s="2580"/>
      <c r="L27" s="2018"/>
      <c r="M27" s="1954"/>
      <c r="N27" s="1954"/>
      <c r="O27" s="2546"/>
      <c r="P27" s="2036"/>
      <c r="Q27" s="2033" t="str">
        <f aca="false">B27</f>
        <v>临街状况</v>
      </c>
      <c r="R27" s="2034" t="s">
        <v>1277</v>
      </c>
      <c r="S27" s="2035" t="n">
        <f aca="false">F27</f>
        <v>100</v>
      </c>
      <c r="T27" s="2034" t="s">
        <v>1277</v>
      </c>
      <c r="U27" s="2035" t="n">
        <f aca="false">H27</f>
        <v>100</v>
      </c>
      <c r="V27" s="2034" t="s">
        <v>1277</v>
      </c>
      <c r="W27" s="2035" t="n">
        <f aca="false">J27</f>
        <v>100</v>
      </c>
      <c r="X27" s="1958"/>
      <c r="Y27" s="2036"/>
      <c r="Z27" s="2037" t="str">
        <f aca="false">Q27</f>
        <v>临街状况</v>
      </c>
      <c r="AA27" s="2038" t="n">
        <f aca="false">D27/F27</f>
        <v>1</v>
      </c>
      <c r="AB27" s="2038" t="n">
        <f aca="false">D27/H27</f>
        <v>1</v>
      </c>
      <c r="AC27" s="2038" t="n">
        <f aca="false">D27/J27</f>
        <v>1</v>
      </c>
    </row>
    <row r="28" customFormat="false" ht="27" hidden="false" customHeight="false" outlineLevel="0" collapsed="false">
      <c r="A28" s="2005"/>
      <c r="B28" s="2433" t="s">
        <v>660</v>
      </c>
      <c r="C28" s="2666" t="n">
        <f aca="false">估价对象房地状况!G22</f>
        <v>0</v>
      </c>
      <c r="D28" s="2048" t="n">
        <v>100</v>
      </c>
      <c r="E28" s="2050"/>
      <c r="F28" s="2044" t="n">
        <f aca="false">SUMIF(97:97,E29,98:98)-SUMIF(97:97,C29,98:98)+100</f>
        <v>100</v>
      </c>
      <c r="G28" s="2050"/>
      <c r="H28" s="2044" t="n">
        <f aca="false">SUMIF(97:97,G29,98:98)-SUMIF(97:97,C29,98:98)+100</f>
        <v>100</v>
      </c>
      <c r="I28" s="2049"/>
      <c r="J28" s="2044" t="n">
        <f aca="false">SUMIF(97:97,I29,98:98)-SUMIF(97:97,C29,98:98)+100</f>
        <v>100</v>
      </c>
      <c r="K28" s="2580"/>
      <c r="L28" s="2018"/>
      <c r="M28" s="1954"/>
      <c r="N28" s="1954"/>
      <c r="O28" s="2546"/>
      <c r="P28" s="2036"/>
      <c r="Q28" s="2033" t="str">
        <f aca="false">B28</f>
        <v>毗邻道路的类型与等级</v>
      </c>
      <c r="R28" s="2034" t="s">
        <v>1277</v>
      </c>
      <c r="S28" s="2035" t="n">
        <f aca="false">F28</f>
        <v>100</v>
      </c>
      <c r="T28" s="2034" t="s">
        <v>1277</v>
      </c>
      <c r="U28" s="2035" t="n">
        <f aca="false">H28</f>
        <v>100</v>
      </c>
      <c r="V28" s="2034" t="s">
        <v>1277</v>
      </c>
      <c r="W28" s="2035" t="n">
        <f aca="false">J28</f>
        <v>100</v>
      </c>
      <c r="X28" s="1958"/>
      <c r="Y28" s="2036"/>
      <c r="Z28" s="2037" t="str">
        <f aca="false">Q28</f>
        <v>毗邻道路的类型与等级</v>
      </c>
      <c r="AA28" s="2038" t="n">
        <f aca="false">D28/F28</f>
        <v>1</v>
      </c>
      <c r="AB28" s="2038" t="n">
        <f aca="false">D28/H28</f>
        <v>1</v>
      </c>
      <c r="AC28" s="2038" t="n">
        <f aca="false">D28/J28</f>
        <v>1</v>
      </c>
    </row>
    <row r="29" customFormat="false" ht="15" hidden="false" customHeight="false" outlineLevel="0" collapsed="false">
      <c r="A29" s="2005"/>
      <c r="B29" s="2431"/>
      <c r="C29" s="2040"/>
      <c r="D29" s="2041"/>
      <c r="E29" s="2060"/>
      <c r="F29" s="2041"/>
      <c r="G29" s="2060"/>
      <c r="H29" s="2041"/>
      <c r="I29" s="2060"/>
      <c r="J29" s="2041"/>
      <c r="K29" s="2364"/>
      <c r="L29" s="2018"/>
      <c r="M29" s="1954"/>
      <c r="N29" s="1954"/>
      <c r="O29" s="2546"/>
      <c r="P29" s="2036"/>
      <c r="Q29" s="2033"/>
      <c r="R29" s="2034"/>
      <c r="S29" s="2035"/>
      <c r="T29" s="2034"/>
      <c r="U29" s="2035"/>
      <c r="V29" s="2034"/>
      <c r="W29" s="2035"/>
      <c r="X29" s="1958"/>
      <c r="Y29" s="2036"/>
      <c r="Z29" s="2037"/>
      <c r="AA29" s="2038" t="n">
        <v>1</v>
      </c>
      <c r="AB29" s="2038" t="n">
        <v>1</v>
      </c>
      <c r="AC29" s="2038" t="n">
        <v>1</v>
      </c>
    </row>
    <row r="30" customFormat="false" ht="15" hidden="false" customHeight="false" outlineLevel="0" collapsed="false">
      <c r="A30" s="2005"/>
      <c r="B30" s="2526" t="s">
        <v>204</v>
      </c>
      <c r="C30" s="2583" t="n">
        <f aca="false">估价对象房地状况!G23</f>
        <v>0</v>
      </c>
      <c r="D30" s="2016" t="n">
        <v>100</v>
      </c>
      <c r="E30" s="2434"/>
      <c r="F30" s="2017" t="n">
        <f aca="false">SUMIF(99:99,E30,100:100)-SUMIF(99:99,C30,100:100)+100</f>
        <v>100</v>
      </c>
      <c r="G30" s="2434"/>
      <c r="H30" s="2017" t="n">
        <f aca="false">SUMIF(99:99,G30,100:100)-SUMIF(99:99,C30,100:100)+100</f>
        <v>100</v>
      </c>
      <c r="I30" s="2434"/>
      <c r="J30" s="2017" t="n">
        <f aca="false">SUMIF(99:99,I30,100:100)-SUMIF(99:99,C30,100:100)+100</f>
        <v>100</v>
      </c>
      <c r="K30" s="2363"/>
      <c r="L30" s="2018"/>
      <c r="M30" s="1954"/>
      <c r="N30" s="1954"/>
      <c r="O30" s="2546"/>
      <c r="P30" s="2036"/>
      <c r="Q30" s="2033" t="str">
        <f aca="false">B30</f>
        <v>土地级别</v>
      </c>
      <c r="R30" s="2034" t="s">
        <v>1277</v>
      </c>
      <c r="S30" s="2035" t="n">
        <f aca="false">F30</f>
        <v>100</v>
      </c>
      <c r="T30" s="2034" t="s">
        <v>1277</v>
      </c>
      <c r="U30" s="2035" t="n">
        <f aca="false">H30</f>
        <v>100</v>
      </c>
      <c r="V30" s="2034" t="s">
        <v>1277</v>
      </c>
      <c r="W30" s="2035" t="n">
        <f aca="false">J30</f>
        <v>100</v>
      </c>
      <c r="X30" s="1958"/>
      <c r="Y30" s="2036"/>
      <c r="Z30" s="2037" t="str">
        <f aca="false">Q30</f>
        <v>土地级别</v>
      </c>
      <c r="AA30" s="2038" t="n">
        <f aca="false">D30/F30</f>
        <v>1</v>
      </c>
      <c r="AB30" s="2038" t="n">
        <f aca="false">D30/H30</f>
        <v>1</v>
      </c>
      <c r="AC30" s="2038" t="n">
        <f aca="false">D30/J30</f>
        <v>1</v>
      </c>
    </row>
    <row r="31" customFormat="false" ht="15" hidden="false" customHeight="false" outlineLevel="0" collapsed="false">
      <c r="A31" s="1959"/>
      <c r="B31" s="2437" t="n">
        <v>111</v>
      </c>
      <c r="C31" s="2582"/>
      <c r="D31" s="2016" t="n">
        <v>100</v>
      </c>
      <c r="E31" s="2096"/>
      <c r="F31" s="2017" t="n">
        <f aca="false">SUMIF(101:101,E31,102:102)-SUMIF(101:101,C31,102:102)+100</f>
        <v>100</v>
      </c>
      <c r="G31" s="2096"/>
      <c r="H31" s="2017" t="n">
        <f aca="false">SUMIF(101:101,G31,102:102)-SUMIF(101:101,C31,102:102)+100</f>
        <v>100</v>
      </c>
      <c r="I31" s="2195"/>
      <c r="J31" s="2017" t="n">
        <f aca="false">SUMIF(101:101,I31,102:102)-SUMIF(101:101,C31,102:102)+100</f>
        <v>100</v>
      </c>
      <c r="K31" s="2364"/>
      <c r="L31" s="2018"/>
      <c r="M31" s="1954"/>
      <c r="N31" s="1954"/>
      <c r="O31" s="2546"/>
      <c r="P31" s="2036"/>
      <c r="Q31" s="2033" t="n">
        <f aca="false">B31</f>
        <v>111</v>
      </c>
      <c r="R31" s="2034" t="s">
        <v>1277</v>
      </c>
      <c r="S31" s="2035" t="n">
        <f aca="false">F31</f>
        <v>100</v>
      </c>
      <c r="T31" s="2034" t="s">
        <v>1277</v>
      </c>
      <c r="U31" s="2035" t="n">
        <f aca="false">H31</f>
        <v>100</v>
      </c>
      <c r="V31" s="2034" t="s">
        <v>1277</v>
      </c>
      <c r="W31" s="2035" t="n">
        <f aca="false">J31</f>
        <v>100</v>
      </c>
      <c r="X31" s="1958"/>
      <c r="Y31" s="2036"/>
      <c r="Z31" s="2037" t="n">
        <f aca="false">Q31</f>
        <v>111</v>
      </c>
      <c r="AA31" s="2038" t="n">
        <f aca="false">D31/F31</f>
        <v>1</v>
      </c>
      <c r="AB31" s="2038" t="n">
        <f aca="false">D31/H31</f>
        <v>1</v>
      </c>
      <c r="AC31" s="2038" t="n">
        <f aca="false">D31/J31</f>
        <v>1</v>
      </c>
    </row>
    <row r="32" customFormat="false" ht="15" hidden="false" customHeight="true" outlineLevel="0" collapsed="false">
      <c r="A32" s="2588"/>
      <c r="B32" s="2667" t="n">
        <v>111</v>
      </c>
      <c r="C32" s="2582"/>
      <c r="D32" s="2016" t="n">
        <v>100</v>
      </c>
      <c r="E32" s="2096"/>
      <c r="F32" s="2017" t="n">
        <f aca="false">SUMIF(103:103,E33,104:104)-SUMIF(103:103,C33,104:104)+100</f>
        <v>100</v>
      </c>
      <c r="G32" s="2096"/>
      <c r="H32" s="2017" t="n">
        <f aca="false">SUMIF(103:103,G32,104:104)-SUMIF(103:103,C32,104:104)+100</f>
        <v>100</v>
      </c>
      <c r="I32" s="2582"/>
      <c r="J32" s="2017" t="n">
        <f aca="false">SUMIF(103:103,I32,104:104)-SUMIF(103:103,C32,104:104)+100</f>
        <v>100</v>
      </c>
      <c r="K32" s="2364"/>
      <c r="L32" s="2018"/>
      <c r="M32" s="1954"/>
      <c r="N32" s="1954"/>
      <c r="O32" s="2546"/>
      <c r="P32" s="2523" t="s">
        <v>1292</v>
      </c>
      <c r="Q32" s="2033" t="n">
        <f aca="false">B32</f>
        <v>111</v>
      </c>
      <c r="R32" s="2034" t="s">
        <v>1277</v>
      </c>
      <c r="S32" s="2035" t="n">
        <f aca="false">F32</f>
        <v>100</v>
      </c>
      <c r="T32" s="2034" t="s">
        <v>1277</v>
      </c>
      <c r="U32" s="2035" t="n">
        <f aca="false">H32</f>
        <v>100</v>
      </c>
      <c r="V32" s="2034" t="s">
        <v>1277</v>
      </c>
      <c r="W32" s="2035" t="n">
        <f aca="false">J32</f>
        <v>100</v>
      </c>
      <c r="X32" s="1958"/>
      <c r="Y32" s="2524" t="s">
        <v>1292</v>
      </c>
      <c r="Z32" s="2037" t="n">
        <f aca="false">Q32</f>
        <v>111</v>
      </c>
      <c r="AA32" s="2038" t="n">
        <f aca="false">D32/F32</f>
        <v>1</v>
      </c>
      <c r="AB32" s="2038" t="n">
        <f aca="false">D32/H32</f>
        <v>1</v>
      </c>
      <c r="AC32" s="2038" t="n">
        <f aca="false">D32/J32</f>
        <v>1</v>
      </c>
    </row>
    <row r="33" s="2088" customFormat="true" ht="15" hidden="false" customHeight="false" outlineLevel="0" collapsed="false">
      <c r="A33" s="2590"/>
      <c r="B33" s="551" t="n">
        <v>111</v>
      </c>
      <c r="C33" s="2592"/>
      <c r="D33" s="2593" t="n">
        <v>100</v>
      </c>
      <c r="E33" s="2594"/>
      <c r="F33" s="2024" t="n">
        <f aca="false">SUMIF(105:105,E33,106:106)-SUMIF(105:105,C33,106:106)+100</f>
        <v>100</v>
      </c>
      <c r="G33" s="2594"/>
      <c r="H33" s="2024" t="n">
        <f aca="false">SUMIF(105:105,G33,106:106)-SUMIF(105:105,C33,106:106)+100</f>
        <v>100</v>
      </c>
      <c r="I33" s="2592"/>
      <c r="J33" s="2024" t="n">
        <f aca="false">SUMIF(105:105,I33,106:106)-SUMIF(105:105,C33,106:106)+100</f>
        <v>100</v>
      </c>
      <c r="K33" s="2364"/>
      <c r="L33" s="2009"/>
      <c r="M33" s="2082"/>
      <c r="N33" s="2082"/>
      <c r="O33" s="2553"/>
      <c r="P33" s="2523"/>
      <c r="Q33" s="2033" t="n">
        <f aca="false">B33</f>
        <v>111</v>
      </c>
      <c r="R33" s="2084" t="s">
        <v>1277</v>
      </c>
      <c r="S33" s="2085" t="n">
        <f aca="false">F33</f>
        <v>100</v>
      </c>
      <c r="T33" s="2084" t="s">
        <v>1277</v>
      </c>
      <c r="U33" s="2085" t="n">
        <f aca="false">H33</f>
        <v>100</v>
      </c>
      <c r="V33" s="2084" t="s">
        <v>1277</v>
      </c>
      <c r="W33" s="2085" t="n">
        <f aca="false">J33</f>
        <v>100</v>
      </c>
      <c r="X33" s="2086"/>
      <c r="Y33" s="2524"/>
      <c r="Z33" s="2087" t="n">
        <f aca="false">Q33</f>
        <v>111</v>
      </c>
      <c r="AA33" s="2038" t="n">
        <f aca="false">D33/F33</f>
        <v>1</v>
      </c>
      <c r="AB33" s="2038" t="n">
        <f aca="false">D33/H33</f>
        <v>1</v>
      </c>
      <c r="AC33" s="2038" t="n">
        <f aca="false">D33/J33</f>
        <v>1</v>
      </c>
    </row>
    <row r="34" customFormat="false" ht="15" hidden="false" customHeight="false" outlineLevel="0" collapsed="false">
      <c r="A34" s="2025" t="s">
        <v>1292</v>
      </c>
      <c r="B34" s="2587" t="s">
        <v>1575</v>
      </c>
      <c r="C34" s="2596"/>
      <c r="D34" s="2074" t="n">
        <v>100</v>
      </c>
      <c r="E34" s="2596"/>
      <c r="F34" s="2077" t="e">
        <f aca="false">LOOKUP(E34,108:108,109:109)-LOOKUP(C34,108:108,109:109)+100</f>
        <v>#N/A</v>
      </c>
      <c r="G34" s="2596"/>
      <c r="H34" s="2077" t="e">
        <f aca="false">LOOKUP(G34,108:108,109:109)-LOOKUP(C34,108:108,109:109)+100</f>
        <v>#N/A</v>
      </c>
      <c r="I34" s="2178"/>
      <c r="J34" s="2077" t="e">
        <f aca="false">LOOKUP(I34,108:108,109:109)-LOOKUP(C34,108:108,109:109)+100</f>
        <v>#N/A</v>
      </c>
      <c r="K34" s="2364"/>
      <c r="L34" s="2018"/>
      <c r="M34" s="1954"/>
      <c r="N34" s="1954"/>
      <c r="O34" s="2546"/>
      <c r="P34" s="2523"/>
      <c r="Q34" s="2033" t="str">
        <f aca="false">B34</f>
        <v>宗地面积</v>
      </c>
      <c r="R34" s="2034" t="s">
        <v>1277</v>
      </c>
      <c r="S34" s="2035" t="e">
        <f aca="false">F34</f>
        <v>#N/A</v>
      </c>
      <c r="T34" s="2034" t="s">
        <v>1277</v>
      </c>
      <c r="U34" s="2035" t="e">
        <f aca="false">H34</f>
        <v>#N/A</v>
      </c>
      <c r="V34" s="2034" t="s">
        <v>1277</v>
      </c>
      <c r="W34" s="2035" t="e">
        <f aca="false">J34</f>
        <v>#N/A</v>
      </c>
      <c r="X34" s="1958"/>
      <c r="Y34" s="2524"/>
      <c r="Z34" s="2037" t="str">
        <f aca="false">Q34</f>
        <v>宗地面积</v>
      </c>
      <c r="AA34" s="2038" t="e">
        <f aca="false">D34/F34</f>
        <v>#N/A</v>
      </c>
      <c r="AB34" s="2038" t="e">
        <f aca="false">D34/H34</f>
        <v>#N/A</v>
      </c>
      <c r="AC34" s="2038" t="e">
        <f aca="false">D34/J34</f>
        <v>#N/A</v>
      </c>
    </row>
    <row r="35" customFormat="false" ht="15" hidden="false" customHeight="false" outlineLevel="0" collapsed="false">
      <c r="A35" s="2089"/>
      <c r="B35" s="1996" t="s">
        <v>1576</v>
      </c>
      <c r="C35" s="2063"/>
      <c r="D35" s="2016" t="n">
        <v>100</v>
      </c>
      <c r="E35" s="2063"/>
      <c r="F35" s="2017" t="n">
        <f aca="false">SUMIF(110:110,E35,111:111)-SUMIF(110:110,C35,111:111)+100</f>
        <v>100</v>
      </c>
      <c r="G35" s="2063"/>
      <c r="H35" s="2017" t="n">
        <f aca="false">SUMIF(110:110,G35,111:111)-SUMIF(110:110,C35,111:111)+100</f>
        <v>100</v>
      </c>
      <c r="I35" s="2063"/>
      <c r="J35" s="2017" t="n">
        <f aca="false">SUMIF(110:110,I35,111:111)-SUMIF(110:110,C35,111:111)+100</f>
        <v>100</v>
      </c>
      <c r="K35" s="2363"/>
      <c r="L35" s="2018"/>
      <c r="M35" s="1954"/>
      <c r="N35" s="1954"/>
      <c r="O35" s="2546"/>
      <c r="P35" s="2523"/>
      <c r="Q35" s="2033" t="str">
        <f aca="false">B35</f>
        <v>宗地形状</v>
      </c>
      <c r="R35" s="2034" t="s">
        <v>1277</v>
      </c>
      <c r="S35" s="2035" t="n">
        <f aca="false">F35</f>
        <v>100</v>
      </c>
      <c r="T35" s="2034" t="s">
        <v>1277</v>
      </c>
      <c r="U35" s="2035" t="n">
        <f aca="false">H35</f>
        <v>100</v>
      </c>
      <c r="V35" s="2034" t="s">
        <v>1277</v>
      </c>
      <c r="W35" s="2035" t="n">
        <f aca="false">J35</f>
        <v>100</v>
      </c>
      <c r="X35" s="1958"/>
      <c r="Y35" s="2524"/>
      <c r="Z35" s="2037" t="str">
        <f aca="false">Q35</f>
        <v>宗地形状</v>
      </c>
      <c r="AA35" s="2038" t="n">
        <f aca="false">D35/F35</f>
        <v>1</v>
      </c>
      <c r="AB35" s="2038" t="n">
        <f aca="false">D35/H35</f>
        <v>1</v>
      </c>
      <c r="AC35" s="2038" t="n">
        <f aca="false">D35/J35</f>
        <v>1</v>
      </c>
    </row>
    <row r="36" s="1983" customFormat="true" ht="15" hidden="false" customHeight="false" outlineLevel="0" collapsed="false">
      <c r="A36" s="2092"/>
      <c r="B36" s="1996" t="s">
        <v>1578</v>
      </c>
      <c r="C36" s="2597"/>
      <c r="D36" s="1998" t="n">
        <v>100</v>
      </c>
      <c r="E36" s="2597"/>
      <c r="F36" s="2017" t="n">
        <f aca="false">SUMIF(112:112,E36,113:113)-SUMIF(112:112,C36,113:113)+100</f>
        <v>100</v>
      </c>
      <c r="G36" s="2597"/>
      <c r="H36" s="2017" t="n">
        <f aca="false">SUMIF(112:112,G36,113:113)-SUMIF(112:112,C36,113:113)+100</f>
        <v>100</v>
      </c>
      <c r="I36" s="2597"/>
      <c r="J36" s="2017" t="n">
        <f aca="false">SUMIF(112:112,I36,113:113)-SUMIF(112:112,C36,113:113)+100</f>
        <v>100</v>
      </c>
      <c r="K36" s="2363"/>
      <c r="L36" s="1977"/>
      <c r="M36" s="1978"/>
      <c r="N36" s="1978"/>
      <c r="O36" s="2544"/>
      <c r="P36" s="2523"/>
      <c r="Q36" s="2033" t="str">
        <f aca="false">B36</f>
        <v>宗地开发程度</v>
      </c>
      <c r="R36" s="1980" t="s">
        <v>1277</v>
      </c>
      <c r="S36" s="1981" t="n">
        <f aca="false">F36</f>
        <v>100</v>
      </c>
      <c r="T36" s="1980" t="s">
        <v>1277</v>
      </c>
      <c r="U36" s="1981" t="n">
        <f aca="false">H36</f>
        <v>100</v>
      </c>
      <c r="V36" s="1980" t="s">
        <v>1277</v>
      </c>
      <c r="W36" s="1981" t="n">
        <f aca="false">J36</f>
        <v>100</v>
      </c>
      <c r="X36" s="1982"/>
      <c r="Y36" s="2524"/>
      <c r="Z36" s="540" t="str">
        <f aca="false">Q36</f>
        <v>宗地开发程度</v>
      </c>
      <c r="AA36" s="741" t="n">
        <f aca="false">D36/F36</f>
        <v>1</v>
      </c>
      <c r="AB36" s="741" t="n">
        <f aca="false">D36/H36</f>
        <v>1</v>
      </c>
      <c r="AC36" s="741" t="n">
        <f aca="false">D36/J36</f>
        <v>1</v>
      </c>
    </row>
    <row r="37" customFormat="false" ht="15" hidden="false" customHeight="false" outlineLevel="0" collapsed="false">
      <c r="A37" s="2089"/>
      <c r="B37" s="1996" t="s">
        <v>1579</v>
      </c>
      <c r="C37" s="2063"/>
      <c r="D37" s="2016" t="n">
        <v>100</v>
      </c>
      <c r="E37" s="2063"/>
      <c r="F37" s="2017" t="n">
        <f aca="false">SUMIF(114:114,E37,115:115)-SUMIF(114:114,C37,115:115)+100</f>
        <v>100</v>
      </c>
      <c r="G37" s="2063"/>
      <c r="H37" s="2017" t="n">
        <f aca="false">SUMIF(114:114,G37,115:115)-SUMIF(114:114,C37,115:115)+100</f>
        <v>100</v>
      </c>
      <c r="I37" s="2063"/>
      <c r="J37" s="2017" t="n">
        <f aca="false">SUMIF(114:114,I37,115:115)-SUMIF(114:114,C37,115:115)+100</f>
        <v>100</v>
      </c>
      <c r="K37" s="2363"/>
      <c r="L37" s="2018"/>
      <c r="M37" s="1954"/>
      <c r="N37" s="1954"/>
      <c r="O37" s="2546"/>
      <c r="P37" s="2523" t="s">
        <v>1292</v>
      </c>
      <c r="Q37" s="2033" t="str">
        <f aca="false">B37</f>
        <v>工程地质条件</v>
      </c>
      <c r="R37" s="2034" t="s">
        <v>1277</v>
      </c>
      <c r="S37" s="2035" t="n">
        <f aca="false">F37</f>
        <v>100</v>
      </c>
      <c r="T37" s="2034" t="s">
        <v>1277</v>
      </c>
      <c r="U37" s="2035" t="n">
        <f aca="false">H37</f>
        <v>100</v>
      </c>
      <c r="V37" s="2034" t="s">
        <v>1277</v>
      </c>
      <c r="W37" s="2035" t="n">
        <f aca="false">J37</f>
        <v>100</v>
      </c>
      <c r="X37" s="1958"/>
      <c r="Y37" s="2524" t="s">
        <v>1292</v>
      </c>
      <c r="Z37" s="2037" t="str">
        <f aca="false">Q37</f>
        <v>工程地质条件</v>
      </c>
      <c r="AA37" s="2038" t="n">
        <f aca="false">D37/F37</f>
        <v>1</v>
      </c>
      <c r="AB37" s="2038" t="n">
        <f aca="false">D37/H37</f>
        <v>1</v>
      </c>
      <c r="AC37" s="2038" t="n">
        <f aca="false">D37/J37</f>
        <v>1</v>
      </c>
    </row>
    <row r="38" customFormat="false" ht="15" hidden="false" customHeight="false" outlineLevel="0" collapsed="false">
      <c r="A38" s="2089"/>
      <c r="B38" s="2589" t="n">
        <v>111</v>
      </c>
      <c r="C38" s="2582"/>
      <c r="D38" s="2016" t="n">
        <v>100</v>
      </c>
      <c r="E38" s="2582"/>
      <c r="F38" s="2017" t="n">
        <f aca="false">SUMIF(116:116,E38,117:117)-SUMIF(116:116,C38,117:117)+100</f>
        <v>100</v>
      </c>
      <c r="G38" s="2582"/>
      <c r="H38" s="2017" t="n">
        <f aca="false">SUMIF(116:116,G38,117:117)-SUMIF(116:116,C38,117:117)+100</f>
        <v>100</v>
      </c>
      <c r="I38" s="2195"/>
      <c r="J38" s="2017" t="n">
        <f aca="false">SUMIF(116:116,I38,117:117)-SUMIF(116:116,C38,117:117)+100</f>
        <v>100</v>
      </c>
      <c r="K38" s="2364"/>
      <c r="L38" s="2018"/>
      <c r="M38" s="1954"/>
      <c r="N38" s="1954"/>
      <c r="O38" s="2546"/>
      <c r="P38" s="2523"/>
      <c r="Q38" s="2033" t="n">
        <f aca="false">B38</f>
        <v>111</v>
      </c>
      <c r="R38" s="2034" t="s">
        <v>1277</v>
      </c>
      <c r="S38" s="2035" t="n">
        <f aca="false">F38</f>
        <v>100</v>
      </c>
      <c r="T38" s="2034" t="s">
        <v>1277</v>
      </c>
      <c r="U38" s="2035" t="n">
        <f aca="false">H38</f>
        <v>100</v>
      </c>
      <c r="V38" s="2034" t="s">
        <v>1277</v>
      </c>
      <c r="W38" s="2035" t="n">
        <f aca="false">J38</f>
        <v>100</v>
      </c>
      <c r="X38" s="1958"/>
      <c r="Y38" s="2524"/>
      <c r="Z38" s="2037" t="n">
        <f aca="false">Q38</f>
        <v>111</v>
      </c>
      <c r="AA38" s="2038" t="n">
        <f aca="false">D38/F38</f>
        <v>1</v>
      </c>
      <c r="AB38" s="2038" t="n">
        <f aca="false">D38/H38</f>
        <v>1</v>
      </c>
      <c r="AC38" s="2038" t="n">
        <f aca="false">D38/J38</f>
        <v>1</v>
      </c>
    </row>
    <row r="39" customFormat="false" ht="15" hidden="false" customHeight="false" outlineLevel="0" collapsed="false">
      <c r="A39" s="2089"/>
      <c r="B39" s="2589" t="n">
        <v>111</v>
      </c>
      <c r="C39" s="2582"/>
      <c r="D39" s="2016" t="n">
        <v>100</v>
      </c>
      <c r="E39" s="2582"/>
      <c r="F39" s="2017" t="n">
        <f aca="false">SUMIF(118:118,E39,119:119)-SUMIF(118:118,C39,119:119)+100</f>
        <v>100</v>
      </c>
      <c r="G39" s="2582"/>
      <c r="H39" s="2017" t="n">
        <f aca="false">SUMIF(118:118,G39,119:119)-SUMIF(118:118,C39,119:119)+100</f>
        <v>100</v>
      </c>
      <c r="I39" s="2195"/>
      <c r="J39" s="2017" t="n">
        <f aca="false">SUMIF(118:118,I39,119:119)-SUMIF(118:118,C39,119:119)+100</f>
        <v>100</v>
      </c>
      <c r="K39" s="2364"/>
      <c r="L39" s="2018"/>
      <c r="M39" s="1954"/>
      <c r="N39" s="1954"/>
      <c r="O39" s="2546"/>
      <c r="P39" s="2523"/>
      <c r="Q39" s="2033" t="n">
        <f aca="false">B39</f>
        <v>111</v>
      </c>
      <c r="R39" s="2034" t="s">
        <v>1277</v>
      </c>
      <c r="S39" s="2035" t="n">
        <f aca="false">F39</f>
        <v>100</v>
      </c>
      <c r="T39" s="2034" t="s">
        <v>1277</v>
      </c>
      <c r="U39" s="2035" t="n">
        <f aca="false">H39</f>
        <v>100</v>
      </c>
      <c r="V39" s="2034" t="s">
        <v>1277</v>
      </c>
      <c r="W39" s="2035" t="n">
        <f aca="false">J39</f>
        <v>100</v>
      </c>
      <c r="X39" s="1958"/>
      <c r="Y39" s="2524"/>
      <c r="Z39" s="2037" t="n">
        <f aca="false">Q39</f>
        <v>111</v>
      </c>
      <c r="AA39" s="2038" t="n">
        <f aca="false">D39/F39</f>
        <v>1</v>
      </c>
      <c r="AB39" s="2038" t="n">
        <f aca="false">D39/H39</f>
        <v>1</v>
      </c>
      <c r="AC39" s="2038" t="n">
        <f aca="false">D39/J39</f>
        <v>1</v>
      </c>
    </row>
    <row r="40" s="2088" customFormat="true" ht="15" hidden="false" customHeight="false" outlineLevel="0" collapsed="false">
      <c r="A40" s="2080"/>
      <c r="B40" s="2589" t="n">
        <v>111</v>
      </c>
      <c r="C40" s="2598"/>
      <c r="D40" s="2593" t="n">
        <v>100</v>
      </c>
      <c r="E40" s="2582"/>
      <c r="F40" s="2024" t="n">
        <f aca="false">SUMIF(120:120,E40,121:121)-SUMIF(120:120,C40,121:121)+100</f>
        <v>100</v>
      </c>
      <c r="G40" s="2582"/>
      <c r="H40" s="2024" t="n">
        <f aca="false">SUMIF(120:120,G40,121:121)-SUMIF(120:120,C40,121:121)+100</f>
        <v>100</v>
      </c>
      <c r="I40" s="2195"/>
      <c r="J40" s="2024" t="n">
        <f aca="false">SUMIF(120:120,I40,121:121)-SUMIF(120:120,C40,121:121)+100</f>
        <v>100</v>
      </c>
      <c r="K40" s="2600"/>
      <c r="L40" s="2009"/>
      <c r="M40" s="2082"/>
      <c r="N40" s="2082"/>
      <c r="O40" s="2553"/>
      <c r="P40" s="2523"/>
      <c r="Q40" s="2033" t="n">
        <f aca="false">B40</f>
        <v>111</v>
      </c>
      <c r="R40" s="2084" t="s">
        <v>1277</v>
      </c>
      <c r="S40" s="2085" t="n">
        <f aca="false">F40</f>
        <v>100</v>
      </c>
      <c r="T40" s="2084" t="s">
        <v>1277</v>
      </c>
      <c r="U40" s="2085" t="n">
        <f aca="false">H40</f>
        <v>100</v>
      </c>
      <c r="V40" s="2084" t="s">
        <v>1277</v>
      </c>
      <c r="W40" s="2085" t="n">
        <f aca="false">J40</f>
        <v>100</v>
      </c>
      <c r="X40" s="2086"/>
      <c r="Y40" s="2524"/>
      <c r="Z40" s="2087" t="n">
        <f aca="false">Q40</f>
        <v>111</v>
      </c>
      <c r="AA40" s="2038" t="n">
        <f aca="false">D40/F40</f>
        <v>1</v>
      </c>
      <c r="AB40" s="2038" t="n">
        <f aca="false">D40/H40</f>
        <v>1</v>
      </c>
      <c r="AC40" s="2038" t="n">
        <f aca="false">D40/J40</f>
        <v>1</v>
      </c>
    </row>
    <row r="41" customFormat="false" ht="15" hidden="false" customHeight="false" outlineLevel="0" collapsed="false">
      <c r="A41" s="2100" t="s">
        <v>1360</v>
      </c>
      <c r="B41" s="2601" t="s">
        <v>223</v>
      </c>
      <c r="C41" s="2602" t="s">
        <v>122</v>
      </c>
      <c r="D41" s="2603"/>
      <c r="E41" s="2604"/>
      <c r="F41" s="2605"/>
      <c r="G41" s="2606"/>
      <c r="H41" s="2440"/>
      <c r="I41" s="2604"/>
      <c r="J41" s="2440"/>
      <c r="K41" s="2379"/>
      <c r="L41" s="2109"/>
      <c r="M41" s="1954"/>
      <c r="N41" s="1954"/>
      <c r="O41" s="2110"/>
      <c r="P41" s="2033" t="str">
        <f aca="false">A41</f>
        <v>成交单价</v>
      </c>
      <c r="Q41" s="2033"/>
      <c r="R41" s="2037" t="n">
        <f aca="false">E41</f>
        <v>0</v>
      </c>
      <c r="S41" s="2037"/>
      <c r="T41" s="2037" t="n">
        <f aca="false">G41</f>
        <v>0</v>
      </c>
      <c r="U41" s="2037"/>
      <c r="V41" s="2037" t="n">
        <f aca="false">I41</f>
        <v>0</v>
      </c>
      <c r="W41" s="2037"/>
      <c r="X41" s="2111"/>
      <c r="Y41" s="2112"/>
      <c r="Z41" s="2111"/>
      <c r="AA41" s="2111"/>
      <c r="AB41" s="2111"/>
      <c r="AC41" s="2111"/>
    </row>
    <row r="42" customFormat="false" ht="15" hidden="false" customHeight="false" outlineLevel="0" collapsed="false">
      <c r="A42" s="2113" t="s">
        <v>1309</v>
      </c>
      <c r="B42" s="2607"/>
      <c r="C42" s="2608" t="e">
        <f aca="false">R43</f>
        <v>#DIV/0!</v>
      </c>
      <c r="D42" s="2116" t="s">
        <v>1310</v>
      </c>
      <c r="E42" s="2608" t="e">
        <f aca="false">R42</f>
        <v>#DIV/0!</v>
      </c>
      <c r="F42" s="2118"/>
      <c r="G42" s="2609" t="e">
        <f aca="false">T42</f>
        <v>#DIV/0!</v>
      </c>
      <c r="H42" s="2118"/>
      <c r="I42" s="2608" t="e">
        <f aca="false">V42</f>
        <v>#DIV/0!</v>
      </c>
      <c r="J42" s="2118"/>
      <c r="K42" s="2380" t="n">
        <f aca="false">F42+H42+J42</f>
        <v>0</v>
      </c>
      <c r="L42" s="2109"/>
      <c r="M42" s="1954"/>
      <c r="N42" s="1954"/>
      <c r="O42" s="2110"/>
      <c r="P42" s="2033" t="str">
        <f aca="false">A42</f>
        <v>比较价值（元/平方米）</v>
      </c>
      <c r="Q42" s="2033"/>
      <c r="R42" s="2610" t="e">
        <f aca="false">ROUND(PRODUCT(R41,AA7:AA40),0)</f>
        <v>#DIV/0!</v>
      </c>
      <c r="S42" s="2610"/>
      <c r="T42" s="2610" t="e">
        <f aca="false">ROUND(PRODUCT(T41,AB7:AB40),0)</f>
        <v>#DIV/0!</v>
      </c>
      <c r="U42" s="2610"/>
      <c r="V42" s="2610" t="e">
        <f aca="false">ROUND(PRODUCT(V41,AC7:AC40),0)</f>
        <v>#DIV/0!</v>
      </c>
      <c r="W42" s="2610"/>
      <c r="X42" s="2111"/>
      <c r="Y42" s="2111"/>
      <c r="Z42" s="2111"/>
      <c r="AA42" s="2111"/>
      <c r="AB42" s="2111"/>
      <c r="AC42" s="2111"/>
    </row>
    <row r="43" customFormat="false" ht="15" hidden="false" customHeight="false" outlineLevel="0" collapsed="false">
      <c r="A43" s="2120" t="s">
        <v>1311</v>
      </c>
      <c r="B43" s="2121"/>
      <c r="C43" s="2442" t="e">
        <f aca="false">R43</f>
        <v>#DIV/0!</v>
      </c>
      <c r="D43" s="2442"/>
      <c r="E43" s="2442"/>
      <c r="F43" s="2442"/>
      <c r="G43" s="2442"/>
      <c r="H43" s="2442"/>
      <c r="I43" s="2442"/>
      <c r="J43" s="2442"/>
      <c r="K43" s="2381"/>
      <c r="L43" s="2109"/>
      <c r="M43" s="1954"/>
      <c r="N43" s="1954"/>
      <c r="O43" s="2110"/>
      <c r="P43" s="2033" t="str">
        <f aca="false">A43</f>
        <v>估价对象XX用房的比较价值（楼面单价，元/平方米）</v>
      </c>
      <c r="Q43" s="2033"/>
      <c r="R43" s="2611" t="e">
        <f aca="false">ROUND(IF(D42="简单平均",AVERAGE(R42:W42),R42*F42+T42*H42+V42*J42),0)</f>
        <v>#DIV/0!</v>
      </c>
      <c r="S43" s="2611"/>
      <c r="T43" s="2611"/>
      <c r="U43" s="2611"/>
      <c r="V43" s="2611"/>
      <c r="W43" s="2611"/>
      <c r="X43" s="2111"/>
      <c r="Y43" s="2111"/>
      <c r="Z43" s="2111"/>
      <c r="AA43" s="2111"/>
      <c r="AB43" s="2111"/>
      <c r="AC43" s="2111"/>
    </row>
    <row r="44" customFormat="false" ht="14.25" hidden="false" customHeight="false" outlineLevel="0" collapsed="false">
      <c r="A44" s="2110"/>
      <c r="B44" s="2110"/>
      <c r="C44" s="2110"/>
      <c r="D44" s="2110"/>
      <c r="E44" s="2110"/>
      <c r="F44" s="2110"/>
      <c r="G44" s="2126"/>
      <c r="H44" s="2110"/>
      <c r="I44" s="2110"/>
      <c r="J44" s="2110"/>
      <c r="K44" s="2127"/>
      <c r="L44" s="2128"/>
      <c r="M44" s="1954"/>
      <c r="N44" s="1954"/>
      <c r="O44" s="2110"/>
      <c r="P44" s="2110"/>
      <c r="Q44" s="2110"/>
      <c r="R44" s="2110"/>
      <c r="S44" s="2110"/>
      <c r="T44" s="2110"/>
      <c r="U44" s="2110"/>
      <c r="V44" s="2110"/>
      <c r="W44" s="2110"/>
      <c r="X44" s="2110"/>
      <c r="Y44" s="2110"/>
      <c r="Z44" s="2110"/>
      <c r="AA44" s="2110"/>
      <c r="AB44" s="2110"/>
      <c r="AC44" s="2110"/>
      <c r="AD44" s="2110"/>
      <c r="AE44" s="2110"/>
    </row>
    <row r="45" customFormat="false" ht="14.25" hidden="false" customHeight="false" outlineLevel="0" collapsed="false">
      <c r="A45" s="2110"/>
      <c r="B45" s="2110"/>
      <c r="C45" s="2110"/>
      <c r="D45" s="2110"/>
      <c r="E45" s="2110"/>
      <c r="F45" s="2110"/>
      <c r="G45" s="2110"/>
      <c r="H45" s="2110"/>
      <c r="I45" s="2110"/>
      <c r="J45" s="2110"/>
      <c r="K45" s="2127"/>
      <c r="L45" s="2128"/>
      <c r="M45" s="1954"/>
      <c r="N45" s="1954"/>
      <c r="O45" s="2110"/>
      <c r="P45" s="2110"/>
      <c r="Q45" s="2110"/>
      <c r="R45" s="2110"/>
      <c r="S45" s="2110"/>
      <c r="T45" s="2110"/>
      <c r="U45" s="2110"/>
      <c r="V45" s="2110"/>
      <c r="W45" s="2110"/>
      <c r="X45" s="2110"/>
      <c r="Y45" s="2110"/>
      <c r="Z45" s="2110"/>
      <c r="AA45" s="2110"/>
      <c r="AB45" s="2110"/>
      <c r="AC45" s="2110"/>
      <c r="AD45" s="2110"/>
      <c r="AE45" s="2110"/>
    </row>
    <row r="46" customFormat="false" ht="13.5" hidden="false" customHeight="true" outlineLevel="0" collapsed="false">
      <c r="A46" s="2110"/>
      <c r="B46" s="2110"/>
      <c r="C46" s="2129" t="s">
        <v>1312</v>
      </c>
      <c r="D46" s="2130"/>
      <c r="E46" s="2131" t="e">
        <f aca="false">IF(E41&lt;E42,E42/E41-1,E41/E42-1)</f>
        <v>#DIV/0!</v>
      </c>
      <c r="F46" s="2132" t="e">
        <f aca="false">IF(OR(E46&gt;=0.3,E46&lt;=-0.3),"超过30%","")</f>
        <v>#DIV/0!</v>
      </c>
      <c r="G46" s="2131" t="e">
        <f aca="false">IF(G41&lt;G42,G42/G41-1,G41/G42-1)</f>
        <v>#DIV/0!</v>
      </c>
      <c r="H46" s="2132" t="e">
        <f aca="false">IF(OR(G46&gt;=0.3,G46&lt;=-0.3),"超过30%","")</f>
        <v>#DIV/0!</v>
      </c>
      <c r="I46" s="2131" t="e">
        <f aca="false">IF(I41&lt;I42,I42/I41-1,I41/I42-1)</f>
        <v>#DIV/0!</v>
      </c>
      <c r="J46" s="2132" t="e">
        <f aca="false">IF(OR(I46&gt;=0.3,I46&lt;=-0.3),"超过30%","")</f>
        <v>#DIV/0!</v>
      </c>
      <c r="K46" s="2127"/>
      <c r="L46" s="2128"/>
      <c r="M46" s="1954"/>
      <c r="N46" s="1954"/>
      <c r="O46" s="2110"/>
      <c r="P46" s="2110"/>
      <c r="Q46" s="2110"/>
      <c r="R46" s="2110"/>
      <c r="S46" s="2110"/>
      <c r="T46" s="2110"/>
      <c r="U46" s="2110"/>
      <c r="V46" s="2110"/>
      <c r="W46" s="2110"/>
      <c r="X46" s="2110"/>
      <c r="Y46" s="2110"/>
      <c r="Z46" s="2110"/>
      <c r="AA46" s="2110"/>
      <c r="AB46" s="2110"/>
      <c r="AC46" s="2110"/>
      <c r="AD46" s="2110"/>
      <c r="AE46" s="2110"/>
    </row>
    <row r="47" customFormat="false" ht="13.5" hidden="false" customHeight="true" outlineLevel="0" collapsed="false">
      <c r="A47" s="2110"/>
      <c r="B47" s="2110"/>
      <c r="C47" s="2129" t="s">
        <v>1313</v>
      </c>
      <c r="D47" s="2133"/>
      <c r="E47" s="2131" t="e">
        <f aca="false">IF(E42&lt;G42,G42/E42-1,E42/G42-1)</f>
        <v>#DIV/0!</v>
      </c>
      <c r="F47" s="2132" t="e">
        <f aca="false">IF(OR(E47&gt;=0.2,E47&lt;=-0.2),"超过20%","")</f>
        <v>#DIV/0!</v>
      </c>
      <c r="G47" s="2131" t="e">
        <f aca="false">IF(G42&lt;I42,I42/G42-1,G42/I42-1)</f>
        <v>#DIV/0!</v>
      </c>
      <c r="H47" s="2132" t="e">
        <f aca="false">IF(OR(G47&gt;=0.2,G47&lt;=-0.2),"超过20%","")</f>
        <v>#DIV/0!</v>
      </c>
      <c r="I47" s="2131" t="e">
        <f aca="false">IF(I42&lt;E42,E42/I42-1,I42/E42-1)</f>
        <v>#DIV/0!</v>
      </c>
      <c r="J47" s="2132" t="e">
        <f aca="false">IF(OR(I47&gt;=0.2,I47&lt;=-0.2),"超过20%","")</f>
        <v>#DIV/0!</v>
      </c>
      <c r="K47" s="2127"/>
      <c r="L47" s="2128"/>
      <c r="M47" s="2110"/>
      <c r="N47" s="2110"/>
      <c r="O47" s="2110"/>
      <c r="P47" s="2110"/>
      <c r="Q47" s="2110"/>
      <c r="R47" s="2110"/>
      <c r="S47" s="2110"/>
      <c r="T47" s="2110"/>
      <c r="U47" s="2110"/>
      <c r="V47" s="2110"/>
      <c r="W47" s="2110"/>
      <c r="X47" s="2110"/>
      <c r="Y47" s="2110"/>
      <c r="Z47" s="2110"/>
      <c r="AA47" s="2110"/>
      <c r="AB47" s="2110"/>
      <c r="AC47" s="2110"/>
      <c r="AD47" s="2110"/>
      <c r="AE47" s="2110"/>
    </row>
    <row r="48" s="2138" customFormat="true" ht="13.5" hidden="false" customHeight="true" outlineLevel="0" collapsed="false">
      <c r="A48" s="2134"/>
      <c r="B48" s="2134"/>
      <c r="C48" s="2129" t="s">
        <v>1314</v>
      </c>
      <c r="D48" s="2133"/>
      <c r="E48" s="2131" t="e">
        <f aca="false">IF(E41&lt;G41,G41/E41-1,E41/G41-1)</f>
        <v>#DIV/0!</v>
      </c>
      <c r="F48" s="2132" t="e">
        <f aca="false">IF(OR(E48&gt;=0.3,E48&lt;=-0.3),"超过30%","")</f>
        <v>#DIV/0!</v>
      </c>
      <c r="G48" s="2131" t="e">
        <f aca="false">IF(G41&lt;I41,I41/G41-1,G41/I41-1)</f>
        <v>#DIV/0!</v>
      </c>
      <c r="H48" s="2132" t="e">
        <f aca="false">IF(OR(G48&gt;=0.3,G48&lt;=-0.3),"超过30%","")</f>
        <v>#DIV/0!</v>
      </c>
      <c r="I48" s="2131" t="e">
        <f aca="false">IF(I41&lt;E41,E41/I41-1,I41/E41-1)</f>
        <v>#DIV/0!</v>
      </c>
      <c r="J48" s="2132" t="e">
        <f aca="false">IF(OR(I48&gt;=0.3,I48&lt;=-0.3),"超过30%","")</f>
        <v>#DIV/0!</v>
      </c>
      <c r="K48" s="2135"/>
      <c r="L48" s="2136"/>
      <c r="M48" s="2134"/>
      <c r="N48" s="2134"/>
      <c r="O48" s="2134"/>
      <c r="P48" s="2134"/>
      <c r="Q48" s="2134"/>
      <c r="R48" s="2134"/>
      <c r="S48" s="2134"/>
      <c r="T48" s="2134"/>
      <c r="U48" s="2134"/>
      <c r="V48" s="2134"/>
      <c r="W48" s="2134"/>
      <c r="X48" s="2134"/>
      <c r="Y48" s="2134"/>
      <c r="Z48" s="2134"/>
      <c r="AA48" s="2134"/>
      <c r="AB48" s="2134"/>
      <c r="AC48" s="2134"/>
      <c r="AD48" s="2134"/>
      <c r="AE48" s="2134"/>
    </row>
    <row r="49" s="2138" customFormat="true" ht="14.25" hidden="false" customHeight="false" outlineLevel="0" collapsed="false">
      <c r="A49" s="2134"/>
      <c r="B49" s="2139"/>
      <c r="C49" s="2612"/>
      <c r="D49" s="2613"/>
      <c r="E49" s="2613"/>
      <c r="F49" s="2613"/>
      <c r="G49" s="2613"/>
      <c r="H49" s="2613"/>
      <c r="I49" s="2613"/>
      <c r="J49" s="2613"/>
      <c r="K49" s="2135"/>
      <c r="L49" s="2136"/>
      <c r="M49" s="2134"/>
      <c r="N49" s="2134"/>
      <c r="O49" s="2134"/>
      <c r="P49" s="2134"/>
      <c r="Q49" s="2134"/>
      <c r="R49" s="2134"/>
      <c r="S49" s="2134"/>
      <c r="T49" s="2134"/>
      <c r="U49" s="2134"/>
      <c r="V49" s="2134"/>
      <c r="W49" s="2134"/>
      <c r="X49" s="2134"/>
      <c r="Y49" s="2134"/>
      <c r="Z49" s="2134"/>
      <c r="AA49" s="2134"/>
      <c r="AB49" s="2134"/>
      <c r="AC49" s="2134"/>
      <c r="AD49" s="2134"/>
      <c r="AE49" s="2134"/>
    </row>
    <row r="50" customFormat="false" ht="27" hidden="false" customHeight="true" outlineLevel="0" collapsed="false">
      <c r="A50" s="2614" t="s">
        <v>1581</v>
      </c>
      <c r="B50" s="2615" t="s">
        <v>1582</v>
      </c>
      <c r="C50" s="2616" t="s">
        <v>1583</v>
      </c>
      <c r="D50" s="2617" t="s">
        <v>1584</v>
      </c>
      <c r="E50" s="2418" t="s">
        <v>107</v>
      </c>
      <c r="F50" s="2420" t="s">
        <v>97</v>
      </c>
      <c r="G50" s="2416" t="s">
        <v>1585</v>
      </c>
      <c r="H50" s="2416"/>
      <c r="I50" s="1957" t="s">
        <v>430</v>
      </c>
      <c r="J50" s="1957" t="n">
        <f aca="false">项目基本情况!F35</f>
        <v>0</v>
      </c>
      <c r="K50" s="2621" t="s">
        <v>1586</v>
      </c>
      <c r="L50" s="2128"/>
      <c r="M50" s="2110"/>
      <c r="N50" s="2110"/>
      <c r="O50" s="2110"/>
      <c r="P50" s="2110"/>
      <c r="Q50" s="2110"/>
      <c r="R50" s="2110"/>
      <c r="S50" s="2110"/>
      <c r="T50" s="2110"/>
      <c r="U50" s="2110"/>
      <c r="V50" s="2110"/>
      <c r="W50" s="2110"/>
      <c r="X50" s="2110"/>
      <c r="Y50" s="2110"/>
      <c r="Z50" s="2110"/>
      <c r="AA50" s="2110"/>
      <c r="AB50" s="2110"/>
      <c r="AC50" s="2110"/>
      <c r="AD50" s="2110"/>
      <c r="AE50" s="2110"/>
    </row>
    <row r="51" s="2629" customFormat="true" ht="14.25" hidden="false" customHeight="false" outlineLevel="0" collapsed="false">
      <c r="A51" s="2622" t="s">
        <v>228</v>
      </c>
      <c r="B51" s="2623" t="e">
        <f aca="false">C43</f>
        <v>#DIV/0!</v>
      </c>
      <c r="C51" s="2624" t="n">
        <v>1</v>
      </c>
      <c r="D51" s="2625" t="n">
        <v>1</v>
      </c>
      <c r="E51" s="2624" t="n">
        <f aca="false">'数据-汇总表'!E8+'数据-汇总表'!E9</f>
        <v>58.3</v>
      </c>
      <c r="F51" s="2668" t="e">
        <f aca="false">ROUND(B51*E51/10000,0)</f>
        <v>#DIV/0!</v>
      </c>
      <c r="G51" s="2416"/>
      <c r="H51" s="2416"/>
      <c r="I51" s="478" t="n">
        <v>1</v>
      </c>
      <c r="J51" s="478" t="n">
        <v>1</v>
      </c>
      <c r="K51" s="2134"/>
      <c r="L51" s="2628"/>
      <c r="M51" s="2628"/>
      <c r="N51" s="2628"/>
      <c r="O51" s="2628"/>
      <c r="P51" s="2628"/>
      <c r="Q51" s="2628"/>
      <c r="R51" s="2628"/>
      <c r="S51" s="2628"/>
      <c r="T51" s="2628"/>
      <c r="U51" s="2628"/>
      <c r="V51" s="2628"/>
      <c r="W51" s="2628"/>
      <c r="X51" s="2628"/>
      <c r="Y51" s="2628"/>
      <c r="Z51" s="2628"/>
      <c r="AA51" s="2628"/>
      <c r="AB51" s="2628"/>
      <c r="AC51" s="2628"/>
      <c r="AD51" s="2628"/>
      <c r="AE51" s="2628"/>
    </row>
    <row r="52" s="2629" customFormat="true" ht="14.25" hidden="false" customHeight="false" outlineLevel="0" collapsed="false">
      <c r="A52" s="2630" t="s">
        <v>1587</v>
      </c>
      <c r="B52" s="1278" t="e">
        <f aca="false">ROUND($C$43*C52*D52,0)</f>
        <v>#DIV/0!</v>
      </c>
      <c r="C52" s="2631" t="n">
        <f aca="false">IF($C$50="北京市系数",I52,J52)</f>
        <v>0</v>
      </c>
      <c r="D52" s="2632" t="n">
        <v>0.25</v>
      </c>
      <c r="E52" s="2633"/>
      <c r="F52" s="2668" t="e">
        <f aca="false">ROUND(B52*E52/10000,0)</f>
        <v>#DIV/0!</v>
      </c>
      <c r="G52" s="2634" t="s">
        <v>1588</v>
      </c>
      <c r="H52" s="2635" t="n">
        <f aca="false">项目基本情况!B37</f>
        <v>0</v>
      </c>
      <c r="I52" s="1528" t="n">
        <f aca="false">SUMIF(修正!A57:A68,H52,修正!B57:B68)</f>
        <v>0</v>
      </c>
      <c r="J52" s="2669"/>
      <c r="K52" s="2110"/>
      <c r="L52" s="2628"/>
      <c r="M52" s="2628"/>
      <c r="N52" s="2628"/>
      <c r="O52" s="2628"/>
      <c r="P52" s="2628"/>
      <c r="Q52" s="2628"/>
      <c r="R52" s="2628"/>
      <c r="S52" s="2628"/>
      <c r="T52" s="2628"/>
      <c r="U52" s="2628"/>
      <c r="V52" s="2628"/>
      <c r="W52" s="2628"/>
      <c r="X52" s="2628"/>
      <c r="Y52" s="2628"/>
      <c r="Z52" s="2628"/>
      <c r="AA52" s="2628"/>
      <c r="AB52" s="2628"/>
      <c r="AC52" s="2628"/>
      <c r="AD52" s="2628"/>
      <c r="AE52" s="2628"/>
    </row>
    <row r="53" s="2629" customFormat="true" ht="14.25" hidden="false" customHeight="false" outlineLevel="0" collapsed="false">
      <c r="A53" s="2630" t="s">
        <v>1589</v>
      </c>
      <c r="B53" s="1278" t="e">
        <f aca="false">ROUND($C$43*C53*D53,0)</f>
        <v>#DIV/0!</v>
      </c>
      <c r="C53" s="2631" t="n">
        <f aca="false">IF($C$50="北京市系数",I53,J53)</f>
        <v>0</v>
      </c>
      <c r="D53" s="2632" t="n">
        <v>0.25</v>
      </c>
      <c r="E53" s="2633"/>
      <c r="F53" s="2668" t="e">
        <f aca="false">ROUND(B53*E53/10000,0)</f>
        <v>#DIV/0!</v>
      </c>
      <c r="G53" s="2637"/>
      <c r="H53" s="2635" t="n">
        <f aca="false">项目基本情况!B37</f>
        <v>0</v>
      </c>
      <c r="I53" s="1528" t="n">
        <f aca="false">SUMIF(修正!A57:A68,H53,修正!C57:C68)</f>
        <v>0</v>
      </c>
      <c r="J53" s="2669"/>
      <c r="K53" s="2134"/>
      <c r="L53" s="2628"/>
      <c r="M53" s="2628"/>
      <c r="N53" s="2628"/>
      <c r="O53" s="2628"/>
      <c r="P53" s="2628"/>
      <c r="Q53" s="2628"/>
      <c r="R53" s="2628"/>
      <c r="S53" s="2628"/>
      <c r="T53" s="2628"/>
      <c r="U53" s="2628"/>
      <c r="V53" s="2628"/>
      <c r="W53" s="2628"/>
      <c r="X53" s="2628"/>
      <c r="Y53" s="2628"/>
      <c r="Z53" s="2628"/>
      <c r="AA53" s="2628"/>
      <c r="AB53" s="2628"/>
      <c r="AC53" s="2628"/>
      <c r="AD53" s="2628"/>
      <c r="AE53" s="2628"/>
    </row>
    <row r="54" s="2629" customFormat="true" ht="14.25" hidden="false" customHeight="false" outlineLevel="0" collapsed="false">
      <c r="A54" s="2630" t="s">
        <v>1590</v>
      </c>
      <c r="B54" s="1278" t="e">
        <f aca="false">ROUND($C$43*C54*D54,0)</f>
        <v>#DIV/0!</v>
      </c>
      <c r="C54" s="2631" t="n">
        <f aca="false">IF($C$50="北京市系数",I54,J54)</f>
        <v>0</v>
      </c>
      <c r="D54" s="2632" t="n">
        <v>0.25</v>
      </c>
      <c r="E54" s="2633"/>
      <c r="F54" s="2668" t="e">
        <f aca="false">ROUND(B54*E54/10000,0)</f>
        <v>#DIV/0!</v>
      </c>
      <c r="G54" s="2637"/>
      <c r="H54" s="2635" t="n">
        <f aca="false">项目基本情况!B37</f>
        <v>0</v>
      </c>
      <c r="I54" s="1528" t="n">
        <f aca="false">SUMIF(修正!A57:A68,H54,修正!D57:D68)</f>
        <v>0</v>
      </c>
      <c r="J54" s="2669"/>
      <c r="K54" s="2110"/>
      <c r="L54" s="2628"/>
      <c r="M54" s="2628"/>
      <c r="N54" s="2628"/>
      <c r="O54" s="2628"/>
      <c r="P54" s="2628"/>
      <c r="Q54" s="2628"/>
      <c r="R54" s="2628"/>
      <c r="S54" s="2628"/>
      <c r="T54" s="2628"/>
      <c r="U54" s="2628"/>
      <c r="V54" s="2628"/>
      <c r="W54" s="2628"/>
      <c r="X54" s="2628"/>
      <c r="Y54" s="2628"/>
      <c r="Z54" s="2628"/>
      <c r="AA54" s="2628"/>
      <c r="AB54" s="2628"/>
      <c r="AC54" s="2628"/>
      <c r="AD54" s="2628"/>
      <c r="AE54" s="2628"/>
    </row>
    <row r="55" s="2629" customFormat="true" ht="14.25" hidden="true" customHeight="false" outlineLevel="0" collapsed="false">
      <c r="A55" s="2630"/>
      <c r="B55" s="1278"/>
      <c r="C55" s="2631"/>
      <c r="D55" s="2632"/>
      <c r="E55" s="2633"/>
      <c r="F55" s="2668"/>
      <c r="G55" s="2670"/>
      <c r="H55" s="2635"/>
      <c r="I55" s="478"/>
      <c r="J55" s="2669"/>
      <c r="K55" s="2134"/>
      <c r="L55" s="2628"/>
      <c r="M55" s="2628"/>
      <c r="N55" s="2628"/>
      <c r="O55" s="2628"/>
      <c r="P55" s="2628"/>
      <c r="Q55" s="2628"/>
      <c r="R55" s="2628"/>
      <c r="S55" s="2628"/>
      <c r="T55" s="2628"/>
      <c r="U55" s="2628"/>
      <c r="V55" s="2628"/>
      <c r="W55" s="2628"/>
      <c r="X55" s="2628"/>
      <c r="Y55" s="2628"/>
      <c r="Z55" s="2628"/>
      <c r="AA55" s="2628"/>
      <c r="AB55" s="2628"/>
      <c r="AC55" s="2628"/>
      <c r="AD55" s="2628"/>
      <c r="AE55" s="2628"/>
    </row>
    <row r="56" s="2629" customFormat="true" ht="14.25" hidden="false" customHeight="false" outlineLevel="0" collapsed="false">
      <c r="A56" s="2630" t="s">
        <v>536</v>
      </c>
      <c r="B56" s="1278" t="e">
        <f aca="false">ROUND($C$43*C56*D56,0)</f>
        <v>#DIV/0!</v>
      </c>
      <c r="C56" s="2631" t="n">
        <f aca="false">IF($C$50="北京市系数",I56,J56)</f>
        <v>0</v>
      </c>
      <c r="D56" s="2632" t="n">
        <v>0.25</v>
      </c>
      <c r="E56" s="1277" t="n">
        <f aca="false">'数据-汇总表'!E11</f>
        <v>0</v>
      </c>
      <c r="F56" s="2668" t="e">
        <f aca="false">ROUND(B56*E56/10000,0)</f>
        <v>#DIV/0!</v>
      </c>
      <c r="G56" s="2638" t="s">
        <v>1591</v>
      </c>
      <c r="H56" s="2635" t="n">
        <f aca="false">项目基本情况!C37</f>
        <v>0</v>
      </c>
      <c r="I56" s="1528" t="n">
        <f aca="false">SUMIF(修正!A57:A68,H56,修正!E57:E68)</f>
        <v>0</v>
      </c>
      <c r="J56" s="2669"/>
      <c r="K56" s="2110"/>
      <c r="L56" s="2628"/>
      <c r="M56" s="2628"/>
      <c r="N56" s="2628"/>
      <c r="O56" s="2628"/>
      <c r="P56" s="2628"/>
      <c r="Q56" s="2628"/>
      <c r="R56" s="2628"/>
      <c r="S56" s="2628"/>
      <c r="T56" s="2628"/>
      <c r="U56" s="2628"/>
      <c r="V56" s="2628"/>
      <c r="W56" s="2628"/>
      <c r="X56" s="2628"/>
      <c r="Y56" s="2628"/>
      <c r="Z56" s="2628"/>
      <c r="AA56" s="2628"/>
      <c r="AB56" s="2628"/>
      <c r="AC56" s="2628"/>
      <c r="AD56" s="2628"/>
      <c r="AE56" s="2628"/>
    </row>
    <row r="57" s="2629" customFormat="true" ht="14.25" hidden="false" customHeight="false" outlineLevel="0" collapsed="false">
      <c r="A57" s="2630" t="s">
        <v>537</v>
      </c>
      <c r="B57" s="1278" t="e">
        <f aca="false">ROUND($C$43*C57*D57,0)</f>
        <v>#DIV/0!</v>
      </c>
      <c r="C57" s="2631" t="n">
        <f aca="false">IF($C$50="北京市系数",I57,J57)</f>
        <v>0</v>
      </c>
      <c r="D57" s="2632" t="n">
        <v>0.25</v>
      </c>
      <c r="E57" s="1277" t="n">
        <f aca="false">'数据-汇总表'!E12</f>
        <v>0</v>
      </c>
      <c r="F57" s="2668" t="e">
        <f aca="false">ROUND(B57*E57/10000,0)</f>
        <v>#DIV/0!</v>
      </c>
      <c r="G57" s="2639" t="s">
        <v>158</v>
      </c>
      <c r="H57" s="2635" t="n">
        <f aca="false">IF(G57="商业",项目基本情况!B37,IF(G57="办公",项目基本情况!C37,IF(G57="住宅",项目基本情况!D37,项目基本情况!E37)))</f>
        <v>0</v>
      </c>
      <c r="I57" s="1528" t="n">
        <f aca="false">SUMIF(修正!A57:A68,H57,修正!F57:F68)</f>
        <v>0</v>
      </c>
      <c r="J57" s="2669"/>
      <c r="K57" s="2134"/>
      <c r="L57" s="2628"/>
      <c r="M57" s="2628"/>
      <c r="N57" s="2628"/>
      <c r="O57" s="2628"/>
      <c r="P57" s="2628"/>
      <c r="Q57" s="2628"/>
      <c r="R57" s="2628"/>
      <c r="S57" s="2628"/>
      <c r="T57" s="2628"/>
      <c r="U57" s="2628"/>
      <c r="V57" s="2628"/>
      <c r="W57" s="2628"/>
      <c r="X57" s="2628"/>
      <c r="Y57" s="2628"/>
      <c r="Z57" s="2628"/>
      <c r="AA57" s="2628"/>
      <c r="AB57" s="2628"/>
      <c r="AC57" s="2628"/>
      <c r="AD57" s="2628"/>
      <c r="AE57" s="2628"/>
    </row>
    <row r="58" s="2629" customFormat="true" ht="14.25" hidden="false" customHeight="false" outlineLevel="0" collapsed="false">
      <c r="A58" s="2630" t="s">
        <v>1592</v>
      </c>
      <c r="B58" s="1278" t="e">
        <f aca="false">ROUND($C$43*C58*D58,0)</f>
        <v>#DIV/0!</v>
      </c>
      <c r="C58" s="2631" t="n">
        <f aca="false">IF($C$50="北京市系数",I58,J58)</f>
        <v>0</v>
      </c>
      <c r="D58" s="2632" t="n">
        <v>0.25</v>
      </c>
      <c r="E58" s="1277" t="n">
        <f aca="false">'数据-汇总表'!E13</f>
        <v>0</v>
      </c>
      <c r="F58" s="2668" t="e">
        <f aca="false">ROUND(B58*E58/10000,0)</f>
        <v>#DIV/0!</v>
      </c>
      <c r="G58" s="2639" t="s">
        <v>156</v>
      </c>
      <c r="H58" s="2635" t="n">
        <f aca="false">IF(G58="商业",项目基本情况!B37,IF(G58="办公",项目基本情况!C37,IF(G58="住宅",项目基本情况!D37,项目基本情况!E37)))</f>
        <v>0</v>
      </c>
      <c r="I58" s="1528" t="n">
        <f aca="false">SUMIF(修正!A57:A68,H58,修正!G57:G68)</f>
        <v>0</v>
      </c>
      <c r="J58" s="2669"/>
      <c r="K58" s="2110"/>
      <c r="L58" s="2628"/>
      <c r="M58" s="2628"/>
      <c r="N58" s="2628"/>
      <c r="O58" s="2628"/>
      <c r="P58" s="2628"/>
      <c r="Q58" s="2628"/>
      <c r="R58" s="2628"/>
      <c r="S58" s="2628"/>
      <c r="T58" s="2628"/>
      <c r="U58" s="2628"/>
      <c r="V58" s="2628"/>
      <c r="W58" s="2628"/>
      <c r="X58" s="2628"/>
      <c r="Y58" s="2628"/>
      <c r="Z58" s="2628"/>
      <c r="AA58" s="2628"/>
      <c r="AB58" s="2628"/>
      <c r="AC58" s="2628"/>
      <c r="AD58" s="2628"/>
      <c r="AE58" s="2628"/>
    </row>
    <row r="59" s="2629" customFormat="true" ht="14.25" hidden="false" customHeight="false" outlineLevel="0" collapsed="false">
      <c r="A59" s="2630" t="s">
        <v>1593</v>
      </c>
      <c r="B59" s="1278" t="e">
        <f aca="false">ROUND($C$43*C59*D59,0)</f>
        <v>#DIV/0!</v>
      </c>
      <c r="C59" s="2631" t="n">
        <f aca="false">IF($C$50="北京市系数",I59,J59)</f>
        <v>0</v>
      </c>
      <c r="D59" s="2632" t="n">
        <v>0.25</v>
      </c>
      <c r="E59" s="1277" t="n">
        <f aca="false">'数据-汇总表'!E14</f>
        <v>0</v>
      </c>
      <c r="F59" s="2668" t="e">
        <f aca="false">ROUND(B59*E59/10000,0)</f>
        <v>#DIV/0!</v>
      </c>
      <c r="G59" s="2638" t="s">
        <v>1588</v>
      </c>
      <c r="H59" s="2635" t="n">
        <f aca="false">项目基本情况!B37</f>
        <v>0</v>
      </c>
      <c r="I59" s="1528" t="n">
        <f aca="false">SUMIF(修正!A57:A68,H59,修正!G57:G68)</f>
        <v>0</v>
      </c>
      <c r="J59" s="2669"/>
      <c r="K59" s="2134"/>
      <c r="L59" s="2628"/>
      <c r="M59" s="2628"/>
      <c r="N59" s="2628"/>
      <c r="O59" s="2628"/>
      <c r="P59" s="2628"/>
      <c r="Q59" s="2628"/>
      <c r="R59" s="2628"/>
      <c r="S59" s="2628"/>
      <c r="T59" s="2628"/>
      <c r="U59" s="2628"/>
      <c r="V59" s="2628"/>
      <c r="W59" s="2628"/>
      <c r="X59" s="2628"/>
      <c r="Y59" s="2628"/>
      <c r="Z59" s="2628"/>
      <c r="AA59" s="2628"/>
      <c r="AB59" s="2628"/>
      <c r="AC59" s="2628"/>
      <c r="AD59" s="2628"/>
      <c r="AE59" s="2628"/>
    </row>
    <row r="60" s="2629" customFormat="true" ht="14.25" hidden="false" customHeight="false" outlineLevel="0" collapsed="false">
      <c r="A60" s="2630" t="s">
        <v>1594</v>
      </c>
      <c r="B60" s="1278" t="e">
        <f aca="false">ROUND($C$43*C60*D60,0)</f>
        <v>#DIV/0!</v>
      </c>
      <c r="C60" s="2631" t="n">
        <f aca="false">IF($C$50="北京市系数",I60,J60)</f>
        <v>0</v>
      </c>
      <c r="D60" s="2632" t="n">
        <v>0.25</v>
      </c>
      <c r="E60" s="1277" t="n">
        <f aca="false">'数据-汇总表'!E15</f>
        <v>0</v>
      </c>
      <c r="F60" s="2668" t="e">
        <f aca="false">ROUND(B60*E60/10000,0)</f>
        <v>#DIV/0!</v>
      </c>
      <c r="G60" s="2640" t="s">
        <v>1591</v>
      </c>
      <c r="H60" s="2641" t="n">
        <f aca="false">项目基本情况!C37</f>
        <v>0</v>
      </c>
      <c r="I60" s="1528" t="n">
        <f aca="false">SUMIF(修正!A57:A68,H60,修正!G57:G68)</f>
        <v>0</v>
      </c>
      <c r="J60" s="2669"/>
      <c r="K60" s="2110"/>
      <c r="L60" s="2628"/>
      <c r="M60" s="2628"/>
      <c r="N60" s="2628"/>
      <c r="O60" s="2628"/>
      <c r="P60" s="2628"/>
      <c r="Q60" s="2628"/>
      <c r="R60" s="2628"/>
      <c r="S60" s="2628"/>
      <c r="T60" s="2628"/>
      <c r="U60" s="2628"/>
      <c r="V60" s="2628"/>
      <c r="W60" s="2628"/>
      <c r="X60" s="2628"/>
      <c r="Y60" s="2628"/>
      <c r="Z60" s="2628"/>
      <c r="AA60" s="2628"/>
      <c r="AB60" s="2628"/>
      <c r="AC60" s="2628"/>
      <c r="AD60" s="2628"/>
      <c r="AE60" s="2628"/>
    </row>
    <row r="61" s="2629" customFormat="true" ht="14.25" hidden="false" customHeight="false" outlineLevel="0" collapsed="false">
      <c r="A61" s="2644" t="s">
        <v>882</v>
      </c>
      <c r="B61" s="2645" t="s">
        <v>1595</v>
      </c>
      <c r="C61" s="2645" t="s">
        <v>1595</v>
      </c>
      <c r="D61" s="2645" t="s">
        <v>1595</v>
      </c>
      <c r="E61" s="2645" t="n">
        <f aca="false">IF(B41="楼面地价",SUM(E51:E60),'数据-汇总表'!D3)</f>
        <v>0</v>
      </c>
      <c r="F61" s="2646" t="e">
        <f aca="false">IF(B41="楼面地价",SUM(F51:F60),ROUND(C43*E61/10000,0))</f>
        <v>#DIV/0!</v>
      </c>
      <c r="G61" s="2671"/>
      <c r="H61" s="2671"/>
      <c r="I61" s="2671"/>
      <c r="J61" s="2671"/>
      <c r="K61" s="2127"/>
      <c r="L61" s="2628"/>
      <c r="M61" s="2628"/>
      <c r="N61" s="2628"/>
      <c r="O61" s="2628"/>
      <c r="P61" s="2628"/>
      <c r="Q61" s="2628"/>
      <c r="R61" s="2628"/>
      <c r="S61" s="2628"/>
      <c r="T61" s="2628"/>
      <c r="U61" s="2628"/>
      <c r="V61" s="2628"/>
      <c r="W61" s="2628"/>
      <c r="X61" s="2628"/>
      <c r="Y61" s="2628"/>
      <c r="Z61" s="2628"/>
      <c r="AA61" s="2628"/>
      <c r="AB61" s="2628"/>
      <c r="AC61" s="2628"/>
      <c r="AD61" s="2628"/>
      <c r="AE61" s="2628"/>
    </row>
    <row r="62" customFormat="false" ht="14.25" hidden="false" customHeight="false" outlineLevel="0" collapsed="false">
      <c r="A62" s="2482"/>
      <c r="B62" s="2672"/>
      <c r="C62" s="2673"/>
      <c r="D62" s="2482"/>
      <c r="E62" s="2482"/>
      <c r="F62" s="2482"/>
      <c r="G62" s="2482"/>
      <c r="H62" s="2482"/>
      <c r="I62" s="2482"/>
      <c r="J62" s="2482"/>
      <c r="K62" s="2650"/>
      <c r="L62" s="2483"/>
      <c r="M62" s="2482"/>
      <c r="N62" s="2482"/>
      <c r="O62" s="2482"/>
      <c r="P62" s="2110"/>
      <c r="Q62" s="2110"/>
      <c r="R62" s="2110"/>
      <c r="S62" s="2110"/>
      <c r="T62" s="2110"/>
      <c r="U62" s="2110"/>
      <c r="V62" s="2110"/>
      <c r="W62" s="2110"/>
      <c r="X62" s="2110"/>
      <c r="Y62" s="2110"/>
      <c r="Z62" s="2110"/>
      <c r="AA62" s="2110"/>
      <c r="AB62" s="2110"/>
      <c r="AC62" s="2110"/>
      <c r="AD62" s="2110"/>
      <c r="AE62" s="2110"/>
    </row>
    <row r="63" customFormat="false" ht="14.25" hidden="false" customHeight="false" outlineLevel="0" collapsed="false">
      <c r="A63" s="2482"/>
      <c r="B63" s="2672"/>
      <c r="C63" s="2649" t="str">
        <f aca="false">YEAR(C7)&amp;"-"&amp;MONTH(C7)&amp;"-1"</f>
        <v>2006-11-1</v>
      </c>
      <c r="D63" s="2649" t="n">
        <f aca="false">EDATE(C63,-3)</f>
        <v>38930</v>
      </c>
      <c r="E63" s="2649" t="n">
        <f aca="false">EDATE(D63,-3)</f>
        <v>38838</v>
      </c>
      <c r="F63" s="2649" t="n">
        <f aca="false">EDATE(E63,-3)</f>
        <v>38749</v>
      </c>
      <c r="G63" s="2649" t="n">
        <f aca="false">EDATE(F63,-3)</f>
        <v>38657</v>
      </c>
      <c r="H63" s="2649" t="n">
        <f aca="false">EDATE(G63,-3)</f>
        <v>38565</v>
      </c>
      <c r="I63" s="2649" t="n">
        <f aca="false">EDATE(H63,-3)</f>
        <v>38473</v>
      </c>
      <c r="J63" s="2649" t="n">
        <f aca="false">EDATE(I63,-3)</f>
        <v>38384</v>
      </c>
      <c r="K63" s="2649" t="n">
        <f aca="false">EDATE(J63,-3)</f>
        <v>38292</v>
      </c>
      <c r="L63" s="2649" t="n">
        <f aca="false">EDATE(K63,-3)</f>
        <v>38200</v>
      </c>
      <c r="M63" s="2649" t="n">
        <f aca="false">EDATE(L63,-3)</f>
        <v>38108</v>
      </c>
      <c r="N63" s="2649" t="n">
        <f aca="false">EDATE(M63,-3)</f>
        <v>38018</v>
      </c>
      <c r="O63" s="2649" t="n">
        <f aca="false">EDATE(N63,-3)</f>
        <v>37926</v>
      </c>
      <c r="P63" s="2110"/>
      <c r="Q63" s="2110"/>
      <c r="R63" s="2110"/>
      <c r="S63" s="2110"/>
      <c r="T63" s="2110"/>
      <c r="U63" s="2110"/>
      <c r="V63" s="2110"/>
      <c r="W63" s="2110"/>
      <c r="X63" s="2110"/>
      <c r="Y63" s="2110"/>
      <c r="Z63" s="2110"/>
      <c r="AA63" s="2110"/>
      <c r="AB63" s="2110"/>
      <c r="AC63" s="2110"/>
      <c r="AD63" s="2110"/>
      <c r="AE63" s="2110"/>
    </row>
    <row r="64" customFormat="false" ht="21" hidden="false" customHeight="false" outlineLevel="0" collapsed="false">
      <c r="A64" s="2141" t="s">
        <v>1315</v>
      </c>
      <c r="B64" s="2111"/>
      <c r="C64" s="2142"/>
      <c r="D64" s="2142"/>
      <c r="E64" s="2142"/>
      <c r="F64" s="2143"/>
      <c r="G64" s="2143"/>
      <c r="H64" s="2142"/>
      <c r="I64" s="2142"/>
      <c r="J64" s="2142"/>
      <c r="K64" s="2384"/>
      <c r="L64" s="2554"/>
      <c r="M64" s="2142"/>
      <c r="N64" s="2142"/>
      <c r="O64" s="2146"/>
      <c r="P64" s="2447"/>
      <c r="Q64" s="2386"/>
      <c r="R64" s="2110"/>
      <c r="S64" s="2110"/>
      <c r="T64" s="2110"/>
      <c r="U64" s="2110"/>
      <c r="V64" s="2110"/>
      <c r="W64" s="2110"/>
      <c r="X64" s="2110"/>
      <c r="Y64" s="2110"/>
      <c r="Z64" s="2110"/>
      <c r="AA64" s="2110"/>
      <c r="AB64" s="2110"/>
      <c r="AC64" s="2110"/>
      <c r="AD64" s="2110"/>
      <c r="AE64" s="2110"/>
    </row>
    <row r="65" s="2154" customFormat="true" ht="15" hidden="false" customHeight="false" outlineLevel="0" collapsed="false">
      <c r="A65" s="2651" t="s">
        <v>1596</v>
      </c>
      <c r="B65" s="2652"/>
      <c r="C65" s="2653" t="str">
        <f aca="false">YEAR(C63)&amp;"-"&amp;ROUNDUP(MONTH(C63)/3,0)</f>
        <v>2006-4</v>
      </c>
      <c r="D65" s="2653" t="str">
        <f aca="false">YEAR(D63)&amp;"-"&amp;ROUNDUP(MONTH(D63)/3,0)</f>
        <v>2006-3</v>
      </c>
      <c r="E65" s="2653" t="str">
        <f aca="false">YEAR(E63)&amp;"-"&amp;ROUNDUP(MONTH(E63)/3,0)</f>
        <v>2006-2</v>
      </c>
      <c r="F65" s="2653" t="str">
        <f aca="false">YEAR(F63)&amp;"-"&amp;ROUNDUP(MONTH(F63)/3,0)</f>
        <v>2006-1</v>
      </c>
      <c r="G65" s="2653" t="str">
        <f aca="false">YEAR(G63)&amp;"-"&amp;ROUNDUP(MONTH(G63)/3,0)</f>
        <v>2005-4</v>
      </c>
      <c r="H65" s="2653" t="str">
        <f aca="false">YEAR(H63)&amp;"-"&amp;ROUNDUP(MONTH(H63)/3,0)</f>
        <v>2005-3</v>
      </c>
      <c r="I65" s="2653" t="str">
        <f aca="false">YEAR(I63)&amp;"-"&amp;ROUNDUP(MONTH(I63)/3,0)</f>
        <v>2005-2</v>
      </c>
      <c r="J65" s="2653" t="str">
        <f aca="false">YEAR(J63)&amp;"-"&amp;ROUNDUP(MONTH(J63)/3,0)</f>
        <v>2005-1</v>
      </c>
      <c r="K65" s="2653" t="str">
        <f aca="false">YEAR(K63)&amp;"-"&amp;ROUNDUP(MONTH(K63)/3,0)</f>
        <v>2004-4</v>
      </c>
      <c r="L65" s="2653" t="str">
        <f aca="false">YEAR(L63)&amp;"-"&amp;ROUNDUP(MONTH(L63)/3,0)</f>
        <v>2004-3</v>
      </c>
      <c r="M65" s="2653" t="str">
        <f aca="false">YEAR(M63)&amp;"-"&amp;ROUNDUP(MONTH(M63)/3,0)</f>
        <v>2004-2</v>
      </c>
      <c r="N65" s="2653" t="str">
        <f aca="false">YEAR(N63)&amp;"-"&amp;ROUNDUP(MONTH(N63)/3,0)</f>
        <v>2004-1</v>
      </c>
      <c r="O65" s="2653" t="str">
        <f aca="false">YEAR(O63)&amp;"-"&amp;ROUNDUP(MONTH(O63)/3,0)</f>
        <v>2003-4</v>
      </c>
      <c r="P65" s="2555"/>
      <c r="Q65" s="2389"/>
      <c r="R65" s="2389"/>
      <c r="S65" s="2389"/>
      <c r="T65" s="2389"/>
      <c r="U65" s="2389"/>
      <c r="V65" s="2389"/>
      <c r="W65" s="2389"/>
      <c r="X65" s="2389"/>
      <c r="Y65" s="2389"/>
      <c r="Z65" s="2389"/>
      <c r="AA65" s="2389"/>
      <c r="AB65" s="2389"/>
      <c r="AC65" s="2389"/>
      <c r="AD65" s="2389"/>
      <c r="AE65" s="2389"/>
    </row>
    <row r="66" s="1983" customFormat="true" ht="30.75" hidden="false" customHeight="true" outlineLevel="0" collapsed="false">
      <c r="A66" s="2674" t="s">
        <v>159</v>
      </c>
      <c r="B66" s="1421" t="str">
        <f aca="false">"北京市平均增长率"&amp;TEXT(基准地价修正!P28,"0.00%")</f>
        <v>北京市平均增长率0.00%</v>
      </c>
      <c r="C66" s="2268" t="n">
        <v>100</v>
      </c>
      <c r="D66" s="2259"/>
      <c r="E66" s="2259"/>
      <c r="F66" s="2259"/>
      <c r="G66" s="2259"/>
      <c r="H66" s="2259"/>
      <c r="I66" s="2259"/>
      <c r="J66" s="2259"/>
      <c r="K66" s="2259"/>
      <c r="L66" s="2259"/>
      <c r="M66" s="2655"/>
      <c r="N66" s="2655"/>
      <c r="O66" s="2675"/>
      <c r="P66" s="2386"/>
      <c r="Q66" s="529"/>
      <c r="R66" s="529"/>
      <c r="S66" s="529"/>
      <c r="T66" s="529"/>
      <c r="U66" s="529"/>
      <c r="V66" s="529"/>
      <c r="W66" s="529"/>
      <c r="X66" s="529"/>
      <c r="Y66" s="529"/>
      <c r="Z66" s="529"/>
      <c r="AA66" s="529"/>
      <c r="AB66" s="529"/>
      <c r="AC66" s="529"/>
      <c r="AD66" s="529"/>
      <c r="AE66" s="529"/>
    </row>
    <row r="67" s="1983" customFormat="true" ht="15" hidden="false" customHeight="false" outlineLevel="0" collapsed="false">
      <c r="A67" s="2161" t="s">
        <v>1316</v>
      </c>
      <c r="B67" s="2162"/>
      <c r="C67" s="2163"/>
      <c r="D67" s="2164"/>
      <c r="E67" s="2164"/>
      <c r="F67" s="2164"/>
      <c r="G67" s="2164"/>
      <c r="H67" s="2164"/>
      <c r="I67" s="2164"/>
      <c r="J67" s="2164"/>
      <c r="K67" s="2164"/>
      <c r="L67" s="2164"/>
      <c r="M67" s="2165"/>
      <c r="N67" s="2165"/>
      <c r="O67" s="2556"/>
      <c r="P67" s="2386"/>
      <c r="Q67" s="2386"/>
      <c r="R67" s="529"/>
      <c r="S67" s="529"/>
      <c r="T67" s="529"/>
      <c r="U67" s="529"/>
      <c r="V67" s="529"/>
      <c r="W67" s="529"/>
      <c r="X67" s="529"/>
      <c r="Y67" s="529"/>
      <c r="Z67" s="529"/>
      <c r="AA67" s="529"/>
      <c r="AB67" s="529"/>
      <c r="AC67" s="529"/>
      <c r="AD67" s="529"/>
      <c r="AE67" s="529"/>
    </row>
    <row r="68" s="1983" customFormat="true" ht="15" hidden="false" customHeight="false" outlineLevel="0" collapsed="false">
      <c r="A68" s="2166" t="s">
        <v>1278</v>
      </c>
      <c r="B68" s="2167"/>
      <c r="C68" s="2168" t="s">
        <v>1279</v>
      </c>
      <c r="D68" s="2169"/>
      <c r="E68" s="2169"/>
      <c r="F68" s="2169"/>
      <c r="G68" s="2169"/>
      <c r="H68" s="2169"/>
      <c r="I68" s="2169"/>
      <c r="J68" s="2169"/>
      <c r="K68" s="2169"/>
      <c r="L68" s="2170"/>
      <c r="M68" s="2171"/>
      <c r="N68" s="2392"/>
      <c r="O68" s="2392"/>
      <c r="P68" s="831"/>
      <c r="Q68" s="2386"/>
      <c r="R68" s="529"/>
      <c r="S68" s="529"/>
      <c r="T68" s="529"/>
      <c r="U68" s="529"/>
      <c r="V68" s="529"/>
      <c r="W68" s="529"/>
      <c r="X68" s="529"/>
      <c r="Y68" s="529"/>
      <c r="Z68" s="529"/>
      <c r="AA68" s="529"/>
      <c r="AB68" s="529"/>
      <c r="AC68" s="529"/>
      <c r="AD68" s="529"/>
      <c r="AE68" s="529"/>
    </row>
    <row r="69" s="1983" customFormat="true" ht="15" hidden="false" customHeight="false" outlineLevel="0" collapsed="false">
      <c r="A69" s="2166"/>
      <c r="B69" s="2167"/>
      <c r="C69" s="2491" t="n">
        <v>100</v>
      </c>
      <c r="D69" s="2159"/>
      <c r="E69" s="2159"/>
      <c r="F69" s="2159"/>
      <c r="G69" s="2159"/>
      <c r="H69" s="2159"/>
      <c r="I69" s="2159"/>
      <c r="J69" s="2159"/>
      <c r="K69" s="2159"/>
      <c r="L69" s="2159"/>
      <c r="M69" s="2174"/>
      <c r="N69" s="2392"/>
      <c r="O69" s="2392"/>
      <c r="P69" s="2386"/>
      <c r="Q69" s="2386"/>
      <c r="R69" s="529"/>
      <c r="S69" s="529"/>
      <c r="T69" s="529"/>
      <c r="U69" s="529"/>
      <c r="V69" s="529"/>
      <c r="W69" s="529"/>
      <c r="X69" s="529"/>
      <c r="Y69" s="529"/>
      <c r="Z69" s="529"/>
      <c r="AA69" s="529"/>
      <c r="AB69" s="529"/>
      <c r="AC69" s="529"/>
      <c r="AD69" s="529"/>
      <c r="AE69" s="529"/>
    </row>
    <row r="70" customFormat="false" ht="14.25" hidden="false" customHeight="false" outlineLevel="0" collapsed="false">
      <c r="A70" s="2175" t="s">
        <v>1280</v>
      </c>
      <c r="B70" s="2176" t="s">
        <v>399</v>
      </c>
      <c r="C70" s="2178"/>
      <c r="D70" s="2178"/>
      <c r="E70" s="2178"/>
      <c r="F70" s="2178"/>
      <c r="G70" s="2178"/>
      <c r="H70" s="2178"/>
      <c r="I70" s="2178"/>
      <c r="J70" s="2178"/>
      <c r="K70" s="2179"/>
      <c r="L70" s="2180"/>
      <c r="M70" s="2181"/>
      <c r="N70" s="2394"/>
      <c r="O70" s="2394"/>
      <c r="P70" s="2557"/>
      <c r="Q70" s="2386"/>
      <c r="R70" s="2110"/>
      <c r="S70" s="2110"/>
      <c r="T70" s="2110"/>
      <c r="U70" s="2110"/>
      <c r="V70" s="2110"/>
      <c r="W70" s="2110"/>
      <c r="X70" s="2110"/>
      <c r="Y70" s="2110"/>
      <c r="Z70" s="2110"/>
      <c r="AA70" s="2110"/>
      <c r="AB70" s="2110"/>
      <c r="AC70" s="2110"/>
      <c r="AD70" s="2110"/>
      <c r="AE70" s="2110"/>
    </row>
    <row r="71" customFormat="false" ht="15" hidden="false" customHeight="false" outlineLevel="0" collapsed="false">
      <c r="A71" s="2184"/>
      <c r="B71" s="2185"/>
      <c r="C71" s="2186"/>
      <c r="D71" s="2186"/>
      <c r="E71" s="2186"/>
      <c r="F71" s="2186"/>
      <c r="G71" s="2186"/>
      <c r="H71" s="2186"/>
      <c r="I71" s="2186"/>
      <c r="J71" s="2186"/>
      <c r="K71" s="2186"/>
      <c r="L71" s="2186"/>
      <c r="M71" s="2187"/>
      <c r="N71" s="2396"/>
      <c r="O71" s="2396"/>
      <c r="P71" s="2557"/>
      <c r="Q71" s="2386"/>
      <c r="R71" s="2110"/>
      <c r="S71" s="2110"/>
      <c r="T71" s="2110"/>
      <c r="U71" s="2110"/>
      <c r="V71" s="2110"/>
      <c r="W71" s="2110"/>
      <c r="X71" s="2110"/>
      <c r="Y71" s="2110"/>
      <c r="Z71" s="2110"/>
      <c r="AA71" s="2110"/>
      <c r="AB71" s="2110"/>
      <c r="AC71" s="2110"/>
      <c r="AD71" s="2110"/>
      <c r="AE71" s="2110"/>
    </row>
    <row r="72" customFormat="false" ht="27" hidden="false" customHeight="false" outlineLevel="0" collapsed="false">
      <c r="A72" s="2184"/>
      <c r="B72" s="2189" t="s">
        <v>1281</v>
      </c>
      <c r="C72" s="2229"/>
      <c r="D72" s="2229"/>
      <c r="E72" s="2229"/>
      <c r="F72" s="2229"/>
      <c r="G72" s="2229"/>
      <c r="H72" s="2229"/>
      <c r="I72" s="2229"/>
      <c r="J72" s="2229"/>
      <c r="K72" s="2230"/>
      <c r="L72" s="2231"/>
      <c r="M72" s="2232"/>
      <c r="N72" s="2394"/>
      <c r="O72" s="2394"/>
      <c r="P72" s="2557"/>
      <c r="Q72" s="2386"/>
      <c r="R72" s="2110"/>
      <c r="S72" s="2110"/>
      <c r="T72" s="2110"/>
      <c r="U72" s="2110"/>
      <c r="V72" s="2110"/>
      <c r="W72" s="2110"/>
      <c r="X72" s="2110"/>
      <c r="Y72" s="2110"/>
      <c r="Z72" s="2110"/>
      <c r="AA72" s="2110"/>
      <c r="AB72" s="2110"/>
      <c r="AC72" s="2110"/>
      <c r="AD72" s="2110"/>
      <c r="AE72" s="2110"/>
    </row>
    <row r="73" customFormat="false" ht="15" hidden="false" customHeight="false" outlineLevel="0" collapsed="false">
      <c r="A73" s="2184"/>
      <c r="B73" s="2191"/>
      <c r="C73" s="2199"/>
      <c r="D73" s="2199"/>
      <c r="E73" s="2199"/>
      <c r="F73" s="2199"/>
      <c r="G73" s="2199"/>
      <c r="H73" s="2199"/>
      <c r="I73" s="2199"/>
      <c r="J73" s="2199"/>
      <c r="K73" s="2199"/>
      <c r="L73" s="2199"/>
      <c r="M73" s="2200"/>
      <c r="N73" s="2396"/>
      <c r="O73" s="2396"/>
      <c r="P73" s="2557"/>
      <c r="Q73" s="2386"/>
      <c r="R73" s="2110"/>
      <c r="S73" s="2110"/>
      <c r="T73" s="2110"/>
      <c r="U73" s="2110"/>
      <c r="V73" s="2110"/>
      <c r="W73" s="2110"/>
      <c r="X73" s="2110"/>
      <c r="Y73" s="2110"/>
      <c r="Z73" s="2110"/>
      <c r="AA73" s="2110"/>
      <c r="AB73" s="2110"/>
      <c r="AC73" s="2110"/>
      <c r="AD73" s="2110"/>
      <c r="AE73" s="2110"/>
    </row>
    <row r="74" customFormat="false" ht="15" hidden="false" customHeight="false" outlineLevel="0" collapsed="false">
      <c r="A74" s="2184"/>
      <c r="B74" s="2192" t="s">
        <v>524</v>
      </c>
      <c r="C74" s="2193" t="str">
        <f aca="false">C75&amp;"（含）"&amp;"-"&amp;D75</f>
        <v>（含）-</v>
      </c>
      <c r="D74" s="2193" t="str">
        <f aca="false">D75&amp;"（含）"&amp;"-"&amp;E75</f>
        <v>（含）-</v>
      </c>
      <c r="E74" s="2193" t="str">
        <f aca="false">E75&amp;"（含）"&amp;"-"&amp;F75</f>
        <v>（含）-</v>
      </c>
      <c r="F74" s="2193" t="str">
        <f aca="false">F75&amp;"（含）"&amp;"-"&amp;G75</f>
        <v>（含）-</v>
      </c>
      <c r="G74" s="2193" t="str">
        <f aca="false">G75&amp;"（含）"&amp;"-"&amp;H75</f>
        <v>（含）-</v>
      </c>
      <c r="H74" s="2193" t="str">
        <f aca="false">H75&amp;"（含）"&amp;"-"&amp;I75</f>
        <v>（含）-</v>
      </c>
      <c r="I74" s="2193" t="str">
        <f aca="false">I75&amp;"（含）"&amp;"-"&amp;J75</f>
        <v>（含）-</v>
      </c>
      <c r="J74" s="2193" t="str">
        <f aca="false">J75&amp;"（含）"&amp;"-"&amp;K75</f>
        <v>（含）-</v>
      </c>
      <c r="K74" s="2193" t="str">
        <f aca="false">K75&amp;"（含）"&amp;"-"&amp;L75</f>
        <v>（含）-</v>
      </c>
      <c r="L74" s="2193" t="str">
        <f aca="false">L75&amp;"（含）"&amp;"-"&amp;M75</f>
        <v>（含）-</v>
      </c>
      <c r="M74" s="2041" t="str">
        <f aca="false">M75&amp;"（含）"&amp;"-"&amp;P75</f>
        <v>（含）-</v>
      </c>
      <c r="N74" s="2396"/>
      <c r="O74" s="2396"/>
      <c r="P74" s="2557"/>
      <c r="Q74" s="2386"/>
      <c r="R74" s="2110"/>
      <c r="S74" s="2110"/>
      <c r="T74" s="2110"/>
      <c r="U74" s="2110"/>
      <c r="V74" s="2110"/>
      <c r="W74" s="2110"/>
      <c r="X74" s="2110"/>
      <c r="Y74" s="2110"/>
      <c r="Z74" s="2110"/>
      <c r="AA74" s="2110"/>
      <c r="AB74" s="2110"/>
      <c r="AC74" s="2110"/>
      <c r="AD74" s="2110"/>
      <c r="AE74" s="2110"/>
    </row>
    <row r="75" customFormat="false" ht="15" hidden="false" customHeight="false" outlineLevel="0" collapsed="false">
      <c r="A75" s="2184"/>
      <c r="B75" s="2194"/>
      <c r="C75" s="2195"/>
      <c r="D75" s="2195"/>
      <c r="E75" s="2195"/>
      <c r="F75" s="2195"/>
      <c r="G75" s="2195"/>
      <c r="H75" s="2195"/>
      <c r="I75" s="2195"/>
      <c r="J75" s="2195"/>
      <c r="K75" s="2196"/>
      <c r="L75" s="2197"/>
      <c r="M75" s="2198"/>
      <c r="N75" s="2394"/>
      <c r="O75" s="2394"/>
      <c r="P75" s="2557"/>
      <c r="Q75" s="2386"/>
      <c r="R75" s="2110"/>
      <c r="S75" s="2110"/>
      <c r="T75" s="2110"/>
      <c r="U75" s="2110"/>
      <c r="V75" s="2110"/>
      <c r="W75" s="2110"/>
      <c r="X75" s="2110"/>
      <c r="Y75" s="2110"/>
      <c r="Z75" s="2110"/>
      <c r="AA75" s="2110"/>
      <c r="AB75" s="2110"/>
      <c r="AC75" s="2110"/>
      <c r="AD75" s="2110"/>
      <c r="AE75" s="2110"/>
    </row>
    <row r="76" customFormat="false" ht="15" hidden="false" customHeight="false" outlineLevel="0" collapsed="false">
      <c r="A76" s="2184"/>
      <c r="B76" s="2185"/>
      <c r="C76" s="2199" t="n">
        <v>100</v>
      </c>
      <c r="D76" s="2199" t="n">
        <f aca="false">IF($B$41="单位面积地价",C76+$K11,C76-$K11)</f>
        <v>100</v>
      </c>
      <c r="E76" s="2199" t="n">
        <f aca="false">IF($B$41="单位面积地价",D76+$K11,D76-$K11)</f>
        <v>100</v>
      </c>
      <c r="F76" s="2199" t="n">
        <f aca="false">IF($B$41="单位面积地价",E76+$K11,E76-$K11)</f>
        <v>100</v>
      </c>
      <c r="G76" s="2199" t="n">
        <f aca="false">IF($B$41="单位面积地价",F76+$K11,F76-$K11)</f>
        <v>100</v>
      </c>
      <c r="H76" s="2199" t="n">
        <f aca="false">IF($B$41="单位面积地价",G76+$K11,G76-$K11)</f>
        <v>100</v>
      </c>
      <c r="I76" s="2199" t="n">
        <f aca="false">IF($B$41="单位面积地价",H76+$K11,H76-$K11)</f>
        <v>100</v>
      </c>
      <c r="J76" s="2199" t="n">
        <f aca="false">IF($B$41="单位面积地价",I76+$K11,I76-$K11)</f>
        <v>100</v>
      </c>
      <c r="K76" s="2199" t="n">
        <f aca="false">IF($B$41="单位面积地价",J76+$K11,J76-$K11)</f>
        <v>100</v>
      </c>
      <c r="L76" s="2199" t="n">
        <f aca="false">IF($B$41="单位面积地价",K76+$K11,K76-$K11)</f>
        <v>100</v>
      </c>
      <c r="M76" s="2199" t="n">
        <f aca="false">IF($B$41="单位面积地价",L76+$K11,L76-$K11)</f>
        <v>100</v>
      </c>
      <c r="N76" s="2396"/>
      <c r="O76" s="2396"/>
      <c r="P76" s="2557"/>
      <c r="Q76" s="2386"/>
      <c r="R76" s="2110"/>
      <c r="S76" s="2110"/>
      <c r="T76" s="2110"/>
      <c r="U76" s="2110"/>
      <c r="V76" s="2110"/>
      <c r="W76" s="2110"/>
      <c r="X76" s="2110"/>
      <c r="Y76" s="2110"/>
      <c r="Z76" s="2110"/>
      <c r="AA76" s="2110"/>
      <c r="AB76" s="2110"/>
      <c r="AC76" s="2110"/>
      <c r="AD76" s="2110"/>
      <c r="AE76" s="2110"/>
    </row>
    <row r="77" s="2088" customFormat="true" ht="15" hidden="false" customHeight="false" outlineLevel="0" collapsed="false">
      <c r="A77" s="2201"/>
      <c r="B77" s="2189" t="n">
        <f aca="false">B12</f>
        <v>111</v>
      </c>
      <c r="C77" s="2202"/>
      <c r="D77" s="2202"/>
      <c r="E77" s="2202"/>
      <c r="F77" s="2202"/>
      <c r="G77" s="2202"/>
      <c r="H77" s="2203"/>
      <c r="I77" s="2203"/>
      <c r="J77" s="2203"/>
      <c r="K77" s="2203"/>
      <c r="L77" s="2204"/>
      <c r="M77" s="2205"/>
      <c r="N77" s="2397"/>
      <c r="O77" s="2397"/>
      <c r="P77" s="2558"/>
      <c r="Q77" s="2399"/>
      <c r="R77" s="791"/>
      <c r="S77" s="791"/>
      <c r="T77" s="791"/>
      <c r="U77" s="791"/>
      <c r="V77" s="791"/>
      <c r="W77" s="791"/>
      <c r="X77" s="791"/>
      <c r="Y77" s="791"/>
      <c r="Z77" s="791"/>
      <c r="AA77" s="791"/>
      <c r="AB77" s="791"/>
      <c r="AC77" s="791"/>
      <c r="AD77" s="791"/>
      <c r="AE77" s="791"/>
    </row>
    <row r="78" s="2088" customFormat="true" ht="15" hidden="false" customHeight="false" outlineLevel="0" collapsed="false">
      <c r="A78" s="2201"/>
      <c r="B78" s="2191"/>
      <c r="C78" s="2209"/>
      <c r="D78" s="2186"/>
      <c r="E78" s="2186"/>
      <c r="F78" s="2186"/>
      <c r="G78" s="2186"/>
      <c r="H78" s="2186"/>
      <c r="I78" s="2186"/>
      <c r="J78" s="2186"/>
      <c r="K78" s="2186"/>
      <c r="L78" s="2186"/>
      <c r="M78" s="2187"/>
      <c r="N78" s="2396"/>
      <c r="O78" s="2396"/>
      <c r="P78" s="2558"/>
      <c r="Q78" s="2399"/>
      <c r="R78" s="791"/>
      <c r="S78" s="791"/>
      <c r="T78" s="791"/>
      <c r="U78" s="791"/>
      <c r="V78" s="791"/>
      <c r="W78" s="791"/>
      <c r="X78" s="791"/>
      <c r="Y78" s="791"/>
      <c r="Z78" s="791"/>
      <c r="AA78" s="791"/>
      <c r="AB78" s="791"/>
      <c r="AC78" s="791"/>
      <c r="AD78" s="791"/>
      <c r="AE78" s="791"/>
    </row>
    <row r="79" s="2088" customFormat="true" ht="15" hidden="false" customHeight="false" outlineLevel="0" collapsed="false">
      <c r="A79" s="2201"/>
      <c r="B79" s="2189" t="n">
        <f aca="false">B13</f>
        <v>111</v>
      </c>
      <c r="C79" s="2202"/>
      <c r="D79" s="2202"/>
      <c r="E79" s="2202"/>
      <c r="F79" s="2202"/>
      <c r="G79" s="2202"/>
      <c r="H79" s="2203"/>
      <c r="I79" s="2203"/>
      <c r="J79" s="2203"/>
      <c r="K79" s="2203"/>
      <c r="L79" s="2204"/>
      <c r="M79" s="2205"/>
      <c r="N79" s="2397"/>
      <c r="O79" s="2397"/>
      <c r="P79" s="2082"/>
      <c r="Q79" s="2401"/>
      <c r="R79" s="791"/>
      <c r="S79" s="791"/>
      <c r="T79" s="791"/>
      <c r="U79" s="791"/>
      <c r="V79" s="791"/>
      <c r="W79" s="791"/>
      <c r="X79" s="791"/>
      <c r="Y79" s="791"/>
      <c r="Z79" s="791"/>
      <c r="AA79" s="791"/>
      <c r="AB79" s="791"/>
      <c r="AC79" s="791"/>
      <c r="AD79" s="791"/>
      <c r="AE79" s="791"/>
    </row>
    <row r="80" s="2088" customFormat="true" ht="15" hidden="false" customHeight="false" outlineLevel="0" collapsed="false">
      <c r="A80" s="2201"/>
      <c r="B80" s="2191"/>
      <c r="C80" s="2209"/>
      <c r="D80" s="2209"/>
      <c r="E80" s="2209"/>
      <c r="F80" s="2209"/>
      <c r="G80" s="2209"/>
      <c r="H80" s="2212"/>
      <c r="I80" s="2212"/>
      <c r="J80" s="2212"/>
      <c r="K80" s="2212"/>
      <c r="L80" s="2212"/>
      <c r="M80" s="2213"/>
      <c r="N80" s="2397"/>
      <c r="O80" s="2397"/>
      <c r="P80" s="2558"/>
      <c r="Q80" s="2399"/>
      <c r="R80" s="791"/>
      <c r="S80" s="791"/>
      <c r="T80" s="791"/>
      <c r="U80" s="791"/>
      <c r="V80" s="791"/>
      <c r="W80" s="791"/>
      <c r="X80" s="791"/>
      <c r="Y80" s="791"/>
      <c r="Z80" s="791"/>
      <c r="AA80" s="791"/>
      <c r="AB80" s="791"/>
      <c r="AC80" s="791"/>
      <c r="AD80" s="791"/>
      <c r="AE80" s="791"/>
    </row>
    <row r="81" s="2088" customFormat="true" ht="15" hidden="false" customHeight="false" outlineLevel="0" collapsed="false">
      <c r="A81" s="2201"/>
      <c r="B81" s="2192" t="n">
        <f aca="false">B14</f>
        <v>111</v>
      </c>
      <c r="C81" s="2169"/>
      <c r="D81" s="2169"/>
      <c r="E81" s="2169"/>
      <c r="F81" s="2169"/>
      <c r="G81" s="2169"/>
      <c r="H81" s="2214"/>
      <c r="I81" s="2214"/>
      <c r="J81" s="2214"/>
      <c r="K81" s="2214"/>
      <c r="L81" s="2215"/>
      <c r="M81" s="2216"/>
      <c r="N81" s="2397"/>
      <c r="O81" s="2397"/>
      <c r="P81" s="2658"/>
      <c r="Q81" s="2399"/>
      <c r="R81" s="791"/>
      <c r="S81" s="791"/>
      <c r="T81" s="791"/>
      <c r="U81" s="791"/>
      <c r="V81" s="791"/>
      <c r="W81" s="791"/>
      <c r="X81" s="791"/>
      <c r="Y81" s="791"/>
      <c r="Z81" s="791"/>
      <c r="AA81" s="791"/>
      <c r="AB81" s="791"/>
      <c r="AC81" s="791"/>
      <c r="AD81" s="791"/>
      <c r="AE81" s="791"/>
    </row>
    <row r="82" s="2088" customFormat="true" ht="15" hidden="false" customHeight="false" outlineLevel="0" collapsed="false">
      <c r="A82" s="2218"/>
      <c r="B82" s="2219"/>
      <c r="C82" s="2220"/>
      <c r="D82" s="2220"/>
      <c r="E82" s="2220"/>
      <c r="F82" s="2220"/>
      <c r="G82" s="2220"/>
      <c r="H82" s="2221"/>
      <c r="I82" s="2221"/>
      <c r="J82" s="2221"/>
      <c r="K82" s="2221"/>
      <c r="L82" s="2221"/>
      <c r="M82" s="2222"/>
      <c r="N82" s="2397"/>
      <c r="O82" s="2397"/>
      <c r="P82" s="2558"/>
      <c r="Q82" s="2399"/>
      <c r="R82" s="791"/>
      <c r="S82" s="791"/>
      <c r="T82" s="791"/>
      <c r="U82" s="791"/>
      <c r="V82" s="791"/>
      <c r="W82" s="791"/>
      <c r="X82" s="791"/>
      <c r="Y82" s="791"/>
      <c r="Z82" s="791"/>
      <c r="AA82" s="791"/>
      <c r="AB82" s="791"/>
      <c r="AC82" s="791"/>
      <c r="AD82" s="791"/>
      <c r="AE82" s="791"/>
    </row>
    <row r="83" customFormat="false" ht="14.25" hidden="false" customHeight="false" outlineLevel="0" collapsed="false">
      <c r="A83" s="2175" t="s">
        <v>648</v>
      </c>
      <c r="B83" s="2176" t="s">
        <v>215</v>
      </c>
      <c r="C83" s="2223" t="s">
        <v>231</v>
      </c>
      <c r="D83" s="2223" t="s">
        <v>241</v>
      </c>
      <c r="E83" s="2223" t="s">
        <v>250</v>
      </c>
      <c r="F83" s="2223" t="s">
        <v>258</v>
      </c>
      <c r="G83" s="2223" t="s">
        <v>265</v>
      </c>
      <c r="H83" s="2177"/>
      <c r="I83" s="2177"/>
      <c r="J83" s="2177"/>
      <c r="K83" s="2224"/>
      <c r="L83" s="2225"/>
      <c r="M83" s="2226"/>
      <c r="N83" s="2394"/>
      <c r="O83" s="2394"/>
      <c r="P83" s="870"/>
      <c r="Q83" s="2386"/>
      <c r="R83" s="2110"/>
      <c r="S83" s="2110"/>
      <c r="T83" s="2110"/>
      <c r="U83" s="2110"/>
      <c r="V83" s="2110"/>
      <c r="W83" s="2110"/>
      <c r="X83" s="2110"/>
      <c r="Y83" s="2110"/>
      <c r="Z83" s="2110"/>
      <c r="AA83" s="2110"/>
      <c r="AB83" s="2110"/>
      <c r="AC83" s="2110"/>
      <c r="AD83" s="2110"/>
      <c r="AE83" s="2110"/>
    </row>
    <row r="84" customFormat="false" ht="15" hidden="false" customHeight="false" outlineLevel="0" collapsed="false">
      <c r="A84" s="2184"/>
      <c r="B84" s="2191"/>
      <c r="C84" s="2199" t="n">
        <v>100</v>
      </c>
      <c r="D84" s="2199" t="n">
        <f aca="false">C84-$K15</f>
        <v>100</v>
      </c>
      <c r="E84" s="2199" t="n">
        <f aca="false">D84-$K15</f>
        <v>100</v>
      </c>
      <c r="F84" s="2199" t="n">
        <f aca="false">E84-$K15</f>
        <v>100</v>
      </c>
      <c r="G84" s="2199" t="n">
        <f aca="false">F84-$K15</f>
        <v>100</v>
      </c>
      <c r="H84" s="2199"/>
      <c r="I84" s="2199"/>
      <c r="J84" s="2199"/>
      <c r="K84" s="2199"/>
      <c r="L84" s="2199"/>
      <c r="M84" s="2200"/>
      <c r="N84" s="2396"/>
      <c r="O84" s="2396"/>
      <c r="P84" s="2557"/>
      <c r="Q84" s="2386"/>
      <c r="R84" s="2110"/>
      <c r="S84" s="2110"/>
      <c r="T84" s="2110"/>
      <c r="U84" s="2110"/>
      <c r="V84" s="2110"/>
      <c r="W84" s="2110"/>
      <c r="X84" s="2110"/>
      <c r="Y84" s="2110"/>
      <c r="Z84" s="2110"/>
      <c r="AA84" s="2110"/>
      <c r="AB84" s="2110"/>
      <c r="AC84" s="2110"/>
      <c r="AD84" s="2110"/>
      <c r="AE84" s="2110"/>
    </row>
    <row r="85" customFormat="false" ht="15" hidden="false" customHeight="false" outlineLevel="0" collapsed="false">
      <c r="A85" s="2184"/>
      <c r="B85" s="2189" t="s">
        <v>216</v>
      </c>
      <c r="C85" s="2228" t="s">
        <v>231</v>
      </c>
      <c r="D85" s="2228" t="s">
        <v>241</v>
      </c>
      <c r="E85" s="2228" t="s">
        <v>250</v>
      </c>
      <c r="F85" s="2228" t="s">
        <v>258</v>
      </c>
      <c r="G85" s="2228" t="s">
        <v>265</v>
      </c>
      <c r="H85" s="2229"/>
      <c r="I85" s="2229"/>
      <c r="J85" s="2229"/>
      <c r="K85" s="2230"/>
      <c r="L85" s="2231"/>
      <c r="M85" s="2232"/>
      <c r="N85" s="2394"/>
      <c r="O85" s="2394"/>
      <c r="P85" s="2557"/>
      <c r="Q85" s="2386"/>
      <c r="R85" s="2110"/>
      <c r="S85" s="2110"/>
      <c r="T85" s="2110"/>
      <c r="U85" s="2110"/>
      <c r="V85" s="2110"/>
      <c r="W85" s="2110"/>
      <c r="X85" s="2110"/>
      <c r="Y85" s="2110"/>
      <c r="Z85" s="2110"/>
      <c r="AA85" s="2110"/>
      <c r="AB85" s="2110"/>
      <c r="AC85" s="2110"/>
      <c r="AD85" s="2110"/>
      <c r="AE85" s="2110"/>
    </row>
    <row r="86" customFormat="false" ht="15" hidden="false" customHeight="false" outlineLevel="0" collapsed="false">
      <c r="A86" s="2184"/>
      <c r="B86" s="2191"/>
      <c r="C86" s="2199" t="n">
        <v>100</v>
      </c>
      <c r="D86" s="2199" t="n">
        <f aca="false">C86-$K17</f>
        <v>100</v>
      </c>
      <c r="E86" s="2199" t="n">
        <f aca="false">D86-$K17</f>
        <v>100</v>
      </c>
      <c r="F86" s="2199" t="n">
        <f aca="false">E86-$K17</f>
        <v>100</v>
      </c>
      <c r="G86" s="2199" t="n">
        <f aca="false">F86-$K17</f>
        <v>100</v>
      </c>
      <c r="H86" s="2199"/>
      <c r="I86" s="2199"/>
      <c r="J86" s="2199"/>
      <c r="K86" s="2199"/>
      <c r="L86" s="2199"/>
      <c r="M86" s="2200"/>
      <c r="N86" s="2396"/>
      <c r="O86" s="2396"/>
      <c r="P86" s="2557"/>
      <c r="Q86" s="2386"/>
      <c r="R86" s="2110"/>
      <c r="S86" s="2110"/>
      <c r="T86" s="2110"/>
      <c r="U86" s="2110"/>
      <c r="V86" s="2110"/>
      <c r="W86" s="2110"/>
      <c r="X86" s="2110"/>
      <c r="Y86" s="2110"/>
      <c r="Z86" s="2110"/>
      <c r="AA86" s="2110"/>
      <c r="AB86" s="2110"/>
      <c r="AC86" s="2110"/>
      <c r="AD86" s="2110"/>
      <c r="AE86" s="2110"/>
    </row>
    <row r="87" s="1983" customFormat="true" ht="15" hidden="false" customHeight="false" outlineLevel="0" collapsed="false">
      <c r="A87" s="2236"/>
      <c r="B87" s="2189" t="s">
        <v>217</v>
      </c>
      <c r="C87" s="2223" t="s">
        <v>231</v>
      </c>
      <c r="D87" s="2223" t="s">
        <v>241</v>
      </c>
      <c r="E87" s="2223" t="s">
        <v>250</v>
      </c>
      <c r="F87" s="2223" t="s">
        <v>258</v>
      </c>
      <c r="G87" s="2223" t="s">
        <v>265</v>
      </c>
      <c r="H87" s="2228"/>
      <c r="I87" s="2228"/>
      <c r="J87" s="2228"/>
      <c r="K87" s="2228"/>
      <c r="L87" s="2659"/>
      <c r="M87" s="2406"/>
      <c r="N87" s="2392"/>
      <c r="O87" s="2392"/>
      <c r="P87" s="2557"/>
      <c r="Q87" s="2386"/>
      <c r="R87" s="529"/>
      <c r="S87" s="529"/>
      <c r="T87" s="529"/>
      <c r="U87" s="529"/>
      <c r="V87" s="529"/>
      <c r="W87" s="529"/>
      <c r="X87" s="529"/>
      <c r="Y87" s="529"/>
      <c r="Z87" s="529"/>
      <c r="AA87" s="529"/>
      <c r="AB87" s="529"/>
      <c r="AC87" s="529"/>
      <c r="AD87" s="529"/>
      <c r="AE87" s="529"/>
    </row>
    <row r="88" s="1983" customFormat="true" ht="15" hidden="false" customHeight="false" outlineLevel="0" collapsed="false">
      <c r="A88" s="2236"/>
      <c r="B88" s="2191"/>
      <c r="C88" s="2239" t="n">
        <v>100</v>
      </c>
      <c r="D88" s="2199" t="n">
        <f aca="false">C88-$K19</f>
        <v>100</v>
      </c>
      <c r="E88" s="2199" t="n">
        <f aca="false">D88-$K19</f>
        <v>100</v>
      </c>
      <c r="F88" s="2199" t="n">
        <f aca="false">E88-$K19</f>
        <v>100</v>
      </c>
      <c r="G88" s="2199" t="n">
        <f aca="false">F88-$K19</f>
        <v>100</v>
      </c>
      <c r="H88" s="2199"/>
      <c r="I88" s="2199"/>
      <c r="J88" s="2199"/>
      <c r="K88" s="2199"/>
      <c r="L88" s="2199"/>
      <c r="M88" s="2200"/>
      <c r="N88" s="2396"/>
      <c r="O88" s="2396"/>
      <c r="P88" s="2557"/>
      <c r="Q88" s="2386"/>
      <c r="R88" s="529"/>
      <c r="S88" s="529"/>
      <c r="T88" s="529"/>
      <c r="U88" s="529"/>
      <c r="V88" s="529"/>
      <c r="W88" s="529"/>
      <c r="X88" s="529"/>
      <c r="Y88" s="529"/>
      <c r="Z88" s="529"/>
      <c r="AA88" s="529"/>
      <c r="AB88" s="529"/>
      <c r="AC88" s="529"/>
      <c r="AD88" s="529"/>
      <c r="AE88" s="529"/>
    </row>
    <row r="89" s="1983" customFormat="true" ht="27" hidden="false" customHeight="false" outlineLevel="0" collapsed="false">
      <c r="A89" s="2236"/>
      <c r="B89" s="2189" t="s">
        <v>662</v>
      </c>
      <c r="C89" s="2223" t="s">
        <v>231</v>
      </c>
      <c r="D89" s="2223" t="s">
        <v>241</v>
      </c>
      <c r="E89" s="2223" t="s">
        <v>250</v>
      </c>
      <c r="F89" s="2223" t="s">
        <v>258</v>
      </c>
      <c r="G89" s="2223" t="s">
        <v>265</v>
      </c>
      <c r="H89" s="2228"/>
      <c r="I89" s="2228"/>
      <c r="J89" s="2228"/>
      <c r="K89" s="2228"/>
      <c r="L89" s="2228"/>
      <c r="M89" s="2406"/>
      <c r="N89" s="2392"/>
      <c r="O89" s="2392"/>
      <c r="P89" s="2557"/>
      <c r="Q89" s="2386"/>
      <c r="R89" s="529"/>
      <c r="S89" s="529"/>
      <c r="T89" s="529"/>
      <c r="U89" s="529"/>
      <c r="V89" s="529"/>
      <c r="W89" s="529"/>
      <c r="X89" s="529"/>
      <c r="Y89" s="529"/>
      <c r="Z89" s="529"/>
      <c r="AA89" s="529"/>
      <c r="AB89" s="529"/>
      <c r="AC89" s="529"/>
      <c r="AD89" s="529"/>
      <c r="AE89" s="529"/>
    </row>
    <row r="90" s="1983" customFormat="true" ht="15" hidden="false" customHeight="false" outlineLevel="0" collapsed="false">
      <c r="A90" s="2236"/>
      <c r="B90" s="2191"/>
      <c r="C90" s="2199" t="n">
        <v>100</v>
      </c>
      <c r="D90" s="2199" t="n">
        <f aca="false">C90-$K21</f>
        <v>100</v>
      </c>
      <c r="E90" s="2199" t="n">
        <f aca="false">D90-$K21</f>
        <v>100</v>
      </c>
      <c r="F90" s="2199" t="n">
        <f aca="false">E90-$K21</f>
        <v>100</v>
      </c>
      <c r="G90" s="2199" t="n">
        <f aca="false">F90-$K21</f>
        <v>100</v>
      </c>
      <c r="H90" s="2199"/>
      <c r="I90" s="2199"/>
      <c r="J90" s="2199"/>
      <c r="K90" s="2199"/>
      <c r="L90" s="2199"/>
      <c r="M90" s="2200"/>
      <c r="N90" s="2396"/>
      <c r="O90" s="2396"/>
      <c r="P90" s="2557"/>
      <c r="Q90" s="2386"/>
      <c r="R90" s="529"/>
      <c r="S90" s="529"/>
      <c r="T90" s="529"/>
      <c r="U90" s="529"/>
      <c r="V90" s="529"/>
      <c r="W90" s="529"/>
      <c r="X90" s="529"/>
      <c r="Y90" s="529"/>
      <c r="Z90" s="529"/>
      <c r="AA90" s="529"/>
      <c r="AB90" s="529"/>
      <c r="AC90" s="529"/>
      <c r="AD90" s="529"/>
      <c r="AE90" s="529"/>
    </row>
    <row r="91" s="2088" customFormat="true" ht="15" hidden="false" customHeight="false" outlineLevel="0" collapsed="false">
      <c r="A91" s="2201"/>
      <c r="B91" s="2189" t="s">
        <v>218</v>
      </c>
      <c r="C91" s="2223" t="s">
        <v>231</v>
      </c>
      <c r="D91" s="2223" t="s">
        <v>241</v>
      </c>
      <c r="E91" s="2223" t="s">
        <v>250</v>
      </c>
      <c r="F91" s="2223" t="s">
        <v>258</v>
      </c>
      <c r="G91" s="2223" t="s">
        <v>265</v>
      </c>
      <c r="H91" s="2265"/>
      <c r="I91" s="2265"/>
      <c r="J91" s="2265"/>
      <c r="K91" s="2265"/>
      <c r="L91" s="2266"/>
      <c r="M91" s="2267"/>
      <c r="N91" s="2397"/>
      <c r="O91" s="2397"/>
      <c r="P91" s="2558"/>
      <c r="Q91" s="2399"/>
      <c r="R91" s="791"/>
      <c r="S91" s="791"/>
      <c r="T91" s="791"/>
      <c r="U91" s="791"/>
      <c r="V91" s="791"/>
      <c r="W91" s="791"/>
      <c r="X91" s="791"/>
      <c r="Y91" s="791"/>
      <c r="Z91" s="791"/>
      <c r="AA91" s="791"/>
      <c r="AB91" s="791"/>
      <c r="AC91" s="791"/>
      <c r="AD91" s="791"/>
      <c r="AE91" s="791"/>
    </row>
    <row r="92" s="2088" customFormat="true" ht="15" hidden="false" customHeight="false" outlineLevel="0" collapsed="false">
      <c r="A92" s="2201"/>
      <c r="B92" s="2191"/>
      <c r="C92" s="2199" t="n">
        <v>100</v>
      </c>
      <c r="D92" s="2199" t="n">
        <f aca="false">C92-$K23</f>
        <v>100</v>
      </c>
      <c r="E92" s="2199" t="n">
        <f aca="false">D92-$K23</f>
        <v>100</v>
      </c>
      <c r="F92" s="2199" t="n">
        <f aca="false">E92-$K23</f>
        <v>100</v>
      </c>
      <c r="G92" s="2199" t="n">
        <f aca="false">F92-$K23</f>
        <v>100</v>
      </c>
      <c r="H92" s="2272"/>
      <c r="I92" s="2272"/>
      <c r="J92" s="2272"/>
      <c r="K92" s="2272"/>
      <c r="L92" s="2272"/>
      <c r="M92" s="2273"/>
      <c r="N92" s="2397"/>
      <c r="O92" s="2397"/>
      <c r="P92" s="2558"/>
      <c r="Q92" s="2399"/>
      <c r="R92" s="791"/>
      <c r="S92" s="791"/>
      <c r="T92" s="791"/>
      <c r="U92" s="791"/>
      <c r="V92" s="791"/>
      <c r="W92" s="791"/>
      <c r="X92" s="791"/>
      <c r="Y92" s="791"/>
      <c r="Z92" s="791"/>
      <c r="AA92" s="791"/>
      <c r="AB92" s="791"/>
      <c r="AC92" s="791"/>
      <c r="AD92" s="791"/>
      <c r="AE92" s="791"/>
    </row>
    <row r="93" s="2088" customFormat="true" ht="15" hidden="false" customHeight="false" outlineLevel="0" collapsed="false">
      <c r="A93" s="2201"/>
      <c r="B93" s="2192" t="s">
        <v>219</v>
      </c>
      <c r="C93" s="2404" t="s">
        <v>232</v>
      </c>
      <c r="D93" s="2404" t="s">
        <v>242</v>
      </c>
      <c r="E93" s="2404" t="s">
        <v>251</v>
      </c>
      <c r="F93" s="2404" t="s">
        <v>259</v>
      </c>
      <c r="G93" s="2404" t="s">
        <v>266</v>
      </c>
      <c r="H93" s="2265"/>
      <c r="I93" s="2265"/>
      <c r="J93" s="2265"/>
      <c r="K93" s="2265"/>
      <c r="L93" s="2265"/>
      <c r="M93" s="2267"/>
      <c r="N93" s="2397"/>
      <c r="O93" s="2397"/>
      <c r="P93" s="2558"/>
      <c r="Q93" s="2399"/>
      <c r="R93" s="791"/>
      <c r="S93" s="791"/>
      <c r="T93" s="791"/>
      <c r="U93" s="791"/>
      <c r="V93" s="791"/>
      <c r="W93" s="791"/>
      <c r="X93" s="791"/>
      <c r="Y93" s="791"/>
      <c r="Z93" s="791"/>
      <c r="AA93" s="791"/>
      <c r="AB93" s="791"/>
      <c r="AC93" s="791"/>
      <c r="AD93" s="791"/>
      <c r="AE93" s="791"/>
    </row>
    <row r="94" s="2088" customFormat="true" ht="15" hidden="false" customHeight="false" outlineLevel="0" collapsed="false">
      <c r="A94" s="2201"/>
      <c r="B94" s="2192"/>
      <c r="C94" s="2199" t="n">
        <v>100</v>
      </c>
      <c r="D94" s="2199" t="n">
        <f aca="false">C94-$K25</f>
        <v>100</v>
      </c>
      <c r="E94" s="2199" t="n">
        <f aca="false">D94-$K25</f>
        <v>100</v>
      </c>
      <c r="F94" s="2199" t="n">
        <f aca="false">E94-$K25</f>
        <v>100</v>
      </c>
      <c r="G94" s="2199" t="n">
        <f aca="false">F94-$K25</f>
        <v>100</v>
      </c>
      <c r="H94" s="2194"/>
      <c r="I94" s="2194"/>
      <c r="J94" s="2194"/>
      <c r="K94" s="2194"/>
      <c r="L94" s="2194"/>
      <c r="M94" s="2660"/>
      <c r="N94" s="2397"/>
      <c r="O94" s="2397"/>
      <c r="P94" s="2558"/>
      <c r="Q94" s="2399"/>
      <c r="R94" s="791"/>
      <c r="S94" s="791"/>
      <c r="T94" s="791"/>
      <c r="U94" s="791"/>
      <c r="V94" s="791"/>
      <c r="W94" s="791"/>
      <c r="X94" s="791"/>
      <c r="Y94" s="791"/>
      <c r="Z94" s="791"/>
      <c r="AA94" s="791"/>
      <c r="AB94" s="791"/>
      <c r="AC94" s="791"/>
      <c r="AD94" s="791"/>
      <c r="AE94" s="791"/>
    </row>
    <row r="95" customFormat="false" ht="15" hidden="false" customHeight="false" outlineLevel="0" collapsed="false">
      <c r="A95" s="2184"/>
      <c r="B95" s="2189" t="str">
        <f aca="false">B27</f>
        <v>临街状况</v>
      </c>
      <c r="C95" s="2233" t="s">
        <v>233</v>
      </c>
      <c r="D95" s="2233" t="s">
        <v>243</v>
      </c>
      <c r="E95" s="2233" t="s">
        <v>252</v>
      </c>
      <c r="F95" s="2233" t="s">
        <v>260</v>
      </c>
      <c r="G95" s="2229"/>
      <c r="H95" s="2229"/>
      <c r="I95" s="2229"/>
      <c r="J95" s="2229"/>
      <c r="K95" s="2230"/>
      <c r="L95" s="2231"/>
      <c r="M95" s="2232"/>
      <c r="N95" s="2394"/>
      <c r="O95" s="2394"/>
      <c r="P95" s="2557"/>
      <c r="Q95" s="2386"/>
      <c r="R95" s="2110"/>
      <c r="S95" s="2110"/>
      <c r="T95" s="2110"/>
      <c r="U95" s="2110"/>
      <c r="V95" s="2110"/>
      <c r="W95" s="2110"/>
      <c r="X95" s="2110"/>
      <c r="Y95" s="2110"/>
      <c r="Z95" s="2110"/>
      <c r="AA95" s="2110"/>
      <c r="AB95" s="2110"/>
      <c r="AC95" s="2110"/>
      <c r="AD95" s="2110"/>
      <c r="AE95" s="2110"/>
    </row>
    <row r="96" customFormat="false" ht="15" hidden="false" customHeight="false" outlineLevel="0" collapsed="false">
      <c r="A96" s="2184"/>
      <c r="B96" s="2191"/>
      <c r="C96" s="2199" t="n">
        <v>100</v>
      </c>
      <c r="D96" s="2199" t="n">
        <f aca="false">C96-$K27</f>
        <v>100</v>
      </c>
      <c r="E96" s="2199" t="n">
        <f aca="false">D96-$K27</f>
        <v>100</v>
      </c>
      <c r="F96" s="2199" t="n">
        <f aca="false">E96-$K27</f>
        <v>100</v>
      </c>
      <c r="G96" s="2199" t="n">
        <f aca="false">F96-$K27</f>
        <v>100</v>
      </c>
      <c r="H96" s="2199" t="n">
        <f aca="false">G96-$K27</f>
        <v>100</v>
      </c>
      <c r="I96" s="2199" t="n">
        <f aca="false">H96-$K27</f>
        <v>100</v>
      </c>
      <c r="J96" s="2199" t="n">
        <f aca="false">I96-$K27</f>
        <v>100</v>
      </c>
      <c r="K96" s="2199" t="n">
        <f aca="false">J96-$K27</f>
        <v>100</v>
      </c>
      <c r="L96" s="2199" t="n">
        <f aca="false">K96-$K27</f>
        <v>100</v>
      </c>
      <c r="M96" s="2199" t="n">
        <f aca="false">L96-$K27</f>
        <v>100</v>
      </c>
      <c r="N96" s="2396"/>
      <c r="O96" s="2396"/>
      <c r="P96" s="2557"/>
      <c r="Q96" s="2386"/>
      <c r="R96" s="2110"/>
      <c r="S96" s="2110"/>
      <c r="T96" s="2110"/>
      <c r="U96" s="2110"/>
      <c r="V96" s="2110"/>
      <c r="W96" s="2110"/>
      <c r="X96" s="2110"/>
      <c r="Y96" s="2110"/>
      <c r="Z96" s="2110"/>
      <c r="AA96" s="2110"/>
      <c r="AB96" s="2110"/>
      <c r="AC96" s="2110"/>
      <c r="AD96" s="2110"/>
      <c r="AE96" s="2110"/>
    </row>
    <row r="97" customFormat="false" ht="27" hidden="false" customHeight="false" outlineLevel="0" collapsed="false">
      <c r="A97" s="2184"/>
      <c r="B97" s="2189" t="s">
        <v>660</v>
      </c>
      <c r="C97" s="2202"/>
      <c r="D97" s="2202"/>
      <c r="E97" s="2202"/>
      <c r="F97" s="2202"/>
      <c r="G97" s="2202"/>
      <c r="H97" s="2190"/>
      <c r="I97" s="2190"/>
      <c r="J97" s="2190"/>
      <c r="K97" s="2246"/>
      <c r="L97" s="2247"/>
      <c r="M97" s="2248"/>
      <c r="N97" s="2394"/>
      <c r="O97" s="2394"/>
      <c r="P97" s="2557"/>
      <c r="Q97" s="2386"/>
      <c r="R97" s="2110"/>
      <c r="S97" s="2110"/>
      <c r="T97" s="2110"/>
      <c r="U97" s="2110"/>
      <c r="V97" s="2110"/>
      <c r="W97" s="2110"/>
      <c r="X97" s="2110"/>
      <c r="Y97" s="2110"/>
      <c r="Z97" s="2110"/>
      <c r="AA97" s="2110"/>
      <c r="AB97" s="2110"/>
      <c r="AC97" s="2110"/>
      <c r="AD97" s="2110"/>
      <c r="AE97" s="2110"/>
    </row>
    <row r="98" customFormat="false" ht="15" hidden="false" customHeight="false" outlineLevel="0" collapsed="false">
      <c r="A98" s="2184"/>
      <c r="B98" s="2191"/>
      <c r="C98" s="2199" t="n">
        <v>100</v>
      </c>
      <c r="D98" s="2199" t="n">
        <f aca="false">C98-$K28</f>
        <v>100</v>
      </c>
      <c r="E98" s="2199" t="n">
        <f aca="false">D98-$K28</f>
        <v>100</v>
      </c>
      <c r="F98" s="2199" t="n">
        <f aca="false">E98-$K28</f>
        <v>100</v>
      </c>
      <c r="G98" s="2199" t="n">
        <f aca="false">F98-$K28</f>
        <v>100</v>
      </c>
      <c r="H98" s="2199" t="n">
        <f aca="false">G98-$K28</f>
        <v>100</v>
      </c>
      <c r="I98" s="2199" t="n">
        <f aca="false">H98-$K28</f>
        <v>100</v>
      </c>
      <c r="J98" s="2199" t="n">
        <f aca="false">I98-$K28</f>
        <v>100</v>
      </c>
      <c r="K98" s="2199" t="n">
        <f aca="false">J98-$K28</f>
        <v>100</v>
      </c>
      <c r="L98" s="2199" t="n">
        <f aca="false">K98-$K28</f>
        <v>100</v>
      </c>
      <c r="M98" s="2199" t="n">
        <f aca="false">L98-$K28</f>
        <v>100</v>
      </c>
      <c r="N98" s="2396"/>
      <c r="O98" s="2396"/>
      <c r="P98" s="2557"/>
      <c r="Q98" s="2386"/>
      <c r="R98" s="2110"/>
      <c r="S98" s="2110"/>
      <c r="T98" s="2110"/>
      <c r="U98" s="2110"/>
      <c r="V98" s="2110"/>
      <c r="W98" s="2110"/>
      <c r="X98" s="2110"/>
      <c r="Y98" s="2110"/>
      <c r="Z98" s="2110"/>
      <c r="AA98" s="2110"/>
      <c r="AB98" s="2110"/>
      <c r="AC98" s="2110"/>
      <c r="AD98" s="2110"/>
      <c r="AE98" s="2110"/>
    </row>
    <row r="99" customFormat="false" ht="15" hidden="false" customHeight="false" outlineLevel="0" collapsed="false">
      <c r="A99" s="2184"/>
      <c r="B99" s="2189" t="s">
        <v>204</v>
      </c>
      <c r="C99" s="2190"/>
      <c r="D99" s="2190"/>
      <c r="E99" s="2190"/>
      <c r="F99" s="2190"/>
      <c r="G99" s="2190"/>
      <c r="H99" s="2190"/>
      <c r="I99" s="2190"/>
      <c r="J99" s="2190"/>
      <c r="K99" s="2246"/>
      <c r="L99" s="2247"/>
      <c r="M99" s="2248"/>
      <c r="N99" s="2394"/>
      <c r="O99" s="2394"/>
      <c r="P99" s="2557"/>
      <c r="Q99" s="2386"/>
      <c r="R99" s="2110"/>
      <c r="S99" s="2110"/>
      <c r="T99" s="2110"/>
      <c r="U99" s="2110"/>
      <c r="V99" s="2110"/>
      <c r="W99" s="2110"/>
      <c r="X99" s="2110"/>
      <c r="Y99" s="2110"/>
      <c r="Z99" s="2110"/>
      <c r="AA99" s="2110"/>
      <c r="AB99" s="2110"/>
      <c r="AC99" s="2110"/>
      <c r="AD99" s="2110"/>
      <c r="AE99" s="2110"/>
    </row>
    <row r="100" customFormat="false" ht="15" hidden="false" customHeight="false" outlineLevel="0" collapsed="false">
      <c r="A100" s="2184"/>
      <c r="B100" s="2191"/>
      <c r="C100" s="2199" t="n">
        <v>100</v>
      </c>
      <c r="D100" s="2199" t="n">
        <f aca="false">C100-$K30</f>
        <v>100</v>
      </c>
      <c r="E100" s="2199" t="n">
        <f aca="false">D100-$K30</f>
        <v>100</v>
      </c>
      <c r="F100" s="2199" t="n">
        <f aca="false">E100-$K30</f>
        <v>100</v>
      </c>
      <c r="G100" s="2199" t="n">
        <f aca="false">F100-$K30</f>
        <v>100</v>
      </c>
      <c r="H100" s="2199" t="n">
        <f aca="false">G100-$K30</f>
        <v>100</v>
      </c>
      <c r="I100" s="2199" t="n">
        <f aca="false">H100-$K30</f>
        <v>100</v>
      </c>
      <c r="J100" s="2199" t="n">
        <f aca="false">I100-$K30</f>
        <v>100</v>
      </c>
      <c r="K100" s="2199" t="n">
        <f aca="false">J100-$K30</f>
        <v>100</v>
      </c>
      <c r="L100" s="2199" t="n">
        <f aca="false">K100-$K30</f>
        <v>100</v>
      </c>
      <c r="M100" s="2199" t="n">
        <f aca="false">L100-$K30</f>
        <v>100</v>
      </c>
      <c r="N100" s="2396"/>
      <c r="O100" s="2396"/>
      <c r="P100" s="2557"/>
      <c r="Q100" s="2386"/>
      <c r="R100" s="2110"/>
      <c r="S100" s="2110"/>
      <c r="T100" s="2110"/>
      <c r="U100" s="2110"/>
      <c r="V100" s="2110"/>
      <c r="W100" s="2110"/>
      <c r="X100" s="2110"/>
      <c r="Y100" s="2110"/>
      <c r="Z100" s="2110"/>
      <c r="AA100" s="2110"/>
      <c r="AB100" s="2110"/>
      <c r="AC100" s="2110"/>
      <c r="AD100" s="2110"/>
      <c r="AE100" s="2110"/>
    </row>
    <row r="101" customFormat="false" ht="15" hidden="false" customHeight="false" outlineLevel="0" collapsed="false">
      <c r="A101" s="2184"/>
      <c r="B101" s="2192" t="n">
        <f aca="false">B31</f>
        <v>111</v>
      </c>
      <c r="C101" s="2202"/>
      <c r="D101" s="2202"/>
      <c r="E101" s="2202"/>
      <c r="F101" s="2202"/>
      <c r="G101" s="2249"/>
      <c r="H101" s="2249"/>
      <c r="I101" s="2249"/>
      <c r="J101" s="2249"/>
      <c r="K101" s="2250"/>
      <c r="L101" s="2251"/>
      <c r="M101" s="2252"/>
      <c r="N101" s="2394"/>
      <c r="O101" s="2394"/>
      <c r="P101" s="2557"/>
      <c r="Q101" s="2386"/>
      <c r="R101" s="2110"/>
      <c r="S101" s="2110"/>
      <c r="T101" s="2110"/>
      <c r="U101" s="2110"/>
      <c r="V101" s="2110"/>
      <c r="W101" s="2110"/>
      <c r="X101" s="2110"/>
      <c r="Y101" s="2110"/>
      <c r="Z101" s="2110"/>
      <c r="AA101" s="2110"/>
      <c r="AB101" s="2110"/>
      <c r="AC101" s="2110"/>
      <c r="AD101" s="2110"/>
      <c r="AE101" s="2110"/>
    </row>
    <row r="102" customFormat="false" ht="15" hidden="false" customHeight="false" outlineLevel="0" collapsed="false">
      <c r="A102" s="2184"/>
      <c r="B102" s="2219"/>
      <c r="C102" s="2209"/>
      <c r="D102" s="2186"/>
      <c r="E102" s="2186"/>
      <c r="F102" s="2186"/>
      <c r="G102" s="2254"/>
      <c r="H102" s="2254"/>
      <c r="I102" s="2254"/>
      <c r="J102" s="2254"/>
      <c r="K102" s="2254"/>
      <c r="L102" s="2254"/>
      <c r="M102" s="2255"/>
      <c r="N102" s="2396"/>
      <c r="O102" s="2396"/>
      <c r="P102" s="2557"/>
      <c r="Q102" s="2386"/>
      <c r="R102" s="2110"/>
      <c r="S102" s="2110"/>
      <c r="T102" s="2110"/>
      <c r="U102" s="2110"/>
      <c r="V102" s="2110"/>
      <c r="W102" s="2110"/>
      <c r="X102" s="2110"/>
      <c r="Y102" s="2110"/>
      <c r="Z102" s="2110"/>
      <c r="AA102" s="2110"/>
      <c r="AB102" s="2110"/>
      <c r="AC102" s="2110"/>
      <c r="AD102" s="2110"/>
      <c r="AE102" s="2110"/>
    </row>
    <row r="103" customFormat="false" ht="14.25" hidden="false" customHeight="false" outlineLevel="0" collapsed="false">
      <c r="A103" s="2588"/>
      <c r="B103" s="2189" t="n">
        <f aca="false">B32</f>
        <v>111</v>
      </c>
      <c r="C103" s="2202"/>
      <c r="D103" s="2202"/>
      <c r="E103" s="2202"/>
      <c r="F103" s="2202"/>
      <c r="G103" s="2190"/>
      <c r="H103" s="2190"/>
      <c r="I103" s="2190"/>
      <c r="J103" s="2190"/>
      <c r="K103" s="2246"/>
      <c r="L103" s="2247"/>
      <c r="M103" s="2248"/>
      <c r="N103" s="2394"/>
      <c r="O103" s="2394"/>
      <c r="P103" s="2557"/>
      <c r="Q103" s="2386"/>
      <c r="R103" s="2110"/>
      <c r="S103" s="2110"/>
      <c r="T103" s="2110"/>
      <c r="U103" s="2110"/>
      <c r="V103" s="2110"/>
      <c r="W103" s="2110"/>
      <c r="X103" s="2110"/>
      <c r="Y103" s="2110"/>
      <c r="Z103" s="2110"/>
      <c r="AA103" s="2110"/>
      <c r="AB103" s="2110"/>
      <c r="AC103" s="2110"/>
      <c r="AD103" s="2110"/>
      <c r="AE103" s="2110"/>
    </row>
    <row r="104" customFormat="false" ht="15" hidden="false" customHeight="false" outlineLevel="0" collapsed="false">
      <c r="A104" s="2184"/>
      <c r="B104" s="2191"/>
      <c r="C104" s="2209"/>
      <c r="D104" s="2209"/>
      <c r="E104" s="2209"/>
      <c r="F104" s="2209"/>
      <c r="G104" s="2186"/>
      <c r="H104" s="2186"/>
      <c r="I104" s="2186"/>
      <c r="J104" s="2186"/>
      <c r="K104" s="2186"/>
      <c r="L104" s="2186"/>
      <c r="M104" s="2187"/>
      <c r="N104" s="2396"/>
      <c r="O104" s="2396"/>
      <c r="P104" s="2557"/>
      <c r="Q104" s="2386"/>
      <c r="R104" s="2110"/>
      <c r="S104" s="2110"/>
      <c r="T104" s="2110"/>
      <c r="U104" s="2110"/>
      <c r="V104" s="2110"/>
      <c r="W104" s="2110"/>
      <c r="X104" s="2110"/>
      <c r="Y104" s="2110"/>
      <c r="Z104" s="2110"/>
      <c r="AA104" s="2110"/>
      <c r="AB104" s="2110"/>
      <c r="AC104" s="2110"/>
      <c r="AD104" s="2110"/>
      <c r="AE104" s="2110"/>
    </row>
    <row r="105" s="2088" customFormat="true" ht="14.25" hidden="false" customHeight="false" outlineLevel="0" collapsed="false">
      <c r="A105" s="2257"/>
      <c r="B105" s="2258" t="n">
        <f aca="false">B33</f>
        <v>111</v>
      </c>
      <c r="C105" s="2169"/>
      <c r="D105" s="2169"/>
      <c r="E105" s="2169"/>
      <c r="F105" s="2169"/>
      <c r="G105" s="2259"/>
      <c r="H105" s="2259"/>
      <c r="I105" s="2259"/>
      <c r="J105" s="2260"/>
      <c r="K105" s="2260"/>
      <c r="L105" s="2261"/>
      <c r="M105" s="2262"/>
      <c r="N105" s="2397"/>
      <c r="O105" s="2397"/>
      <c r="P105" s="2558"/>
      <c r="Q105" s="2399"/>
      <c r="R105" s="791"/>
      <c r="S105" s="791"/>
      <c r="T105" s="791"/>
      <c r="U105" s="791"/>
      <c r="V105" s="791"/>
      <c r="W105" s="791"/>
      <c r="X105" s="791"/>
      <c r="Y105" s="791"/>
      <c r="Z105" s="791"/>
      <c r="AA105" s="791"/>
      <c r="AB105" s="791"/>
      <c r="AC105" s="791"/>
      <c r="AD105" s="791"/>
      <c r="AE105" s="791"/>
    </row>
    <row r="106" s="2088" customFormat="true" ht="15" hidden="false" customHeight="false" outlineLevel="0" collapsed="false">
      <c r="A106" s="2201"/>
      <c r="B106" s="2192"/>
      <c r="C106" s="2220"/>
      <c r="D106" s="2220"/>
      <c r="E106" s="2220"/>
      <c r="F106" s="2220"/>
      <c r="G106" s="2661"/>
      <c r="H106" s="2661"/>
      <c r="I106" s="2661"/>
      <c r="J106" s="2661"/>
      <c r="K106" s="2661"/>
      <c r="L106" s="2661"/>
      <c r="M106" s="2662"/>
      <c r="N106" s="2396"/>
      <c r="O106" s="2396"/>
      <c r="P106" s="2558"/>
      <c r="Q106" s="2399"/>
      <c r="R106" s="791"/>
      <c r="S106" s="791"/>
      <c r="T106" s="791"/>
      <c r="U106" s="791"/>
      <c r="V106" s="791"/>
      <c r="W106" s="791"/>
      <c r="X106" s="791"/>
      <c r="Y106" s="791"/>
      <c r="Z106" s="791"/>
      <c r="AA106" s="791"/>
      <c r="AB106" s="791"/>
      <c r="AC106" s="791"/>
      <c r="AD106" s="791"/>
      <c r="AE106" s="791"/>
    </row>
    <row r="107" customFormat="false" ht="14.25" hidden="false" customHeight="false" outlineLevel="0" collapsed="false">
      <c r="A107" s="2175" t="s">
        <v>1292</v>
      </c>
      <c r="B107" s="2176" t="s">
        <v>1575</v>
      </c>
      <c r="C107" s="2177" t="str">
        <f aca="false">C108&amp;"(含)"&amp;"-"&amp;D108</f>
        <v>(含)-</v>
      </c>
      <c r="D107" s="2177" t="str">
        <f aca="false">D108&amp;"(含)"&amp;"-"&amp;E108</f>
        <v>(含)-</v>
      </c>
      <c r="E107" s="2177" t="str">
        <f aca="false">E108&amp;"(含)"&amp;"-"&amp;F108</f>
        <v>(含)-</v>
      </c>
      <c r="F107" s="2177" t="str">
        <f aca="false">F108&amp;"(含)"&amp;"-"&amp;G108</f>
        <v>(含)-</v>
      </c>
      <c r="G107" s="2177" t="str">
        <f aca="false">G108&amp;"(含)"&amp;"-"&amp;H108</f>
        <v>(含)-</v>
      </c>
      <c r="H107" s="2177" t="str">
        <f aca="false">H108&amp;"(含)"&amp;"-"&amp;I108</f>
        <v>(含)-</v>
      </c>
      <c r="I107" s="2177" t="str">
        <f aca="false">I108&amp;"(含)"&amp;"-"&amp;J108</f>
        <v>(含)-</v>
      </c>
      <c r="J107" s="2177" t="str">
        <f aca="false">J108&amp;"(含)"&amp;"-"&amp;K108</f>
        <v>(含)-</v>
      </c>
      <c r="K107" s="2223" t="str">
        <f aca="false">K108&amp;"(含)"&amp;"-"&amp;L108</f>
        <v>(含)-</v>
      </c>
      <c r="L107" s="2223" t="str">
        <f aca="false">L108&amp;"(含)"&amp;"-"&amp;M108</f>
        <v>(含)-</v>
      </c>
      <c r="M107" s="1988" t="str">
        <f aca="false">M108&amp;"(含)"&amp;"-"&amp;P108</f>
        <v>(含)-</v>
      </c>
      <c r="N107" s="2394"/>
      <c r="O107" s="2394"/>
      <c r="P107" s="2557"/>
      <c r="Q107" s="2386"/>
      <c r="R107" s="2110"/>
      <c r="S107" s="2110"/>
      <c r="T107" s="2110"/>
      <c r="U107" s="2110"/>
      <c r="V107" s="2110"/>
      <c r="W107" s="2110"/>
      <c r="X107" s="2110"/>
      <c r="Y107" s="2110"/>
      <c r="Z107" s="2110"/>
      <c r="AA107" s="2110"/>
      <c r="AB107" s="2110"/>
      <c r="AC107" s="2110"/>
      <c r="AD107" s="2110"/>
      <c r="AE107" s="2110"/>
    </row>
    <row r="108" customFormat="false" ht="15" hidden="false" customHeight="false" outlineLevel="0" collapsed="false">
      <c r="A108" s="2184"/>
      <c r="B108" s="2192"/>
      <c r="C108" s="2259"/>
      <c r="D108" s="2259"/>
      <c r="E108" s="2259"/>
      <c r="F108" s="2259"/>
      <c r="G108" s="2259"/>
      <c r="H108" s="2259"/>
      <c r="I108" s="2259"/>
      <c r="J108" s="2260"/>
      <c r="K108" s="2260"/>
      <c r="L108" s="2261"/>
      <c r="M108" s="2262"/>
      <c r="N108" s="2394"/>
      <c r="O108" s="2394"/>
      <c r="P108" s="2557"/>
      <c r="Q108" s="2386"/>
      <c r="R108" s="2110"/>
      <c r="S108" s="2110"/>
      <c r="T108" s="2110"/>
      <c r="U108" s="2110"/>
      <c r="V108" s="2110"/>
      <c r="W108" s="2110"/>
      <c r="X108" s="2110"/>
      <c r="Y108" s="2110"/>
      <c r="Z108" s="2110"/>
      <c r="AA108" s="2110"/>
      <c r="AB108" s="2110"/>
      <c r="AC108" s="2110"/>
      <c r="AD108" s="2110"/>
      <c r="AE108" s="2110"/>
    </row>
    <row r="109" customFormat="false" ht="15" hidden="false" customHeight="false" outlineLevel="0" collapsed="false">
      <c r="A109" s="2184"/>
      <c r="B109" s="2191"/>
      <c r="C109" s="2220"/>
      <c r="D109" s="2254"/>
      <c r="E109" s="2254"/>
      <c r="F109" s="2254"/>
      <c r="G109" s="2254"/>
      <c r="H109" s="2254"/>
      <c r="I109" s="2254"/>
      <c r="J109" s="2254"/>
      <c r="K109" s="2254"/>
      <c r="L109" s="2254"/>
      <c r="M109" s="2255"/>
      <c r="N109" s="2396"/>
      <c r="O109" s="2396"/>
      <c r="P109" s="2557"/>
      <c r="Q109" s="2386"/>
      <c r="R109" s="2110"/>
      <c r="S109" s="2110"/>
      <c r="T109" s="2110"/>
      <c r="U109" s="2110"/>
      <c r="V109" s="2110"/>
      <c r="W109" s="2110"/>
      <c r="X109" s="2110"/>
      <c r="Y109" s="2110"/>
      <c r="Z109" s="2110"/>
      <c r="AA109" s="2110"/>
      <c r="AB109" s="2110"/>
      <c r="AC109" s="2110"/>
      <c r="AD109" s="2110"/>
      <c r="AE109" s="2110"/>
    </row>
    <row r="110" customFormat="false" ht="14.25" hidden="false" customHeight="false" outlineLevel="0" collapsed="false">
      <c r="A110" s="2263"/>
      <c r="B110" s="2189" t="s">
        <v>1576</v>
      </c>
      <c r="C110" s="2190"/>
      <c r="D110" s="2190"/>
      <c r="E110" s="2190"/>
      <c r="F110" s="2190"/>
      <c r="G110" s="2190"/>
      <c r="H110" s="2190"/>
      <c r="I110" s="2190"/>
      <c r="J110" s="2190"/>
      <c r="K110" s="2246"/>
      <c r="L110" s="2247"/>
      <c r="M110" s="2248"/>
      <c r="N110" s="2394"/>
      <c r="O110" s="2394"/>
      <c r="P110" s="2557"/>
      <c r="Q110" s="2386"/>
      <c r="R110" s="2110"/>
      <c r="S110" s="2110"/>
      <c r="T110" s="2110"/>
      <c r="U110" s="2110"/>
      <c r="V110" s="2110"/>
      <c r="W110" s="2110"/>
      <c r="X110" s="2110"/>
      <c r="Y110" s="2110"/>
      <c r="Z110" s="2110"/>
      <c r="AA110" s="2110"/>
      <c r="AB110" s="2110"/>
      <c r="AC110" s="2110"/>
      <c r="AD110" s="2110"/>
      <c r="AE110" s="2110"/>
    </row>
    <row r="111" customFormat="false" ht="15" hidden="false" customHeight="false" outlineLevel="0" collapsed="false">
      <c r="A111" s="2184"/>
      <c r="B111" s="2191"/>
      <c r="C111" s="2199" t="n">
        <v>100</v>
      </c>
      <c r="D111" s="2199" t="n">
        <f aca="false">C111-$K35</f>
        <v>100</v>
      </c>
      <c r="E111" s="2199" t="n">
        <f aca="false">D111-$K35</f>
        <v>100</v>
      </c>
      <c r="F111" s="2199" t="n">
        <f aca="false">E111-$K35</f>
        <v>100</v>
      </c>
      <c r="G111" s="2199" t="n">
        <f aca="false">F111-$K35</f>
        <v>100</v>
      </c>
      <c r="H111" s="2199" t="n">
        <f aca="false">G111-$K35</f>
        <v>100</v>
      </c>
      <c r="I111" s="2199" t="n">
        <f aca="false">H111-$K35</f>
        <v>100</v>
      </c>
      <c r="J111" s="2199" t="n">
        <f aca="false">I111-$K35</f>
        <v>100</v>
      </c>
      <c r="K111" s="2199" t="n">
        <f aca="false">J111-$K35</f>
        <v>100</v>
      </c>
      <c r="L111" s="2199" t="n">
        <f aca="false">K111-$K35</f>
        <v>100</v>
      </c>
      <c r="M111" s="2200" t="n">
        <f aca="false">L111-$K35</f>
        <v>100</v>
      </c>
      <c r="N111" s="2396"/>
      <c r="O111" s="2396"/>
      <c r="P111" s="2557"/>
      <c r="Q111" s="2386"/>
      <c r="R111" s="2110"/>
      <c r="S111" s="2110"/>
      <c r="T111" s="2110"/>
      <c r="U111" s="2110"/>
      <c r="V111" s="2110"/>
      <c r="W111" s="2110"/>
      <c r="X111" s="2110"/>
      <c r="Y111" s="2110"/>
      <c r="Z111" s="2110"/>
      <c r="AA111" s="2110"/>
      <c r="AB111" s="2110"/>
      <c r="AC111" s="2110"/>
      <c r="AD111" s="2110"/>
      <c r="AE111" s="2110"/>
    </row>
    <row r="112" s="2088" customFormat="true" ht="14.25" hidden="false" customHeight="false" outlineLevel="0" collapsed="false">
      <c r="A112" s="2257"/>
      <c r="B112" s="2189" t="s">
        <v>1578</v>
      </c>
      <c r="C112" s="2202"/>
      <c r="D112" s="2202"/>
      <c r="E112" s="2202"/>
      <c r="F112" s="2202"/>
      <c r="G112" s="2202"/>
      <c r="H112" s="2190"/>
      <c r="I112" s="2190"/>
      <c r="J112" s="2190"/>
      <c r="K112" s="2246"/>
      <c r="L112" s="2247"/>
      <c r="M112" s="2248"/>
      <c r="N112" s="2397"/>
      <c r="O112" s="2397"/>
      <c r="P112" s="2558"/>
      <c r="Q112" s="2399"/>
      <c r="R112" s="791"/>
      <c r="S112" s="791"/>
      <c r="T112" s="791"/>
      <c r="U112" s="791"/>
      <c r="V112" s="791"/>
      <c r="W112" s="791"/>
      <c r="X112" s="791"/>
      <c r="Y112" s="791"/>
      <c r="Z112" s="791"/>
      <c r="AA112" s="791"/>
      <c r="AB112" s="791"/>
      <c r="AC112" s="791"/>
      <c r="AD112" s="791"/>
      <c r="AE112" s="791"/>
    </row>
    <row r="113" s="2088" customFormat="true" ht="15" hidden="false" customHeight="false" outlineLevel="0" collapsed="false">
      <c r="A113" s="2201"/>
      <c r="B113" s="2191"/>
      <c r="C113" s="2199" t="n">
        <v>100</v>
      </c>
      <c r="D113" s="2199" t="n">
        <f aca="false">C113-$K36</f>
        <v>100</v>
      </c>
      <c r="E113" s="2199" t="n">
        <f aca="false">D113-$K36</f>
        <v>100</v>
      </c>
      <c r="F113" s="2199" t="n">
        <f aca="false">E113-$K36</f>
        <v>100</v>
      </c>
      <c r="G113" s="2199" t="n">
        <f aca="false">F113-$K36</f>
        <v>100</v>
      </c>
      <c r="H113" s="2199" t="n">
        <f aca="false">G113-$K36</f>
        <v>100</v>
      </c>
      <c r="I113" s="2199" t="n">
        <f aca="false">H113-$K36</f>
        <v>100</v>
      </c>
      <c r="J113" s="2199" t="n">
        <f aca="false">I113-$K36</f>
        <v>100</v>
      </c>
      <c r="K113" s="2199" t="n">
        <f aca="false">J113-$K36</f>
        <v>100</v>
      </c>
      <c r="L113" s="2199" t="n">
        <f aca="false">K113-$K36</f>
        <v>100</v>
      </c>
      <c r="M113" s="2200" t="n">
        <f aca="false">L113-$K36</f>
        <v>100</v>
      </c>
      <c r="N113" s="2397"/>
      <c r="O113" s="2397"/>
      <c r="P113" s="2558"/>
      <c r="Q113" s="2399"/>
      <c r="R113" s="791"/>
      <c r="S113" s="791"/>
      <c r="T113" s="791"/>
      <c r="U113" s="791"/>
      <c r="V113" s="791"/>
      <c r="W113" s="791"/>
      <c r="X113" s="791"/>
      <c r="Y113" s="791"/>
      <c r="Z113" s="791"/>
      <c r="AA113" s="791"/>
      <c r="AB113" s="791"/>
      <c r="AC113" s="791"/>
      <c r="AD113" s="791"/>
      <c r="AE113" s="791"/>
    </row>
    <row r="114" customFormat="false" ht="14.25" hidden="false" customHeight="false" outlineLevel="0" collapsed="false">
      <c r="A114" s="2263"/>
      <c r="B114" s="2189" t="s">
        <v>1579</v>
      </c>
      <c r="C114" s="2202"/>
      <c r="D114" s="2202"/>
      <c r="E114" s="2190"/>
      <c r="F114" s="2190"/>
      <c r="G114" s="2190"/>
      <c r="H114" s="2190"/>
      <c r="I114" s="2190"/>
      <c r="J114" s="2190"/>
      <c r="K114" s="2246"/>
      <c r="L114" s="2247"/>
      <c r="M114" s="2248"/>
      <c r="N114" s="2394"/>
      <c r="O114" s="2394"/>
      <c r="P114" s="2557"/>
      <c r="Q114" s="2386"/>
      <c r="R114" s="2110"/>
      <c r="S114" s="2110"/>
      <c r="T114" s="2110"/>
      <c r="U114" s="2110"/>
      <c r="V114" s="2110"/>
      <c r="W114" s="2110"/>
      <c r="X114" s="2110"/>
      <c r="Y114" s="2110"/>
      <c r="Z114" s="2110"/>
      <c r="AA114" s="2110"/>
      <c r="AB114" s="2110"/>
      <c r="AC114" s="2110"/>
      <c r="AD114" s="2110"/>
      <c r="AE114" s="2110"/>
    </row>
    <row r="115" customFormat="false" ht="15" hidden="false" customHeight="false" outlineLevel="0" collapsed="false">
      <c r="A115" s="2184"/>
      <c r="B115" s="2191"/>
      <c r="C115" s="2199" t="n">
        <v>100</v>
      </c>
      <c r="D115" s="2199" t="n">
        <f aca="false">C115-$K37</f>
        <v>100</v>
      </c>
      <c r="E115" s="2199" t="n">
        <f aca="false">D115-$K37</f>
        <v>100</v>
      </c>
      <c r="F115" s="2199" t="n">
        <f aca="false">E115-$K37</f>
        <v>100</v>
      </c>
      <c r="G115" s="2199" t="n">
        <f aca="false">F115-$K37</f>
        <v>100</v>
      </c>
      <c r="H115" s="2199" t="n">
        <f aca="false">G115-$K37</f>
        <v>100</v>
      </c>
      <c r="I115" s="2199" t="n">
        <f aca="false">H115-$K37</f>
        <v>100</v>
      </c>
      <c r="J115" s="2199" t="n">
        <f aca="false">I115-$K37</f>
        <v>100</v>
      </c>
      <c r="K115" s="2199" t="n">
        <f aca="false">J115-$K37</f>
        <v>100</v>
      </c>
      <c r="L115" s="2199" t="n">
        <f aca="false">K115-$K37</f>
        <v>100</v>
      </c>
      <c r="M115" s="2200" t="n">
        <f aca="false">L115-$K37</f>
        <v>100</v>
      </c>
      <c r="N115" s="2396"/>
      <c r="O115" s="2396"/>
      <c r="P115" s="2557"/>
      <c r="Q115" s="2386"/>
      <c r="R115" s="2110"/>
      <c r="S115" s="2110"/>
      <c r="T115" s="2110"/>
      <c r="U115" s="2110"/>
      <c r="V115" s="2110"/>
      <c r="W115" s="2110"/>
      <c r="X115" s="2110"/>
      <c r="Y115" s="2110"/>
      <c r="Z115" s="2110"/>
      <c r="AA115" s="2110"/>
      <c r="AB115" s="2110"/>
      <c r="AC115" s="2110"/>
      <c r="AD115" s="2110"/>
      <c r="AE115" s="2110"/>
    </row>
    <row r="116" customFormat="false" ht="14.25" hidden="false" customHeight="false" outlineLevel="0" collapsed="false">
      <c r="A116" s="2263"/>
      <c r="B116" s="2189" t="n">
        <f aca="false">B38</f>
        <v>111</v>
      </c>
      <c r="C116" s="2202"/>
      <c r="D116" s="2202"/>
      <c r="E116" s="2202"/>
      <c r="F116" s="2202"/>
      <c r="G116" s="2202"/>
      <c r="H116" s="2190"/>
      <c r="I116" s="2190"/>
      <c r="J116" s="2190"/>
      <c r="K116" s="2246"/>
      <c r="L116" s="2247"/>
      <c r="M116" s="2248"/>
      <c r="N116" s="2394"/>
      <c r="O116" s="2394"/>
      <c r="P116" s="2557"/>
      <c r="Q116" s="2386"/>
      <c r="R116" s="2110"/>
      <c r="S116" s="2110"/>
      <c r="T116" s="2110"/>
      <c r="U116" s="2110"/>
      <c r="V116" s="2110"/>
      <c r="W116" s="2110"/>
      <c r="X116" s="2110"/>
      <c r="Y116" s="2110"/>
      <c r="Z116" s="2110"/>
      <c r="AA116" s="2110"/>
      <c r="AB116" s="2110"/>
      <c r="AC116" s="2110"/>
      <c r="AD116" s="2110"/>
      <c r="AE116" s="2110"/>
    </row>
    <row r="117" customFormat="false" ht="15" hidden="false" customHeight="false" outlineLevel="0" collapsed="false">
      <c r="A117" s="2184"/>
      <c r="B117" s="2191"/>
      <c r="C117" s="2209"/>
      <c r="D117" s="2186"/>
      <c r="E117" s="2186"/>
      <c r="F117" s="2186"/>
      <c r="G117" s="2186"/>
      <c r="H117" s="2186"/>
      <c r="I117" s="2186"/>
      <c r="J117" s="2186"/>
      <c r="K117" s="2186"/>
      <c r="L117" s="2186"/>
      <c r="M117" s="2187"/>
      <c r="N117" s="2396"/>
      <c r="O117" s="2396"/>
      <c r="P117" s="2557"/>
      <c r="Q117" s="2386"/>
      <c r="R117" s="2110"/>
      <c r="S117" s="2110"/>
      <c r="T117" s="2110"/>
      <c r="U117" s="2110"/>
      <c r="V117" s="2110"/>
      <c r="W117" s="2110"/>
      <c r="X117" s="2110"/>
      <c r="Y117" s="2110"/>
      <c r="Z117" s="2110"/>
      <c r="AA117" s="2110"/>
      <c r="AB117" s="2110"/>
      <c r="AC117" s="2110"/>
      <c r="AD117" s="2110"/>
      <c r="AE117" s="2110"/>
    </row>
    <row r="118" customFormat="false" ht="14.25" hidden="false" customHeight="false" outlineLevel="0" collapsed="false">
      <c r="A118" s="2263"/>
      <c r="B118" s="2189" t="n">
        <f aca="false">B39</f>
        <v>111</v>
      </c>
      <c r="C118" s="2202"/>
      <c r="D118" s="2202"/>
      <c r="E118" s="2202"/>
      <c r="F118" s="2202"/>
      <c r="G118" s="2190"/>
      <c r="H118" s="2190"/>
      <c r="I118" s="2190"/>
      <c r="J118" s="2190"/>
      <c r="K118" s="2246"/>
      <c r="L118" s="2247"/>
      <c r="M118" s="2248"/>
      <c r="N118" s="2394"/>
      <c r="O118" s="2394"/>
      <c r="P118" s="2557"/>
      <c r="Q118" s="2386"/>
      <c r="R118" s="2110"/>
      <c r="S118" s="2110"/>
      <c r="T118" s="2110"/>
      <c r="U118" s="2110"/>
      <c r="V118" s="2110"/>
      <c r="W118" s="2110"/>
      <c r="X118" s="2110"/>
      <c r="Y118" s="2110"/>
      <c r="Z118" s="2110"/>
      <c r="AA118" s="2110"/>
      <c r="AB118" s="2110"/>
      <c r="AC118" s="2110"/>
      <c r="AD118" s="2110"/>
      <c r="AE118" s="2110"/>
    </row>
    <row r="119" customFormat="false" ht="15" hidden="false" customHeight="false" outlineLevel="0" collapsed="false">
      <c r="A119" s="2184"/>
      <c r="B119" s="2191"/>
      <c r="C119" s="2209"/>
      <c r="D119" s="2209"/>
      <c r="E119" s="2209"/>
      <c r="F119" s="2209"/>
      <c r="G119" s="2186"/>
      <c r="H119" s="2186"/>
      <c r="I119" s="2186"/>
      <c r="J119" s="2186"/>
      <c r="K119" s="2186"/>
      <c r="L119" s="2186"/>
      <c r="M119" s="2187"/>
      <c r="N119" s="2396"/>
      <c r="O119" s="2396"/>
      <c r="P119" s="2557"/>
      <c r="Q119" s="2386"/>
      <c r="R119" s="2110"/>
      <c r="S119" s="2110"/>
      <c r="T119" s="2110"/>
      <c r="U119" s="2110"/>
      <c r="V119" s="2110"/>
      <c r="W119" s="2110"/>
      <c r="X119" s="2110"/>
      <c r="Y119" s="2110"/>
      <c r="Z119" s="2110"/>
      <c r="AA119" s="2110"/>
      <c r="AB119" s="2110"/>
      <c r="AC119" s="2110"/>
      <c r="AD119" s="2110"/>
      <c r="AE119" s="2110"/>
    </row>
    <row r="120" s="2088" customFormat="true" ht="14.25" hidden="false" customHeight="false" outlineLevel="0" collapsed="false">
      <c r="A120" s="2257"/>
      <c r="B120" s="2189" t="n">
        <f aca="false">B40</f>
        <v>111</v>
      </c>
      <c r="C120" s="2169"/>
      <c r="D120" s="2169"/>
      <c r="E120" s="2169"/>
      <c r="F120" s="2169"/>
      <c r="G120" s="2203"/>
      <c r="H120" s="2203"/>
      <c r="I120" s="2203"/>
      <c r="J120" s="2203"/>
      <c r="K120" s="2203"/>
      <c r="L120" s="2204"/>
      <c r="M120" s="2205"/>
      <c r="N120" s="2397"/>
      <c r="O120" s="2397"/>
      <c r="P120" s="2558"/>
      <c r="Q120" s="2399"/>
      <c r="R120" s="791"/>
      <c r="S120" s="791"/>
      <c r="T120" s="791"/>
      <c r="U120" s="791"/>
      <c r="V120" s="791"/>
      <c r="W120" s="791"/>
      <c r="X120" s="791"/>
      <c r="Y120" s="791"/>
      <c r="Z120" s="791"/>
      <c r="AA120" s="791"/>
      <c r="AB120" s="791"/>
      <c r="AC120" s="791"/>
      <c r="AD120" s="791"/>
      <c r="AE120" s="791"/>
    </row>
    <row r="121" s="2088" customFormat="true" ht="15" hidden="false" customHeight="false" outlineLevel="0" collapsed="false">
      <c r="A121" s="2218"/>
      <c r="B121" s="2663"/>
      <c r="C121" s="2220"/>
      <c r="D121" s="2220"/>
      <c r="E121" s="2220"/>
      <c r="F121" s="2220"/>
      <c r="G121" s="2254"/>
      <c r="H121" s="2254"/>
      <c r="I121" s="2254"/>
      <c r="J121" s="2254"/>
      <c r="K121" s="2254"/>
      <c r="L121" s="2254"/>
      <c r="M121" s="2255"/>
      <c r="N121" s="2397"/>
      <c r="O121" s="2397"/>
      <c r="P121" s="2558"/>
      <c r="Q121" s="2399"/>
      <c r="R121" s="791"/>
      <c r="S121" s="791"/>
      <c r="T121" s="791"/>
      <c r="U121" s="791"/>
      <c r="V121" s="791"/>
      <c r="W121" s="791"/>
      <c r="X121" s="791"/>
      <c r="Y121" s="791"/>
      <c r="Z121" s="791"/>
      <c r="AA121" s="791"/>
      <c r="AB121" s="791"/>
      <c r="AC121" s="791"/>
      <c r="AD121" s="791"/>
      <c r="AE121" s="791"/>
    </row>
    <row r="122" customFormat="false" ht="14.25" hidden="false" customHeight="false" outlineLevel="0" collapsed="false">
      <c r="N122" s="2110"/>
      <c r="O122" s="2110"/>
      <c r="P122" s="2110"/>
      <c r="Q122" s="2110"/>
      <c r="R122" s="2110"/>
      <c r="S122" s="2110"/>
      <c r="T122" s="2110"/>
      <c r="U122" s="2110"/>
      <c r="V122" s="2110"/>
      <c r="W122" s="2110"/>
      <c r="X122" s="2110"/>
      <c r="Y122" s="2110"/>
      <c r="Z122" s="2110"/>
      <c r="AA122" s="2110"/>
      <c r="AB122" s="2110"/>
      <c r="AC122" s="2110"/>
      <c r="AD122" s="2110"/>
      <c r="AE122" s="2110"/>
    </row>
    <row r="123" customFormat="false" ht="14.25" hidden="false" customHeight="false" outlineLevel="0" collapsed="false">
      <c r="P123" s="2110"/>
      <c r="Q123" s="2110"/>
      <c r="R123" s="2110"/>
      <c r="S123" s="2110"/>
      <c r="T123" s="2110"/>
      <c r="U123" s="2110"/>
      <c r="V123" s="2110"/>
      <c r="W123" s="2110"/>
      <c r="X123" s="2110"/>
      <c r="Y123" s="2110"/>
      <c r="Z123" s="2110"/>
      <c r="AA123" s="2110"/>
      <c r="AB123" s="2110"/>
      <c r="AC123" s="2110"/>
      <c r="AD123" s="2110"/>
      <c r="AE123" s="2110"/>
    </row>
  </sheetData>
  <sheetProtection sheet="true" password="cee9" objects="true" scenarios="true" formatCells="false" formatColumns="false" formatRows="false"/>
  <mergeCells count="41">
    <mergeCell ref="C4:D4"/>
    <mergeCell ref="E4:F4"/>
    <mergeCell ref="G4:H4"/>
    <mergeCell ref="I4:J4"/>
    <mergeCell ref="P4:Q6"/>
    <mergeCell ref="R4:S6"/>
    <mergeCell ref="T4:U6"/>
    <mergeCell ref="V4:W6"/>
    <mergeCell ref="Y4:Z6"/>
    <mergeCell ref="AA4:AA6"/>
    <mergeCell ref="AB4:AB6"/>
    <mergeCell ref="AC4:AC6"/>
    <mergeCell ref="C5:D5"/>
    <mergeCell ref="E5:F5"/>
    <mergeCell ref="G5:H5"/>
    <mergeCell ref="I5:J5"/>
    <mergeCell ref="C6:D6"/>
    <mergeCell ref="E6:F6"/>
    <mergeCell ref="G6:H6"/>
    <mergeCell ref="I6:J6"/>
    <mergeCell ref="P7:Q7"/>
    <mergeCell ref="Y7:Z7"/>
    <mergeCell ref="P8:Q8"/>
    <mergeCell ref="Y8:Z8"/>
    <mergeCell ref="P9:P14"/>
    <mergeCell ref="Y9:Y14"/>
    <mergeCell ref="P15:P31"/>
    <mergeCell ref="Y15:Y31"/>
    <mergeCell ref="P32:P40"/>
    <mergeCell ref="Y32:Y40"/>
    <mergeCell ref="P41:Q41"/>
    <mergeCell ref="R41:S41"/>
    <mergeCell ref="T41:U41"/>
    <mergeCell ref="V41:W41"/>
    <mergeCell ref="P42:Q42"/>
    <mergeCell ref="R42:S42"/>
    <mergeCell ref="T42:U42"/>
    <mergeCell ref="V42:W42"/>
    <mergeCell ref="P43:Q43"/>
    <mergeCell ref="R43:W43"/>
    <mergeCell ref="G50:H51"/>
  </mergeCells>
  <conditionalFormatting sqref="F42">
    <cfRule type="expression" priority="2" aboveAverage="0" equalAverage="0" bottom="0" percent="0" rank="0" text="" dxfId="207">
      <formula>$D$42="简单平均"</formula>
    </cfRule>
  </conditionalFormatting>
  <conditionalFormatting sqref="H42">
    <cfRule type="expression" priority="3" aboveAverage="0" equalAverage="0" bottom="0" percent="0" rank="0" text="" dxfId="208">
      <formula>$D$42="简单平均"</formula>
    </cfRule>
  </conditionalFormatting>
  <conditionalFormatting sqref="J42">
    <cfRule type="expression" priority="4" aboveAverage="0" equalAverage="0" bottom="0" percent="0" rank="0" text="" dxfId="209">
      <formula>$D$42="简单平均"</formula>
    </cfRule>
  </conditionalFormatting>
  <conditionalFormatting sqref="E46">
    <cfRule type="expression" priority="5" aboveAverage="0" equalAverage="0" bottom="0" percent="0" rank="0" text="" dxfId="210">
      <formula>$F$46="超过30%"</formula>
    </cfRule>
  </conditionalFormatting>
  <conditionalFormatting sqref="G46">
    <cfRule type="expression" priority="6" aboveAverage="0" equalAverage="0" bottom="0" percent="0" rank="0" text="" dxfId="211">
      <formula>$H$46="超过30%"</formula>
    </cfRule>
  </conditionalFormatting>
  <conditionalFormatting sqref="I46">
    <cfRule type="expression" priority="7" aboveAverage="0" equalAverage="0" bottom="0" percent="0" rank="0" text="" dxfId="212">
      <formula>$J$46="超过30%"</formula>
    </cfRule>
  </conditionalFormatting>
  <conditionalFormatting sqref="E47">
    <cfRule type="expression" priority="8" aboveAverage="0" equalAverage="0" bottom="0" percent="0" rank="0" text="" dxfId="213">
      <formula>#ref!+$F$47="超过20%"</formula>
    </cfRule>
  </conditionalFormatting>
  <conditionalFormatting sqref="G47">
    <cfRule type="expression" priority="9" aboveAverage="0" equalAverage="0" bottom="0" percent="0" rank="0" text="" dxfId="214">
      <formula>$H$47="超过20%"</formula>
    </cfRule>
  </conditionalFormatting>
  <conditionalFormatting sqref="I47">
    <cfRule type="expression" priority="10" aboveAverage="0" equalAverage="0" bottom="0" percent="0" rank="0" text="" dxfId="215">
      <formula>$J$47="超过20%"</formula>
    </cfRule>
  </conditionalFormatting>
  <conditionalFormatting sqref="E48">
    <cfRule type="expression" priority="11" aboveAverage="0" equalAverage="0" bottom="0" percent="0" rank="0" text="" dxfId="216">
      <formula>$F$48="超过30%"</formula>
    </cfRule>
  </conditionalFormatting>
  <conditionalFormatting sqref="F48">
    <cfRule type="containsText" priority="12" operator="containsText" aboveAverage="0" equalAverage="0" bottom="0" percent="0" rank="0" text="超过" dxfId="217">
      <formula>NOT(ISERROR(SEARCH("超过",F48)))</formula>
    </cfRule>
  </conditionalFormatting>
  <conditionalFormatting sqref="G48">
    <cfRule type="expression" priority="13" aboveAverage="0" equalAverage="0" bottom="0" percent="0" rank="0" text="" dxfId="218">
      <formula>$H$48="超过30%"</formula>
    </cfRule>
  </conditionalFormatting>
  <conditionalFormatting sqref="H48">
    <cfRule type="containsText" priority="14" operator="containsText" aboveAverage="0" equalAverage="0" bottom="0" percent="0" rank="0" text="超过" dxfId="219">
      <formula>NOT(ISERROR(SEARCH("超过",H48)))</formula>
    </cfRule>
  </conditionalFormatting>
  <conditionalFormatting sqref="I48">
    <cfRule type="expression" priority="15" aboveAverage="0" equalAverage="0" bottom="0" percent="0" rank="0" text="" dxfId="220">
      <formula>$J$48="超过30%"</formula>
    </cfRule>
  </conditionalFormatting>
  <conditionalFormatting sqref="J48">
    <cfRule type="containsText" priority="16" operator="containsText" aboveAverage="0" equalAverage="0" bottom="0" percent="0" rank="0" text="超过" dxfId="221">
      <formula>NOT(ISERROR(SEARCH("超过",J48)))</formula>
    </cfRule>
  </conditionalFormatting>
  <conditionalFormatting sqref="F7:F40 H7:H40 J7:J40">
    <cfRule type="cellIs" priority="17" operator="notEqual" aboveAverage="0" equalAverage="0" bottom="0" percent="0" rank="0" text="" dxfId="222">
      <formula>100</formula>
    </cfRule>
  </conditionalFormatting>
  <conditionalFormatting sqref="F46 H46 J46">
    <cfRule type="containsText" priority="18" operator="containsText" aboveAverage="0" equalAverage="0" bottom="0" percent="0" rank="0" text="超过" dxfId="223">
      <formula>NOT(ISERROR(SEARCH("超过",F46)))</formula>
    </cfRule>
  </conditionalFormatting>
  <conditionalFormatting sqref="F47 H47 J47">
    <cfRule type="containsText" priority="19" operator="containsText" aboveAverage="0" equalAverage="0" bottom="0" percent="0" rank="0" text="超过" dxfId="224">
      <formula>NOT(ISERROR(SEARCH("超过",F47)))</formula>
    </cfRule>
  </conditionalFormatting>
  <dataValidations count="20">
    <dataValidation allowBlank="true" operator="between" showDropDown="false" showErrorMessage="true" showInputMessage="true" sqref="C8 E8 G8 I8" type="list">
      <formula1>套工交易情况</formula1>
      <formula2>0</formula2>
    </dataValidation>
    <dataValidation allowBlank="true" operator="between" showDropDown="false" showErrorMessage="true" showInputMessage="true" sqref="C22 E22 G22 I22" type="list">
      <formula1>环境</formula1>
      <formula2>0</formula2>
    </dataValidation>
    <dataValidation allowBlank="true" operator="between" showDropDown="false" showErrorMessage="true" showInputMessage="true" sqref="C9 E9 G9 I9" type="list">
      <formula1>套工用途</formula1>
      <formula2>0</formula2>
    </dataValidation>
    <dataValidation allowBlank="true" operator="between" showDropDown="false" showErrorMessage="true" showInputMessage="true" sqref="C29 E29 G29 I29" type="list">
      <formula1>套工道路等级</formula1>
      <formula2>0</formula2>
    </dataValidation>
    <dataValidation allowBlank="true" operator="between" showDropDown="false" showErrorMessage="true" showInputMessage="true" sqref="C20 E20 G20 I20" type="list">
      <formula1>区域土地利用方向</formula1>
      <formula2>0</formula2>
    </dataValidation>
    <dataValidation allowBlank="true" operator="between" showDropDown="false" showErrorMessage="true" showInputMessage="true" sqref="C18 E18 G18 I18" type="list">
      <formula1>交通便捷度</formula1>
      <formula2>0</formula2>
    </dataValidation>
    <dataValidation allowBlank="true" operator="between" showDropDown="false" showErrorMessage="true" showInputMessage="true" sqref="C50" type="list">
      <formula1>"北京市系数,其他省市系数"</formula1>
      <formula2>0</formula2>
    </dataValidation>
    <dataValidation allowBlank="true" operator="between" showDropDown="false" showErrorMessage="true" showInputMessage="true" sqref="C16 E16 G16 I16" type="list">
      <formula1>产业集聚程度</formula1>
      <formula2>0</formula2>
    </dataValidation>
    <dataValidation allowBlank="true" operator="between" showDropDown="false" showErrorMessage="true" showInputMessage="true" sqref="C24 E24 G24 I24" type="list">
      <formula1>公共配套设施</formula1>
      <formula2>0</formula2>
    </dataValidation>
    <dataValidation allowBlank="true" operator="between" showDropDown="false" showErrorMessage="true" showInputMessage="true" sqref="C26 E26 G26 I26" type="list">
      <formula1>基础设施水平</formula1>
      <formula2>0</formula2>
    </dataValidation>
    <dataValidation allowBlank="true" operator="between" showDropDown="false" showErrorMessage="true" showInputMessage="true" sqref="C27 E27 G27 I27" type="list">
      <formula1>临街状况</formula1>
      <formula2>0</formula2>
    </dataValidation>
    <dataValidation allowBlank="true" operator="between" showDropDown="false" showErrorMessage="true" showInputMessage="true" sqref="E30 G30 I30" type="list">
      <formula1>套工土地级别</formula1>
      <formula2>0</formula2>
    </dataValidation>
    <dataValidation allowBlank="true" operator="between" showDropDown="false" showErrorMessage="true" showInputMessage="true" sqref="C35 E35 G35 I35" type="list">
      <formula1>套工宗地形状</formula1>
      <formula2>0</formula2>
    </dataValidation>
    <dataValidation allowBlank="true" operator="between" showDropDown="false" showErrorMessage="true" showInputMessage="true" sqref="C36 E36 G36 I36" type="list">
      <formula1>套工宗地开发程度</formula1>
      <formula2>0</formula2>
    </dataValidation>
    <dataValidation allowBlank="true" operator="between" showDropDown="false" showErrorMessage="true" showInputMessage="true" sqref="C37 E37 G37 I37" type="list">
      <formula1>套工地质条件</formula1>
      <formula2>0</formula2>
    </dataValidation>
    <dataValidation allowBlank="true" operator="between" showDropDown="false" showErrorMessage="true" showInputMessage="true" sqref="B41" type="list">
      <formula1>单价内涵</formula1>
      <formula2>0</formula2>
    </dataValidation>
    <dataValidation allowBlank="true" operator="between" showDropDown="false" showErrorMessage="true" showInputMessage="true" sqref="D42" type="list">
      <formula1>"简单平均,加权平均"</formula1>
      <formula2>0</formula2>
    </dataValidation>
    <dataValidation allowBlank="true" operator="between" showDropDown="false" showErrorMessage="true" showInputMessage="true" sqref="G57" type="list">
      <formula1>"商业,办公,住宅,工业"</formula1>
      <formula2>0</formula2>
    </dataValidation>
    <dataValidation allowBlank="true" operator="between" showDropDown="false" showErrorMessage="true" showInputMessage="true" sqref="G58" type="list">
      <formula1>"住宅,工业"</formula1>
      <formula2>0</formula2>
    </dataValidation>
    <dataValidation allowBlank="true" operator="between" showDropDown="false" showErrorMessage="true" showInputMessage="true" sqref="D52:D60" type="list">
      <formula1>"25%,1"</formula1>
      <formula2>0</formula2>
    </dataValidation>
  </dataValidations>
  <printOptions headings="false" gridLines="false" gridLinesSet="true" horizontalCentered="false" verticalCentered="false"/>
  <pageMargins left="0.708333333333333" right="0.708333333333333" top="1.06319444444444" bottom="0.945138888888889" header="0.511805555555555" footer="0.511805555555555"/>
  <pageSetup paperSize="9" scale="100" firstPageNumber="0" fitToWidth="1" fitToHeight="0"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5.xml><?xml version="1.0" encoding="utf-8"?>
<worksheet xmlns="http://schemas.openxmlformats.org/spreadsheetml/2006/main" xmlns:r="http://schemas.openxmlformats.org/officeDocument/2006/relationships">
  <sheetPr filterMode="false">
    <pageSetUpPr fitToPage="false"/>
  </sheetPr>
  <dimension ref="A1:AS524"/>
  <sheetViews>
    <sheetView showFormulas="false" showGridLines="true" showRowColHeaders="true" showZeros="true" rightToLeft="false" tabSelected="false" showOutlineSymbols="true" defaultGridColor="true" view="pageBreakPreview" topLeftCell="A1" colorId="64" zoomScale="100" zoomScaleNormal="90" zoomScalePageLayoutView="100" workbookViewId="0">
      <pane xSplit="0" ySplit="24" topLeftCell="A437" activePane="bottomLeft" state="frozen"/>
      <selection pane="topLeft" activeCell="A1" activeCellId="0" sqref="A1"/>
      <selection pane="bottomLeft" activeCell="E2" activeCellId="0" sqref="E2"/>
    </sheetView>
  </sheetViews>
  <sheetFormatPr defaultRowHeight="12.75" zeroHeight="false" outlineLevelRow="0" outlineLevelCol="0"/>
  <cols>
    <col collapsed="false" customWidth="false" hidden="false" outlineLevel="0" max="1" min="1" style="1245" width="11.5"/>
    <col collapsed="false" customWidth="true" hidden="false" outlineLevel="0" max="2" min="2" style="835" width="9.26"/>
    <col collapsed="false" customWidth="true" hidden="false" outlineLevel="0" max="3" min="3" style="835" width="5"/>
    <col collapsed="false" customWidth="true" hidden="false" outlineLevel="0" max="4" min="4" style="835" width="9"/>
    <col collapsed="false" customWidth="true" hidden="false" outlineLevel="0" max="5" min="5" style="835" width="5"/>
    <col collapsed="false" customWidth="true" hidden="false" outlineLevel="0" max="6" min="6" style="835" width="9"/>
    <col collapsed="false" customWidth="true" hidden="false" outlineLevel="0" max="7" min="7" style="835" width="5"/>
    <col collapsed="false" customWidth="true" hidden="false" outlineLevel="0" max="8" min="8" style="835" width="9"/>
    <col collapsed="false" customWidth="true" hidden="false" outlineLevel="0" max="9" min="9" style="835" width="5"/>
    <col collapsed="false" customWidth="true" hidden="false" outlineLevel="0" max="10" min="10" style="835" width="9"/>
    <col collapsed="false" customWidth="true" hidden="false" outlineLevel="0" max="11" min="11" style="835" width="5"/>
    <col collapsed="false" customWidth="true" hidden="false" outlineLevel="0" max="12" min="12" style="835" width="9"/>
    <col collapsed="false" customWidth="true" hidden="false" outlineLevel="0" max="13" min="13" style="835" width="5"/>
    <col collapsed="false" customWidth="true" hidden="false" outlineLevel="0" max="14" min="14" style="835" width="9"/>
    <col collapsed="false" customWidth="true" hidden="false" outlineLevel="0" max="15" min="15" style="835" width="5"/>
    <col collapsed="false" customWidth="true" hidden="false" outlineLevel="0" max="16" min="16" style="835" width="9"/>
    <col collapsed="false" customWidth="true" hidden="false" outlineLevel="0" max="17" min="17" style="835" width="5"/>
    <col collapsed="false" customWidth="true" hidden="false" outlineLevel="0" max="18" min="18" style="2676" width="9"/>
    <col collapsed="false" customWidth="true" hidden="false" outlineLevel="0" max="19" min="19" style="1245" width="9"/>
    <col collapsed="false" customWidth="true" hidden="false" outlineLevel="0" max="45" min="20" style="920" width="9"/>
    <col collapsed="false" customWidth="true" hidden="false" outlineLevel="0" max="1025" min="46" style="1245" width="9"/>
  </cols>
  <sheetData>
    <row r="1" customFormat="false" ht="14.25" hidden="false" customHeight="true" outlineLevel="0" collapsed="false">
      <c r="A1" s="933"/>
      <c r="B1" s="2677" t="s">
        <v>1597</v>
      </c>
      <c r="C1" s="2678" t="s">
        <v>1598</v>
      </c>
      <c r="D1" s="2678"/>
      <c r="E1" s="2678"/>
      <c r="F1" s="2678"/>
      <c r="G1" s="2678"/>
      <c r="H1" s="2678"/>
      <c r="I1" s="2678"/>
      <c r="J1" s="2678"/>
      <c r="K1" s="2678"/>
      <c r="L1" s="2678"/>
      <c r="M1" s="2678"/>
      <c r="N1" s="2678"/>
      <c r="O1" s="2678"/>
      <c r="P1" s="2678"/>
      <c r="Q1" s="2678"/>
      <c r="R1" s="2678"/>
      <c r="S1" s="2678"/>
      <c r="T1" s="2677" t="s">
        <v>1599</v>
      </c>
    </row>
    <row r="2" s="1440" customFormat="true" ht="12.75" hidden="false" customHeight="false" outlineLevel="0" collapsed="false">
      <c r="A2" s="2679"/>
      <c r="B2" s="2680" t="s">
        <v>107</v>
      </c>
      <c r="C2" s="2681" t="str">
        <f aca="false">C3&amp;"(含)"&amp;"-"&amp;D3</f>
        <v>(含)-</v>
      </c>
      <c r="D2" s="2682" t="str">
        <f aca="false">D3&amp;"(含)"&amp;"-"&amp;E3</f>
        <v>(含)-</v>
      </c>
      <c r="E2" s="2682" t="str">
        <f aca="false">E3&amp;"(含)"&amp;"-"&amp;F3</f>
        <v>(含)-</v>
      </c>
      <c r="F2" s="2682" t="str">
        <f aca="false">F3&amp;"(含)"&amp;"-"&amp;G3</f>
        <v>(含)-</v>
      </c>
      <c r="G2" s="2682" t="str">
        <f aca="false">G3&amp;"(含)"&amp;"-"&amp;H3</f>
        <v>(含)-</v>
      </c>
      <c r="H2" s="2682" t="str">
        <f aca="false">H3&amp;"(含)"&amp;"-"&amp;I3</f>
        <v>(含)-</v>
      </c>
      <c r="I2" s="2682" t="str">
        <f aca="false">I3&amp;"(含)"&amp;"-"&amp;J3</f>
        <v>(含)-</v>
      </c>
      <c r="J2" s="2682" t="str">
        <f aca="false">J3&amp;"(含)"&amp;"-"&amp;K3</f>
        <v>(含)-</v>
      </c>
      <c r="K2" s="2682" t="str">
        <f aca="false">K3&amp;"(含)"&amp;"-"&amp;L3</f>
        <v>(含)-</v>
      </c>
      <c r="L2" s="2682" t="str">
        <f aca="false">L3&amp;"(含)"&amp;"-"&amp;M3</f>
        <v>(含)-</v>
      </c>
      <c r="M2" s="2682" t="str">
        <f aca="false">M3&amp;"(含)"&amp;"-"&amp;N3</f>
        <v>(含)-</v>
      </c>
      <c r="N2" s="2682" t="str">
        <f aca="false">N3&amp;"(含)"&amp;"-"&amp;O3</f>
        <v>(含)-</v>
      </c>
      <c r="O2" s="2682" t="str">
        <f aca="false">O3&amp;"(含)"&amp;"-"&amp;P3</f>
        <v>(含)-</v>
      </c>
      <c r="P2" s="2682" t="str">
        <f aca="false">P3&amp;"(含)"&amp;"-"&amp;Q3</f>
        <v>(含)-</v>
      </c>
      <c r="Q2" s="2682" t="str">
        <f aca="false">Q3&amp;"(含)"&amp;"-"&amp;R3</f>
        <v>(含)-</v>
      </c>
      <c r="R2" s="2682" t="str">
        <f aca="false">R3&amp;"(含)"&amp;"-"&amp;S3</f>
        <v>(含)-</v>
      </c>
      <c r="S2" s="2683" t="str">
        <f aca="false">S3&amp;"(含)"&amp;"-"</f>
        <v>(含)-</v>
      </c>
      <c r="T2" s="2684"/>
      <c r="U2" s="1248"/>
      <c r="V2" s="1248"/>
      <c r="W2" s="1248"/>
      <c r="X2" s="1248"/>
      <c r="Y2" s="1248"/>
      <c r="Z2" s="1248"/>
      <c r="AA2" s="1248"/>
      <c r="AB2" s="1248"/>
      <c r="AC2" s="1248"/>
      <c r="AD2" s="1248"/>
      <c r="AE2" s="1248"/>
      <c r="AF2" s="1248"/>
      <c r="AG2" s="1248"/>
      <c r="AH2" s="1248"/>
      <c r="AI2" s="1248"/>
      <c r="AJ2" s="1248"/>
      <c r="AK2" s="1248"/>
      <c r="AL2" s="1248"/>
      <c r="AM2" s="1248"/>
      <c r="AN2" s="1248"/>
      <c r="AO2" s="1248"/>
      <c r="AP2" s="1248"/>
      <c r="AQ2" s="1248"/>
      <c r="AR2" s="1248"/>
      <c r="AS2" s="1248"/>
    </row>
    <row r="3" s="2694" customFormat="true" ht="12.75" hidden="false" customHeight="false" outlineLevel="0" collapsed="false">
      <c r="A3" s="2685"/>
      <c r="B3" s="2686"/>
      <c r="C3" s="2687"/>
      <c r="D3" s="2688"/>
      <c r="E3" s="2688"/>
      <c r="F3" s="2688"/>
      <c r="G3" s="2688"/>
      <c r="H3" s="2688"/>
      <c r="I3" s="2688"/>
      <c r="J3" s="2688"/>
      <c r="K3" s="2688"/>
      <c r="L3" s="2689"/>
      <c r="M3" s="2690"/>
      <c r="N3" s="2690"/>
      <c r="O3" s="2688"/>
      <c r="P3" s="2688"/>
      <c r="Q3" s="2688"/>
      <c r="R3" s="2688"/>
      <c r="S3" s="2691"/>
      <c r="T3" s="2692"/>
      <c r="U3" s="2693"/>
      <c r="V3" s="2693"/>
      <c r="W3" s="2693"/>
      <c r="X3" s="2693"/>
      <c r="Y3" s="2693"/>
      <c r="Z3" s="2693"/>
      <c r="AA3" s="2693"/>
      <c r="AB3" s="2693"/>
      <c r="AC3" s="2693"/>
      <c r="AD3" s="2693"/>
      <c r="AE3" s="2693"/>
      <c r="AF3" s="2693"/>
      <c r="AG3" s="2693"/>
      <c r="AH3" s="2693"/>
      <c r="AI3" s="2693"/>
      <c r="AJ3" s="2693"/>
      <c r="AK3" s="2693"/>
      <c r="AL3" s="2693"/>
      <c r="AM3" s="2693"/>
      <c r="AN3" s="2693"/>
      <c r="AO3" s="2693"/>
      <c r="AP3" s="2693"/>
      <c r="AQ3" s="2693"/>
      <c r="AR3" s="2693"/>
      <c r="AS3" s="2693"/>
    </row>
    <row r="4" s="2694" customFormat="true" ht="12.75" hidden="false" customHeight="false" outlineLevel="0" collapsed="false">
      <c r="A4" s="2695"/>
      <c r="B4" s="2696"/>
      <c r="C4" s="2697"/>
      <c r="D4" s="2698"/>
      <c r="E4" s="2698"/>
      <c r="F4" s="2699"/>
      <c r="G4" s="2699"/>
      <c r="H4" s="2699"/>
      <c r="I4" s="2699"/>
      <c r="J4" s="2699"/>
      <c r="K4" s="2699"/>
      <c r="L4" s="2699"/>
      <c r="M4" s="2700"/>
      <c r="N4" s="2700"/>
      <c r="O4" s="2699"/>
      <c r="P4" s="2699"/>
      <c r="Q4" s="2699"/>
      <c r="R4" s="2699"/>
      <c r="S4" s="2701"/>
      <c r="T4" s="2702"/>
      <c r="U4" s="2693"/>
      <c r="V4" s="2693"/>
      <c r="W4" s="2693"/>
      <c r="X4" s="2693"/>
      <c r="Y4" s="2693"/>
      <c r="Z4" s="2693"/>
      <c r="AA4" s="2693"/>
      <c r="AB4" s="2693"/>
      <c r="AC4" s="2693"/>
      <c r="AD4" s="2693"/>
      <c r="AE4" s="2693"/>
      <c r="AF4" s="2693"/>
      <c r="AG4" s="2693"/>
      <c r="AH4" s="2693"/>
      <c r="AI4" s="2693"/>
      <c r="AJ4" s="2693"/>
      <c r="AK4" s="2693"/>
      <c r="AL4" s="2693"/>
      <c r="AM4" s="2693"/>
      <c r="AN4" s="2693"/>
      <c r="AO4" s="2693"/>
      <c r="AP4" s="2693"/>
      <c r="AQ4" s="2693"/>
      <c r="AR4" s="2693"/>
      <c r="AS4" s="2693"/>
    </row>
    <row r="5" s="2711" customFormat="true" ht="12.75" hidden="false" customHeight="false" outlineLevel="0" collapsed="false">
      <c r="A5" s="2703"/>
      <c r="B5" s="2704" t="s">
        <v>1600</v>
      </c>
      <c r="C5" s="2705"/>
      <c r="D5" s="2706"/>
      <c r="E5" s="2706"/>
      <c r="F5" s="2706"/>
      <c r="G5" s="2706"/>
      <c r="H5" s="2706"/>
      <c r="I5" s="2706"/>
      <c r="J5" s="2706"/>
      <c r="K5" s="2706"/>
      <c r="L5" s="2707"/>
      <c r="M5" s="2708"/>
      <c r="N5" s="2708"/>
      <c r="O5" s="2706"/>
      <c r="P5" s="2706"/>
      <c r="Q5" s="2706"/>
      <c r="R5" s="2706"/>
      <c r="S5" s="2709"/>
      <c r="T5" s="2710"/>
      <c r="U5" s="769"/>
      <c r="V5" s="769"/>
      <c r="W5" s="769"/>
      <c r="X5" s="769"/>
      <c r="Y5" s="769"/>
      <c r="Z5" s="769"/>
      <c r="AA5" s="769"/>
      <c r="AB5" s="769"/>
      <c r="AC5" s="769"/>
      <c r="AD5" s="769"/>
      <c r="AE5" s="769"/>
      <c r="AF5" s="769"/>
      <c r="AG5" s="769"/>
      <c r="AH5" s="769"/>
      <c r="AI5" s="769"/>
      <c r="AJ5" s="769"/>
      <c r="AK5" s="769"/>
      <c r="AL5" s="769"/>
      <c r="AM5" s="769"/>
      <c r="AN5" s="769"/>
      <c r="AO5" s="769"/>
      <c r="AP5" s="769"/>
      <c r="AQ5" s="769"/>
      <c r="AR5" s="769"/>
      <c r="AS5" s="769"/>
    </row>
    <row r="6" s="2711" customFormat="true" ht="12.75" hidden="false" customHeight="false" outlineLevel="0" collapsed="false">
      <c r="A6" s="2703"/>
      <c r="B6" s="2712"/>
      <c r="C6" s="2713" t="n">
        <v>100</v>
      </c>
      <c r="D6" s="2714" t="n">
        <f aca="false">C6-$T5</f>
        <v>100</v>
      </c>
      <c r="E6" s="2714" t="n">
        <f aca="false">D6-$T5</f>
        <v>100</v>
      </c>
      <c r="F6" s="2715" t="n">
        <f aca="false">E6-$T5</f>
        <v>100</v>
      </c>
      <c r="G6" s="2715" t="n">
        <f aca="false">F6-$T5</f>
        <v>100</v>
      </c>
      <c r="H6" s="2715" t="n">
        <f aca="false">G6-$T5</f>
        <v>100</v>
      </c>
      <c r="I6" s="2715" t="n">
        <f aca="false">H6-$T5</f>
        <v>100</v>
      </c>
      <c r="J6" s="2715" t="n">
        <f aca="false">I6-$T5</f>
        <v>100</v>
      </c>
      <c r="K6" s="2715" t="n">
        <f aca="false">J6-$T5</f>
        <v>100</v>
      </c>
      <c r="L6" s="2715" t="n">
        <f aca="false">K6-$T5</f>
        <v>100</v>
      </c>
      <c r="M6" s="2715" t="n">
        <f aca="false">L6-$T5</f>
        <v>100</v>
      </c>
      <c r="N6" s="2715" t="n">
        <f aca="false">M6-$T5</f>
        <v>100</v>
      </c>
      <c r="O6" s="2715" t="n">
        <f aca="false">N6-$T5</f>
        <v>100</v>
      </c>
      <c r="P6" s="2715" t="n">
        <f aca="false">O6-$T5</f>
        <v>100</v>
      </c>
      <c r="Q6" s="2715" t="n">
        <f aca="false">P6-$T5</f>
        <v>100</v>
      </c>
      <c r="R6" s="2715" t="n">
        <f aca="false">Q6-$T5</f>
        <v>100</v>
      </c>
      <c r="S6" s="2715" t="n">
        <f aca="false">R6-$T5</f>
        <v>100</v>
      </c>
      <c r="T6" s="2716"/>
      <c r="U6" s="769"/>
      <c r="V6" s="769"/>
      <c r="W6" s="769"/>
      <c r="X6" s="769"/>
      <c r="Y6" s="769"/>
      <c r="Z6" s="769"/>
      <c r="AA6" s="769"/>
      <c r="AB6" s="769"/>
      <c r="AC6" s="769"/>
      <c r="AD6" s="769"/>
      <c r="AE6" s="769"/>
      <c r="AF6" s="769"/>
      <c r="AG6" s="769"/>
      <c r="AH6" s="769"/>
      <c r="AI6" s="769"/>
      <c r="AJ6" s="769"/>
      <c r="AK6" s="769"/>
      <c r="AL6" s="769"/>
      <c r="AM6" s="769"/>
      <c r="AN6" s="769"/>
      <c r="AO6" s="769"/>
      <c r="AP6" s="769"/>
      <c r="AQ6" s="769"/>
      <c r="AR6" s="769"/>
      <c r="AS6" s="769"/>
    </row>
    <row r="7" s="2711" customFormat="true" ht="12.75" hidden="false" customHeight="false" outlineLevel="0" collapsed="false">
      <c r="A7" s="2703"/>
      <c r="B7" s="2717" t="s">
        <v>1601</v>
      </c>
      <c r="C7" s="2718"/>
      <c r="D7" s="2719"/>
      <c r="E7" s="2719"/>
      <c r="F7" s="2719"/>
      <c r="G7" s="2719"/>
      <c r="H7" s="2719"/>
      <c r="I7" s="2719"/>
      <c r="J7" s="2719"/>
      <c r="K7" s="2719"/>
      <c r="L7" s="2719"/>
      <c r="M7" s="2720"/>
      <c r="N7" s="2721"/>
      <c r="O7" s="2722"/>
      <c r="P7" s="2723"/>
      <c r="Q7" s="2724"/>
      <c r="R7" s="2725"/>
      <c r="S7" s="2726"/>
      <c r="T7" s="2727"/>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row>
    <row r="8" s="2711" customFormat="true" ht="12.75" hidden="false" customHeight="false" outlineLevel="0" collapsed="false">
      <c r="A8" s="2703"/>
      <c r="B8" s="2712"/>
      <c r="C8" s="2713" t="n">
        <v>100</v>
      </c>
      <c r="D8" s="2714" t="n">
        <f aca="false">C8-$T7</f>
        <v>100</v>
      </c>
      <c r="E8" s="2714" t="n">
        <f aca="false">D8-$T7</f>
        <v>100</v>
      </c>
      <c r="F8" s="2715" t="n">
        <f aca="false">E8-$T7</f>
        <v>100</v>
      </c>
      <c r="G8" s="2715" t="n">
        <f aca="false">F8-$T7</f>
        <v>100</v>
      </c>
      <c r="H8" s="2715" t="n">
        <f aca="false">G8-$T7</f>
        <v>100</v>
      </c>
      <c r="I8" s="2715" t="n">
        <f aca="false">H8-$T7</f>
        <v>100</v>
      </c>
      <c r="J8" s="2715" t="n">
        <f aca="false">I8-$T7</f>
        <v>100</v>
      </c>
      <c r="K8" s="2715" t="n">
        <f aca="false">J8-$T7</f>
        <v>100</v>
      </c>
      <c r="L8" s="2715" t="n">
        <f aca="false">K8-$T7</f>
        <v>100</v>
      </c>
      <c r="M8" s="2715" t="n">
        <f aca="false">L8-$T7</f>
        <v>100</v>
      </c>
      <c r="N8" s="2715" t="n">
        <f aca="false">M8-$T7</f>
        <v>100</v>
      </c>
      <c r="O8" s="2715" t="n">
        <f aca="false">N8-$T7</f>
        <v>100</v>
      </c>
      <c r="P8" s="2715" t="n">
        <f aca="false">O8-$T7</f>
        <v>100</v>
      </c>
      <c r="Q8" s="2715" t="n">
        <f aca="false">P8-$T7</f>
        <v>100</v>
      </c>
      <c r="R8" s="2715" t="n">
        <f aca="false">Q8-$T7</f>
        <v>100</v>
      </c>
      <c r="S8" s="2715" t="n">
        <f aca="false">R8-$T7</f>
        <v>100</v>
      </c>
      <c r="T8" s="2716"/>
      <c r="U8" s="769"/>
      <c r="V8" s="769"/>
      <c r="W8" s="769"/>
      <c r="X8" s="769"/>
      <c r="Y8" s="769"/>
      <c r="Z8" s="769"/>
      <c r="AA8" s="769"/>
      <c r="AB8" s="769"/>
      <c r="AC8" s="769"/>
      <c r="AD8" s="769"/>
      <c r="AE8" s="769"/>
      <c r="AF8" s="769"/>
      <c r="AG8" s="769"/>
      <c r="AH8" s="769"/>
      <c r="AI8" s="769"/>
      <c r="AJ8" s="769"/>
      <c r="AK8" s="769"/>
      <c r="AL8" s="769"/>
      <c r="AM8" s="769"/>
      <c r="AN8" s="769"/>
      <c r="AO8" s="769"/>
      <c r="AP8" s="769"/>
      <c r="AQ8" s="769"/>
      <c r="AR8" s="769"/>
      <c r="AS8" s="769"/>
    </row>
    <row r="9" s="2711" customFormat="true" ht="12.75" hidden="false" customHeight="false" outlineLevel="0" collapsed="false">
      <c r="A9" s="2703"/>
      <c r="B9" s="2717" t="s">
        <v>1602</v>
      </c>
      <c r="C9" s="2718"/>
      <c r="D9" s="2719"/>
      <c r="E9" s="2719"/>
      <c r="F9" s="2719"/>
      <c r="G9" s="2719"/>
      <c r="H9" s="2719"/>
      <c r="I9" s="2719"/>
      <c r="J9" s="2719"/>
      <c r="K9" s="2719"/>
      <c r="L9" s="2728"/>
      <c r="M9" s="2720"/>
      <c r="N9" s="2721"/>
      <c r="O9" s="2722"/>
      <c r="P9" s="2723"/>
      <c r="Q9" s="2724"/>
      <c r="R9" s="2725"/>
      <c r="S9" s="2726"/>
      <c r="T9" s="2727"/>
      <c r="U9" s="769"/>
      <c r="V9" s="769"/>
      <c r="W9" s="769"/>
      <c r="X9" s="769"/>
      <c r="Y9" s="769"/>
      <c r="Z9" s="769"/>
      <c r="AA9" s="769"/>
      <c r="AB9" s="769"/>
      <c r="AC9" s="769"/>
      <c r="AD9" s="769"/>
      <c r="AE9" s="769"/>
      <c r="AF9" s="769"/>
      <c r="AG9" s="769"/>
      <c r="AH9" s="769"/>
      <c r="AI9" s="769"/>
      <c r="AJ9" s="769"/>
      <c r="AK9" s="769"/>
      <c r="AL9" s="769"/>
      <c r="AM9" s="769"/>
      <c r="AN9" s="769"/>
      <c r="AO9" s="769"/>
      <c r="AP9" s="769"/>
      <c r="AQ9" s="769"/>
      <c r="AR9" s="769"/>
      <c r="AS9" s="769"/>
    </row>
    <row r="10" s="2711" customFormat="true" ht="12.75" hidden="false" customHeight="false" outlineLevel="0" collapsed="false">
      <c r="A10" s="2703"/>
      <c r="B10" s="2696"/>
      <c r="C10" s="2729" t="n">
        <v>100</v>
      </c>
      <c r="D10" s="2730" t="n">
        <f aca="false">C10-$T9</f>
        <v>100</v>
      </c>
      <c r="E10" s="2730" t="n">
        <f aca="false">D10-$T9</f>
        <v>100</v>
      </c>
      <c r="F10" s="2731" t="n">
        <f aca="false">E10-$T9</f>
        <v>100</v>
      </c>
      <c r="G10" s="2731" t="n">
        <f aca="false">F10-$T9</f>
        <v>100</v>
      </c>
      <c r="H10" s="2731" t="n">
        <f aca="false">G10-$T9</f>
        <v>100</v>
      </c>
      <c r="I10" s="2731" t="n">
        <f aca="false">H10-$T9</f>
        <v>100</v>
      </c>
      <c r="J10" s="2731" t="n">
        <f aca="false">I10-$T9</f>
        <v>100</v>
      </c>
      <c r="K10" s="2731" t="n">
        <f aca="false">J10-$T9</f>
        <v>100</v>
      </c>
      <c r="L10" s="2731" t="n">
        <f aca="false">K10-$T9</f>
        <v>100</v>
      </c>
      <c r="M10" s="2731" t="n">
        <f aca="false">L10-$T9</f>
        <v>100</v>
      </c>
      <c r="N10" s="2731" t="n">
        <f aca="false">M10-$T9</f>
        <v>100</v>
      </c>
      <c r="O10" s="2731" t="n">
        <f aca="false">N10-$T9</f>
        <v>100</v>
      </c>
      <c r="P10" s="2731" t="n">
        <f aca="false">O10-$T9</f>
        <v>100</v>
      </c>
      <c r="Q10" s="2731" t="n">
        <f aca="false">P10-$T9</f>
        <v>100</v>
      </c>
      <c r="R10" s="2731" t="n">
        <f aca="false">Q10-$T9</f>
        <v>100</v>
      </c>
      <c r="S10" s="2731" t="n">
        <f aca="false">R10-$T9</f>
        <v>100</v>
      </c>
      <c r="T10" s="2702"/>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row>
    <row r="11" s="2711" customFormat="true" ht="12.75" hidden="false" customHeight="false" outlineLevel="0" collapsed="false">
      <c r="A11" s="2703"/>
      <c r="B11" s="2704" t="s">
        <v>1603</v>
      </c>
      <c r="C11" s="2705"/>
      <c r="D11" s="2706"/>
      <c r="E11" s="2706"/>
      <c r="F11" s="2706"/>
      <c r="G11" s="2706"/>
      <c r="H11" s="2706"/>
      <c r="I11" s="2706"/>
      <c r="J11" s="2706"/>
      <c r="K11" s="2706"/>
      <c r="L11" s="2706"/>
      <c r="M11" s="2708"/>
      <c r="N11" s="2732"/>
      <c r="O11" s="2733"/>
      <c r="P11" s="2734"/>
      <c r="Q11" s="2735"/>
      <c r="R11" s="2736"/>
      <c r="S11" s="2737"/>
      <c r="T11" s="2710"/>
      <c r="U11" s="769"/>
      <c r="V11" s="769"/>
      <c r="W11" s="769"/>
      <c r="X11" s="769"/>
      <c r="Y11" s="769"/>
      <c r="Z11" s="769"/>
      <c r="AA11" s="769"/>
      <c r="AB11" s="769"/>
      <c r="AC11" s="769"/>
      <c r="AD11" s="769"/>
      <c r="AE11" s="769"/>
      <c r="AF11" s="769"/>
      <c r="AG11" s="769"/>
      <c r="AH11" s="769"/>
      <c r="AI11" s="769"/>
      <c r="AJ11" s="769"/>
      <c r="AK11" s="769"/>
      <c r="AL11" s="769"/>
      <c r="AM11" s="769"/>
      <c r="AN11" s="769"/>
      <c r="AO11" s="769"/>
      <c r="AP11" s="769"/>
      <c r="AQ11" s="769"/>
      <c r="AR11" s="769"/>
      <c r="AS11" s="769"/>
    </row>
    <row r="12" s="2711" customFormat="true" ht="12.75" hidden="false" customHeight="false" outlineLevel="0" collapsed="false">
      <c r="A12" s="2703"/>
      <c r="B12" s="2712"/>
      <c r="C12" s="2713" t="n">
        <v>100</v>
      </c>
      <c r="D12" s="2714" t="n">
        <f aca="false">C12-$T11</f>
        <v>100</v>
      </c>
      <c r="E12" s="2714" t="n">
        <f aca="false">D12-$T11</f>
        <v>100</v>
      </c>
      <c r="F12" s="2714" t="n">
        <f aca="false">E12-$T11</f>
        <v>100</v>
      </c>
      <c r="G12" s="2714" t="n">
        <f aca="false">F12-$T11</f>
        <v>100</v>
      </c>
      <c r="H12" s="2714" t="n">
        <f aca="false">G12-$T11</f>
        <v>100</v>
      </c>
      <c r="I12" s="2714" t="n">
        <f aca="false">H12-$T11</f>
        <v>100</v>
      </c>
      <c r="J12" s="2714" t="n">
        <f aca="false">I12-$T11</f>
        <v>100</v>
      </c>
      <c r="K12" s="2714" t="n">
        <f aca="false">J12-$T11</f>
        <v>100</v>
      </c>
      <c r="L12" s="2714" t="n">
        <f aca="false">K12-$T11</f>
        <v>100</v>
      </c>
      <c r="M12" s="2714" t="n">
        <f aca="false">L12-$T11</f>
        <v>100</v>
      </c>
      <c r="N12" s="2714" t="n">
        <f aca="false">M12-$T11</f>
        <v>100</v>
      </c>
      <c r="O12" s="2714" t="n">
        <f aca="false">N12-$T11</f>
        <v>100</v>
      </c>
      <c r="P12" s="2714" t="n">
        <f aca="false">O12-$T11</f>
        <v>100</v>
      </c>
      <c r="Q12" s="2714" t="n">
        <f aca="false">P12-$T11</f>
        <v>100</v>
      </c>
      <c r="R12" s="2714" t="n">
        <f aca="false">Q12-$T11</f>
        <v>100</v>
      </c>
      <c r="S12" s="2714" t="n">
        <f aca="false">R12-$T11</f>
        <v>100</v>
      </c>
      <c r="T12" s="2716"/>
      <c r="U12" s="769"/>
      <c r="V12" s="769"/>
      <c r="W12" s="769"/>
      <c r="X12" s="769"/>
      <c r="Y12" s="769"/>
      <c r="Z12" s="769"/>
      <c r="AA12" s="769"/>
      <c r="AB12" s="769"/>
      <c r="AC12" s="769"/>
      <c r="AD12" s="769"/>
      <c r="AE12" s="769"/>
      <c r="AF12" s="769"/>
      <c r="AG12" s="769"/>
      <c r="AH12" s="769"/>
      <c r="AI12" s="769"/>
      <c r="AJ12" s="769"/>
      <c r="AK12" s="769"/>
      <c r="AL12" s="769"/>
      <c r="AM12" s="769"/>
      <c r="AN12" s="769"/>
      <c r="AO12" s="769"/>
      <c r="AP12" s="769"/>
      <c r="AQ12" s="769"/>
      <c r="AR12" s="769"/>
      <c r="AS12" s="769"/>
    </row>
    <row r="13" s="2711" customFormat="true" ht="12.75" hidden="false" customHeight="false" outlineLevel="0" collapsed="false">
      <c r="A13" s="2703"/>
      <c r="B13" s="2704" t="s">
        <v>1604</v>
      </c>
      <c r="C13" s="2705"/>
      <c r="D13" s="2706"/>
      <c r="E13" s="2706"/>
      <c r="F13" s="2706"/>
      <c r="G13" s="2706"/>
      <c r="H13" s="2706"/>
      <c r="I13" s="2706"/>
      <c r="J13" s="2706"/>
      <c r="K13" s="2706"/>
      <c r="L13" s="2706"/>
      <c r="M13" s="2708"/>
      <c r="N13" s="2732"/>
      <c r="O13" s="2733"/>
      <c r="P13" s="2734"/>
      <c r="Q13" s="2735"/>
      <c r="R13" s="2736"/>
      <c r="S13" s="2737"/>
      <c r="T13" s="2738"/>
      <c r="U13" s="769"/>
      <c r="V13" s="769"/>
      <c r="W13" s="769"/>
      <c r="X13" s="769"/>
      <c r="Y13" s="769"/>
      <c r="Z13" s="769"/>
      <c r="AA13" s="769"/>
      <c r="AB13" s="769"/>
      <c r="AC13" s="769"/>
      <c r="AD13" s="769"/>
      <c r="AE13" s="769"/>
      <c r="AF13" s="769"/>
      <c r="AG13" s="769"/>
      <c r="AH13" s="769"/>
      <c r="AI13" s="769"/>
      <c r="AJ13" s="769"/>
      <c r="AK13" s="769"/>
      <c r="AL13" s="769"/>
      <c r="AM13" s="769"/>
      <c r="AN13" s="769"/>
      <c r="AO13" s="769"/>
      <c r="AP13" s="769"/>
      <c r="AQ13" s="769"/>
      <c r="AR13" s="769"/>
      <c r="AS13" s="769"/>
    </row>
    <row r="14" s="2711" customFormat="true" ht="12.75" hidden="false" customHeight="false" outlineLevel="0" collapsed="false">
      <c r="A14" s="2703"/>
      <c r="B14" s="2712"/>
      <c r="C14" s="2739"/>
      <c r="D14" s="2740"/>
      <c r="E14" s="2740"/>
      <c r="F14" s="2740"/>
      <c r="G14" s="2740"/>
      <c r="H14" s="2740"/>
      <c r="I14" s="2740"/>
      <c r="J14" s="2740"/>
      <c r="K14" s="2740"/>
      <c r="L14" s="2740"/>
      <c r="M14" s="2741"/>
      <c r="N14" s="2741"/>
      <c r="O14" s="2740"/>
      <c r="P14" s="2740"/>
      <c r="Q14" s="2740"/>
      <c r="R14" s="2740"/>
      <c r="S14" s="2742"/>
      <c r="T14" s="2716"/>
      <c r="U14" s="769"/>
      <c r="V14" s="769"/>
      <c r="W14" s="769"/>
      <c r="X14" s="769"/>
      <c r="Y14" s="769"/>
      <c r="Z14" s="769"/>
      <c r="AA14" s="769"/>
      <c r="AB14" s="769"/>
      <c r="AC14" s="769"/>
      <c r="AD14" s="769"/>
      <c r="AE14" s="769"/>
      <c r="AF14" s="769"/>
      <c r="AG14" s="769"/>
      <c r="AH14" s="769"/>
      <c r="AI14" s="769"/>
      <c r="AJ14" s="769"/>
      <c r="AK14" s="769"/>
      <c r="AL14" s="769"/>
      <c r="AM14" s="769"/>
      <c r="AN14" s="769"/>
      <c r="AO14" s="769"/>
      <c r="AP14" s="769"/>
      <c r="AQ14" s="769"/>
      <c r="AR14" s="769"/>
      <c r="AS14" s="769"/>
    </row>
    <row r="15" s="2711" customFormat="true" ht="12.75" hidden="false" customHeight="false" outlineLevel="0" collapsed="false">
      <c r="A15" s="2703"/>
      <c r="B15" s="2704" t="s">
        <v>1605</v>
      </c>
      <c r="C15" s="2705"/>
      <c r="D15" s="2706"/>
      <c r="E15" s="2706"/>
      <c r="F15" s="2706"/>
      <c r="G15" s="2706"/>
      <c r="H15" s="2706"/>
      <c r="I15" s="2706"/>
      <c r="J15" s="2706"/>
      <c r="K15" s="2706"/>
      <c r="L15" s="2706"/>
      <c r="M15" s="2708"/>
      <c r="N15" s="2732"/>
      <c r="O15" s="2733"/>
      <c r="P15" s="2734"/>
      <c r="Q15" s="2735"/>
      <c r="R15" s="2736"/>
      <c r="S15" s="2737"/>
      <c r="T15" s="2738"/>
      <c r="U15" s="769"/>
      <c r="V15" s="769"/>
      <c r="W15" s="769"/>
      <c r="X15" s="769"/>
      <c r="Y15" s="769"/>
      <c r="Z15" s="769"/>
      <c r="AA15" s="769"/>
      <c r="AB15" s="769"/>
      <c r="AC15" s="769"/>
      <c r="AD15" s="769"/>
      <c r="AE15" s="769"/>
      <c r="AF15" s="769"/>
      <c r="AG15" s="769"/>
      <c r="AH15" s="769"/>
      <c r="AI15" s="769"/>
      <c r="AJ15" s="769"/>
      <c r="AK15" s="769"/>
      <c r="AL15" s="769"/>
      <c r="AM15" s="769"/>
      <c r="AN15" s="769"/>
      <c r="AO15" s="769"/>
      <c r="AP15" s="769"/>
      <c r="AQ15" s="769"/>
      <c r="AR15" s="769"/>
      <c r="AS15" s="769"/>
    </row>
    <row r="16" s="2711" customFormat="true" ht="12.75" hidden="false" customHeight="false" outlineLevel="0" collapsed="false">
      <c r="A16" s="2703"/>
      <c r="B16" s="2696"/>
      <c r="C16" s="2697"/>
      <c r="D16" s="2698"/>
      <c r="E16" s="2698"/>
      <c r="F16" s="2698"/>
      <c r="G16" s="2698"/>
      <c r="H16" s="2698"/>
      <c r="I16" s="2698"/>
      <c r="J16" s="2698"/>
      <c r="K16" s="2698"/>
      <c r="L16" s="2698"/>
      <c r="M16" s="2743"/>
      <c r="N16" s="2743"/>
      <c r="O16" s="2698"/>
      <c r="P16" s="2698"/>
      <c r="Q16" s="2698"/>
      <c r="R16" s="2698"/>
      <c r="S16" s="2744"/>
      <c r="T16" s="2702"/>
      <c r="U16" s="769"/>
      <c r="V16" s="769"/>
      <c r="W16" s="769"/>
      <c r="X16" s="769"/>
      <c r="Y16" s="769"/>
      <c r="Z16" s="769"/>
      <c r="AA16" s="769"/>
      <c r="AB16" s="769"/>
      <c r="AC16" s="769"/>
      <c r="AD16" s="769"/>
      <c r="AE16" s="769"/>
      <c r="AF16" s="769"/>
      <c r="AG16" s="769"/>
      <c r="AH16" s="769"/>
      <c r="AI16" s="769"/>
      <c r="AJ16" s="769"/>
      <c r="AK16" s="769"/>
      <c r="AL16" s="769"/>
      <c r="AM16" s="769"/>
      <c r="AN16" s="769"/>
      <c r="AO16" s="769"/>
      <c r="AP16" s="769"/>
      <c r="AQ16" s="769"/>
      <c r="AR16" s="769"/>
      <c r="AS16" s="769"/>
    </row>
    <row r="17" s="1440" customFormat="true" ht="12.75" hidden="false" customHeight="false" outlineLevel="0" collapsed="false">
      <c r="A17" s="2745" t="s">
        <v>1599</v>
      </c>
      <c r="B17" s="2746" t="s">
        <v>1287</v>
      </c>
      <c r="C17" s="2747"/>
      <c r="D17" s="2748"/>
      <c r="E17" s="2748"/>
      <c r="F17" s="2748"/>
      <c r="G17" s="2748"/>
      <c r="H17" s="2748"/>
      <c r="I17" s="2748"/>
      <c r="J17" s="2748"/>
      <c r="K17" s="2748"/>
      <c r="L17" s="2749"/>
      <c r="M17" s="2750"/>
      <c r="N17" s="2751"/>
      <c r="O17" s="2752"/>
      <c r="P17" s="2753"/>
      <c r="Q17" s="2754"/>
      <c r="R17" s="2755"/>
      <c r="S17" s="2756"/>
      <c r="T17" s="2756"/>
      <c r="U17" s="2756"/>
      <c r="V17" s="2756"/>
      <c r="W17" s="2756"/>
      <c r="X17" s="2756"/>
      <c r="Y17" s="2756"/>
      <c r="Z17" s="2756"/>
      <c r="AA17" s="2756"/>
      <c r="AB17" s="2756"/>
      <c r="AC17" s="2756"/>
      <c r="AD17" s="2756"/>
      <c r="AE17" s="2756"/>
      <c r="AF17" s="2756"/>
      <c r="AG17" s="2756"/>
      <c r="AH17" s="2756"/>
      <c r="AI17" s="2756"/>
      <c r="AJ17" s="2756"/>
      <c r="AK17" s="2756"/>
      <c r="AL17" s="2756"/>
      <c r="AM17" s="2756"/>
      <c r="AN17" s="2756"/>
      <c r="AO17" s="2756"/>
      <c r="AP17" s="2756"/>
      <c r="AQ17" s="2756"/>
      <c r="AR17" s="1248"/>
      <c r="AS17" s="1248"/>
    </row>
    <row r="18" s="1440" customFormat="true" ht="12.75" hidden="false" customHeight="false" outlineLevel="0" collapsed="false">
      <c r="A18" s="2757"/>
      <c r="B18" s="2758"/>
      <c r="C18" s="2759"/>
      <c r="D18" s="2760"/>
      <c r="E18" s="2760"/>
      <c r="F18" s="2760"/>
      <c r="G18" s="2760"/>
      <c r="H18" s="2760"/>
      <c r="I18" s="2760"/>
      <c r="J18" s="2760"/>
      <c r="K18" s="2760"/>
      <c r="L18" s="2760"/>
      <c r="M18" s="2761"/>
      <c r="N18" s="2761"/>
      <c r="O18" s="2760"/>
      <c r="P18" s="2760"/>
      <c r="Q18" s="2760"/>
      <c r="R18" s="2760"/>
      <c r="S18" s="2762"/>
      <c r="T18" s="2762"/>
      <c r="U18" s="2762"/>
      <c r="V18" s="2762"/>
      <c r="W18" s="2762"/>
      <c r="X18" s="2762"/>
      <c r="Y18" s="2762"/>
      <c r="Z18" s="2762"/>
      <c r="AA18" s="2762"/>
      <c r="AB18" s="2762"/>
      <c r="AC18" s="2762"/>
      <c r="AD18" s="2762"/>
      <c r="AE18" s="2762"/>
      <c r="AF18" s="2762"/>
      <c r="AG18" s="2762"/>
      <c r="AH18" s="2762"/>
      <c r="AI18" s="2762"/>
      <c r="AJ18" s="2762"/>
      <c r="AK18" s="2762"/>
      <c r="AL18" s="2762"/>
      <c r="AM18" s="2762"/>
      <c r="AN18" s="2762"/>
      <c r="AO18" s="2762"/>
      <c r="AP18" s="2762"/>
      <c r="AQ18" s="2762"/>
      <c r="AR18" s="1248"/>
      <c r="AS18" s="1248"/>
    </row>
    <row r="19" customFormat="false" ht="12.75" hidden="false" customHeight="false" outlineLevel="0" collapsed="false">
      <c r="A19" s="941"/>
      <c r="B19" s="636"/>
      <c r="C19" s="636"/>
      <c r="D19" s="2763" t="s">
        <v>1606</v>
      </c>
      <c r="E19" s="2764"/>
      <c r="F19" s="2764"/>
      <c r="G19" s="2764"/>
      <c r="H19" s="1584"/>
      <c r="I19" s="636"/>
      <c r="J19" s="636"/>
      <c r="K19" s="636"/>
      <c r="L19" s="636"/>
      <c r="M19" s="636"/>
      <c r="N19" s="636"/>
      <c r="O19" s="636"/>
      <c r="P19" s="636"/>
      <c r="Q19" s="636"/>
      <c r="R19" s="2765"/>
      <c r="S19" s="941"/>
    </row>
    <row r="20" customFormat="false" ht="15.75" hidden="false" customHeight="false" outlineLevel="0" collapsed="false">
      <c r="A20" s="2766" t="s">
        <v>97</v>
      </c>
      <c r="B20" s="2767" t="e">
        <f aca="false">IF(D20="——",S22,S22-F20)</f>
        <v>#REF!</v>
      </c>
      <c r="C20" s="636"/>
      <c r="D20" s="2768"/>
      <c r="E20" s="2769"/>
      <c r="F20" s="2677" t="e">
        <f aca="true">SUMIF(INDIRECT("'"&amp;H20&amp;"'"&amp;"!A:A"),"承租人权益价值",INDIRECT("'"&amp;H20&amp;"'"&amp;"!c:c"))</f>
        <v>#REF!</v>
      </c>
      <c r="G20" s="2677" t="s">
        <v>722</v>
      </c>
      <c r="H20" s="2770"/>
      <c r="I20" s="636"/>
      <c r="J20" s="636"/>
      <c r="K20" s="636"/>
      <c r="L20" s="636"/>
      <c r="M20" s="636"/>
      <c r="N20" s="636"/>
      <c r="O20" s="636"/>
      <c r="P20" s="636"/>
      <c r="Q20" s="636"/>
      <c r="R20" s="2765"/>
      <c r="S20" s="941"/>
    </row>
    <row r="21" customFormat="false" ht="15.75" hidden="false" customHeight="false" outlineLevel="0" collapsed="false">
      <c r="A21" s="2766" t="s">
        <v>110</v>
      </c>
      <c r="B21" s="2767" t="e">
        <f aca="false">ROUND(B20*10000/B22,0)</f>
        <v>#REF!</v>
      </c>
      <c r="C21" s="636"/>
      <c r="D21" s="636"/>
      <c r="E21" s="636"/>
      <c r="F21" s="636"/>
      <c r="G21" s="636"/>
      <c r="H21" s="636"/>
      <c r="I21" s="636"/>
      <c r="J21" s="636"/>
      <c r="K21" s="636"/>
      <c r="L21" s="636"/>
      <c r="M21" s="636"/>
      <c r="N21" s="636"/>
      <c r="O21" s="636"/>
      <c r="P21" s="636"/>
      <c r="Q21" s="636"/>
      <c r="R21" s="2765"/>
      <c r="S21" s="941"/>
    </row>
    <row r="22" customFormat="false" ht="12.75" hidden="false" customHeight="false" outlineLevel="0" collapsed="false">
      <c r="A22" s="2771" t="s">
        <v>345</v>
      </c>
      <c r="B22" s="1528" t="n">
        <f aca="false">SUM(B24:B10000)</f>
        <v>0</v>
      </c>
      <c r="C22" s="1528" t="s">
        <v>122</v>
      </c>
      <c r="D22" s="1528"/>
      <c r="E22" s="1528"/>
      <c r="F22" s="1528"/>
      <c r="G22" s="1528"/>
      <c r="H22" s="1528"/>
      <c r="I22" s="1528"/>
      <c r="J22" s="1528"/>
      <c r="K22" s="1528"/>
      <c r="L22" s="1528"/>
      <c r="M22" s="1528"/>
      <c r="N22" s="1528"/>
      <c r="O22" s="1528"/>
      <c r="P22" s="1528"/>
      <c r="Q22" s="1528"/>
      <c r="R22" s="2772" t="e">
        <f aca="false">ROUND(S22*10000/B22,0)</f>
        <v>#DIV/0!</v>
      </c>
      <c r="S22" s="1528" t="n">
        <f aca="false">SUM(S24:S10000)</f>
        <v>0</v>
      </c>
    </row>
    <row r="23" s="229" customFormat="true" ht="24" hidden="false" customHeight="false" outlineLevel="0" collapsed="false">
      <c r="A23" s="374" t="s">
        <v>1607</v>
      </c>
      <c r="B23" s="374" t="s">
        <v>107</v>
      </c>
      <c r="C23" s="374" t="s">
        <v>1599</v>
      </c>
      <c r="D23" s="374" t="str">
        <f aca="false">B5</f>
        <v>修正项2</v>
      </c>
      <c r="E23" s="374" t="s">
        <v>1599</v>
      </c>
      <c r="F23" s="374" t="str">
        <f aca="false">B7</f>
        <v>修正项3</v>
      </c>
      <c r="G23" s="374" t="s">
        <v>1599</v>
      </c>
      <c r="H23" s="374" t="str">
        <f aca="false">B9</f>
        <v>修正项4</v>
      </c>
      <c r="I23" s="374" t="s">
        <v>1599</v>
      </c>
      <c r="J23" s="374" t="str">
        <f aca="false">B11</f>
        <v>修正项5</v>
      </c>
      <c r="K23" s="374" t="s">
        <v>1599</v>
      </c>
      <c r="L23" s="374" t="str">
        <f aca="false">B13</f>
        <v>修正项6</v>
      </c>
      <c r="M23" s="374" t="s">
        <v>1599</v>
      </c>
      <c r="N23" s="374" t="str">
        <f aca="false">B15</f>
        <v>修正项7</v>
      </c>
      <c r="O23" s="374" t="s">
        <v>1599</v>
      </c>
      <c r="P23" s="374" t="str">
        <f aca="false">B17</f>
        <v>楼层</v>
      </c>
      <c r="Q23" s="374" t="s">
        <v>1599</v>
      </c>
      <c r="R23" s="376" t="s">
        <v>1582</v>
      </c>
      <c r="S23" s="374" t="s">
        <v>97</v>
      </c>
      <c r="T23" s="2773"/>
      <c r="U23" s="2773"/>
      <c r="V23" s="2773"/>
      <c r="W23" s="2773"/>
      <c r="X23" s="2773"/>
      <c r="Y23" s="2773"/>
      <c r="Z23" s="2773"/>
      <c r="AA23" s="2773"/>
      <c r="AB23" s="2773"/>
      <c r="AC23" s="2773"/>
      <c r="AD23" s="2773"/>
      <c r="AE23" s="2773"/>
      <c r="AF23" s="2773"/>
      <c r="AG23" s="2773"/>
      <c r="AH23" s="2773"/>
      <c r="AI23" s="2773"/>
      <c r="AJ23" s="2773"/>
      <c r="AK23" s="2773"/>
      <c r="AL23" s="2773"/>
      <c r="AM23" s="2773"/>
      <c r="AN23" s="2773"/>
      <c r="AO23" s="2773"/>
      <c r="AP23" s="2773"/>
      <c r="AQ23" s="2773"/>
      <c r="AR23" s="2773"/>
      <c r="AS23" s="2773"/>
    </row>
    <row r="24" s="2780" customFormat="true" ht="12.75" hidden="false" customHeight="false" outlineLevel="0" collapsed="false">
      <c r="A24" s="2774" t="s">
        <v>1608</v>
      </c>
      <c r="B24" s="2774"/>
      <c r="C24" s="2775" t="n">
        <v>1</v>
      </c>
      <c r="D24" s="2776"/>
      <c r="E24" s="2775" t="n">
        <v>1</v>
      </c>
      <c r="F24" s="2776"/>
      <c r="G24" s="2775" t="n">
        <v>1</v>
      </c>
      <c r="H24" s="2776"/>
      <c r="I24" s="2775" t="n">
        <v>1</v>
      </c>
      <c r="J24" s="2776"/>
      <c r="K24" s="2775" t="n">
        <v>1</v>
      </c>
      <c r="L24" s="2776"/>
      <c r="M24" s="2775" t="n">
        <v>1</v>
      </c>
      <c r="N24" s="2776"/>
      <c r="O24" s="2775" t="n">
        <v>1</v>
      </c>
      <c r="P24" s="2776"/>
      <c r="Q24" s="2775" t="n">
        <v>1</v>
      </c>
      <c r="R24" s="2777"/>
      <c r="S24" s="2778" t="n">
        <f aca="false">ROUND(R24*B24/10000,0)</f>
        <v>0</v>
      </c>
      <c r="T24" s="2779"/>
      <c r="U24" s="2779"/>
      <c r="V24" s="2779"/>
      <c r="W24" s="2779"/>
      <c r="X24" s="2779"/>
      <c r="Y24" s="2779"/>
      <c r="Z24" s="2779"/>
      <c r="AA24" s="2779"/>
      <c r="AB24" s="2779"/>
      <c r="AC24" s="2779"/>
      <c r="AD24" s="2779"/>
      <c r="AE24" s="2779"/>
      <c r="AF24" s="2779"/>
      <c r="AG24" s="2779"/>
      <c r="AH24" s="2779"/>
      <c r="AI24" s="2779"/>
      <c r="AJ24" s="2779"/>
      <c r="AK24" s="2779"/>
      <c r="AL24" s="2779"/>
      <c r="AM24" s="2779"/>
      <c r="AN24" s="2779"/>
      <c r="AO24" s="2779"/>
      <c r="AP24" s="2779"/>
      <c r="AQ24" s="2779"/>
      <c r="AR24" s="2779"/>
      <c r="AS24" s="2779"/>
    </row>
    <row r="25" customFormat="false" ht="12.75" hidden="false" customHeight="false" outlineLevel="0" collapsed="false">
      <c r="A25" s="1016"/>
      <c r="B25" s="2781"/>
      <c r="C25" s="478" t="n">
        <f aca="false">IF(B25="",1,(LOOKUP(B25,$3:$3,$4:$4)-LOOKUP($B$24,$3:$3,$4:$4)+100)/100)</f>
        <v>1</v>
      </c>
      <c r="D25" s="2782"/>
      <c r="E25" s="478" t="n">
        <f aca="false">(SUMIF($5:$5,D25,$6:$6)-SUMIF($5:$5,$D$24,$6:$6)+100)/100</f>
        <v>1</v>
      </c>
      <c r="F25" s="2782"/>
      <c r="G25" s="478" t="n">
        <f aca="false">(SUMIF($7:$7,F25,$8:$8)-SUMIF($7:$7,$F$24,$8:$8)+100)/100</f>
        <v>1</v>
      </c>
      <c r="H25" s="2782"/>
      <c r="I25" s="478" t="n">
        <f aca="false">(SUMIF($9:$9,H25,$10:$10)-SUMIF($9:$9,$H$24,$10:$10)+100)/100</f>
        <v>1</v>
      </c>
      <c r="J25" s="2782"/>
      <c r="K25" s="478" t="n">
        <f aca="false">(SUMIF($11:$11,J25,$12:$12)-SUMIF($11:$11,$J$24,$12:$12)+100)/100</f>
        <v>1</v>
      </c>
      <c r="L25" s="2782"/>
      <c r="M25" s="478" t="n">
        <f aca="false">(SUMIF($13:$13,L25,$14:$14)-SUMIF($13:$13,$L$24,$14:$14)+100)/100</f>
        <v>1</v>
      </c>
      <c r="N25" s="2782"/>
      <c r="O25" s="478" t="n">
        <f aca="false">(SUMIF($15:$15,N25,$16:$16)-SUMIF($15:$15,$N$24,$16:$16)+100)/100</f>
        <v>1</v>
      </c>
      <c r="P25" s="2782"/>
      <c r="Q25" s="478" t="n">
        <f aca="false">(SUMIF($17:$17,P25,$18:$18)-SUMIF($17:$17,$P$24,$18:$18)+100)/100</f>
        <v>1</v>
      </c>
      <c r="R25" s="2772" t="n">
        <f aca="false">IF(B25="",0,ROUND($R$24*C25*E25*G25*I25*K25*M25*O25*Q25,0))</f>
        <v>0</v>
      </c>
      <c r="S25" s="2771" t="n">
        <f aca="false">ROUND(R25*B25/10000,0)</f>
        <v>0</v>
      </c>
    </row>
    <row r="26" customFormat="false" ht="12.75" hidden="false" customHeight="false" outlineLevel="0" collapsed="false">
      <c r="A26" s="1016"/>
      <c r="B26" s="2781"/>
      <c r="C26" s="478" t="n">
        <f aca="false">IF(B26="",1,(LOOKUP(B26,$3:$3,$4:$4)-LOOKUP($B$24,$3:$3,$4:$4)+100)/100)</f>
        <v>1</v>
      </c>
      <c r="D26" s="2782"/>
      <c r="E26" s="478" t="n">
        <f aca="false">(SUMIF($5:$5,D26,$6:$6)-SUMIF($5:$5,$D$24,$6:$6)+100)/100</f>
        <v>1</v>
      </c>
      <c r="F26" s="2782"/>
      <c r="G26" s="478" t="n">
        <f aca="false">(SUMIF($7:$7,F26,$8:$8)-SUMIF($7:$7,$F$24,$8:$8)+100)/100</f>
        <v>1</v>
      </c>
      <c r="H26" s="2782"/>
      <c r="I26" s="478" t="n">
        <f aca="false">(SUMIF($9:$9,H26,$10:$10)-SUMIF($9:$9,$H$24,$10:$10)+100)/100</f>
        <v>1</v>
      </c>
      <c r="J26" s="2782"/>
      <c r="K26" s="478" t="n">
        <f aca="false">(SUMIF($11:$11,J26,$12:$12)-SUMIF($11:$11,$J$24,$12:$12)+100)/100</f>
        <v>1</v>
      </c>
      <c r="L26" s="2782"/>
      <c r="M26" s="478" t="n">
        <f aca="false">(SUMIF($13:$13,L26,$14:$14)-SUMIF($13:$13,$L$24,$14:$14)+100)/100</f>
        <v>1</v>
      </c>
      <c r="N26" s="2782"/>
      <c r="O26" s="478" t="n">
        <f aca="false">(SUMIF($15:$15,N26,$16:$16)-SUMIF($15:$15,$N$24,$16:$16)+100)/100</f>
        <v>1</v>
      </c>
      <c r="P26" s="2782"/>
      <c r="Q26" s="478" t="n">
        <f aca="false">(SUMIF($17:$17,P26,$18:$18)-SUMIF($17:$17,$P$24,$18:$18)+100)/100</f>
        <v>1</v>
      </c>
      <c r="R26" s="2772" t="n">
        <f aca="false">IF(B26="",0,ROUND($R$24*C26*E26*G26*I26*K26*M26*O26*Q26,0))</f>
        <v>0</v>
      </c>
      <c r="S26" s="2771" t="n">
        <f aca="false">ROUND(R26*B26/10000,0)</f>
        <v>0</v>
      </c>
    </row>
    <row r="27" customFormat="false" ht="12.75" hidden="false" customHeight="false" outlineLevel="0" collapsed="false">
      <c r="A27" s="1016"/>
      <c r="B27" s="2781"/>
      <c r="C27" s="478" t="n">
        <f aca="false">IF(B27="",1,(LOOKUP(B27,$3:$3,$4:$4)-LOOKUP($B$24,$3:$3,$4:$4)+100)/100)</f>
        <v>1</v>
      </c>
      <c r="D27" s="2782"/>
      <c r="E27" s="478" t="n">
        <f aca="false">(SUMIF($5:$5,D27,$6:$6)-SUMIF($5:$5,$D$24,$6:$6)+100)/100</f>
        <v>1</v>
      </c>
      <c r="F27" s="2782"/>
      <c r="G27" s="478" t="n">
        <f aca="false">(SUMIF($7:$7,F27,$8:$8)-SUMIF($7:$7,$F$24,$8:$8)+100)/100</f>
        <v>1</v>
      </c>
      <c r="H27" s="2782"/>
      <c r="I27" s="478" t="n">
        <f aca="false">(SUMIF($9:$9,H27,$10:$10)-SUMIF($9:$9,$H$24,$10:$10)+100)/100</f>
        <v>1</v>
      </c>
      <c r="J27" s="2782"/>
      <c r="K27" s="478" t="n">
        <f aca="false">(SUMIF($11:$11,J27,$12:$12)-SUMIF($11:$11,$J$24,$12:$12)+100)/100</f>
        <v>1</v>
      </c>
      <c r="L27" s="2782"/>
      <c r="M27" s="478" t="n">
        <f aca="false">(SUMIF($13:$13,L27,$14:$14)-SUMIF($13:$13,$L$24,$14:$14)+100)/100</f>
        <v>1</v>
      </c>
      <c r="N27" s="2782"/>
      <c r="O27" s="478" t="n">
        <f aca="false">(SUMIF($15:$15,N27,$16:$16)-SUMIF($15:$15,$N$24,$16:$16)+100)/100</f>
        <v>1</v>
      </c>
      <c r="P27" s="2782"/>
      <c r="Q27" s="478" t="n">
        <f aca="false">(SUMIF($17:$17,P27,$18:$18)-SUMIF($17:$17,$P$24,$18:$18)+100)/100</f>
        <v>1</v>
      </c>
      <c r="R27" s="2772" t="n">
        <f aca="false">IF(B27="",0,ROUND($R$24*C27*E27*G27*I27*K27*M27*O27*Q27,0))</f>
        <v>0</v>
      </c>
      <c r="S27" s="2771" t="n">
        <f aca="false">ROUND(R27*B27/10000,0)</f>
        <v>0</v>
      </c>
    </row>
    <row r="28" customFormat="false" ht="12.75" hidden="false" customHeight="false" outlineLevel="0" collapsed="false">
      <c r="A28" s="1016"/>
      <c r="B28" s="2781"/>
      <c r="C28" s="478" t="n">
        <f aca="false">IF(B28="",1,(LOOKUP(B28,$3:$3,$4:$4)-LOOKUP($B$24,$3:$3,$4:$4)+100)/100)</f>
        <v>1</v>
      </c>
      <c r="D28" s="2782"/>
      <c r="E28" s="478" t="n">
        <f aca="false">(SUMIF($5:$5,D28,$6:$6)-SUMIF($5:$5,$D$24,$6:$6)+100)/100</f>
        <v>1</v>
      </c>
      <c r="F28" s="2782"/>
      <c r="G28" s="478" t="n">
        <f aca="false">(SUMIF($7:$7,F28,$8:$8)-SUMIF($7:$7,$F$24,$8:$8)+100)/100</f>
        <v>1</v>
      </c>
      <c r="H28" s="2782"/>
      <c r="I28" s="478" t="n">
        <f aca="false">(SUMIF($9:$9,H28,$10:$10)-SUMIF($9:$9,$H$24,$10:$10)+100)/100</f>
        <v>1</v>
      </c>
      <c r="J28" s="2782"/>
      <c r="K28" s="478" t="n">
        <f aca="false">(SUMIF($11:$11,J28,$12:$12)-SUMIF($11:$11,$J$24,$12:$12)+100)/100</f>
        <v>1</v>
      </c>
      <c r="L28" s="2782"/>
      <c r="M28" s="478" t="n">
        <f aca="false">(SUMIF($13:$13,L28,$14:$14)-SUMIF($13:$13,$L$24,$14:$14)+100)/100</f>
        <v>1</v>
      </c>
      <c r="N28" s="2782"/>
      <c r="O28" s="478" t="n">
        <f aca="false">(SUMIF($15:$15,N28,$16:$16)-SUMIF($15:$15,$N$24,$16:$16)+100)/100</f>
        <v>1</v>
      </c>
      <c r="P28" s="2782"/>
      <c r="Q28" s="478" t="n">
        <f aca="false">(SUMIF($17:$17,P28,$18:$18)-SUMIF($17:$17,$P$24,$18:$18)+100)/100</f>
        <v>1</v>
      </c>
      <c r="R28" s="2772" t="n">
        <f aca="false">IF(B28="",0,ROUND($R$24*C28*E28*G28*I28*K28*M28*O28*Q28,0))</f>
        <v>0</v>
      </c>
      <c r="S28" s="2771" t="n">
        <f aca="false">ROUND(R28*B28/10000,0)</f>
        <v>0</v>
      </c>
    </row>
    <row r="29" customFormat="false" ht="12.75" hidden="false" customHeight="false" outlineLevel="0" collapsed="false">
      <c r="A29" s="1016"/>
      <c r="B29" s="2781"/>
      <c r="C29" s="478" t="n">
        <f aca="false">IF(B29="",1,(LOOKUP(B29,$3:$3,$4:$4)-LOOKUP($B$24,$3:$3,$4:$4)+100)/100)</f>
        <v>1</v>
      </c>
      <c r="D29" s="2782"/>
      <c r="E29" s="478" t="n">
        <f aca="false">(SUMIF($5:$5,D29,$6:$6)-SUMIF($5:$5,$D$24,$6:$6)+100)/100</f>
        <v>1</v>
      </c>
      <c r="F29" s="2782"/>
      <c r="G29" s="478" t="n">
        <f aca="false">(SUMIF($7:$7,F29,$8:$8)-SUMIF($7:$7,$F$24,$8:$8)+100)/100</f>
        <v>1</v>
      </c>
      <c r="H29" s="2782"/>
      <c r="I29" s="478" t="n">
        <f aca="false">(SUMIF($9:$9,H29,$10:$10)-SUMIF($9:$9,$H$24,$10:$10)+100)/100</f>
        <v>1</v>
      </c>
      <c r="J29" s="2782"/>
      <c r="K29" s="478" t="n">
        <f aca="false">(SUMIF($11:$11,J29,$12:$12)-SUMIF($11:$11,$J$24,$12:$12)+100)/100</f>
        <v>1</v>
      </c>
      <c r="L29" s="2782"/>
      <c r="M29" s="478" t="n">
        <f aca="false">(SUMIF($13:$13,L29,$14:$14)-SUMIF($13:$13,$L$24,$14:$14)+100)/100</f>
        <v>1</v>
      </c>
      <c r="N29" s="2782"/>
      <c r="O29" s="478" t="n">
        <f aca="false">(SUMIF($15:$15,N29,$16:$16)-SUMIF($15:$15,$N$24,$16:$16)+100)/100</f>
        <v>1</v>
      </c>
      <c r="P29" s="2782"/>
      <c r="Q29" s="478" t="n">
        <f aca="false">(SUMIF($17:$17,P29,$18:$18)-SUMIF($17:$17,$P$24,$18:$18)+100)/100</f>
        <v>1</v>
      </c>
      <c r="R29" s="2772" t="n">
        <f aca="false">IF(B29="",0,ROUND($R$24*C29*E29*G29*I29*K29*M29*O29*Q29,0))</f>
        <v>0</v>
      </c>
      <c r="S29" s="2771" t="n">
        <f aca="false">ROUND(R29*B29/10000,0)</f>
        <v>0</v>
      </c>
    </row>
    <row r="30" customFormat="false" ht="12.75" hidden="false" customHeight="false" outlineLevel="0" collapsed="false">
      <c r="A30" s="1016"/>
      <c r="B30" s="2781"/>
      <c r="C30" s="478" t="n">
        <f aca="false">IF(B30="",1,(LOOKUP(B30,$3:$3,$4:$4)-LOOKUP($B$24,$3:$3,$4:$4)+100)/100)</f>
        <v>1</v>
      </c>
      <c r="D30" s="2782"/>
      <c r="E30" s="478" t="n">
        <f aca="false">(SUMIF($5:$5,D30,$6:$6)-SUMIF($5:$5,$D$24,$6:$6)+100)/100</f>
        <v>1</v>
      </c>
      <c r="F30" s="2782"/>
      <c r="G30" s="478" t="n">
        <f aca="false">(SUMIF($7:$7,F30,$8:$8)-SUMIF($7:$7,$F$24,$8:$8)+100)/100</f>
        <v>1</v>
      </c>
      <c r="H30" s="2782"/>
      <c r="I30" s="478" t="n">
        <f aca="false">(SUMIF($9:$9,H30,$10:$10)-SUMIF($9:$9,$H$24,$10:$10)+100)/100</f>
        <v>1</v>
      </c>
      <c r="J30" s="2782"/>
      <c r="K30" s="478" t="n">
        <f aca="false">(SUMIF($11:$11,J30,$12:$12)-SUMIF($11:$11,$J$24,$12:$12)+100)/100</f>
        <v>1</v>
      </c>
      <c r="L30" s="2782"/>
      <c r="M30" s="478" t="n">
        <f aca="false">(SUMIF($13:$13,L30,$14:$14)-SUMIF($13:$13,$L$24,$14:$14)+100)/100</f>
        <v>1</v>
      </c>
      <c r="N30" s="2782"/>
      <c r="O30" s="478" t="n">
        <f aca="false">(SUMIF($15:$15,N30,$16:$16)-SUMIF($15:$15,$N$24,$16:$16)+100)/100</f>
        <v>1</v>
      </c>
      <c r="P30" s="2782"/>
      <c r="Q30" s="478" t="n">
        <f aca="false">(SUMIF($17:$17,P30,$18:$18)-SUMIF($17:$17,$P$24,$18:$18)+100)/100</f>
        <v>1</v>
      </c>
      <c r="R30" s="2772" t="n">
        <f aca="false">IF(B30="",0,ROUND($R$24*C30*E30*G30*I30*K30*M30*O30*Q30,0))</f>
        <v>0</v>
      </c>
      <c r="S30" s="2771" t="n">
        <f aca="false">ROUND(R30*B30/10000,0)</f>
        <v>0</v>
      </c>
    </row>
    <row r="31" customFormat="false" ht="12.75" hidden="false" customHeight="false" outlineLevel="0" collapsed="false">
      <c r="A31" s="1016"/>
      <c r="B31" s="2781"/>
      <c r="C31" s="478" t="n">
        <f aca="false">IF(B31="",1,(LOOKUP(B31,$3:$3,$4:$4)-LOOKUP($B$24,$3:$3,$4:$4)+100)/100)</f>
        <v>1</v>
      </c>
      <c r="D31" s="2782"/>
      <c r="E31" s="478" t="n">
        <f aca="false">(SUMIF($5:$5,D31,$6:$6)-SUMIF($5:$5,$D$24,$6:$6)+100)/100</f>
        <v>1</v>
      </c>
      <c r="F31" s="2782"/>
      <c r="G31" s="478" t="n">
        <f aca="false">(SUMIF($7:$7,F31,$8:$8)-SUMIF($7:$7,$F$24,$8:$8)+100)/100</f>
        <v>1</v>
      </c>
      <c r="H31" s="2782"/>
      <c r="I31" s="478" t="n">
        <f aca="false">(SUMIF($9:$9,H31,$10:$10)-SUMIF($9:$9,$H$24,$10:$10)+100)/100</f>
        <v>1</v>
      </c>
      <c r="J31" s="2782"/>
      <c r="K31" s="478" t="n">
        <f aca="false">(SUMIF($11:$11,J31,$12:$12)-SUMIF($11:$11,$J$24,$12:$12)+100)/100</f>
        <v>1</v>
      </c>
      <c r="L31" s="2782"/>
      <c r="M31" s="478" t="n">
        <f aca="false">(SUMIF($13:$13,L31,$14:$14)-SUMIF($13:$13,$L$24,$14:$14)+100)/100</f>
        <v>1</v>
      </c>
      <c r="N31" s="2782"/>
      <c r="O31" s="478" t="n">
        <f aca="false">(SUMIF($15:$15,N31,$16:$16)-SUMIF($15:$15,$N$24,$16:$16)+100)/100</f>
        <v>1</v>
      </c>
      <c r="P31" s="2782"/>
      <c r="Q31" s="478" t="n">
        <f aca="false">(SUMIF($17:$17,P31,$18:$18)-SUMIF($17:$17,$P$24,$18:$18)+100)/100</f>
        <v>1</v>
      </c>
      <c r="R31" s="2772" t="n">
        <f aca="false">IF(B31="",0,ROUND($R$24*C31*E31*G31*I31*K31*M31*O31*Q31,0))</f>
        <v>0</v>
      </c>
      <c r="S31" s="2771" t="n">
        <f aca="false">ROUND(R31*B31/10000,0)</f>
        <v>0</v>
      </c>
    </row>
    <row r="32" customFormat="false" ht="12.75" hidden="false" customHeight="false" outlineLevel="0" collapsed="false">
      <c r="A32" s="1016"/>
      <c r="B32" s="2781"/>
      <c r="C32" s="478" t="n">
        <f aca="false">IF(B32="",1,(LOOKUP(B32,$3:$3,$4:$4)-LOOKUP($B$24,$3:$3,$4:$4)+100)/100)</f>
        <v>1</v>
      </c>
      <c r="D32" s="2782"/>
      <c r="E32" s="478" t="n">
        <f aca="false">(SUMIF($5:$5,D32,$6:$6)-SUMIF($5:$5,$D$24,$6:$6)+100)/100</f>
        <v>1</v>
      </c>
      <c r="F32" s="2782"/>
      <c r="G32" s="478" t="n">
        <f aca="false">(SUMIF($7:$7,F32,$8:$8)-SUMIF($7:$7,$F$24,$8:$8)+100)/100</f>
        <v>1</v>
      </c>
      <c r="H32" s="2782"/>
      <c r="I32" s="478" t="n">
        <f aca="false">(SUMIF($9:$9,H32,$10:$10)-SUMIF($9:$9,$H$24,$10:$10)+100)/100</f>
        <v>1</v>
      </c>
      <c r="J32" s="2782"/>
      <c r="K32" s="478" t="n">
        <f aca="false">(SUMIF($11:$11,J32,$12:$12)-SUMIF($11:$11,$J$24,$12:$12)+100)/100</f>
        <v>1</v>
      </c>
      <c r="L32" s="2782"/>
      <c r="M32" s="478" t="n">
        <f aca="false">(SUMIF($13:$13,L32,$14:$14)-SUMIF($13:$13,$L$24,$14:$14)+100)/100</f>
        <v>1</v>
      </c>
      <c r="N32" s="2782"/>
      <c r="O32" s="478" t="n">
        <f aca="false">(SUMIF($15:$15,N32,$16:$16)-SUMIF($15:$15,$N$24,$16:$16)+100)/100</f>
        <v>1</v>
      </c>
      <c r="P32" s="2782"/>
      <c r="Q32" s="478" t="n">
        <f aca="false">(SUMIF($17:$17,P32,$18:$18)-SUMIF($17:$17,$P$24,$18:$18)+100)/100</f>
        <v>1</v>
      </c>
      <c r="R32" s="2772" t="n">
        <f aca="false">IF(B32="",0,ROUND($R$24*C32*E32*G32*I32*K32*M32*O32*Q32,0))</f>
        <v>0</v>
      </c>
      <c r="S32" s="2771" t="n">
        <f aca="false">ROUND(R32*B32/10000,0)</f>
        <v>0</v>
      </c>
    </row>
    <row r="33" customFormat="false" ht="12.75" hidden="false" customHeight="false" outlineLevel="0" collapsed="false">
      <c r="A33" s="1016"/>
      <c r="B33" s="2781"/>
      <c r="C33" s="478" t="n">
        <f aca="false">IF(B33="",1,(LOOKUP(B33,$3:$3,$4:$4)-LOOKUP($B$24,$3:$3,$4:$4)+100)/100)</f>
        <v>1</v>
      </c>
      <c r="D33" s="2782"/>
      <c r="E33" s="478" t="n">
        <f aca="false">(SUMIF($5:$5,D33,$6:$6)-SUMIF($5:$5,$D$24,$6:$6)+100)/100</f>
        <v>1</v>
      </c>
      <c r="F33" s="2782"/>
      <c r="G33" s="478" t="n">
        <f aca="false">(SUMIF($7:$7,F33,$8:$8)-SUMIF($7:$7,$F$24,$8:$8)+100)/100</f>
        <v>1</v>
      </c>
      <c r="H33" s="2782"/>
      <c r="I33" s="478" t="n">
        <f aca="false">(SUMIF($9:$9,H33,$10:$10)-SUMIF($9:$9,$H$24,$10:$10)+100)/100</f>
        <v>1</v>
      </c>
      <c r="J33" s="2782"/>
      <c r="K33" s="478" t="n">
        <f aca="false">(SUMIF($11:$11,J33,$12:$12)-SUMIF($11:$11,$J$24,$12:$12)+100)/100</f>
        <v>1</v>
      </c>
      <c r="L33" s="2782"/>
      <c r="M33" s="478" t="n">
        <f aca="false">(SUMIF($13:$13,L33,$14:$14)-SUMIF($13:$13,$L$24,$14:$14)+100)/100</f>
        <v>1</v>
      </c>
      <c r="N33" s="2782"/>
      <c r="O33" s="478" t="n">
        <f aca="false">(SUMIF($15:$15,N33,$16:$16)-SUMIF($15:$15,$N$24,$16:$16)+100)/100</f>
        <v>1</v>
      </c>
      <c r="P33" s="2782"/>
      <c r="Q33" s="478" t="n">
        <f aca="false">(SUMIF($17:$17,P33,$18:$18)-SUMIF($17:$17,$P$24,$18:$18)+100)/100</f>
        <v>1</v>
      </c>
      <c r="R33" s="2772" t="n">
        <f aca="false">IF(B33="",0,ROUND($R$24*C33*E33*G33*I33*K33*M33*O33*Q33,0))</f>
        <v>0</v>
      </c>
      <c r="S33" s="2771" t="n">
        <f aca="false">ROUND(R33*B33/10000,0)</f>
        <v>0</v>
      </c>
    </row>
    <row r="34" customFormat="false" ht="12.75" hidden="false" customHeight="false" outlineLevel="0" collapsed="false">
      <c r="A34" s="1016"/>
      <c r="B34" s="2781"/>
      <c r="C34" s="478" t="n">
        <f aca="false">IF(B34="",1,(LOOKUP(B34,$3:$3,$4:$4)-LOOKUP($B$24,$3:$3,$4:$4)+100)/100)</f>
        <v>1</v>
      </c>
      <c r="D34" s="2782"/>
      <c r="E34" s="478" t="n">
        <f aca="false">(SUMIF($5:$5,D34,$6:$6)-SUMIF($5:$5,$D$24,$6:$6)+100)/100</f>
        <v>1</v>
      </c>
      <c r="F34" s="2782"/>
      <c r="G34" s="478" t="n">
        <f aca="false">(SUMIF($7:$7,F34,$8:$8)-SUMIF($7:$7,$F$24,$8:$8)+100)/100</f>
        <v>1</v>
      </c>
      <c r="H34" s="2782"/>
      <c r="I34" s="478" t="n">
        <f aca="false">(SUMIF($9:$9,H34,$10:$10)-SUMIF($9:$9,$H$24,$10:$10)+100)/100</f>
        <v>1</v>
      </c>
      <c r="J34" s="2782"/>
      <c r="K34" s="478" t="n">
        <f aca="false">(SUMIF($11:$11,J34,$12:$12)-SUMIF($11:$11,$J$24,$12:$12)+100)/100</f>
        <v>1</v>
      </c>
      <c r="L34" s="2782"/>
      <c r="M34" s="478" t="n">
        <f aca="false">(SUMIF($13:$13,L34,$14:$14)-SUMIF($13:$13,$L$24,$14:$14)+100)/100</f>
        <v>1</v>
      </c>
      <c r="N34" s="2782"/>
      <c r="O34" s="478" t="n">
        <f aca="false">(SUMIF($15:$15,N34,$16:$16)-SUMIF($15:$15,$N$24,$16:$16)+100)/100</f>
        <v>1</v>
      </c>
      <c r="P34" s="2782"/>
      <c r="Q34" s="478" t="n">
        <f aca="false">(SUMIF($17:$17,P34,$18:$18)-SUMIF($17:$17,$P$24,$18:$18)+100)/100</f>
        <v>1</v>
      </c>
      <c r="R34" s="2772" t="n">
        <f aca="false">IF(B34="",0,ROUND($R$24*C34*E34*G34*I34*K34*M34*O34*Q34,0))</f>
        <v>0</v>
      </c>
      <c r="S34" s="2771" t="n">
        <f aca="false">ROUND(R34*B34/10000,0)</f>
        <v>0</v>
      </c>
    </row>
    <row r="35" customFormat="false" ht="12.75" hidden="false" customHeight="false" outlineLevel="0" collapsed="false">
      <c r="A35" s="1016"/>
      <c r="B35" s="2781"/>
      <c r="C35" s="478" t="n">
        <f aca="false">IF(B35="",1,(LOOKUP(B35,$3:$3,$4:$4)-LOOKUP($B$24,$3:$3,$4:$4)+100)/100)</f>
        <v>1</v>
      </c>
      <c r="D35" s="2782"/>
      <c r="E35" s="478" t="n">
        <f aca="false">(SUMIF($5:$5,D35,$6:$6)-SUMIF($5:$5,$D$24,$6:$6)+100)/100</f>
        <v>1</v>
      </c>
      <c r="F35" s="2782"/>
      <c r="G35" s="478" t="n">
        <f aca="false">(SUMIF($7:$7,F35,$8:$8)-SUMIF($7:$7,$F$24,$8:$8)+100)/100</f>
        <v>1</v>
      </c>
      <c r="H35" s="2782"/>
      <c r="I35" s="478" t="n">
        <f aca="false">(SUMIF($9:$9,H35,$10:$10)-SUMIF($9:$9,$H$24,$10:$10)+100)/100</f>
        <v>1</v>
      </c>
      <c r="J35" s="2782"/>
      <c r="K35" s="478" t="n">
        <f aca="false">(SUMIF($11:$11,J35,$12:$12)-SUMIF($11:$11,$J$24,$12:$12)+100)/100</f>
        <v>1</v>
      </c>
      <c r="L35" s="2782"/>
      <c r="M35" s="478" t="n">
        <f aca="false">(SUMIF($13:$13,L35,$14:$14)-SUMIF($13:$13,$L$24,$14:$14)+100)/100</f>
        <v>1</v>
      </c>
      <c r="N35" s="2782"/>
      <c r="O35" s="478" t="n">
        <f aca="false">(SUMIF($15:$15,N35,$16:$16)-SUMIF($15:$15,$N$24,$16:$16)+100)/100</f>
        <v>1</v>
      </c>
      <c r="P35" s="2782"/>
      <c r="Q35" s="478" t="n">
        <f aca="false">(SUMIF($17:$17,P35,$18:$18)-SUMIF($17:$17,$P$24,$18:$18)+100)/100</f>
        <v>1</v>
      </c>
      <c r="R35" s="2772" t="n">
        <f aca="false">IF(B35="",0,ROUND($R$24*C35*E35*G35*I35*K35*M35*O35*Q35,0))</f>
        <v>0</v>
      </c>
      <c r="S35" s="2771" t="n">
        <f aca="false">ROUND(R35*B35/10000,0)</f>
        <v>0</v>
      </c>
    </row>
    <row r="36" customFormat="false" ht="12.75" hidden="false" customHeight="false" outlineLevel="0" collapsed="false">
      <c r="A36" s="1016"/>
      <c r="B36" s="2781"/>
      <c r="C36" s="478" t="n">
        <f aca="false">IF(B36="",1,(LOOKUP(B36,$3:$3,$4:$4)-LOOKUP($B$24,$3:$3,$4:$4)+100)/100)</f>
        <v>1</v>
      </c>
      <c r="D36" s="2782"/>
      <c r="E36" s="478" t="n">
        <f aca="false">(SUMIF($5:$5,D36,$6:$6)-SUMIF($5:$5,$D$24,$6:$6)+100)/100</f>
        <v>1</v>
      </c>
      <c r="F36" s="2782"/>
      <c r="G36" s="478" t="n">
        <f aca="false">(SUMIF($7:$7,F36,$8:$8)-SUMIF($7:$7,$F$24,$8:$8)+100)/100</f>
        <v>1</v>
      </c>
      <c r="H36" s="2782"/>
      <c r="I36" s="478" t="n">
        <f aca="false">(SUMIF($9:$9,H36,$10:$10)-SUMIF($9:$9,$H$24,$10:$10)+100)/100</f>
        <v>1</v>
      </c>
      <c r="J36" s="2782"/>
      <c r="K36" s="478" t="n">
        <f aca="false">(SUMIF($11:$11,J36,$12:$12)-SUMIF($11:$11,$J$24,$12:$12)+100)/100</f>
        <v>1</v>
      </c>
      <c r="L36" s="2782"/>
      <c r="M36" s="478" t="n">
        <f aca="false">(SUMIF($13:$13,L36,$14:$14)-SUMIF($13:$13,$L$24,$14:$14)+100)/100</f>
        <v>1</v>
      </c>
      <c r="N36" s="2782"/>
      <c r="O36" s="478" t="n">
        <f aca="false">(SUMIF($15:$15,N36,$16:$16)-SUMIF($15:$15,$N$24,$16:$16)+100)/100</f>
        <v>1</v>
      </c>
      <c r="P36" s="2782"/>
      <c r="Q36" s="478" t="n">
        <f aca="false">(SUMIF($17:$17,P36,$18:$18)-SUMIF($17:$17,$P$24,$18:$18)+100)/100</f>
        <v>1</v>
      </c>
      <c r="R36" s="2772" t="n">
        <f aca="false">IF(B36="",0,ROUND($R$24*C36*E36*G36*I36*K36*M36*O36*Q36,0))</f>
        <v>0</v>
      </c>
      <c r="S36" s="2771" t="n">
        <f aca="false">ROUND(R36*B36/10000,0)</f>
        <v>0</v>
      </c>
    </row>
    <row r="37" customFormat="false" ht="12.75" hidden="false" customHeight="false" outlineLevel="0" collapsed="false">
      <c r="A37" s="1016"/>
      <c r="B37" s="2781"/>
      <c r="C37" s="478" t="n">
        <f aca="false">IF(B37="",1,(LOOKUP(B37,$3:$3,$4:$4)-LOOKUP($B$24,$3:$3,$4:$4)+100)/100)</f>
        <v>1</v>
      </c>
      <c r="D37" s="2782"/>
      <c r="E37" s="478" t="n">
        <f aca="false">(SUMIF($5:$5,D37,$6:$6)-SUMIF($5:$5,$D$24,$6:$6)+100)/100</f>
        <v>1</v>
      </c>
      <c r="F37" s="2782"/>
      <c r="G37" s="478" t="n">
        <f aca="false">(SUMIF($7:$7,F37,$8:$8)-SUMIF($7:$7,$F$24,$8:$8)+100)/100</f>
        <v>1</v>
      </c>
      <c r="H37" s="2782"/>
      <c r="I37" s="478" t="n">
        <f aca="false">(SUMIF($9:$9,H37,$10:$10)-SUMIF($9:$9,$H$24,$10:$10)+100)/100</f>
        <v>1</v>
      </c>
      <c r="J37" s="2782"/>
      <c r="K37" s="478" t="n">
        <f aca="false">(SUMIF($11:$11,J37,$12:$12)-SUMIF($11:$11,$J$24,$12:$12)+100)/100</f>
        <v>1</v>
      </c>
      <c r="L37" s="2782"/>
      <c r="M37" s="478" t="n">
        <f aca="false">(SUMIF($13:$13,L37,$14:$14)-SUMIF($13:$13,$L$24,$14:$14)+100)/100</f>
        <v>1</v>
      </c>
      <c r="N37" s="2782"/>
      <c r="O37" s="478" t="n">
        <f aca="false">(SUMIF($15:$15,N37,$16:$16)-SUMIF($15:$15,$N$24,$16:$16)+100)/100</f>
        <v>1</v>
      </c>
      <c r="P37" s="2782"/>
      <c r="Q37" s="478" t="n">
        <f aca="false">(SUMIF($17:$17,P37,$18:$18)-SUMIF($17:$17,$P$24,$18:$18)+100)/100</f>
        <v>1</v>
      </c>
      <c r="R37" s="2772" t="n">
        <f aca="false">IF(B37="",0,ROUND($R$24*C37*E37*G37*I37*K37*M37*O37*Q37,0))</f>
        <v>0</v>
      </c>
      <c r="S37" s="2771" t="n">
        <f aca="false">ROUND(R37*B37/10000,0)</f>
        <v>0</v>
      </c>
    </row>
    <row r="38" customFormat="false" ht="12.75" hidden="false" customHeight="false" outlineLevel="0" collapsed="false">
      <c r="A38" s="1016"/>
      <c r="B38" s="2781"/>
      <c r="C38" s="478" t="n">
        <f aca="false">IF(B38="",1,(LOOKUP(B38,$3:$3,$4:$4)-LOOKUP($B$24,$3:$3,$4:$4)+100)/100)</f>
        <v>1</v>
      </c>
      <c r="D38" s="2782"/>
      <c r="E38" s="478" t="n">
        <f aca="false">(SUMIF($5:$5,D38,$6:$6)-SUMIF($5:$5,$D$24,$6:$6)+100)/100</f>
        <v>1</v>
      </c>
      <c r="F38" s="2782"/>
      <c r="G38" s="478" t="n">
        <f aca="false">(SUMIF($7:$7,F38,$8:$8)-SUMIF($7:$7,$F$24,$8:$8)+100)/100</f>
        <v>1</v>
      </c>
      <c r="H38" s="2782"/>
      <c r="I38" s="478" t="n">
        <f aca="false">(SUMIF($9:$9,H38,$10:$10)-SUMIF($9:$9,$H$24,$10:$10)+100)/100</f>
        <v>1</v>
      </c>
      <c r="J38" s="2782"/>
      <c r="K38" s="478" t="n">
        <f aca="false">(SUMIF($11:$11,J38,$12:$12)-SUMIF($11:$11,$J$24,$12:$12)+100)/100</f>
        <v>1</v>
      </c>
      <c r="L38" s="2782"/>
      <c r="M38" s="478" t="n">
        <f aca="false">(SUMIF($13:$13,L38,$14:$14)-SUMIF($13:$13,$L$24,$14:$14)+100)/100</f>
        <v>1</v>
      </c>
      <c r="N38" s="2782"/>
      <c r="O38" s="478" t="n">
        <f aca="false">(SUMIF($15:$15,N38,$16:$16)-SUMIF($15:$15,$N$24,$16:$16)+100)/100</f>
        <v>1</v>
      </c>
      <c r="P38" s="2782"/>
      <c r="Q38" s="478" t="n">
        <f aca="false">(SUMIF($17:$17,P38,$18:$18)-SUMIF($17:$17,$P$24,$18:$18)+100)/100</f>
        <v>1</v>
      </c>
      <c r="R38" s="2772" t="n">
        <f aca="false">IF(B38="",0,ROUND($R$24*C38*E38*G38*I38*K38*M38*O38*Q38,0))</f>
        <v>0</v>
      </c>
      <c r="S38" s="2771" t="n">
        <f aca="false">ROUND(R38*B38/10000,0)</f>
        <v>0</v>
      </c>
    </row>
    <row r="39" customFormat="false" ht="12.75" hidden="false" customHeight="false" outlineLevel="0" collapsed="false">
      <c r="A39" s="1016"/>
      <c r="B39" s="2781"/>
      <c r="C39" s="478" t="n">
        <f aca="false">IF(B39="",1,(LOOKUP(B39,$3:$3,$4:$4)-LOOKUP($B$24,$3:$3,$4:$4)+100)/100)</f>
        <v>1</v>
      </c>
      <c r="D39" s="2782"/>
      <c r="E39" s="478" t="n">
        <f aca="false">(SUMIF($5:$5,D39,$6:$6)-SUMIF($5:$5,$D$24,$6:$6)+100)/100</f>
        <v>1</v>
      </c>
      <c r="F39" s="2782"/>
      <c r="G39" s="478" t="n">
        <f aca="false">(SUMIF($7:$7,F39,$8:$8)-SUMIF($7:$7,$F$24,$8:$8)+100)/100</f>
        <v>1</v>
      </c>
      <c r="H39" s="2782"/>
      <c r="I39" s="478" t="n">
        <f aca="false">(SUMIF($9:$9,H39,$10:$10)-SUMIF($9:$9,$H$24,$10:$10)+100)/100</f>
        <v>1</v>
      </c>
      <c r="J39" s="2782"/>
      <c r="K39" s="478" t="n">
        <f aca="false">(SUMIF($11:$11,J39,$12:$12)-SUMIF($11:$11,$J$24,$12:$12)+100)/100</f>
        <v>1</v>
      </c>
      <c r="L39" s="2782"/>
      <c r="M39" s="478" t="n">
        <f aca="false">(SUMIF($13:$13,L39,$14:$14)-SUMIF($13:$13,$L$24,$14:$14)+100)/100</f>
        <v>1</v>
      </c>
      <c r="N39" s="2782"/>
      <c r="O39" s="478" t="n">
        <f aca="false">(SUMIF($15:$15,N39,$16:$16)-SUMIF($15:$15,$N$24,$16:$16)+100)/100</f>
        <v>1</v>
      </c>
      <c r="P39" s="2782"/>
      <c r="Q39" s="478" t="n">
        <f aca="false">(SUMIF($17:$17,P39,$18:$18)-SUMIF($17:$17,$P$24,$18:$18)+100)/100</f>
        <v>1</v>
      </c>
      <c r="R39" s="2772" t="n">
        <f aca="false">IF(B39="",0,ROUND($R$24*C39*E39*G39*I39*K39*M39*O39*Q39,0))</f>
        <v>0</v>
      </c>
      <c r="S39" s="2771" t="n">
        <f aca="false">ROUND(R39*B39/10000,0)</f>
        <v>0</v>
      </c>
    </row>
    <row r="40" customFormat="false" ht="12.75" hidden="false" customHeight="false" outlineLevel="0" collapsed="false">
      <c r="A40" s="1016"/>
      <c r="B40" s="2781"/>
      <c r="C40" s="478" t="n">
        <f aca="false">IF(B40="",1,(LOOKUP(B40,$3:$3,$4:$4)-LOOKUP($B$24,$3:$3,$4:$4)+100)/100)</f>
        <v>1</v>
      </c>
      <c r="D40" s="2782"/>
      <c r="E40" s="478" t="n">
        <f aca="false">(SUMIF($5:$5,D40,$6:$6)-SUMIF($5:$5,$D$24,$6:$6)+100)/100</f>
        <v>1</v>
      </c>
      <c r="F40" s="2782"/>
      <c r="G40" s="478" t="n">
        <f aca="false">(SUMIF($7:$7,F40,$8:$8)-SUMIF($7:$7,$F$24,$8:$8)+100)/100</f>
        <v>1</v>
      </c>
      <c r="H40" s="2782"/>
      <c r="I40" s="478" t="n">
        <f aca="false">(SUMIF($9:$9,H40,$10:$10)-SUMIF($9:$9,$H$24,$10:$10)+100)/100</f>
        <v>1</v>
      </c>
      <c r="J40" s="2782"/>
      <c r="K40" s="478" t="n">
        <f aca="false">(SUMIF($11:$11,J40,$12:$12)-SUMIF($11:$11,$J$24,$12:$12)+100)/100</f>
        <v>1</v>
      </c>
      <c r="L40" s="2782"/>
      <c r="M40" s="478" t="n">
        <f aca="false">(SUMIF($13:$13,L40,$14:$14)-SUMIF($13:$13,$L$24,$14:$14)+100)/100</f>
        <v>1</v>
      </c>
      <c r="N40" s="2782"/>
      <c r="O40" s="478" t="n">
        <f aca="false">(SUMIF($15:$15,N40,$16:$16)-SUMIF($15:$15,$N$24,$16:$16)+100)/100</f>
        <v>1</v>
      </c>
      <c r="P40" s="2782"/>
      <c r="Q40" s="478" t="n">
        <f aca="false">(SUMIF($17:$17,P40,$18:$18)-SUMIF($17:$17,$P$24,$18:$18)+100)/100</f>
        <v>1</v>
      </c>
      <c r="R40" s="2772" t="n">
        <f aca="false">IF(B40="",0,ROUND($R$24*C40*E40*G40*I40*K40*M40*O40*Q40,0))</f>
        <v>0</v>
      </c>
      <c r="S40" s="2771" t="n">
        <f aca="false">ROUND(R40*B40/10000,0)</f>
        <v>0</v>
      </c>
    </row>
    <row r="41" customFormat="false" ht="12.75" hidden="false" customHeight="false" outlineLevel="0" collapsed="false">
      <c r="A41" s="1016"/>
      <c r="B41" s="2781"/>
      <c r="C41" s="478" t="n">
        <f aca="false">IF(B41="",1,(LOOKUP(B41,$3:$3,$4:$4)-LOOKUP($B$24,$3:$3,$4:$4)+100)/100)</f>
        <v>1</v>
      </c>
      <c r="D41" s="2782"/>
      <c r="E41" s="478" t="n">
        <f aca="false">(SUMIF($5:$5,D41,$6:$6)-SUMIF($5:$5,$D$24,$6:$6)+100)/100</f>
        <v>1</v>
      </c>
      <c r="F41" s="2782"/>
      <c r="G41" s="478" t="n">
        <f aca="false">(SUMIF($7:$7,F41,$8:$8)-SUMIF($7:$7,$F$24,$8:$8)+100)/100</f>
        <v>1</v>
      </c>
      <c r="H41" s="2782"/>
      <c r="I41" s="478" t="n">
        <f aca="false">(SUMIF($9:$9,H41,$10:$10)-SUMIF($9:$9,$H$24,$10:$10)+100)/100</f>
        <v>1</v>
      </c>
      <c r="J41" s="2782"/>
      <c r="K41" s="478" t="n">
        <f aca="false">(SUMIF($11:$11,J41,$12:$12)-SUMIF($11:$11,$J$24,$12:$12)+100)/100</f>
        <v>1</v>
      </c>
      <c r="L41" s="2782"/>
      <c r="M41" s="478" t="n">
        <f aca="false">(SUMIF($13:$13,L41,$14:$14)-SUMIF($13:$13,$L$24,$14:$14)+100)/100</f>
        <v>1</v>
      </c>
      <c r="N41" s="2782"/>
      <c r="O41" s="478" t="n">
        <f aca="false">(SUMIF($15:$15,N41,$16:$16)-SUMIF($15:$15,$N$24,$16:$16)+100)/100</f>
        <v>1</v>
      </c>
      <c r="P41" s="2782"/>
      <c r="Q41" s="478" t="n">
        <f aca="false">(SUMIF($17:$17,P41,$18:$18)-SUMIF($17:$17,$P$24,$18:$18)+100)/100</f>
        <v>1</v>
      </c>
      <c r="R41" s="2772" t="n">
        <f aca="false">IF(B41="",0,ROUND($R$24*C41*E41*G41*I41*K41*M41*O41*Q41,0))</f>
        <v>0</v>
      </c>
      <c r="S41" s="2771" t="n">
        <f aca="false">ROUND(R41*B41/10000,0)</f>
        <v>0</v>
      </c>
    </row>
    <row r="42" customFormat="false" ht="12.75" hidden="false" customHeight="false" outlineLevel="0" collapsed="false">
      <c r="A42" s="1016"/>
      <c r="B42" s="2781"/>
      <c r="C42" s="478" t="n">
        <f aca="false">IF(B42="",1,(LOOKUP(B42,$3:$3,$4:$4)-LOOKUP($B$24,$3:$3,$4:$4)+100)/100)</f>
        <v>1</v>
      </c>
      <c r="D42" s="2782"/>
      <c r="E42" s="478" t="n">
        <f aca="false">(SUMIF($5:$5,D42,$6:$6)-SUMIF($5:$5,$D$24,$6:$6)+100)/100</f>
        <v>1</v>
      </c>
      <c r="F42" s="2782"/>
      <c r="G42" s="478" t="n">
        <f aca="false">(SUMIF($7:$7,F42,$8:$8)-SUMIF($7:$7,$F$24,$8:$8)+100)/100</f>
        <v>1</v>
      </c>
      <c r="H42" s="2782"/>
      <c r="I42" s="478" t="n">
        <f aca="false">(SUMIF($9:$9,H42,$10:$10)-SUMIF($9:$9,$H$24,$10:$10)+100)/100</f>
        <v>1</v>
      </c>
      <c r="J42" s="2782"/>
      <c r="K42" s="478" t="n">
        <f aca="false">(SUMIF($11:$11,J42,$12:$12)-SUMIF($11:$11,$J$24,$12:$12)+100)/100</f>
        <v>1</v>
      </c>
      <c r="L42" s="2782"/>
      <c r="M42" s="478" t="n">
        <f aca="false">(SUMIF($13:$13,L42,$14:$14)-SUMIF($13:$13,$L$24,$14:$14)+100)/100</f>
        <v>1</v>
      </c>
      <c r="N42" s="2782"/>
      <c r="O42" s="478" t="n">
        <f aca="false">(SUMIF($15:$15,N42,$16:$16)-SUMIF($15:$15,$N$24,$16:$16)+100)/100</f>
        <v>1</v>
      </c>
      <c r="P42" s="2782"/>
      <c r="Q42" s="478" t="n">
        <f aca="false">(SUMIF($17:$17,P42,$18:$18)-SUMIF($17:$17,$P$24,$18:$18)+100)/100</f>
        <v>1</v>
      </c>
      <c r="R42" s="2772" t="n">
        <f aca="false">IF(B42="",0,ROUND($R$24*C42*E42*G42*I42*K42*M42*O42*Q42,0))</f>
        <v>0</v>
      </c>
      <c r="S42" s="2771" t="n">
        <f aca="false">ROUND(R42*B42/10000,0)</f>
        <v>0</v>
      </c>
    </row>
    <row r="43" customFormat="false" ht="12.75" hidden="false" customHeight="false" outlineLevel="0" collapsed="false">
      <c r="A43" s="1016"/>
      <c r="B43" s="2781"/>
      <c r="C43" s="478" t="n">
        <f aca="false">IF(B43="",1,(LOOKUP(B43,$3:$3,$4:$4)-LOOKUP($B$24,$3:$3,$4:$4)+100)/100)</f>
        <v>1</v>
      </c>
      <c r="D43" s="2782"/>
      <c r="E43" s="478" t="n">
        <f aca="false">(SUMIF($5:$5,D43,$6:$6)-SUMIF($5:$5,$D$24,$6:$6)+100)/100</f>
        <v>1</v>
      </c>
      <c r="F43" s="2782"/>
      <c r="G43" s="478" t="n">
        <f aca="false">(SUMIF($7:$7,F43,$8:$8)-SUMIF($7:$7,$F$24,$8:$8)+100)/100</f>
        <v>1</v>
      </c>
      <c r="H43" s="2782"/>
      <c r="I43" s="478" t="n">
        <f aca="false">(SUMIF($9:$9,H43,$10:$10)-SUMIF($9:$9,$H$24,$10:$10)+100)/100</f>
        <v>1</v>
      </c>
      <c r="J43" s="2782"/>
      <c r="K43" s="478" t="n">
        <f aca="false">(SUMIF($11:$11,J43,$12:$12)-SUMIF($11:$11,$J$24,$12:$12)+100)/100</f>
        <v>1</v>
      </c>
      <c r="L43" s="2782"/>
      <c r="M43" s="478" t="n">
        <f aca="false">(SUMIF($13:$13,L43,$14:$14)-SUMIF($13:$13,$L$24,$14:$14)+100)/100</f>
        <v>1</v>
      </c>
      <c r="N43" s="2782"/>
      <c r="O43" s="478" t="n">
        <f aca="false">(SUMIF($15:$15,N43,$16:$16)-SUMIF($15:$15,$N$24,$16:$16)+100)/100</f>
        <v>1</v>
      </c>
      <c r="P43" s="2782"/>
      <c r="Q43" s="478" t="n">
        <f aca="false">(SUMIF($17:$17,P43,$18:$18)-SUMIF($17:$17,$P$24,$18:$18)+100)/100</f>
        <v>1</v>
      </c>
      <c r="R43" s="2772" t="n">
        <f aca="false">IF(B43="",0,ROUND($R$24*C43*E43*G43*I43*K43*M43*O43*Q43,0))</f>
        <v>0</v>
      </c>
      <c r="S43" s="2771" t="n">
        <f aca="false">ROUND(R43*B43/10000,0)</f>
        <v>0</v>
      </c>
    </row>
    <row r="44" customFormat="false" ht="12.75" hidden="false" customHeight="false" outlineLevel="0" collapsed="false">
      <c r="A44" s="1016"/>
      <c r="B44" s="2781"/>
      <c r="C44" s="478" t="n">
        <f aca="false">IF(B44="",1,(LOOKUP(B44,$3:$3,$4:$4)-LOOKUP($B$24,$3:$3,$4:$4)+100)/100)</f>
        <v>1</v>
      </c>
      <c r="D44" s="2782"/>
      <c r="E44" s="478" t="n">
        <f aca="false">(SUMIF($5:$5,D44,$6:$6)-SUMIF($5:$5,$D$24,$6:$6)+100)/100</f>
        <v>1</v>
      </c>
      <c r="F44" s="2782"/>
      <c r="G44" s="478" t="n">
        <f aca="false">(SUMIF($7:$7,F44,$8:$8)-SUMIF($7:$7,$F$24,$8:$8)+100)/100</f>
        <v>1</v>
      </c>
      <c r="H44" s="2782"/>
      <c r="I44" s="478" t="n">
        <f aca="false">(SUMIF($9:$9,H44,$10:$10)-SUMIF($9:$9,$H$24,$10:$10)+100)/100</f>
        <v>1</v>
      </c>
      <c r="J44" s="2782"/>
      <c r="K44" s="478" t="n">
        <f aca="false">(SUMIF($11:$11,J44,$12:$12)-SUMIF($11:$11,$J$24,$12:$12)+100)/100</f>
        <v>1</v>
      </c>
      <c r="L44" s="2782"/>
      <c r="M44" s="478" t="n">
        <f aca="false">(SUMIF($13:$13,L44,$14:$14)-SUMIF($13:$13,$L$24,$14:$14)+100)/100</f>
        <v>1</v>
      </c>
      <c r="N44" s="2782"/>
      <c r="O44" s="478" t="n">
        <f aca="false">(SUMIF($15:$15,N44,$16:$16)-SUMIF($15:$15,$N$24,$16:$16)+100)/100</f>
        <v>1</v>
      </c>
      <c r="P44" s="2782"/>
      <c r="Q44" s="478" t="n">
        <f aca="false">(SUMIF($17:$17,P44,$18:$18)-SUMIF($17:$17,$P$24,$18:$18)+100)/100</f>
        <v>1</v>
      </c>
      <c r="R44" s="2772" t="n">
        <f aca="false">IF(B44="",0,ROUND($R$24*C44*E44*G44*I44*K44*M44*O44*Q44,0))</f>
        <v>0</v>
      </c>
      <c r="S44" s="2771" t="n">
        <f aca="false">ROUND(R44*B44/10000,0)</f>
        <v>0</v>
      </c>
    </row>
    <row r="45" customFormat="false" ht="12.75" hidden="false" customHeight="false" outlineLevel="0" collapsed="false">
      <c r="A45" s="1016"/>
      <c r="B45" s="2781"/>
      <c r="C45" s="478" t="n">
        <f aca="false">IF(B45="",1,(LOOKUP(B45,$3:$3,$4:$4)-LOOKUP($B$24,$3:$3,$4:$4)+100)/100)</f>
        <v>1</v>
      </c>
      <c r="D45" s="2782"/>
      <c r="E45" s="478" t="n">
        <f aca="false">(SUMIF($5:$5,D45,$6:$6)-SUMIF($5:$5,$D$24,$6:$6)+100)/100</f>
        <v>1</v>
      </c>
      <c r="F45" s="2782"/>
      <c r="G45" s="478" t="n">
        <f aca="false">(SUMIF($7:$7,F45,$8:$8)-SUMIF($7:$7,$F$24,$8:$8)+100)/100</f>
        <v>1</v>
      </c>
      <c r="H45" s="2782"/>
      <c r="I45" s="478" t="n">
        <f aca="false">(SUMIF($9:$9,H45,$10:$10)-SUMIF($9:$9,$H$24,$10:$10)+100)/100</f>
        <v>1</v>
      </c>
      <c r="J45" s="2782"/>
      <c r="K45" s="478" t="n">
        <f aca="false">(SUMIF($11:$11,J45,$12:$12)-SUMIF($11:$11,$J$24,$12:$12)+100)/100</f>
        <v>1</v>
      </c>
      <c r="L45" s="2782"/>
      <c r="M45" s="478" t="n">
        <f aca="false">(SUMIF($13:$13,L45,$14:$14)-SUMIF($13:$13,$L$24,$14:$14)+100)/100</f>
        <v>1</v>
      </c>
      <c r="N45" s="2782"/>
      <c r="O45" s="478" t="n">
        <f aca="false">(SUMIF($15:$15,N45,$16:$16)-SUMIF($15:$15,$N$24,$16:$16)+100)/100</f>
        <v>1</v>
      </c>
      <c r="P45" s="2782"/>
      <c r="Q45" s="478" t="n">
        <f aca="false">(SUMIF($17:$17,P45,$18:$18)-SUMIF($17:$17,$P$24,$18:$18)+100)/100</f>
        <v>1</v>
      </c>
      <c r="R45" s="2772" t="n">
        <f aca="false">IF(B45="",0,ROUND($R$24*C45*E45*G45*I45*K45*M45*O45*Q45,0))</f>
        <v>0</v>
      </c>
      <c r="S45" s="2771" t="n">
        <f aca="false">ROUND(R45*B45/10000,0)</f>
        <v>0</v>
      </c>
    </row>
    <row r="46" customFormat="false" ht="12.75" hidden="false" customHeight="false" outlineLevel="0" collapsed="false">
      <c r="A46" s="1016"/>
      <c r="B46" s="2781"/>
      <c r="C46" s="478" t="n">
        <f aca="false">IF(B46="",1,(LOOKUP(B46,$3:$3,$4:$4)-LOOKUP($B$24,$3:$3,$4:$4)+100)/100)</f>
        <v>1</v>
      </c>
      <c r="D46" s="2782"/>
      <c r="E46" s="478" t="n">
        <f aca="false">(SUMIF($5:$5,D46,$6:$6)-SUMIF($5:$5,$D$24,$6:$6)+100)/100</f>
        <v>1</v>
      </c>
      <c r="F46" s="2782"/>
      <c r="G46" s="478" t="n">
        <f aca="false">(SUMIF($7:$7,F46,$8:$8)-SUMIF($7:$7,$F$24,$8:$8)+100)/100</f>
        <v>1</v>
      </c>
      <c r="H46" s="2782"/>
      <c r="I46" s="478" t="n">
        <f aca="false">(SUMIF($9:$9,H46,$10:$10)-SUMIF($9:$9,$H$24,$10:$10)+100)/100</f>
        <v>1</v>
      </c>
      <c r="J46" s="2782"/>
      <c r="K46" s="478" t="n">
        <f aca="false">(SUMIF($11:$11,J46,$12:$12)-SUMIF($11:$11,$J$24,$12:$12)+100)/100</f>
        <v>1</v>
      </c>
      <c r="L46" s="2782"/>
      <c r="M46" s="478" t="n">
        <f aca="false">(SUMIF($13:$13,L46,$14:$14)-SUMIF($13:$13,$L$24,$14:$14)+100)/100</f>
        <v>1</v>
      </c>
      <c r="N46" s="2782"/>
      <c r="O46" s="478" t="n">
        <f aca="false">(SUMIF($15:$15,N46,$16:$16)-SUMIF($15:$15,$N$24,$16:$16)+100)/100</f>
        <v>1</v>
      </c>
      <c r="P46" s="2782"/>
      <c r="Q46" s="478" t="n">
        <f aca="false">(SUMIF($17:$17,P46,$18:$18)-SUMIF($17:$17,$P$24,$18:$18)+100)/100</f>
        <v>1</v>
      </c>
      <c r="R46" s="2772" t="n">
        <f aca="false">IF(B46="",0,ROUND($R$24*C46*E46*G46*I46*K46*M46*O46*Q46,0))</f>
        <v>0</v>
      </c>
      <c r="S46" s="2771" t="n">
        <f aca="false">ROUND(R46*B46/10000,0)</f>
        <v>0</v>
      </c>
    </row>
    <row r="47" customFormat="false" ht="12.75" hidden="false" customHeight="false" outlineLevel="0" collapsed="false">
      <c r="A47" s="1016"/>
      <c r="B47" s="2781"/>
      <c r="C47" s="478" t="n">
        <f aca="false">IF(B47="",1,(LOOKUP(B47,$3:$3,$4:$4)-LOOKUP($B$24,$3:$3,$4:$4)+100)/100)</f>
        <v>1</v>
      </c>
      <c r="D47" s="2782"/>
      <c r="E47" s="478" t="n">
        <f aca="false">(SUMIF($5:$5,D47,$6:$6)-SUMIF($5:$5,$D$24,$6:$6)+100)/100</f>
        <v>1</v>
      </c>
      <c r="F47" s="2782"/>
      <c r="G47" s="478" t="n">
        <f aca="false">(SUMIF($7:$7,F47,$8:$8)-SUMIF($7:$7,$F$24,$8:$8)+100)/100</f>
        <v>1</v>
      </c>
      <c r="H47" s="2782"/>
      <c r="I47" s="478" t="n">
        <f aca="false">(SUMIF($9:$9,H47,$10:$10)-SUMIF($9:$9,$H$24,$10:$10)+100)/100</f>
        <v>1</v>
      </c>
      <c r="J47" s="2782"/>
      <c r="K47" s="478" t="n">
        <f aca="false">(SUMIF($11:$11,J47,$12:$12)-SUMIF($11:$11,$J$24,$12:$12)+100)/100</f>
        <v>1</v>
      </c>
      <c r="L47" s="2782"/>
      <c r="M47" s="478" t="n">
        <f aca="false">(SUMIF($13:$13,L47,$14:$14)-SUMIF($13:$13,$L$24,$14:$14)+100)/100</f>
        <v>1</v>
      </c>
      <c r="N47" s="2782"/>
      <c r="O47" s="478" t="n">
        <f aca="false">(SUMIF($15:$15,N47,$16:$16)-SUMIF($15:$15,$N$24,$16:$16)+100)/100</f>
        <v>1</v>
      </c>
      <c r="P47" s="2782"/>
      <c r="Q47" s="478" t="n">
        <f aca="false">(SUMIF($17:$17,P47,$18:$18)-SUMIF($17:$17,$P$24,$18:$18)+100)/100</f>
        <v>1</v>
      </c>
      <c r="R47" s="2772" t="n">
        <f aca="false">IF(B47="",0,ROUND($R$24*C47*E47*G47*I47*K47*M47*O47*Q47,0))</f>
        <v>0</v>
      </c>
      <c r="S47" s="2771" t="n">
        <f aca="false">ROUND(R47*B47/10000,0)</f>
        <v>0</v>
      </c>
    </row>
    <row r="48" customFormat="false" ht="12.75" hidden="false" customHeight="false" outlineLevel="0" collapsed="false">
      <c r="A48" s="1016"/>
      <c r="B48" s="2781"/>
      <c r="C48" s="478" t="n">
        <f aca="false">IF(B48="",1,(LOOKUP(B48,$3:$3,$4:$4)-LOOKUP($B$24,$3:$3,$4:$4)+100)/100)</f>
        <v>1</v>
      </c>
      <c r="D48" s="2782"/>
      <c r="E48" s="478" t="n">
        <f aca="false">(SUMIF($5:$5,D48,$6:$6)-SUMIF($5:$5,$D$24,$6:$6)+100)/100</f>
        <v>1</v>
      </c>
      <c r="F48" s="2782"/>
      <c r="G48" s="478" t="n">
        <f aca="false">(SUMIF($7:$7,F48,$8:$8)-SUMIF($7:$7,$F$24,$8:$8)+100)/100</f>
        <v>1</v>
      </c>
      <c r="H48" s="2782"/>
      <c r="I48" s="478" t="n">
        <f aca="false">(SUMIF($9:$9,H48,$10:$10)-SUMIF($9:$9,$H$24,$10:$10)+100)/100</f>
        <v>1</v>
      </c>
      <c r="J48" s="2782"/>
      <c r="K48" s="478" t="n">
        <f aca="false">(SUMIF($11:$11,J48,$12:$12)-SUMIF($11:$11,$J$24,$12:$12)+100)/100</f>
        <v>1</v>
      </c>
      <c r="L48" s="2782"/>
      <c r="M48" s="478" t="n">
        <f aca="false">(SUMIF($13:$13,L48,$14:$14)-SUMIF($13:$13,$L$24,$14:$14)+100)/100</f>
        <v>1</v>
      </c>
      <c r="N48" s="2782"/>
      <c r="O48" s="478" t="n">
        <f aca="false">(SUMIF($15:$15,N48,$16:$16)-SUMIF($15:$15,$N$24,$16:$16)+100)/100</f>
        <v>1</v>
      </c>
      <c r="P48" s="2782"/>
      <c r="Q48" s="478" t="n">
        <f aca="false">(SUMIF($17:$17,P48,$18:$18)-SUMIF($17:$17,$P$24,$18:$18)+100)/100</f>
        <v>1</v>
      </c>
      <c r="R48" s="2772" t="n">
        <f aca="false">IF(B48="",0,ROUND($R$24*C48*E48*G48*I48*K48*M48*O48*Q48,0))</f>
        <v>0</v>
      </c>
      <c r="S48" s="2771" t="n">
        <f aca="false">ROUND(R48*B48/10000,0)</f>
        <v>0</v>
      </c>
    </row>
    <row r="49" customFormat="false" ht="12.75" hidden="false" customHeight="false" outlineLevel="0" collapsed="false">
      <c r="A49" s="1016"/>
      <c r="B49" s="2781"/>
      <c r="C49" s="478" t="n">
        <f aca="false">IF(B49="",1,(LOOKUP(B49,$3:$3,$4:$4)-LOOKUP($B$24,$3:$3,$4:$4)+100)/100)</f>
        <v>1</v>
      </c>
      <c r="D49" s="2782"/>
      <c r="E49" s="478" t="n">
        <f aca="false">(SUMIF($5:$5,D49,$6:$6)-SUMIF($5:$5,$D$24,$6:$6)+100)/100</f>
        <v>1</v>
      </c>
      <c r="F49" s="2782"/>
      <c r="G49" s="478" t="n">
        <f aca="false">(SUMIF($7:$7,F49,$8:$8)-SUMIF($7:$7,$F$24,$8:$8)+100)/100</f>
        <v>1</v>
      </c>
      <c r="H49" s="2782"/>
      <c r="I49" s="478" t="n">
        <f aca="false">(SUMIF($9:$9,H49,$10:$10)-SUMIF($9:$9,$H$24,$10:$10)+100)/100</f>
        <v>1</v>
      </c>
      <c r="J49" s="2782"/>
      <c r="K49" s="478" t="n">
        <f aca="false">(SUMIF($11:$11,J49,$12:$12)-SUMIF($11:$11,$J$24,$12:$12)+100)/100</f>
        <v>1</v>
      </c>
      <c r="L49" s="2782"/>
      <c r="M49" s="478" t="n">
        <f aca="false">(SUMIF($13:$13,L49,$14:$14)-SUMIF($13:$13,$L$24,$14:$14)+100)/100</f>
        <v>1</v>
      </c>
      <c r="N49" s="2782"/>
      <c r="O49" s="478" t="n">
        <f aca="false">(SUMIF($15:$15,N49,$16:$16)-SUMIF($15:$15,$N$24,$16:$16)+100)/100</f>
        <v>1</v>
      </c>
      <c r="P49" s="2782"/>
      <c r="Q49" s="478" t="n">
        <f aca="false">(SUMIF($17:$17,P49,$18:$18)-SUMIF($17:$17,$P$24,$18:$18)+100)/100</f>
        <v>1</v>
      </c>
      <c r="R49" s="2772" t="n">
        <f aca="false">IF(B49="",0,ROUND($R$24*C49*E49*G49*I49*K49*M49*O49*Q49,0))</f>
        <v>0</v>
      </c>
      <c r="S49" s="2771" t="n">
        <f aca="false">ROUND(R49*B49/10000,0)</f>
        <v>0</v>
      </c>
    </row>
    <row r="50" customFormat="false" ht="12.75" hidden="false" customHeight="false" outlineLevel="0" collapsed="false">
      <c r="A50" s="1016"/>
      <c r="B50" s="2781"/>
      <c r="C50" s="478" t="n">
        <f aca="false">IF(B50="",1,(LOOKUP(B50,$3:$3,$4:$4)-LOOKUP($B$24,$3:$3,$4:$4)+100)/100)</f>
        <v>1</v>
      </c>
      <c r="D50" s="2782"/>
      <c r="E50" s="478" t="n">
        <f aca="false">(SUMIF($5:$5,D50,$6:$6)-SUMIF($5:$5,$D$24,$6:$6)+100)/100</f>
        <v>1</v>
      </c>
      <c r="F50" s="2782"/>
      <c r="G50" s="478" t="n">
        <f aca="false">(SUMIF($7:$7,F50,$8:$8)-SUMIF($7:$7,$F$24,$8:$8)+100)/100</f>
        <v>1</v>
      </c>
      <c r="H50" s="2782"/>
      <c r="I50" s="478" t="n">
        <f aca="false">(SUMIF($9:$9,H50,$10:$10)-SUMIF($9:$9,$H$24,$10:$10)+100)/100</f>
        <v>1</v>
      </c>
      <c r="J50" s="2782"/>
      <c r="K50" s="478" t="n">
        <f aca="false">(SUMIF($11:$11,J50,$12:$12)-SUMIF($11:$11,$J$24,$12:$12)+100)/100</f>
        <v>1</v>
      </c>
      <c r="L50" s="2782"/>
      <c r="M50" s="478" t="n">
        <f aca="false">(SUMIF($13:$13,L50,$14:$14)-SUMIF($13:$13,$L$24,$14:$14)+100)/100</f>
        <v>1</v>
      </c>
      <c r="N50" s="2782"/>
      <c r="O50" s="478" t="n">
        <f aca="false">(SUMIF($15:$15,N50,$16:$16)-SUMIF($15:$15,$N$24,$16:$16)+100)/100</f>
        <v>1</v>
      </c>
      <c r="P50" s="2782"/>
      <c r="Q50" s="478" t="n">
        <f aca="false">(SUMIF($17:$17,P50,$18:$18)-SUMIF($17:$17,$P$24,$18:$18)+100)/100</f>
        <v>1</v>
      </c>
      <c r="R50" s="2772" t="n">
        <f aca="false">IF(B50="",0,ROUND($R$24*C50*E50*G50*I50*K50*M50*O50*Q50,0))</f>
        <v>0</v>
      </c>
      <c r="S50" s="2771" t="n">
        <f aca="false">ROUND(R50*B50/10000,0)</f>
        <v>0</v>
      </c>
    </row>
    <row r="51" customFormat="false" ht="12.75" hidden="false" customHeight="false" outlineLevel="0" collapsed="false">
      <c r="A51" s="1016"/>
      <c r="B51" s="2781"/>
      <c r="C51" s="478" t="n">
        <f aca="false">IF(B51="",1,(LOOKUP(B51,$3:$3,$4:$4)-LOOKUP($B$24,$3:$3,$4:$4)+100)/100)</f>
        <v>1</v>
      </c>
      <c r="D51" s="2782"/>
      <c r="E51" s="478" t="n">
        <f aca="false">(SUMIF($5:$5,D51,$6:$6)-SUMIF($5:$5,$D$24,$6:$6)+100)/100</f>
        <v>1</v>
      </c>
      <c r="F51" s="2782"/>
      <c r="G51" s="478" t="n">
        <f aca="false">(SUMIF($7:$7,F51,$8:$8)-SUMIF($7:$7,$F$24,$8:$8)+100)/100</f>
        <v>1</v>
      </c>
      <c r="H51" s="2782"/>
      <c r="I51" s="478" t="n">
        <f aca="false">(SUMIF($9:$9,H51,$10:$10)-SUMIF($9:$9,$H$24,$10:$10)+100)/100</f>
        <v>1</v>
      </c>
      <c r="J51" s="2782"/>
      <c r="K51" s="478" t="n">
        <f aca="false">(SUMIF($11:$11,J51,$12:$12)-SUMIF($11:$11,$J$24,$12:$12)+100)/100</f>
        <v>1</v>
      </c>
      <c r="L51" s="2782"/>
      <c r="M51" s="478" t="n">
        <f aca="false">(SUMIF($13:$13,L51,$14:$14)-SUMIF($13:$13,$L$24,$14:$14)+100)/100</f>
        <v>1</v>
      </c>
      <c r="N51" s="2782"/>
      <c r="O51" s="478" t="n">
        <f aca="false">(SUMIF($15:$15,N51,$16:$16)-SUMIF($15:$15,$N$24,$16:$16)+100)/100</f>
        <v>1</v>
      </c>
      <c r="P51" s="2782"/>
      <c r="Q51" s="478" t="n">
        <f aca="false">(SUMIF($17:$17,P51,$18:$18)-SUMIF($17:$17,$P$24,$18:$18)+100)/100</f>
        <v>1</v>
      </c>
      <c r="R51" s="2772" t="n">
        <f aca="false">IF(B51="",0,ROUND($R$24*C51*E51*G51*I51*K51*M51*O51*Q51,0))</f>
        <v>0</v>
      </c>
      <c r="S51" s="2771" t="n">
        <f aca="false">ROUND(R51*B51/10000,0)</f>
        <v>0</v>
      </c>
    </row>
    <row r="52" customFormat="false" ht="12.75" hidden="false" customHeight="false" outlineLevel="0" collapsed="false">
      <c r="A52" s="1016"/>
      <c r="B52" s="2781"/>
      <c r="C52" s="478" t="n">
        <f aca="false">IF(B52="",1,(LOOKUP(B52,$3:$3,$4:$4)-LOOKUP($B$24,$3:$3,$4:$4)+100)/100)</f>
        <v>1</v>
      </c>
      <c r="D52" s="2782"/>
      <c r="E52" s="478" t="n">
        <f aca="false">(SUMIF($5:$5,D52,$6:$6)-SUMIF($5:$5,$D$24,$6:$6)+100)/100</f>
        <v>1</v>
      </c>
      <c r="F52" s="2782"/>
      <c r="G52" s="478" t="n">
        <f aca="false">(SUMIF($7:$7,F52,$8:$8)-SUMIF($7:$7,$F$24,$8:$8)+100)/100</f>
        <v>1</v>
      </c>
      <c r="H52" s="2782"/>
      <c r="I52" s="478" t="n">
        <f aca="false">(SUMIF($9:$9,H52,$10:$10)-SUMIF($9:$9,$H$24,$10:$10)+100)/100</f>
        <v>1</v>
      </c>
      <c r="J52" s="2782"/>
      <c r="K52" s="478" t="n">
        <f aca="false">(SUMIF($11:$11,J52,$12:$12)-SUMIF($11:$11,$J$24,$12:$12)+100)/100</f>
        <v>1</v>
      </c>
      <c r="L52" s="2782"/>
      <c r="M52" s="478" t="n">
        <f aca="false">(SUMIF($13:$13,L52,$14:$14)-SUMIF($13:$13,$L$24,$14:$14)+100)/100</f>
        <v>1</v>
      </c>
      <c r="N52" s="2782"/>
      <c r="O52" s="478" t="n">
        <f aca="false">(SUMIF($15:$15,N52,$16:$16)-SUMIF($15:$15,$N$24,$16:$16)+100)/100</f>
        <v>1</v>
      </c>
      <c r="P52" s="2782"/>
      <c r="Q52" s="478" t="n">
        <f aca="false">(SUMIF($17:$17,P52,$18:$18)-SUMIF($17:$17,$P$24,$18:$18)+100)/100</f>
        <v>1</v>
      </c>
      <c r="R52" s="2772" t="n">
        <f aca="false">IF(B52="",0,ROUND($R$24*C52*E52*G52*I52*K52*M52*O52*Q52,0))</f>
        <v>0</v>
      </c>
      <c r="S52" s="2771" t="n">
        <f aca="false">ROUND(R52*B52/10000,0)</f>
        <v>0</v>
      </c>
    </row>
    <row r="53" customFormat="false" ht="12.75" hidden="false" customHeight="false" outlineLevel="0" collapsed="false">
      <c r="A53" s="1016"/>
      <c r="B53" s="2781"/>
      <c r="C53" s="478" t="n">
        <f aca="false">IF(B53="",1,(LOOKUP(B53,$3:$3,$4:$4)-LOOKUP($B$24,$3:$3,$4:$4)+100)/100)</f>
        <v>1</v>
      </c>
      <c r="D53" s="2782"/>
      <c r="E53" s="478" t="n">
        <f aca="false">(SUMIF($5:$5,D53,$6:$6)-SUMIF($5:$5,$D$24,$6:$6)+100)/100</f>
        <v>1</v>
      </c>
      <c r="F53" s="2782"/>
      <c r="G53" s="478" t="n">
        <f aca="false">(SUMIF($7:$7,F53,$8:$8)-SUMIF($7:$7,$F$24,$8:$8)+100)/100</f>
        <v>1</v>
      </c>
      <c r="H53" s="2782"/>
      <c r="I53" s="478" t="n">
        <f aca="false">(SUMIF($9:$9,H53,$10:$10)-SUMIF($9:$9,$H$24,$10:$10)+100)/100</f>
        <v>1</v>
      </c>
      <c r="J53" s="2782"/>
      <c r="K53" s="478" t="n">
        <f aca="false">(SUMIF($11:$11,J53,$12:$12)-SUMIF($11:$11,$J$24,$12:$12)+100)/100</f>
        <v>1</v>
      </c>
      <c r="L53" s="2782"/>
      <c r="M53" s="478" t="n">
        <f aca="false">(SUMIF($13:$13,L53,$14:$14)-SUMIF($13:$13,$L$24,$14:$14)+100)/100</f>
        <v>1</v>
      </c>
      <c r="N53" s="2782"/>
      <c r="O53" s="478" t="n">
        <f aca="false">(SUMIF($15:$15,N53,$16:$16)-SUMIF($15:$15,$N$24,$16:$16)+100)/100</f>
        <v>1</v>
      </c>
      <c r="P53" s="2782"/>
      <c r="Q53" s="478" t="n">
        <f aca="false">(SUMIF($17:$17,P53,$18:$18)-SUMIF($17:$17,$P$24,$18:$18)+100)/100</f>
        <v>1</v>
      </c>
      <c r="R53" s="2772" t="n">
        <f aca="false">IF(B53="",0,ROUND($R$24*C53*E53*G53*I53*K53*M53*O53*Q53,0))</f>
        <v>0</v>
      </c>
      <c r="S53" s="2771" t="n">
        <f aca="false">ROUND(R53*B53/10000,0)</f>
        <v>0</v>
      </c>
    </row>
    <row r="54" customFormat="false" ht="12.75" hidden="false" customHeight="false" outlineLevel="0" collapsed="false">
      <c r="A54" s="1016"/>
      <c r="B54" s="2781"/>
      <c r="C54" s="478" t="n">
        <f aca="false">IF(B54="",1,(LOOKUP(B54,$3:$3,$4:$4)-LOOKUP($B$24,$3:$3,$4:$4)+100)/100)</f>
        <v>1</v>
      </c>
      <c r="D54" s="2782"/>
      <c r="E54" s="478" t="n">
        <f aca="false">(SUMIF($5:$5,D54,$6:$6)-SUMIF($5:$5,$D$24,$6:$6)+100)/100</f>
        <v>1</v>
      </c>
      <c r="F54" s="2782"/>
      <c r="G54" s="478" t="n">
        <f aca="false">(SUMIF($7:$7,F54,$8:$8)-SUMIF($7:$7,$F$24,$8:$8)+100)/100</f>
        <v>1</v>
      </c>
      <c r="H54" s="2782"/>
      <c r="I54" s="478" t="n">
        <f aca="false">(SUMIF($9:$9,H54,$10:$10)-SUMIF($9:$9,$H$24,$10:$10)+100)/100</f>
        <v>1</v>
      </c>
      <c r="J54" s="2782"/>
      <c r="K54" s="478" t="n">
        <f aca="false">(SUMIF($11:$11,J54,$12:$12)-SUMIF($11:$11,$J$24,$12:$12)+100)/100</f>
        <v>1</v>
      </c>
      <c r="L54" s="2782"/>
      <c r="M54" s="478" t="n">
        <f aca="false">(SUMIF($13:$13,L54,$14:$14)-SUMIF($13:$13,$L$24,$14:$14)+100)/100</f>
        <v>1</v>
      </c>
      <c r="N54" s="2782"/>
      <c r="O54" s="478" t="n">
        <f aca="false">(SUMIF($15:$15,N54,$16:$16)-SUMIF($15:$15,$N$24,$16:$16)+100)/100</f>
        <v>1</v>
      </c>
      <c r="P54" s="2782"/>
      <c r="Q54" s="478" t="n">
        <f aca="false">(SUMIF($17:$17,P54,$18:$18)-SUMIF($17:$17,$P$24,$18:$18)+100)/100</f>
        <v>1</v>
      </c>
      <c r="R54" s="2772" t="n">
        <f aca="false">IF(B54="",0,ROUND($R$24*C54*E54*G54*I54*K54*M54*O54*Q54,0))</f>
        <v>0</v>
      </c>
      <c r="S54" s="2771" t="n">
        <f aca="false">ROUND(R54*B54/10000,0)</f>
        <v>0</v>
      </c>
    </row>
    <row r="55" customFormat="false" ht="12.75" hidden="false" customHeight="false" outlineLevel="0" collapsed="false">
      <c r="A55" s="1016"/>
      <c r="B55" s="2781"/>
      <c r="C55" s="478" t="n">
        <f aca="false">IF(B55="",1,(LOOKUP(B55,$3:$3,$4:$4)-LOOKUP($B$24,$3:$3,$4:$4)+100)/100)</f>
        <v>1</v>
      </c>
      <c r="D55" s="2782"/>
      <c r="E55" s="478" t="n">
        <f aca="false">(SUMIF($5:$5,D55,$6:$6)-SUMIF($5:$5,$D$24,$6:$6)+100)/100</f>
        <v>1</v>
      </c>
      <c r="F55" s="2782"/>
      <c r="G55" s="478" t="n">
        <f aca="false">(SUMIF($7:$7,F55,$8:$8)-SUMIF($7:$7,$F$24,$8:$8)+100)/100</f>
        <v>1</v>
      </c>
      <c r="H55" s="2782"/>
      <c r="I55" s="478" t="n">
        <f aca="false">(SUMIF($9:$9,H55,$10:$10)-SUMIF($9:$9,$H$24,$10:$10)+100)/100</f>
        <v>1</v>
      </c>
      <c r="J55" s="2782"/>
      <c r="K55" s="478" t="n">
        <f aca="false">(SUMIF($11:$11,J55,$12:$12)-SUMIF($11:$11,$J$24,$12:$12)+100)/100</f>
        <v>1</v>
      </c>
      <c r="L55" s="2782"/>
      <c r="M55" s="478" t="n">
        <f aca="false">(SUMIF($13:$13,L55,$14:$14)-SUMIF($13:$13,$L$24,$14:$14)+100)/100</f>
        <v>1</v>
      </c>
      <c r="N55" s="2782"/>
      <c r="O55" s="478" t="n">
        <f aca="false">(SUMIF($15:$15,N55,$16:$16)-SUMIF($15:$15,$N$24,$16:$16)+100)/100</f>
        <v>1</v>
      </c>
      <c r="P55" s="2782"/>
      <c r="Q55" s="478" t="n">
        <f aca="false">(SUMIF($17:$17,P55,$18:$18)-SUMIF($17:$17,$P$24,$18:$18)+100)/100</f>
        <v>1</v>
      </c>
      <c r="R55" s="2772" t="n">
        <f aca="false">IF(B55="",0,ROUND($R$24*C55*E55*G55*I55*K55*M55*O55*Q55,0))</f>
        <v>0</v>
      </c>
      <c r="S55" s="2771" t="n">
        <f aca="false">ROUND(R55*B55/10000,0)</f>
        <v>0</v>
      </c>
    </row>
    <row r="56" customFormat="false" ht="12.75" hidden="false" customHeight="false" outlineLevel="0" collapsed="false">
      <c r="A56" s="1016"/>
      <c r="B56" s="2781"/>
      <c r="C56" s="478" t="n">
        <f aca="false">IF(B56="",1,(LOOKUP(B56,$3:$3,$4:$4)-LOOKUP($B$24,$3:$3,$4:$4)+100)/100)</f>
        <v>1</v>
      </c>
      <c r="D56" s="2782"/>
      <c r="E56" s="478" t="n">
        <f aca="false">(SUMIF($5:$5,D56,$6:$6)-SUMIF($5:$5,$D$24,$6:$6)+100)/100</f>
        <v>1</v>
      </c>
      <c r="F56" s="2782"/>
      <c r="G56" s="478" t="n">
        <f aca="false">(SUMIF($7:$7,F56,$8:$8)-SUMIF($7:$7,$F$24,$8:$8)+100)/100</f>
        <v>1</v>
      </c>
      <c r="H56" s="2782"/>
      <c r="I56" s="478" t="n">
        <f aca="false">(SUMIF($9:$9,H56,$10:$10)-SUMIF($9:$9,$H$24,$10:$10)+100)/100</f>
        <v>1</v>
      </c>
      <c r="J56" s="2782"/>
      <c r="K56" s="478" t="n">
        <f aca="false">(SUMIF($11:$11,J56,$12:$12)-SUMIF($11:$11,$J$24,$12:$12)+100)/100</f>
        <v>1</v>
      </c>
      <c r="L56" s="2782"/>
      <c r="M56" s="478" t="n">
        <f aca="false">(SUMIF($13:$13,L56,$14:$14)-SUMIF($13:$13,$L$24,$14:$14)+100)/100</f>
        <v>1</v>
      </c>
      <c r="N56" s="2782"/>
      <c r="O56" s="478" t="n">
        <f aca="false">(SUMIF($15:$15,N56,$16:$16)-SUMIF($15:$15,$N$24,$16:$16)+100)/100</f>
        <v>1</v>
      </c>
      <c r="P56" s="2782"/>
      <c r="Q56" s="478" t="n">
        <f aca="false">(SUMIF($17:$17,P56,$18:$18)-SUMIF($17:$17,$P$24,$18:$18)+100)/100</f>
        <v>1</v>
      </c>
      <c r="R56" s="2772" t="n">
        <f aca="false">IF(B56="",0,ROUND($R$24*C56*E56*G56*I56*K56*M56*O56*Q56,0))</f>
        <v>0</v>
      </c>
      <c r="S56" s="2771" t="n">
        <f aca="false">ROUND(R56*B56/10000,0)</f>
        <v>0</v>
      </c>
    </row>
    <row r="57" customFormat="false" ht="12.75" hidden="false" customHeight="false" outlineLevel="0" collapsed="false">
      <c r="A57" s="1016"/>
      <c r="B57" s="2781"/>
      <c r="C57" s="478" t="n">
        <f aca="false">IF(B57="",1,(LOOKUP(B57,$3:$3,$4:$4)-LOOKUP($B$24,$3:$3,$4:$4)+100)/100)</f>
        <v>1</v>
      </c>
      <c r="D57" s="2782"/>
      <c r="E57" s="478" t="n">
        <f aca="false">(SUMIF($5:$5,D57,$6:$6)-SUMIF($5:$5,$D$24,$6:$6)+100)/100</f>
        <v>1</v>
      </c>
      <c r="F57" s="2782"/>
      <c r="G57" s="478" t="n">
        <f aca="false">(SUMIF($7:$7,F57,$8:$8)-SUMIF($7:$7,$F$24,$8:$8)+100)/100</f>
        <v>1</v>
      </c>
      <c r="H57" s="2782"/>
      <c r="I57" s="478" t="n">
        <f aca="false">(SUMIF($9:$9,H57,$10:$10)-SUMIF($9:$9,$H$24,$10:$10)+100)/100</f>
        <v>1</v>
      </c>
      <c r="J57" s="2782"/>
      <c r="K57" s="478" t="n">
        <f aca="false">(SUMIF($11:$11,J57,$12:$12)-SUMIF($11:$11,$J$24,$12:$12)+100)/100</f>
        <v>1</v>
      </c>
      <c r="L57" s="2782"/>
      <c r="M57" s="478" t="n">
        <f aca="false">(SUMIF($13:$13,L57,$14:$14)-SUMIF($13:$13,$L$24,$14:$14)+100)/100</f>
        <v>1</v>
      </c>
      <c r="N57" s="2782"/>
      <c r="O57" s="478" t="n">
        <f aca="false">(SUMIF($15:$15,N57,$16:$16)-SUMIF($15:$15,$N$24,$16:$16)+100)/100</f>
        <v>1</v>
      </c>
      <c r="P57" s="2782"/>
      <c r="Q57" s="478" t="n">
        <f aca="false">(SUMIF($17:$17,P57,$18:$18)-SUMIF($17:$17,$P$24,$18:$18)+100)/100</f>
        <v>1</v>
      </c>
      <c r="R57" s="2772" t="n">
        <f aca="false">IF(B57="",0,ROUND($R$24*C57*E57*G57*I57*K57*M57*O57*Q57,0))</f>
        <v>0</v>
      </c>
      <c r="S57" s="2771" t="n">
        <f aca="false">ROUND(R57*B57/10000,0)</f>
        <v>0</v>
      </c>
    </row>
    <row r="58" customFormat="false" ht="12.75" hidden="false" customHeight="false" outlineLevel="0" collapsed="false">
      <c r="A58" s="1016"/>
      <c r="B58" s="2781"/>
      <c r="C58" s="478" t="n">
        <f aca="false">IF(B58="",1,(LOOKUP(B58,$3:$3,$4:$4)-LOOKUP($B$24,$3:$3,$4:$4)+100)/100)</f>
        <v>1</v>
      </c>
      <c r="D58" s="2782"/>
      <c r="E58" s="478" t="n">
        <f aca="false">(SUMIF($5:$5,D58,$6:$6)-SUMIF($5:$5,$D$24,$6:$6)+100)/100</f>
        <v>1</v>
      </c>
      <c r="F58" s="2782"/>
      <c r="G58" s="478" t="n">
        <f aca="false">(SUMIF($7:$7,F58,$8:$8)-SUMIF($7:$7,$F$24,$8:$8)+100)/100</f>
        <v>1</v>
      </c>
      <c r="H58" s="2782"/>
      <c r="I58" s="478" t="n">
        <f aca="false">(SUMIF($9:$9,H58,$10:$10)-SUMIF($9:$9,$H$24,$10:$10)+100)/100</f>
        <v>1</v>
      </c>
      <c r="J58" s="2782"/>
      <c r="K58" s="478" t="n">
        <f aca="false">(SUMIF($11:$11,J58,$12:$12)-SUMIF($11:$11,$J$24,$12:$12)+100)/100</f>
        <v>1</v>
      </c>
      <c r="L58" s="2782"/>
      <c r="M58" s="478" t="n">
        <f aca="false">(SUMIF($13:$13,L58,$14:$14)-SUMIF($13:$13,$L$24,$14:$14)+100)/100</f>
        <v>1</v>
      </c>
      <c r="N58" s="2782"/>
      <c r="O58" s="478" t="n">
        <f aca="false">(SUMIF($15:$15,N58,$16:$16)-SUMIF($15:$15,$N$24,$16:$16)+100)/100</f>
        <v>1</v>
      </c>
      <c r="P58" s="2782"/>
      <c r="Q58" s="478" t="n">
        <f aca="false">(SUMIF($17:$17,P58,$18:$18)-SUMIF($17:$17,$P$24,$18:$18)+100)/100</f>
        <v>1</v>
      </c>
      <c r="R58" s="2772" t="n">
        <f aca="false">IF(B58="",0,ROUND($R$24*C58*E58*G58*I58*K58*M58*O58*Q58,0))</f>
        <v>0</v>
      </c>
      <c r="S58" s="2771" t="n">
        <f aca="false">ROUND(R58*B58/10000,0)</f>
        <v>0</v>
      </c>
    </row>
    <row r="59" customFormat="false" ht="12.75" hidden="false" customHeight="false" outlineLevel="0" collapsed="false">
      <c r="A59" s="1016"/>
      <c r="B59" s="2781"/>
      <c r="C59" s="478" t="n">
        <f aca="false">IF(B59="",1,(LOOKUP(B59,$3:$3,$4:$4)-LOOKUP($B$24,$3:$3,$4:$4)+100)/100)</f>
        <v>1</v>
      </c>
      <c r="D59" s="2782"/>
      <c r="E59" s="478" t="n">
        <f aca="false">(SUMIF($5:$5,D59,$6:$6)-SUMIF($5:$5,$D$24,$6:$6)+100)/100</f>
        <v>1</v>
      </c>
      <c r="F59" s="2782"/>
      <c r="G59" s="478" t="n">
        <f aca="false">(SUMIF($7:$7,F59,$8:$8)-SUMIF($7:$7,$F$24,$8:$8)+100)/100</f>
        <v>1</v>
      </c>
      <c r="H59" s="2782"/>
      <c r="I59" s="478" t="n">
        <f aca="false">(SUMIF($9:$9,H59,$10:$10)-SUMIF($9:$9,$H$24,$10:$10)+100)/100</f>
        <v>1</v>
      </c>
      <c r="J59" s="2782"/>
      <c r="K59" s="478" t="n">
        <f aca="false">(SUMIF($11:$11,J59,$12:$12)-SUMIF($11:$11,$J$24,$12:$12)+100)/100</f>
        <v>1</v>
      </c>
      <c r="L59" s="2782"/>
      <c r="M59" s="478" t="n">
        <f aca="false">(SUMIF($13:$13,L59,$14:$14)-SUMIF($13:$13,$L$24,$14:$14)+100)/100</f>
        <v>1</v>
      </c>
      <c r="N59" s="2782"/>
      <c r="O59" s="478" t="n">
        <f aca="false">(SUMIF($15:$15,N59,$16:$16)-SUMIF($15:$15,$N$24,$16:$16)+100)/100</f>
        <v>1</v>
      </c>
      <c r="P59" s="2782"/>
      <c r="Q59" s="478" t="n">
        <f aca="false">(SUMIF($17:$17,P59,$18:$18)-SUMIF($17:$17,$P$24,$18:$18)+100)/100</f>
        <v>1</v>
      </c>
      <c r="R59" s="2772" t="n">
        <f aca="false">IF(B59="",0,ROUND($R$24*C59*E59*G59*I59*K59*M59*O59*Q59,0))</f>
        <v>0</v>
      </c>
      <c r="S59" s="2771" t="n">
        <f aca="false">ROUND(R59*B59/10000,0)</f>
        <v>0</v>
      </c>
    </row>
    <row r="60" customFormat="false" ht="12.75" hidden="false" customHeight="false" outlineLevel="0" collapsed="false">
      <c r="A60" s="1016"/>
      <c r="B60" s="2781"/>
      <c r="C60" s="478" t="n">
        <f aca="false">IF(B60="",1,(LOOKUP(B60,$3:$3,$4:$4)-LOOKUP($B$24,$3:$3,$4:$4)+100)/100)</f>
        <v>1</v>
      </c>
      <c r="D60" s="2782"/>
      <c r="E60" s="478" t="n">
        <f aca="false">(SUMIF($5:$5,D60,$6:$6)-SUMIF($5:$5,$D$24,$6:$6)+100)/100</f>
        <v>1</v>
      </c>
      <c r="F60" s="2782"/>
      <c r="G60" s="478" t="n">
        <f aca="false">(SUMIF($7:$7,F60,$8:$8)-SUMIF($7:$7,$F$24,$8:$8)+100)/100</f>
        <v>1</v>
      </c>
      <c r="H60" s="2782"/>
      <c r="I60" s="478" t="n">
        <f aca="false">(SUMIF($9:$9,H60,$10:$10)-SUMIF($9:$9,$H$24,$10:$10)+100)/100</f>
        <v>1</v>
      </c>
      <c r="J60" s="2782"/>
      <c r="K60" s="478" t="n">
        <f aca="false">(SUMIF($11:$11,J60,$12:$12)-SUMIF($11:$11,$J$24,$12:$12)+100)/100</f>
        <v>1</v>
      </c>
      <c r="L60" s="2782"/>
      <c r="M60" s="478" t="n">
        <f aca="false">(SUMIF($13:$13,L60,$14:$14)-SUMIF($13:$13,$L$24,$14:$14)+100)/100</f>
        <v>1</v>
      </c>
      <c r="N60" s="2782"/>
      <c r="O60" s="478" t="n">
        <f aca="false">(SUMIF($15:$15,N60,$16:$16)-SUMIF($15:$15,$N$24,$16:$16)+100)/100</f>
        <v>1</v>
      </c>
      <c r="P60" s="2782"/>
      <c r="Q60" s="478" t="n">
        <f aca="false">(SUMIF($17:$17,P60,$18:$18)-SUMIF($17:$17,$P$24,$18:$18)+100)/100</f>
        <v>1</v>
      </c>
      <c r="R60" s="2772" t="n">
        <f aca="false">IF(B60="",0,ROUND($R$24*C60*E60*G60*I60*K60*M60*O60*Q60,0))</f>
        <v>0</v>
      </c>
      <c r="S60" s="2771" t="n">
        <f aca="false">ROUND(R60*B60/10000,0)</f>
        <v>0</v>
      </c>
    </row>
    <row r="61" customFormat="false" ht="12.75" hidden="false" customHeight="false" outlineLevel="0" collapsed="false">
      <c r="A61" s="1016"/>
      <c r="B61" s="2781"/>
      <c r="C61" s="478" t="n">
        <f aca="false">IF(B61="",1,(LOOKUP(B61,$3:$3,$4:$4)-LOOKUP($B$24,$3:$3,$4:$4)+100)/100)</f>
        <v>1</v>
      </c>
      <c r="D61" s="2782"/>
      <c r="E61" s="478" t="n">
        <f aca="false">(SUMIF($5:$5,D61,$6:$6)-SUMIF($5:$5,$D$24,$6:$6)+100)/100</f>
        <v>1</v>
      </c>
      <c r="F61" s="2782"/>
      <c r="G61" s="478" t="n">
        <f aca="false">(SUMIF($7:$7,F61,$8:$8)-SUMIF($7:$7,$F$24,$8:$8)+100)/100</f>
        <v>1</v>
      </c>
      <c r="H61" s="2782"/>
      <c r="I61" s="478" t="n">
        <f aca="false">(SUMIF($9:$9,H61,$10:$10)-SUMIF($9:$9,$H$24,$10:$10)+100)/100</f>
        <v>1</v>
      </c>
      <c r="J61" s="2782"/>
      <c r="K61" s="478" t="n">
        <f aca="false">(SUMIF($11:$11,J61,$12:$12)-SUMIF($11:$11,$J$24,$12:$12)+100)/100</f>
        <v>1</v>
      </c>
      <c r="L61" s="2782"/>
      <c r="M61" s="478" t="n">
        <f aca="false">(SUMIF($13:$13,L61,$14:$14)-SUMIF($13:$13,$L$24,$14:$14)+100)/100</f>
        <v>1</v>
      </c>
      <c r="N61" s="2782"/>
      <c r="O61" s="478" t="n">
        <f aca="false">(SUMIF($15:$15,N61,$16:$16)-SUMIF($15:$15,$N$24,$16:$16)+100)/100</f>
        <v>1</v>
      </c>
      <c r="P61" s="2782"/>
      <c r="Q61" s="478" t="n">
        <f aca="false">(SUMIF($17:$17,P61,$18:$18)-SUMIF($17:$17,$P$24,$18:$18)+100)/100</f>
        <v>1</v>
      </c>
      <c r="R61" s="2772" t="n">
        <f aca="false">IF(B61="",0,ROUND($R$24*C61*E61*G61*I61*K61*M61*O61*Q61,0))</f>
        <v>0</v>
      </c>
      <c r="S61" s="2771" t="n">
        <f aca="false">ROUND(R61*B61/10000,0)</f>
        <v>0</v>
      </c>
    </row>
    <row r="62" customFormat="false" ht="12.75" hidden="false" customHeight="false" outlineLevel="0" collapsed="false">
      <c r="A62" s="1016"/>
      <c r="B62" s="2781"/>
      <c r="C62" s="478" t="n">
        <f aca="false">IF(B62="",1,(LOOKUP(B62,$3:$3,$4:$4)-LOOKUP($B$24,$3:$3,$4:$4)+100)/100)</f>
        <v>1</v>
      </c>
      <c r="D62" s="2782"/>
      <c r="E62" s="478" t="n">
        <f aca="false">(SUMIF($5:$5,D62,$6:$6)-SUMIF($5:$5,$D$24,$6:$6)+100)/100</f>
        <v>1</v>
      </c>
      <c r="F62" s="2782"/>
      <c r="G62" s="478" t="n">
        <f aca="false">(SUMIF($7:$7,F62,$8:$8)-SUMIF($7:$7,$F$24,$8:$8)+100)/100</f>
        <v>1</v>
      </c>
      <c r="H62" s="2782"/>
      <c r="I62" s="478" t="n">
        <f aca="false">(SUMIF($9:$9,H62,$10:$10)-SUMIF($9:$9,$H$24,$10:$10)+100)/100</f>
        <v>1</v>
      </c>
      <c r="J62" s="2782"/>
      <c r="K62" s="478" t="n">
        <f aca="false">(SUMIF($11:$11,J62,$12:$12)-SUMIF($11:$11,$J$24,$12:$12)+100)/100</f>
        <v>1</v>
      </c>
      <c r="L62" s="2782"/>
      <c r="M62" s="478" t="n">
        <f aca="false">(SUMIF($13:$13,L62,$14:$14)-SUMIF($13:$13,$L$24,$14:$14)+100)/100</f>
        <v>1</v>
      </c>
      <c r="N62" s="2782"/>
      <c r="O62" s="478" t="n">
        <f aca="false">(SUMIF($15:$15,N62,$16:$16)-SUMIF($15:$15,$N$24,$16:$16)+100)/100</f>
        <v>1</v>
      </c>
      <c r="P62" s="2782"/>
      <c r="Q62" s="478" t="n">
        <f aca="false">(SUMIF($17:$17,P62,$18:$18)-SUMIF($17:$17,$P$24,$18:$18)+100)/100</f>
        <v>1</v>
      </c>
      <c r="R62" s="2772" t="n">
        <f aca="false">IF(B62="",0,ROUND($R$24*C62*E62*G62*I62*K62*M62*O62*Q62,0))</f>
        <v>0</v>
      </c>
      <c r="S62" s="2771" t="n">
        <f aca="false">ROUND(R62*B62/10000,0)</f>
        <v>0</v>
      </c>
    </row>
    <row r="63" customFormat="false" ht="12.75" hidden="false" customHeight="false" outlineLevel="0" collapsed="false">
      <c r="A63" s="1016"/>
      <c r="B63" s="2781"/>
      <c r="C63" s="478" t="n">
        <f aca="false">IF(B63="",1,(LOOKUP(B63,$3:$3,$4:$4)-LOOKUP($B$24,$3:$3,$4:$4)+100)/100)</f>
        <v>1</v>
      </c>
      <c r="D63" s="2782"/>
      <c r="E63" s="478" t="n">
        <f aca="false">(SUMIF($5:$5,D63,$6:$6)-SUMIF($5:$5,$D$24,$6:$6)+100)/100</f>
        <v>1</v>
      </c>
      <c r="F63" s="2782"/>
      <c r="G63" s="478" t="n">
        <f aca="false">(SUMIF($7:$7,F63,$8:$8)-SUMIF($7:$7,$F$24,$8:$8)+100)/100</f>
        <v>1</v>
      </c>
      <c r="H63" s="2782"/>
      <c r="I63" s="478" t="n">
        <f aca="false">(SUMIF($9:$9,H63,$10:$10)-SUMIF($9:$9,$H$24,$10:$10)+100)/100</f>
        <v>1</v>
      </c>
      <c r="J63" s="2782"/>
      <c r="K63" s="478" t="n">
        <f aca="false">(SUMIF($11:$11,J63,$12:$12)-SUMIF($11:$11,$J$24,$12:$12)+100)/100</f>
        <v>1</v>
      </c>
      <c r="L63" s="2782"/>
      <c r="M63" s="478" t="n">
        <f aca="false">(SUMIF($13:$13,L63,$14:$14)-SUMIF($13:$13,$L$24,$14:$14)+100)/100</f>
        <v>1</v>
      </c>
      <c r="N63" s="2782"/>
      <c r="O63" s="478" t="n">
        <f aca="false">(SUMIF($15:$15,N63,$16:$16)-SUMIF($15:$15,$N$24,$16:$16)+100)/100</f>
        <v>1</v>
      </c>
      <c r="P63" s="2782"/>
      <c r="Q63" s="478" t="n">
        <f aca="false">(SUMIF($17:$17,P63,$18:$18)-SUMIF($17:$17,$P$24,$18:$18)+100)/100</f>
        <v>1</v>
      </c>
      <c r="R63" s="2772" t="n">
        <f aca="false">IF(B63="",0,ROUND($R$24*C63*E63*G63*I63*K63*M63*O63*Q63,0))</f>
        <v>0</v>
      </c>
      <c r="S63" s="2771" t="n">
        <f aca="false">ROUND(R63*B63/10000,0)</f>
        <v>0</v>
      </c>
    </row>
    <row r="64" customFormat="false" ht="12.75" hidden="false" customHeight="false" outlineLevel="0" collapsed="false">
      <c r="A64" s="1016"/>
      <c r="B64" s="2781"/>
      <c r="C64" s="478" t="n">
        <f aca="false">IF(B64="",1,(LOOKUP(B64,$3:$3,$4:$4)-LOOKUP($B$24,$3:$3,$4:$4)+100)/100)</f>
        <v>1</v>
      </c>
      <c r="D64" s="2782"/>
      <c r="E64" s="478" t="n">
        <f aca="false">(SUMIF($5:$5,D64,$6:$6)-SUMIF($5:$5,$D$24,$6:$6)+100)/100</f>
        <v>1</v>
      </c>
      <c r="F64" s="2782"/>
      <c r="G64" s="478" t="n">
        <f aca="false">(SUMIF($7:$7,F64,$8:$8)-SUMIF($7:$7,$F$24,$8:$8)+100)/100</f>
        <v>1</v>
      </c>
      <c r="H64" s="2782"/>
      <c r="I64" s="478" t="n">
        <f aca="false">(SUMIF($9:$9,H64,$10:$10)-SUMIF($9:$9,$H$24,$10:$10)+100)/100</f>
        <v>1</v>
      </c>
      <c r="J64" s="2782"/>
      <c r="K64" s="478" t="n">
        <f aca="false">(SUMIF($11:$11,J64,$12:$12)-SUMIF($11:$11,$J$24,$12:$12)+100)/100</f>
        <v>1</v>
      </c>
      <c r="L64" s="2782"/>
      <c r="M64" s="478" t="n">
        <f aca="false">(SUMIF($13:$13,L64,$14:$14)-SUMIF($13:$13,$L$24,$14:$14)+100)/100</f>
        <v>1</v>
      </c>
      <c r="N64" s="2782"/>
      <c r="O64" s="478" t="n">
        <f aca="false">(SUMIF($15:$15,N64,$16:$16)-SUMIF($15:$15,$N$24,$16:$16)+100)/100</f>
        <v>1</v>
      </c>
      <c r="P64" s="2782"/>
      <c r="Q64" s="478" t="n">
        <f aca="false">(SUMIF($17:$17,P64,$18:$18)-SUMIF($17:$17,$P$24,$18:$18)+100)/100</f>
        <v>1</v>
      </c>
      <c r="R64" s="2772" t="n">
        <f aca="false">IF(B64="",0,ROUND($R$24*C64*E64*G64*I64*K64*M64*O64*Q64,0))</f>
        <v>0</v>
      </c>
      <c r="S64" s="2771" t="n">
        <f aca="false">ROUND(R64*B64/10000,0)</f>
        <v>0</v>
      </c>
    </row>
    <row r="65" customFormat="false" ht="12.75" hidden="false" customHeight="false" outlineLevel="0" collapsed="false">
      <c r="A65" s="1016"/>
      <c r="B65" s="2781"/>
      <c r="C65" s="478" t="n">
        <f aca="false">IF(B65="",1,(LOOKUP(B65,$3:$3,$4:$4)-LOOKUP($B$24,$3:$3,$4:$4)+100)/100)</f>
        <v>1</v>
      </c>
      <c r="D65" s="2782"/>
      <c r="E65" s="478" t="n">
        <f aca="false">(SUMIF($5:$5,D65,$6:$6)-SUMIF($5:$5,$D$24,$6:$6)+100)/100</f>
        <v>1</v>
      </c>
      <c r="F65" s="2782"/>
      <c r="G65" s="478" t="n">
        <f aca="false">(SUMIF($7:$7,F65,$8:$8)-SUMIF($7:$7,$F$24,$8:$8)+100)/100</f>
        <v>1</v>
      </c>
      <c r="H65" s="2782"/>
      <c r="I65" s="478" t="n">
        <f aca="false">(SUMIF($9:$9,H65,$10:$10)-SUMIF($9:$9,$H$24,$10:$10)+100)/100</f>
        <v>1</v>
      </c>
      <c r="J65" s="2782"/>
      <c r="K65" s="478" t="n">
        <f aca="false">(SUMIF($11:$11,J65,$12:$12)-SUMIF($11:$11,$J$24,$12:$12)+100)/100</f>
        <v>1</v>
      </c>
      <c r="L65" s="2782"/>
      <c r="M65" s="478" t="n">
        <f aca="false">(SUMIF($13:$13,L65,$14:$14)-SUMIF($13:$13,$L$24,$14:$14)+100)/100</f>
        <v>1</v>
      </c>
      <c r="N65" s="2782"/>
      <c r="O65" s="478" t="n">
        <f aca="false">(SUMIF($15:$15,N65,$16:$16)-SUMIF($15:$15,$N$24,$16:$16)+100)/100</f>
        <v>1</v>
      </c>
      <c r="P65" s="2782"/>
      <c r="Q65" s="478" t="n">
        <f aca="false">(SUMIF($17:$17,P65,$18:$18)-SUMIF($17:$17,$P$24,$18:$18)+100)/100</f>
        <v>1</v>
      </c>
      <c r="R65" s="2772" t="n">
        <f aca="false">IF(B65="",0,ROUND($R$24*C65*E65*G65*I65*K65*M65*O65*Q65,0))</f>
        <v>0</v>
      </c>
      <c r="S65" s="2771" t="n">
        <f aca="false">ROUND(R65*B65/10000,0)</f>
        <v>0</v>
      </c>
    </row>
    <row r="66" customFormat="false" ht="12.75" hidden="false" customHeight="false" outlineLevel="0" collapsed="false">
      <c r="A66" s="1016"/>
      <c r="B66" s="2781"/>
      <c r="C66" s="478" t="n">
        <f aca="false">IF(B66="",1,(LOOKUP(B66,$3:$3,$4:$4)-LOOKUP($B$24,$3:$3,$4:$4)+100)/100)</f>
        <v>1</v>
      </c>
      <c r="D66" s="2782"/>
      <c r="E66" s="478" t="n">
        <f aca="false">(SUMIF($5:$5,D66,$6:$6)-SUMIF($5:$5,$D$24,$6:$6)+100)/100</f>
        <v>1</v>
      </c>
      <c r="F66" s="2782"/>
      <c r="G66" s="478" t="n">
        <f aca="false">(SUMIF($7:$7,F66,$8:$8)-SUMIF($7:$7,$F$24,$8:$8)+100)/100</f>
        <v>1</v>
      </c>
      <c r="H66" s="2782"/>
      <c r="I66" s="478" t="n">
        <f aca="false">(SUMIF($9:$9,H66,$10:$10)-SUMIF($9:$9,$H$24,$10:$10)+100)/100</f>
        <v>1</v>
      </c>
      <c r="J66" s="2782"/>
      <c r="K66" s="478" t="n">
        <f aca="false">(SUMIF($11:$11,J66,$12:$12)-SUMIF($11:$11,$J$24,$12:$12)+100)/100</f>
        <v>1</v>
      </c>
      <c r="L66" s="2782"/>
      <c r="M66" s="478" t="n">
        <f aca="false">(SUMIF($13:$13,L66,$14:$14)-SUMIF($13:$13,$L$24,$14:$14)+100)/100</f>
        <v>1</v>
      </c>
      <c r="N66" s="2782"/>
      <c r="O66" s="478" t="n">
        <f aca="false">(SUMIF($15:$15,N66,$16:$16)-SUMIF($15:$15,$N$24,$16:$16)+100)/100</f>
        <v>1</v>
      </c>
      <c r="P66" s="2782"/>
      <c r="Q66" s="478" t="n">
        <f aca="false">(SUMIF($17:$17,P66,$18:$18)-SUMIF($17:$17,$P$24,$18:$18)+100)/100</f>
        <v>1</v>
      </c>
      <c r="R66" s="2772" t="n">
        <f aca="false">IF(B66="",0,ROUND($R$24*C66*E66*G66*I66*K66*M66*O66*Q66,0))</f>
        <v>0</v>
      </c>
      <c r="S66" s="2771" t="n">
        <f aca="false">ROUND(R66*B66/10000,0)</f>
        <v>0</v>
      </c>
    </row>
    <row r="67" customFormat="false" ht="12.75" hidden="false" customHeight="false" outlineLevel="0" collapsed="false">
      <c r="A67" s="1016"/>
      <c r="B67" s="2781"/>
      <c r="C67" s="478" t="n">
        <f aca="false">IF(B67="",1,(LOOKUP(B67,$3:$3,$4:$4)-LOOKUP($B$24,$3:$3,$4:$4)+100)/100)</f>
        <v>1</v>
      </c>
      <c r="D67" s="2782"/>
      <c r="E67" s="478" t="n">
        <f aca="false">(SUMIF($5:$5,D67,$6:$6)-SUMIF($5:$5,$D$24,$6:$6)+100)/100</f>
        <v>1</v>
      </c>
      <c r="F67" s="2782"/>
      <c r="G67" s="478" t="n">
        <f aca="false">(SUMIF($7:$7,F67,$8:$8)-SUMIF($7:$7,$F$24,$8:$8)+100)/100</f>
        <v>1</v>
      </c>
      <c r="H67" s="2782"/>
      <c r="I67" s="478" t="n">
        <f aca="false">(SUMIF($9:$9,H67,$10:$10)-SUMIF($9:$9,$H$24,$10:$10)+100)/100</f>
        <v>1</v>
      </c>
      <c r="J67" s="2782"/>
      <c r="K67" s="478" t="n">
        <f aca="false">(SUMIF($11:$11,J67,$12:$12)-SUMIF($11:$11,$J$24,$12:$12)+100)/100</f>
        <v>1</v>
      </c>
      <c r="L67" s="2782"/>
      <c r="M67" s="478" t="n">
        <f aca="false">(SUMIF($13:$13,L67,$14:$14)-SUMIF($13:$13,$L$24,$14:$14)+100)/100</f>
        <v>1</v>
      </c>
      <c r="N67" s="2782"/>
      <c r="O67" s="478" t="n">
        <f aca="false">(SUMIF($15:$15,N67,$16:$16)-SUMIF($15:$15,$N$24,$16:$16)+100)/100</f>
        <v>1</v>
      </c>
      <c r="P67" s="2782"/>
      <c r="Q67" s="478" t="n">
        <f aca="false">(SUMIF($17:$17,P67,$18:$18)-SUMIF($17:$17,$P$24,$18:$18)+100)/100</f>
        <v>1</v>
      </c>
      <c r="R67" s="2772" t="n">
        <f aca="false">IF(B67="",0,ROUND($R$24*C67*E67*G67*I67*K67*M67*O67*Q67,0))</f>
        <v>0</v>
      </c>
      <c r="S67" s="2771" t="n">
        <f aca="false">ROUND(R67*B67/10000,0)</f>
        <v>0</v>
      </c>
    </row>
    <row r="68" customFormat="false" ht="12.75" hidden="false" customHeight="false" outlineLevel="0" collapsed="false">
      <c r="A68" s="1016"/>
      <c r="B68" s="2781"/>
      <c r="C68" s="478" t="n">
        <f aca="false">IF(B68="",1,(LOOKUP(B68,$3:$3,$4:$4)-LOOKUP($B$24,$3:$3,$4:$4)+100)/100)</f>
        <v>1</v>
      </c>
      <c r="D68" s="2782"/>
      <c r="E68" s="478" t="n">
        <f aca="false">(SUMIF($5:$5,D68,$6:$6)-SUMIF($5:$5,$D$24,$6:$6)+100)/100</f>
        <v>1</v>
      </c>
      <c r="F68" s="2782"/>
      <c r="G68" s="478" t="n">
        <f aca="false">(SUMIF($7:$7,F68,$8:$8)-SUMIF($7:$7,$F$24,$8:$8)+100)/100</f>
        <v>1</v>
      </c>
      <c r="H68" s="2782"/>
      <c r="I68" s="478" t="n">
        <f aca="false">(SUMIF($9:$9,H68,$10:$10)-SUMIF($9:$9,$H$24,$10:$10)+100)/100</f>
        <v>1</v>
      </c>
      <c r="J68" s="2782"/>
      <c r="K68" s="478" t="n">
        <f aca="false">(SUMIF($11:$11,J68,$12:$12)-SUMIF($11:$11,$J$24,$12:$12)+100)/100</f>
        <v>1</v>
      </c>
      <c r="L68" s="2782"/>
      <c r="M68" s="478" t="n">
        <f aca="false">(SUMIF($13:$13,L68,$14:$14)-SUMIF($13:$13,$L$24,$14:$14)+100)/100</f>
        <v>1</v>
      </c>
      <c r="N68" s="2782"/>
      <c r="O68" s="478" t="n">
        <f aca="false">(SUMIF($15:$15,N68,$16:$16)-SUMIF($15:$15,$N$24,$16:$16)+100)/100</f>
        <v>1</v>
      </c>
      <c r="P68" s="2782"/>
      <c r="Q68" s="478" t="n">
        <f aca="false">(SUMIF($17:$17,P68,$18:$18)-SUMIF($17:$17,$P$24,$18:$18)+100)/100</f>
        <v>1</v>
      </c>
      <c r="R68" s="2772" t="n">
        <f aca="false">IF(B68="",0,ROUND($R$24*C68*E68*G68*I68*K68*M68*O68*Q68,0))</f>
        <v>0</v>
      </c>
      <c r="S68" s="2771" t="n">
        <f aca="false">ROUND(R68*B68/10000,0)</f>
        <v>0</v>
      </c>
    </row>
    <row r="69" customFormat="false" ht="12.75" hidden="false" customHeight="false" outlineLevel="0" collapsed="false">
      <c r="A69" s="1016"/>
      <c r="B69" s="2781"/>
      <c r="C69" s="478" t="n">
        <f aca="false">IF(B69="",1,(LOOKUP(B69,$3:$3,$4:$4)-LOOKUP($B$24,$3:$3,$4:$4)+100)/100)</f>
        <v>1</v>
      </c>
      <c r="D69" s="2782"/>
      <c r="E69" s="478" t="n">
        <f aca="false">(SUMIF($5:$5,D69,$6:$6)-SUMIF($5:$5,$D$24,$6:$6)+100)/100</f>
        <v>1</v>
      </c>
      <c r="F69" s="2782"/>
      <c r="G69" s="478" t="n">
        <f aca="false">(SUMIF($7:$7,F69,$8:$8)-SUMIF($7:$7,$F$24,$8:$8)+100)/100</f>
        <v>1</v>
      </c>
      <c r="H69" s="2782"/>
      <c r="I69" s="478" t="n">
        <f aca="false">(SUMIF($9:$9,H69,$10:$10)-SUMIF($9:$9,$H$24,$10:$10)+100)/100</f>
        <v>1</v>
      </c>
      <c r="J69" s="2782"/>
      <c r="K69" s="478" t="n">
        <f aca="false">(SUMIF($11:$11,J69,$12:$12)-SUMIF($11:$11,$J$24,$12:$12)+100)/100</f>
        <v>1</v>
      </c>
      <c r="L69" s="2782"/>
      <c r="M69" s="478" t="n">
        <f aca="false">(SUMIF($13:$13,L69,$14:$14)-SUMIF($13:$13,$L$24,$14:$14)+100)/100</f>
        <v>1</v>
      </c>
      <c r="N69" s="2782"/>
      <c r="O69" s="478" t="n">
        <f aca="false">(SUMIF($15:$15,N69,$16:$16)-SUMIF($15:$15,$N$24,$16:$16)+100)/100</f>
        <v>1</v>
      </c>
      <c r="P69" s="2782"/>
      <c r="Q69" s="478" t="n">
        <f aca="false">(SUMIF($17:$17,P69,$18:$18)-SUMIF($17:$17,$P$24,$18:$18)+100)/100</f>
        <v>1</v>
      </c>
      <c r="R69" s="2772" t="n">
        <f aca="false">IF(B69="",0,ROUND($R$24*C69*E69*G69*I69*K69*M69*O69*Q69,0))</f>
        <v>0</v>
      </c>
      <c r="S69" s="2771" t="n">
        <f aca="false">ROUND(R69*B69/10000,0)</f>
        <v>0</v>
      </c>
    </row>
    <row r="70" customFormat="false" ht="12.75" hidden="false" customHeight="false" outlineLevel="0" collapsed="false">
      <c r="A70" s="1016"/>
      <c r="B70" s="2781"/>
      <c r="C70" s="478" t="n">
        <f aca="false">IF(B70="",1,(LOOKUP(B70,$3:$3,$4:$4)-LOOKUP($B$24,$3:$3,$4:$4)+100)/100)</f>
        <v>1</v>
      </c>
      <c r="D70" s="2782"/>
      <c r="E70" s="478" t="n">
        <f aca="false">(SUMIF($5:$5,D70,$6:$6)-SUMIF($5:$5,$D$24,$6:$6)+100)/100</f>
        <v>1</v>
      </c>
      <c r="F70" s="2782"/>
      <c r="G70" s="478" t="n">
        <f aca="false">(SUMIF($7:$7,F70,$8:$8)-SUMIF($7:$7,$F$24,$8:$8)+100)/100</f>
        <v>1</v>
      </c>
      <c r="H70" s="2782"/>
      <c r="I70" s="478" t="n">
        <f aca="false">(SUMIF($9:$9,H70,$10:$10)-SUMIF($9:$9,$H$24,$10:$10)+100)/100</f>
        <v>1</v>
      </c>
      <c r="J70" s="2782"/>
      <c r="K70" s="478" t="n">
        <f aca="false">(SUMIF($11:$11,J70,$12:$12)-SUMIF($11:$11,$J$24,$12:$12)+100)/100</f>
        <v>1</v>
      </c>
      <c r="L70" s="2782"/>
      <c r="M70" s="478" t="n">
        <f aca="false">(SUMIF($13:$13,L70,$14:$14)-SUMIF($13:$13,$L$24,$14:$14)+100)/100</f>
        <v>1</v>
      </c>
      <c r="N70" s="2782"/>
      <c r="O70" s="478" t="n">
        <f aca="false">(SUMIF($15:$15,N70,$16:$16)-SUMIF($15:$15,$N$24,$16:$16)+100)/100</f>
        <v>1</v>
      </c>
      <c r="P70" s="2782"/>
      <c r="Q70" s="478" t="n">
        <f aca="false">(SUMIF($17:$17,P70,$18:$18)-SUMIF($17:$17,$P$24,$18:$18)+100)/100</f>
        <v>1</v>
      </c>
      <c r="R70" s="2772" t="n">
        <f aca="false">IF(B70="",0,ROUND($R$24*C70*E70*G70*I70*K70*M70*O70*Q70,0))</f>
        <v>0</v>
      </c>
      <c r="S70" s="2771" t="n">
        <f aca="false">ROUND(R70*B70/10000,0)</f>
        <v>0</v>
      </c>
    </row>
    <row r="71" customFormat="false" ht="12.75" hidden="false" customHeight="false" outlineLevel="0" collapsed="false">
      <c r="A71" s="1016"/>
      <c r="B71" s="2781"/>
      <c r="C71" s="478" t="n">
        <f aca="false">IF(B71="",1,(LOOKUP(B71,$3:$3,$4:$4)-LOOKUP($B$24,$3:$3,$4:$4)+100)/100)</f>
        <v>1</v>
      </c>
      <c r="D71" s="2782"/>
      <c r="E71" s="478" t="n">
        <f aca="false">(SUMIF($5:$5,D71,$6:$6)-SUMIF($5:$5,$D$24,$6:$6)+100)/100</f>
        <v>1</v>
      </c>
      <c r="F71" s="2782"/>
      <c r="G71" s="478" t="n">
        <f aca="false">(SUMIF($7:$7,F71,$8:$8)-SUMIF($7:$7,$F$24,$8:$8)+100)/100</f>
        <v>1</v>
      </c>
      <c r="H71" s="2782"/>
      <c r="I71" s="478" t="n">
        <f aca="false">(SUMIF($9:$9,H71,$10:$10)-SUMIF($9:$9,$H$24,$10:$10)+100)/100</f>
        <v>1</v>
      </c>
      <c r="J71" s="2782"/>
      <c r="K71" s="478" t="n">
        <f aca="false">(SUMIF($11:$11,J71,$12:$12)-SUMIF($11:$11,$J$24,$12:$12)+100)/100</f>
        <v>1</v>
      </c>
      <c r="L71" s="2782"/>
      <c r="M71" s="478" t="n">
        <f aca="false">(SUMIF($13:$13,L71,$14:$14)-SUMIF($13:$13,$L$24,$14:$14)+100)/100</f>
        <v>1</v>
      </c>
      <c r="N71" s="2782"/>
      <c r="O71" s="478" t="n">
        <f aca="false">(SUMIF($15:$15,N71,$16:$16)-SUMIF($15:$15,$N$24,$16:$16)+100)/100</f>
        <v>1</v>
      </c>
      <c r="P71" s="2782"/>
      <c r="Q71" s="478" t="n">
        <f aca="false">(SUMIF($17:$17,P71,$18:$18)-SUMIF($17:$17,$P$24,$18:$18)+100)/100</f>
        <v>1</v>
      </c>
      <c r="R71" s="2772" t="n">
        <f aca="false">IF(B71="",0,ROUND($R$24*C71*E71*G71*I71*K71*M71*O71*Q71,0))</f>
        <v>0</v>
      </c>
      <c r="S71" s="2771" t="n">
        <f aca="false">ROUND(R71*B71/10000,0)</f>
        <v>0</v>
      </c>
    </row>
    <row r="72" customFormat="false" ht="12.75" hidden="false" customHeight="false" outlineLevel="0" collapsed="false">
      <c r="A72" s="1016"/>
      <c r="B72" s="2781"/>
      <c r="C72" s="478" t="n">
        <f aca="false">IF(B72="",1,(LOOKUP(B72,$3:$3,$4:$4)-LOOKUP($B$24,$3:$3,$4:$4)+100)/100)</f>
        <v>1</v>
      </c>
      <c r="D72" s="2782"/>
      <c r="E72" s="478" t="n">
        <f aca="false">(SUMIF($5:$5,D72,$6:$6)-SUMIF($5:$5,$D$24,$6:$6)+100)/100</f>
        <v>1</v>
      </c>
      <c r="F72" s="2782"/>
      <c r="G72" s="478" t="n">
        <f aca="false">(SUMIF($7:$7,F72,$8:$8)-SUMIF($7:$7,$F$24,$8:$8)+100)/100</f>
        <v>1</v>
      </c>
      <c r="H72" s="2782"/>
      <c r="I72" s="478" t="n">
        <f aca="false">(SUMIF($9:$9,H72,$10:$10)-SUMIF($9:$9,$H$24,$10:$10)+100)/100</f>
        <v>1</v>
      </c>
      <c r="J72" s="2782"/>
      <c r="K72" s="478" t="n">
        <f aca="false">(SUMIF($11:$11,J72,$12:$12)-SUMIF($11:$11,$J$24,$12:$12)+100)/100</f>
        <v>1</v>
      </c>
      <c r="L72" s="2782"/>
      <c r="M72" s="478" t="n">
        <f aca="false">(SUMIF($13:$13,L72,$14:$14)-SUMIF($13:$13,$L$24,$14:$14)+100)/100</f>
        <v>1</v>
      </c>
      <c r="N72" s="2782"/>
      <c r="O72" s="478" t="n">
        <f aca="false">(SUMIF($15:$15,N72,$16:$16)-SUMIF($15:$15,$N$24,$16:$16)+100)/100</f>
        <v>1</v>
      </c>
      <c r="P72" s="2782"/>
      <c r="Q72" s="478" t="n">
        <f aca="false">(SUMIF($17:$17,P72,$18:$18)-SUMIF($17:$17,$P$24,$18:$18)+100)/100</f>
        <v>1</v>
      </c>
      <c r="R72" s="2772" t="n">
        <f aca="false">IF(B72="",0,ROUND($R$24*C72*E72*G72*I72*K72*M72*O72*Q72,0))</f>
        <v>0</v>
      </c>
      <c r="S72" s="2771" t="n">
        <f aca="false">ROUND(R72*B72/10000,0)</f>
        <v>0</v>
      </c>
    </row>
    <row r="73" customFormat="false" ht="12.75" hidden="false" customHeight="false" outlineLevel="0" collapsed="false">
      <c r="A73" s="1016"/>
      <c r="B73" s="2781"/>
      <c r="C73" s="478" t="n">
        <f aca="false">IF(B73="",1,(LOOKUP(B73,$3:$3,$4:$4)-LOOKUP($B$24,$3:$3,$4:$4)+100)/100)</f>
        <v>1</v>
      </c>
      <c r="D73" s="2782"/>
      <c r="E73" s="478" t="n">
        <f aca="false">(SUMIF($5:$5,D73,$6:$6)-SUMIF($5:$5,$D$24,$6:$6)+100)/100</f>
        <v>1</v>
      </c>
      <c r="F73" s="2782"/>
      <c r="G73" s="478" t="n">
        <f aca="false">(SUMIF($7:$7,F73,$8:$8)-SUMIF($7:$7,$F$24,$8:$8)+100)/100</f>
        <v>1</v>
      </c>
      <c r="H73" s="2782"/>
      <c r="I73" s="478" t="n">
        <f aca="false">(SUMIF($9:$9,H73,$10:$10)-SUMIF($9:$9,$H$24,$10:$10)+100)/100</f>
        <v>1</v>
      </c>
      <c r="J73" s="2782"/>
      <c r="K73" s="478" t="n">
        <f aca="false">(SUMIF($11:$11,J73,$12:$12)-SUMIF($11:$11,$J$24,$12:$12)+100)/100</f>
        <v>1</v>
      </c>
      <c r="L73" s="2782"/>
      <c r="M73" s="478" t="n">
        <f aca="false">(SUMIF($13:$13,L73,$14:$14)-SUMIF($13:$13,$L$24,$14:$14)+100)/100</f>
        <v>1</v>
      </c>
      <c r="N73" s="2782"/>
      <c r="O73" s="478" t="n">
        <f aca="false">(SUMIF($15:$15,N73,$16:$16)-SUMIF($15:$15,$N$24,$16:$16)+100)/100</f>
        <v>1</v>
      </c>
      <c r="P73" s="2782"/>
      <c r="Q73" s="478" t="n">
        <f aca="false">(SUMIF($17:$17,P73,$18:$18)-SUMIF($17:$17,$P$24,$18:$18)+100)/100</f>
        <v>1</v>
      </c>
      <c r="R73" s="2772" t="n">
        <f aca="false">IF(B73="",0,ROUND($R$24*C73*E73*G73*I73*K73*M73*O73*Q73,0))</f>
        <v>0</v>
      </c>
      <c r="S73" s="2771" t="n">
        <f aca="false">ROUND(R73*B73/10000,0)</f>
        <v>0</v>
      </c>
    </row>
    <row r="74" customFormat="false" ht="12.75" hidden="false" customHeight="false" outlineLevel="0" collapsed="false">
      <c r="A74" s="1016"/>
      <c r="B74" s="2781"/>
      <c r="C74" s="478" t="n">
        <f aca="false">IF(B74="",1,(LOOKUP(B74,$3:$3,$4:$4)-LOOKUP($B$24,$3:$3,$4:$4)+100)/100)</f>
        <v>1</v>
      </c>
      <c r="D74" s="2782"/>
      <c r="E74" s="478" t="n">
        <f aca="false">(SUMIF($5:$5,D74,$6:$6)-SUMIF($5:$5,$D$24,$6:$6)+100)/100</f>
        <v>1</v>
      </c>
      <c r="F74" s="2782"/>
      <c r="G74" s="478" t="n">
        <f aca="false">(SUMIF($7:$7,F74,$8:$8)-SUMIF($7:$7,$F$24,$8:$8)+100)/100</f>
        <v>1</v>
      </c>
      <c r="H74" s="2782"/>
      <c r="I74" s="478" t="n">
        <f aca="false">(SUMIF($9:$9,H74,$10:$10)-SUMIF($9:$9,$H$24,$10:$10)+100)/100</f>
        <v>1</v>
      </c>
      <c r="J74" s="2782"/>
      <c r="K74" s="478" t="n">
        <f aca="false">(SUMIF($11:$11,J74,$12:$12)-SUMIF($11:$11,$J$24,$12:$12)+100)/100</f>
        <v>1</v>
      </c>
      <c r="L74" s="2782"/>
      <c r="M74" s="478" t="n">
        <f aca="false">(SUMIF($13:$13,L74,$14:$14)-SUMIF($13:$13,$L$24,$14:$14)+100)/100</f>
        <v>1</v>
      </c>
      <c r="N74" s="2782"/>
      <c r="O74" s="478" t="n">
        <f aca="false">(SUMIF($15:$15,N74,$16:$16)-SUMIF($15:$15,$N$24,$16:$16)+100)/100</f>
        <v>1</v>
      </c>
      <c r="P74" s="2782"/>
      <c r="Q74" s="478" t="n">
        <f aca="false">(SUMIF($17:$17,P74,$18:$18)-SUMIF($17:$17,$P$24,$18:$18)+100)/100</f>
        <v>1</v>
      </c>
      <c r="R74" s="2772" t="n">
        <f aca="false">IF(B74="",0,ROUND($R$24*C74*E74*G74*I74*K74*M74*O74*Q74,0))</f>
        <v>0</v>
      </c>
      <c r="S74" s="2771" t="n">
        <f aca="false">ROUND(R74*B74/10000,0)</f>
        <v>0</v>
      </c>
    </row>
    <row r="75" customFormat="false" ht="12.75" hidden="false" customHeight="false" outlineLevel="0" collapsed="false">
      <c r="A75" s="1016"/>
      <c r="B75" s="2781"/>
      <c r="C75" s="478" t="n">
        <f aca="false">IF(B75="",1,(LOOKUP(B75,$3:$3,$4:$4)-LOOKUP($B$24,$3:$3,$4:$4)+100)/100)</f>
        <v>1</v>
      </c>
      <c r="D75" s="2782"/>
      <c r="E75" s="478" t="n">
        <f aca="false">(SUMIF($5:$5,D75,$6:$6)-SUMIF($5:$5,$D$24,$6:$6)+100)/100</f>
        <v>1</v>
      </c>
      <c r="F75" s="2782"/>
      <c r="G75" s="478" t="n">
        <f aca="false">(SUMIF($7:$7,F75,$8:$8)-SUMIF($7:$7,$F$24,$8:$8)+100)/100</f>
        <v>1</v>
      </c>
      <c r="H75" s="2782"/>
      <c r="I75" s="478" t="n">
        <f aca="false">(SUMIF($9:$9,H75,$10:$10)-SUMIF($9:$9,$H$24,$10:$10)+100)/100</f>
        <v>1</v>
      </c>
      <c r="J75" s="2782"/>
      <c r="K75" s="478" t="n">
        <f aca="false">(SUMIF($11:$11,J75,$12:$12)-SUMIF($11:$11,$J$24,$12:$12)+100)/100</f>
        <v>1</v>
      </c>
      <c r="L75" s="2782"/>
      <c r="M75" s="478" t="n">
        <f aca="false">(SUMIF($13:$13,L75,$14:$14)-SUMIF($13:$13,$L$24,$14:$14)+100)/100</f>
        <v>1</v>
      </c>
      <c r="N75" s="2782"/>
      <c r="O75" s="478" t="n">
        <f aca="false">(SUMIF($15:$15,N75,$16:$16)-SUMIF($15:$15,$N$24,$16:$16)+100)/100</f>
        <v>1</v>
      </c>
      <c r="P75" s="2782"/>
      <c r="Q75" s="478" t="n">
        <f aca="false">(SUMIF($17:$17,P75,$18:$18)-SUMIF($17:$17,$P$24,$18:$18)+100)/100</f>
        <v>1</v>
      </c>
      <c r="R75" s="2772" t="n">
        <f aca="false">IF(B75="",0,ROUND($R$24*C75*E75*G75*I75*K75*M75*O75*Q75,0))</f>
        <v>0</v>
      </c>
      <c r="S75" s="2771" t="n">
        <f aca="false">ROUND(R75*B75/10000,0)</f>
        <v>0</v>
      </c>
    </row>
    <row r="76" customFormat="false" ht="12.75" hidden="false" customHeight="false" outlineLevel="0" collapsed="false">
      <c r="A76" s="1016"/>
      <c r="B76" s="2781"/>
      <c r="C76" s="478" t="n">
        <f aca="false">IF(B76="",1,(LOOKUP(B76,$3:$3,$4:$4)-LOOKUP($B$24,$3:$3,$4:$4)+100)/100)</f>
        <v>1</v>
      </c>
      <c r="D76" s="2782"/>
      <c r="E76" s="478" t="n">
        <f aca="false">(SUMIF($5:$5,D76,$6:$6)-SUMIF($5:$5,$D$24,$6:$6)+100)/100</f>
        <v>1</v>
      </c>
      <c r="F76" s="2782"/>
      <c r="G76" s="478" t="n">
        <f aca="false">(SUMIF($7:$7,F76,$8:$8)-SUMIF($7:$7,$F$24,$8:$8)+100)/100</f>
        <v>1</v>
      </c>
      <c r="H76" s="2782"/>
      <c r="I76" s="478" t="n">
        <f aca="false">(SUMIF($9:$9,H76,$10:$10)-SUMIF($9:$9,$H$24,$10:$10)+100)/100</f>
        <v>1</v>
      </c>
      <c r="J76" s="2782"/>
      <c r="K76" s="478" t="n">
        <f aca="false">(SUMIF($11:$11,J76,$12:$12)-SUMIF($11:$11,$J$24,$12:$12)+100)/100</f>
        <v>1</v>
      </c>
      <c r="L76" s="2782"/>
      <c r="M76" s="478" t="n">
        <f aca="false">(SUMIF($13:$13,L76,$14:$14)-SUMIF($13:$13,$L$24,$14:$14)+100)/100</f>
        <v>1</v>
      </c>
      <c r="N76" s="2782"/>
      <c r="O76" s="478" t="n">
        <f aca="false">(SUMIF($15:$15,N76,$16:$16)-SUMIF($15:$15,$N$24,$16:$16)+100)/100</f>
        <v>1</v>
      </c>
      <c r="P76" s="2782"/>
      <c r="Q76" s="478" t="n">
        <f aca="false">(SUMIF($17:$17,P76,$18:$18)-SUMIF($17:$17,$P$24,$18:$18)+100)/100</f>
        <v>1</v>
      </c>
      <c r="R76" s="2772" t="n">
        <f aca="false">IF(B76="",0,ROUND($R$24*C76*E76*G76*I76*K76*M76*O76*Q76,0))</f>
        <v>0</v>
      </c>
      <c r="S76" s="2771" t="n">
        <f aca="false">ROUND(R76*B76/10000,0)</f>
        <v>0</v>
      </c>
    </row>
    <row r="77" customFormat="false" ht="12.75" hidden="false" customHeight="false" outlineLevel="0" collapsed="false">
      <c r="A77" s="1016"/>
      <c r="B77" s="2781"/>
      <c r="C77" s="478" t="n">
        <f aca="false">IF(B77="",1,(LOOKUP(B77,$3:$3,$4:$4)-LOOKUP($B$24,$3:$3,$4:$4)+100)/100)</f>
        <v>1</v>
      </c>
      <c r="D77" s="2782"/>
      <c r="E77" s="478" t="n">
        <f aca="false">(SUMIF($5:$5,D77,$6:$6)-SUMIF($5:$5,$D$24,$6:$6)+100)/100</f>
        <v>1</v>
      </c>
      <c r="F77" s="2782"/>
      <c r="G77" s="478" t="n">
        <f aca="false">(SUMIF($7:$7,F77,$8:$8)-SUMIF($7:$7,$F$24,$8:$8)+100)/100</f>
        <v>1</v>
      </c>
      <c r="H77" s="2782"/>
      <c r="I77" s="478" t="n">
        <f aca="false">(SUMIF($9:$9,H77,$10:$10)-SUMIF($9:$9,$H$24,$10:$10)+100)/100</f>
        <v>1</v>
      </c>
      <c r="J77" s="2782"/>
      <c r="K77" s="478" t="n">
        <f aca="false">(SUMIF($11:$11,J77,$12:$12)-SUMIF($11:$11,$J$24,$12:$12)+100)/100</f>
        <v>1</v>
      </c>
      <c r="L77" s="2782"/>
      <c r="M77" s="478" t="n">
        <f aca="false">(SUMIF($13:$13,L77,$14:$14)-SUMIF($13:$13,$L$24,$14:$14)+100)/100</f>
        <v>1</v>
      </c>
      <c r="N77" s="2782"/>
      <c r="O77" s="478" t="n">
        <f aca="false">(SUMIF($15:$15,N77,$16:$16)-SUMIF($15:$15,$N$24,$16:$16)+100)/100</f>
        <v>1</v>
      </c>
      <c r="P77" s="2782"/>
      <c r="Q77" s="478" t="n">
        <f aca="false">(SUMIF($17:$17,P77,$18:$18)-SUMIF($17:$17,$P$24,$18:$18)+100)/100</f>
        <v>1</v>
      </c>
      <c r="R77" s="2772" t="n">
        <f aca="false">IF(B77="",0,ROUND($R$24*C77*E77*G77*I77*K77*M77*O77*Q77,0))</f>
        <v>0</v>
      </c>
      <c r="S77" s="2771" t="n">
        <f aca="false">ROUND(R77*B77/10000,0)</f>
        <v>0</v>
      </c>
    </row>
    <row r="78" customFormat="false" ht="12.75" hidden="false" customHeight="false" outlineLevel="0" collapsed="false">
      <c r="A78" s="1016"/>
      <c r="B78" s="2781"/>
      <c r="C78" s="478" t="n">
        <f aca="false">IF(B78="",1,(LOOKUP(B78,$3:$3,$4:$4)-LOOKUP($B$24,$3:$3,$4:$4)+100)/100)</f>
        <v>1</v>
      </c>
      <c r="D78" s="2782"/>
      <c r="E78" s="478" t="n">
        <f aca="false">(SUMIF($5:$5,D78,$6:$6)-SUMIF($5:$5,$D$24,$6:$6)+100)/100</f>
        <v>1</v>
      </c>
      <c r="F78" s="2782"/>
      <c r="G78" s="478" t="n">
        <f aca="false">(SUMIF($7:$7,F78,$8:$8)-SUMIF($7:$7,$F$24,$8:$8)+100)/100</f>
        <v>1</v>
      </c>
      <c r="H78" s="2782"/>
      <c r="I78" s="478" t="n">
        <f aca="false">(SUMIF($9:$9,H78,$10:$10)-SUMIF($9:$9,$H$24,$10:$10)+100)/100</f>
        <v>1</v>
      </c>
      <c r="J78" s="2782"/>
      <c r="K78" s="478" t="n">
        <f aca="false">(SUMIF($11:$11,J78,$12:$12)-SUMIF($11:$11,$J$24,$12:$12)+100)/100</f>
        <v>1</v>
      </c>
      <c r="L78" s="2782"/>
      <c r="M78" s="478" t="n">
        <f aca="false">(SUMIF($13:$13,L78,$14:$14)-SUMIF($13:$13,$L$24,$14:$14)+100)/100</f>
        <v>1</v>
      </c>
      <c r="N78" s="2782"/>
      <c r="O78" s="478" t="n">
        <f aca="false">(SUMIF($15:$15,N78,$16:$16)-SUMIF($15:$15,$N$24,$16:$16)+100)/100</f>
        <v>1</v>
      </c>
      <c r="P78" s="2782"/>
      <c r="Q78" s="478" t="n">
        <f aca="false">(SUMIF($17:$17,P78,$18:$18)-SUMIF($17:$17,$P$24,$18:$18)+100)/100</f>
        <v>1</v>
      </c>
      <c r="R78" s="2772" t="n">
        <f aca="false">IF(B78="",0,ROUND($R$24*C78*E78*G78*I78*K78*M78*O78*Q78,0))</f>
        <v>0</v>
      </c>
      <c r="S78" s="2771" t="n">
        <f aca="false">ROUND(R78*B78/10000,0)</f>
        <v>0</v>
      </c>
    </row>
    <row r="79" customFormat="false" ht="12.75" hidden="false" customHeight="false" outlineLevel="0" collapsed="false">
      <c r="A79" s="1016"/>
      <c r="B79" s="2781"/>
      <c r="C79" s="478" t="n">
        <f aca="false">IF(B79="",1,(LOOKUP(B79,$3:$3,$4:$4)-LOOKUP($B$24,$3:$3,$4:$4)+100)/100)</f>
        <v>1</v>
      </c>
      <c r="D79" s="2782"/>
      <c r="E79" s="478" t="n">
        <f aca="false">(SUMIF($5:$5,D79,$6:$6)-SUMIF($5:$5,$D$24,$6:$6)+100)/100</f>
        <v>1</v>
      </c>
      <c r="F79" s="2782"/>
      <c r="G79" s="478" t="n">
        <f aca="false">(SUMIF($7:$7,F79,$8:$8)-SUMIF($7:$7,$F$24,$8:$8)+100)/100</f>
        <v>1</v>
      </c>
      <c r="H79" s="2782"/>
      <c r="I79" s="478" t="n">
        <f aca="false">(SUMIF($9:$9,H79,$10:$10)-SUMIF($9:$9,$H$24,$10:$10)+100)/100</f>
        <v>1</v>
      </c>
      <c r="J79" s="2782"/>
      <c r="K79" s="478" t="n">
        <f aca="false">(SUMIF($11:$11,J79,$12:$12)-SUMIF($11:$11,$J$24,$12:$12)+100)/100</f>
        <v>1</v>
      </c>
      <c r="L79" s="2782"/>
      <c r="M79" s="478" t="n">
        <f aca="false">(SUMIF($13:$13,L79,$14:$14)-SUMIF($13:$13,$L$24,$14:$14)+100)/100</f>
        <v>1</v>
      </c>
      <c r="N79" s="2782"/>
      <c r="O79" s="478" t="n">
        <f aca="false">(SUMIF($15:$15,N79,$16:$16)-SUMIF($15:$15,$N$24,$16:$16)+100)/100</f>
        <v>1</v>
      </c>
      <c r="P79" s="2782"/>
      <c r="Q79" s="478" t="n">
        <f aca="false">(SUMIF($17:$17,P79,$18:$18)-SUMIF($17:$17,$P$24,$18:$18)+100)/100</f>
        <v>1</v>
      </c>
      <c r="R79" s="2772" t="n">
        <f aca="false">IF(B79="",0,ROUND($R$24*C79*E79*G79*I79*K79*M79*O79*Q79,0))</f>
        <v>0</v>
      </c>
      <c r="S79" s="2771" t="n">
        <f aca="false">ROUND(R79*B79/10000,0)</f>
        <v>0</v>
      </c>
    </row>
    <row r="80" customFormat="false" ht="12.75" hidden="false" customHeight="false" outlineLevel="0" collapsed="false">
      <c r="A80" s="1016"/>
      <c r="B80" s="2781"/>
      <c r="C80" s="478" t="n">
        <f aca="false">IF(B80="",1,(LOOKUP(B80,$3:$3,$4:$4)-LOOKUP($B$24,$3:$3,$4:$4)+100)/100)</f>
        <v>1</v>
      </c>
      <c r="D80" s="2782"/>
      <c r="E80" s="478" t="n">
        <f aca="false">(SUMIF($5:$5,D80,$6:$6)-SUMIF($5:$5,$D$24,$6:$6)+100)/100</f>
        <v>1</v>
      </c>
      <c r="F80" s="2782"/>
      <c r="G80" s="478" t="n">
        <f aca="false">(SUMIF($7:$7,F80,$8:$8)-SUMIF($7:$7,$F$24,$8:$8)+100)/100</f>
        <v>1</v>
      </c>
      <c r="H80" s="2782"/>
      <c r="I80" s="478" t="n">
        <f aca="false">(SUMIF($9:$9,H80,$10:$10)-SUMIF($9:$9,$H$24,$10:$10)+100)/100</f>
        <v>1</v>
      </c>
      <c r="J80" s="2782"/>
      <c r="K80" s="478" t="n">
        <f aca="false">(SUMIF($11:$11,J80,$12:$12)-SUMIF($11:$11,$J$24,$12:$12)+100)/100</f>
        <v>1</v>
      </c>
      <c r="L80" s="2782"/>
      <c r="M80" s="478" t="n">
        <f aca="false">(SUMIF($13:$13,L80,$14:$14)-SUMIF($13:$13,$L$24,$14:$14)+100)/100</f>
        <v>1</v>
      </c>
      <c r="N80" s="2782"/>
      <c r="O80" s="478" t="n">
        <f aca="false">(SUMIF($15:$15,N80,$16:$16)-SUMIF($15:$15,$N$24,$16:$16)+100)/100</f>
        <v>1</v>
      </c>
      <c r="P80" s="2782"/>
      <c r="Q80" s="478" t="n">
        <f aca="false">(SUMIF($17:$17,P80,$18:$18)-SUMIF($17:$17,$P$24,$18:$18)+100)/100</f>
        <v>1</v>
      </c>
      <c r="R80" s="2772" t="n">
        <f aca="false">IF(B80="",0,ROUND($R$24*C80*E80*G80*I80*K80*M80*O80*Q80,0))</f>
        <v>0</v>
      </c>
      <c r="S80" s="2771" t="n">
        <f aca="false">ROUND(R80*B80/10000,0)</f>
        <v>0</v>
      </c>
    </row>
    <row r="81" customFormat="false" ht="12.75" hidden="false" customHeight="false" outlineLevel="0" collapsed="false">
      <c r="A81" s="1016"/>
      <c r="B81" s="2781"/>
      <c r="C81" s="478" t="n">
        <f aca="false">IF(B81="",1,(LOOKUP(B81,$3:$3,$4:$4)-LOOKUP($B$24,$3:$3,$4:$4)+100)/100)</f>
        <v>1</v>
      </c>
      <c r="D81" s="2782"/>
      <c r="E81" s="478" t="n">
        <f aca="false">(SUMIF($5:$5,D81,$6:$6)-SUMIF($5:$5,$D$24,$6:$6)+100)/100</f>
        <v>1</v>
      </c>
      <c r="F81" s="2782"/>
      <c r="G81" s="478" t="n">
        <f aca="false">(SUMIF($7:$7,F81,$8:$8)-SUMIF($7:$7,$F$24,$8:$8)+100)/100</f>
        <v>1</v>
      </c>
      <c r="H81" s="2782"/>
      <c r="I81" s="478" t="n">
        <f aca="false">(SUMIF($9:$9,H81,$10:$10)-SUMIF($9:$9,$H$24,$10:$10)+100)/100</f>
        <v>1</v>
      </c>
      <c r="J81" s="2782"/>
      <c r="K81" s="478" t="n">
        <f aca="false">(SUMIF($11:$11,J81,$12:$12)-SUMIF($11:$11,$J$24,$12:$12)+100)/100</f>
        <v>1</v>
      </c>
      <c r="L81" s="2782"/>
      <c r="M81" s="478" t="n">
        <f aca="false">(SUMIF($13:$13,L81,$14:$14)-SUMIF($13:$13,$L$24,$14:$14)+100)/100</f>
        <v>1</v>
      </c>
      <c r="N81" s="2782"/>
      <c r="O81" s="478" t="n">
        <f aca="false">(SUMIF($15:$15,N81,$16:$16)-SUMIF($15:$15,$N$24,$16:$16)+100)/100</f>
        <v>1</v>
      </c>
      <c r="P81" s="2782"/>
      <c r="Q81" s="478" t="n">
        <f aca="false">(SUMIF($17:$17,P81,$18:$18)-SUMIF($17:$17,$P$24,$18:$18)+100)/100</f>
        <v>1</v>
      </c>
      <c r="R81" s="2772" t="n">
        <f aca="false">IF(B81="",0,ROUND($R$24*C81*E81*G81*I81*K81*M81*O81*Q81,0))</f>
        <v>0</v>
      </c>
      <c r="S81" s="2771" t="n">
        <f aca="false">ROUND(R81*B81/10000,0)</f>
        <v>0</v>
      </c>
    </row>
    <row r="82" customFormat="false" ht="12.75" hidden="false" customHeight="false" outlineLevel="0" collapsed="false">
      <c r="A82" s="1016"/>
      <c r="B82" s="2781"/>
      <c r="C82" s="478" t="n">
        <f aca="false">IF(B82="",1,(LOOKUP(B82,$3:$3,$4:$4)-LOOKUP($B$24,$3:$3,$4:$4)+100)/100)</f>
        <v>1</v>
      </c>
      <c r="D82" s="2782"/>
      <c r="E82" s="478" t="n">
        <f aca="false">(SUMIF($5:$5,D82,$6:$6)-SUMIF($5:$5,$D$24,$6:$6)+100)/100</f>
        <v>1</v>
      </c>
      <c r="F82" s="2782"/>
      <c r="G82" s="478" t="n">
        <f aca="false">(SUMIF($7:$7,F82,$8:$8)-SUMIF($7:$7,$F$24,$8:$8)+100)/100</f>
        <v>1</v>
      </c>
      <c r="H82" s="2782"/>
      <c r="I82" s="478" t="n">
        <f aca="false">(SUMIF($9:$9,H82,$10:$10)-SUMIF($9:$9,$H$24,$10:$10)+100)/100</f>
        <v>1</v>
      </c>
      <c r="J82" s="2782"/>
      <c r="K82" s="478" t="n">
        <f aca="false">(SUMIF($11:$11,J82,$12:$12)-SUMIF($11:$11,$J$24,$12:$12)+100)/100</f>
        <v>1</v>
      </c>
      <c r="L82" s="2782"/>
      <c r="M82" s="478" t="n">
        <f aca="false">(SUMIF($13:$13,L82,$14:$14)-SUMIF($13:$13,$L$24,$14:$14)+100)/100</f>
        <v>1</v>
      </c>
      <c r="N82" s="2782"/>
      <c r="O82" s="478" t="n">
        <f aca="false">(SUMIF($15:$15,N82,$16:$16)-SUMIF($15:$15,$N$24,$16:$16)+100)/100</f>
        <v>1</v>
      </c>
      <c r="P82" s="2782"/>
      <c r="Q82" s="478" t="n">
        <f aca="false">(SUMIF($17:$17,P82,$18:$18)-SUMIF($17:$17,$P$24,$18:$18)+100)/100</f>
        <v>1</v>
      </c>
      <c r="R82" s="2772" t="n">
        <f aca="false">IF(B82="",0,ROUND($R$24*C82*E82*G82*I82*K82*M82*O82*Q82,0))</f>
        <v>0</v>
      </c>
      <c r="S82" s="2771" t="n">
        <f aca="false">ROUND(R82*B82/10000,0)</f>
        <v>0</v>
      </c>
    </row>
    <row r="83" customFormat="false" ht="12.75" hidden="false" customHeight="false" outlineLevel="0" collapsed="false">
      <c r="A83" s="1016"/>
      <c r="B83" s="2781"/>
      <c r="C83" s="478" t="n">
        <f aca="false">IF(B83="",1,(LOOKUP(B83,$3:$3,$4:$4)-LOOKUP($B$24,$3:$3,$4:$4)+100)/100)</f>
        <v>1</v>
      </c>
      <c r="D83" s="2782"/>
      <c r="E83" s="478" t="n">
        <f aca="false">(SUMIF($5:$5,D83,$6:$6)-SUMIF($5:$5,$D$24,$6:$6)+100)/100</f>
        <v>1</v>
      </c>
      <c r="F83" s="2782"/>
      <c r="G83" s="478" t="n">
        <f aca="false">(SUMIF($7:$7,F83,$8:$8)-SUMIF($7:$7,$F$24,$8:$8)+100)/100</f>
        <v>1</v>
      </c>
      <c r="H83" s="2782"/>
      <c r="I83" s="478" t="n">
        <f aca="false">(SUMIF($9:$9,H83,$10:$10)-SUMIF($9:$9,$H$24,$10:$10)+100)/100</f>
        <v>1</v>
      </c>
      <c r="J83" s="2782"/>
      <c r="K83" s="478" t="n">
        <f aca="false">(SUMIF($11:$11,J83,$12:$12)-SUMIF($11:$11,$J$24,$12:$12)+100)/100</f>
        <v>1</v>
      </c>
      <c r="L83" s="2782"/>
      <c r="M83" s="478" t="n">
        <f aca="false">(SUMIF($13:$13,L83,$14:$14)-SUMIF($13:$13,$L$24,$14:$14)+100)/100</f>
        <v>1</v>
      </c>
      <c r="N83" s="2782"/>
      <c r="O83" s="478" t="n">
        <f aca="false">(SUMIF($15:$15,N83,$16:$16)-SUMIF($15:$15,$N$24,$16:$16)+100)/100</f>
        <v>1</v>
      </c>
      <c r="P83" s="2782"/>
      <c r="Q83" s="478" t="n">
        <f aca="false">(SUMIF($17:$17,P83,$18:$18)-SUMIF($17:$17,$P$24,$18:$18)+100)/100</f>
        <v>1</v>
      </c>
      <c r="R83" s="2772" t="n">
        <f aca="false">IF(B83="",0,ROUND($R$24*C83*E83*G83*I83*K83*M83*O83*Q83,0))</f>
        <v>0</v>
      </c>
      <c r="S83" s="2771" t="n">
        <f aca="false">ROUND(R83*B83/10000,0)</f>
        <v>0</v>
      </c>
    </row>
    <row r="84" customFormat="false" ht="12.75" hidden="false" customHeight="false" outlineLevel="0" collapsed="false">
      <c r="A84" s="1016"/>
      <c r="B84" s="2781"/>
      <c r="C84" s="478" t="n">
        <f aca="false">IF(B84="",1,(LOOKUP(B84,$3:$3,$4:$4)-LOOKUP($B$24,$3:$3,$4:$4)+100)/100)</f>
        <v>1</v>
      </c>
      <c r="D84" s="2782"/>
      <c r="E84" s="478" t="n">
        <f aca="false">(SUMIF($5:$5,D84,$6:$6)-SUMIF($5:$5,$D$24,$6:$6)+100)/100</f>
        <v>1</v>
      </c>
      <c r="F84" s="2782"/>
      <c r="G84" s="478" t="n">
        <f aca="false">(SUMIF($7:$7,F84,$8:$8)-SUMIF($7:$7,$F$24,$8:$8)+100)/100</f>
        <v>1</v>
      </c>
      <c r="H84" s="2782"/>
      <c r="I84" s="478" t="n">
        <f aca="false">(SUMIF($9:$9,H84,$10:$10)-SUMIF($9:$9,$H$24,$10:$10)+100)/100</f>
        <v>1</v>
      </c>
      <c r="J84" s="2782"/>
      <c r="K84" s="478" t="n">
        <f aca="false">(SUMIF($11:$11,J84,$12:$12)-SUMIF($11:$11,$J$24,$12:$12)+100)/100</f>
        <v>1</v>
      </c>
      <c r="L84" s="2782"/>
      <c r="M84" s="478" t="n">
        <f aca="false">(SUMIF($13:$13,L84,$14:$14)-SUMIF($13:$13,$L$24,$14:$14)+100)/100</f>
        <v>1</v>
      </c>
      <c r="N84" s="2782"/>
      <c r="O84" s="478" t="n">
        <f aca="false">(SUMIF($15:$15,N84,$16:$16)-SUMIF($15:$15,$N$24,$16:$16)+100)/100</f>
        <v>1</v>
      </c>
      <c r="P84" s="2782"/>
      <c r="Q84" s="478" t="n">
        <f aca="false">(SUMIF($17:$17,P84,$18:$18)-SUMIF($17:$17,$P$24,$18:$18)+100)/100</f>
        <v>1</v>
      </c>
      <c r="R84" s="2772" t="n">
        <f aca="false">IF(B84="",0,ROUND($R$24*C84*E84*G84*I84*K84*M84*O84*Q84,0))</f>
        <v>0</v>
      </c>
      <c r="S84" s="2771" t="n">
        <f aca="false">ROUND(R84*B84/10000,0)</f>
        <v>0</v>
      </c>
    </row>
    <row r="85" customFormat="false" ht="12.75" hidden="false" customHeight="false" outlineLevel="0" collapsed="false">
      <c r="A85" s="1016"/>
      <c r="B85" s="2781"/>
      <c r="C85" s="478" t="n">
        <f aca="false">IF(B85="",1,(LOOKUP(B85,$3:$3,$4:$4)-LOOKUP($B$24,$3:$3,$4:$4)+100)/100)</f>
        <v>1</v>
      </c>
      <c r="D85" s="2782"/>
      <c r="E85" s="478" t="n">
        <f aca="false">(SUMIF($5:$5,D85,$6:$6)-SUMIF($5:$5,$D$24,$6:$6)+100)/100</f>
        <v>1</v>
      </c>
      <c r="F85" s="2782"/>
      <c r="G85" s="478" t="n">
        <f aca="false">(SUMIF($7:$7,F85,$8:$8)-SUMIF($7:$7,$F$24,$8:$8)+100)/100</f>
        <v>1</v>
      </c>
      <c r="H85" s="2782"/>
      <c r="I85" s="478" t="n">
        <f aca="false">(SUMIF($9:$9,H85,$10:$10)-SUMIF($9:$9,$H$24,$10:$10)+100)/100</f>
        <v>1</v>
      </c>
      <c r="J85" s="2782"/>
      <c r="K85" s="478" t="n">
        <f aca="false">(SUMIF($11:$11,J85,$12:$12)-SUMIF($11:$11,$J$24,$12:$12)+100)/100</f>
        <v>1</v>
      </c>
      <c r="L85" s="2782"/>
      <c r="M85" s="478" t="n">
        <f aca="false">(SUMIF($13:$13,L85,$14:$14)-SUMIF($13:$13,$L$24,$14:$14)+100)/100</f>
        <v>1</v>
      </c>
      <c r="N85" s="2782"/>
      <c r="O85" s="478" t="n">
        <f aca="false">(SUMIF($15:$15,N85,$16:$16)-SUMIF($15:$15,$N$24,$16:$16)+100)/100</f>
        <v>1</v>
      </c>
      <c r="P85" s="2782"/>
      <c r="Q85" s="478" t="n">
        <f aca="false">(SUMIF($17:$17,P85,$18:$18)-SUMIF($17:$17,$P$24,$18:$18)+100)/100</f>
        <v>1</v>
      </c>
      <c r="R85" s="2772" t="n">
        <f aca="false">IF(B85="",0,ROUND($R$24*C85*E85*G85*I85*K85*M85*O85*Q85,0))</f>
        <v>0</v>
      </c>
      <c r="S85" s="2771" t="n">
        <f aca="false">ROUND(R85*B85/10000,0)</f>
        <v>0</v>
      </c>
    </row>
    <row r="86" customFormat="false" ht="12.75" hidden="false" customHeight="false" outlineLevel="0" collapsed="false">
      <c r="A86" s="1016"/>
      <c r="B86" s="2781"/>
      <c r="C86" s="478" t="n">
        <f aca="false">IF(B86="",1,(LOOKUP(B86,$3:$3,$4:$4)-LOOKUP($B$24,$3:$3,$4:$4)+100)/100)</f>
        <v>1</v>
      </c>
      <c r="D86" s="2782"/>
      <c r="E86" s="478" t="n">
        <f aca="false">(SUMIF($5:$5,D86,$6:$6)-SUMIF($5:$5,$D$24,$6:$6)+100)/100</f>
        <v>1</v>
      </c>
      <c r="F86" s="2782"/>
      <c r="G86" s="478" t="n">
        <f aca="false">(SUMIF($7:$7,F86,$8:$8)-SUMIF($7:$7,$F$24,$8:$8)+100)/100</f>
        <v>1</v>
      </c>
      <c r="H86" s="2782"/>
      <c r="I86" s="478" t="n">
        <f aca="false">(SUMIF($9:$9,H86,$10:$10)-SUMIF($9:$9,$H$24,$10:$10)+100)/100</f>
        <v>1</v>
      </c>
      <c r="J86" s="2782"/>
      <c r="K86" s="478" t="n">
        <f aca="false">(SUMIF($11:$11,J86,$12:$12)-SUMIF($11:$11,$J$24,$12:$12)+100)/100</f>
        <v>1</v>
      </c>
      <c r="L86" s="2782"/>
      <c r="M86" s="478" t="n">
        <f aca="false">(SUMIF($13:$13,L86,$14:$14)-SUMIF($13:$13,$L$24,$14:$14)+100)/100</f>
        <v>1</v>
      </c>
      <c r="N86" s="2782"/>
      <c r="O86" s="478" t="n">
        <f aca="false">(SUMIF($15:$15,N86,$16:$16)-SUMIF($15:$15,$N$24,$16:$16)+100)/100</f>
        <v>1</v>
      </c>
      <c r="P86" s="2782"/>
      <c r="Q86" s="478" t="n">
        <f aca="false">(SUMIF($17:$17,P86,$18:$18)-SUMIF($17:$17,$P$24,$18:$18)+100)/100</f>
        <v>1</v>
      </c>
      <c r="R86" s="2772" t="n">
        <f aca="false">IF(B86="",0,ROUND($R$24*C86*E86*G86*I86*K86*M86*O86*Q86,0))</f>
        <v>0</v>
      </c>
      <c r="S86" s="2771" t="n">
        <f aca="false">ROUND(R86*B86/10000,0)</f>
        <v>0</v>
      </c>
    </row>
    <row r="87" customFormat="false" ht="12.75" hidden="false" customHeight="false" outlineLevel="0" collapsed="false">
      <c r="A87" s="1016"/>
      <c r="B87" s="2781"/>
      <c r="C87" s="478" t="n">
        <f aca="false">IF(B87="",1,(LOOKUP(B87,$3:$3,$4:$4)-LOOKUP($B$24,$3:$3,$4:$4)+100)/100)</f>
        <v>1</v>
      </c>
      <c r="D87" s="2782"/>
      <c r="E87" s="478" t="n">
        <f aca="false">(SUMIF($5:$5,D87,$6:$6)-SUMIF($5:$5,$D$24,$6:$6)+100)/100</f>
        <v>1</v>
      </c>
      <c r="F87" s="2782"/>
      <c r="G87" s="478" t="n">
        <f aca="false">(SUMIF($7:$7,F87,$8:$8)-SUMIF($7:$7,$F$24,$8:$8)+100)/100</f>
        <v>1</v>
      </c>
      <c r="H87" s="2782"/>
      <c r="I87" s="478" t="n">
        <f aca="false">(SUMIF($9:$9,H87,$10:$10)-SUMIF($9:$9,$H$24,$10:$10)+100)/100</f>
        <v>1</v>
      </c>
      <c r="J87" s="2782"/>
      <c r="K87" s="478" t="n">
        <f aca="false">(SUMIF($11:$11,J87,$12:$12)-SUMIF($11:$11,$J$24,$12:$12)+100)/100</f>
        <v>1</v>
      </c>
      <c r="L87" s="2782"/>
      <c r="M87" s="478" t="n">
        <f aca="false">(SUMIF($13:$13,L87,$14:$14)-SUMIF($13:$13,$L$24,$14:$14)+100)/100</f>
        <v>1</v>
      </c>
      <c r="N87" s="2782"/>
      <c r="O87" s="478" t="n">
        <f aca="false">(SUMIF($15:$15,N87,$16:$16)-SUMIF($15:$15,$N$24,$16:$16)+100)/100</f>
        <v>1</v>
      </c>
      <c r="P87" s="2782"/>
      <c r="Q87" s="478" t="n">
        <f aca="false">(SUMIF($17:$17,P87,$18:$18)-SUMIF($17:$17,$P$24,$18:$18)+100)/100</f>
        <v>1</v>
      </c>
      <c r="R87" s="2772" t="n">
        <f aca="false">IF(B87="",0,ROUND($R$24*C87*E87*G87*I87*K87*M87*O87*Q87,0))</f>
        <v>0</v>
      </c>
      <c r="S87" s="2771" t="n">
        <f aca="false">ROUND(R87*B87/10000,0)</f>
        <v>0</v>
      </c>
    </row>
    <row r="88" customFormat="false" ht="12.75" hidden="false" customHeight="false" outlineLevel="0" collapsed="false">
      <c r="A88" s="1016"/>
      <c r="B88" s="2781"/>
      <c r="C88" s="478" t="n">
        <f aca="false">IF(B88="",1,(LOOKUP(B88,$3:$3,$4:$4)-LOOKUP($B$24,$3:$3,$4:$4)+100)/100)</f>
        <v>1</v>
      </c>
      <c r="D88" s="2782"/>
      <c r="E88" s="478" t="n">
        <f aca="false">(SUMIF($5:$5,D88,$6:$6)-SUMIF($5:$5,$D$24,$6:$6)+100)/100</f>
        <v>1</v>
      </c>
      <c r="F88" s="2782"/>
      <c r="G88" s="478" t="n">
        <f aca="false">(SUMIF($7:$7,F88,$8:$8)-SUMIF($7:$7,$F$24,$8:$8)+100)/100</f>
        <v>1</v>
      </c>
      <c r="H88" s="2782"/>
      <c r="I88" s="478" t="n">
        <f aca="false">(SUMIF($9:$9,H88,$10:$10)-SUMIF($9:$9,$H$24,$10:$10)+100)/100</f>
        <v>1</v>
      </c>
      <c r="J88" s="2782"/>
      <c r="K88" s="478" t="n">
        <f aca="false">(SUMIF($11:$11,J88,$12:$12)-SUMIF($11:$11,$J$24,$12:$12)+100)/100</f>
        <v>1</v>
      </c>
      <c r="L88" s="2782"/>
      <c r="M88" s="478" t="n">
        <f aca="false">(SUMIF($13:$13,L88,$14:$14)-SUMIF($13:$13,$L$24,$14:$14)+100)/100</f>
        <v>1</v>
      </c>
      <c r="N88" s="2782"/>
      <c r="O88" s="478" t="n">
        <f aca="false">(SUMIF($15:$15,N88,$16:$16)-SUMIF($15:$15,$N$24,$16:$16)+100)/100</f>
        <v>1</v>
      </c>
      <c r="P88" s="2782"/>
      <c r="Q88" s="478" t="n">
        <f aca="false">(SUMIF($17:$17,P88,$18:$18)-SUMIF($17:$17,$P$24,$18:$18)+100)/100</f>
        <v>1</v>
      </c>
      <c r="R88" s="2772" t="n">
        <f aca="false">IF(B88="",0,ROUND($R$24*C88*E88*G88*I88*K88*M88*O88*Q88,0))</f>
        <v>0</v>
      </c>
      <c r="S88" s="2771" t="n">
        <f aca="false">ROUND(R88*B88/10000,0)</f>
        <v>0</v>
      </c>
    </row>
    <row r="89" customFormat="false" ht="12.75" hidden="false" customHeight="false" outlineLevel="0" collapsed="false">
      <c r="A89" s="1016"/>
      <c r="B89" s="2781"/>
      <c r="C89" s="478" t="n">
        <f aca="false">IF(B89="",1,(LOOKUP(B89,$3:$3,$4:$4)-LOOKUP($B$24,$3:$3,$4:$4)+100)/100)</f>
        <v>1</v>
      </c>
      <c r="D89" s="2782"/>
      <c r="E89" s="478" t="n">
        <f aca="false">(SUMIF($5:$5,D89,$6:$6)-SUMIF($5:$5,$D$24,$6:$6)+100)/100</f>
        <v>1</v>
      </c>
      <c r="F89" s="2782"/>
      <c r="G89" s="478" t="n">
        <f aca="false">(SUMIF($7:$7,F89,$8:$8)-SUMIF($7:$7,$F$24,$8:$8)+100)/100</f>
        <v>1</v>
      </c>
      <c r="H89" s="2782"/>
      <c r="I89" s="478" t="n">
        <f aca="false">(SUMIF($9:$9,H89,$10:$10)-SUMIF($9:$9,$H$24,$10:$10)+100)/100</f>
        <v>1</v>
      </c>
      <c r="J89" s="2782"/>
      <c r="K89" s="478" t="n">
        <f aca="false">(SUMIF($11:$11,J89,$12:$12)-SUMIF($11:$11,$J$24,$12:$12)+100)/100</f>
        <v>1</v>
      </c>
      <c r="L89" s="2782"/>
      <c r="M89" s="478" t="n">
        <f aca="false">(SUMIF($13:$13,L89,$14:$14)-SUMIF($13:$13,$L$24,$14:$14)+100)/100</f>
        <v>1</v>
      </c>
      <c r="N89" s="2782"/>
      <c r="O89" s="478" t="n">
        <f aca="false">(SUMIF($15:$15,N89,$16:$16)-SUMIF($15:$15,$N$24,$16:$16)+100)/100</f>
        <v>1</v>
      </c>
      <c r="P89" s="2782"/>
      <c r="Q89" s="478" t="n">
        <f aca="false">(SUMIF($17:$17,P89,$18:$18)-SUMIF($17:$17,$P$24,$18:$18)+100)/100</f>
        <v>1</v>
      </c>
      <c r="R89" s="2772" t="n">
        <f aca="false">IF(B89="",0,ROUND($R$24*C89*E89*G89*I89*K89*M89*O89*Q89,0))</f>
        <v>0</v>
      </c>
      <c r="S89" s="2771" t="n">
        <f aca="false">ROUND(R89*B89/10000,0)</f>
        <v>0</v>
      </c>
    </row>
    <row r="90" customFormat="false" ht="12.75" hidden="false" customHeight="false" outlineLevel="0" collapsed="false">
      <c r="A90" s="1016"/>
      <c r="B90" s="2781"/>
      <c r="C90" s="478" t="n">
        <f aca="false">IF(B90="",1,(LOOKUP(B90,$3:$3,$4:$4)-LOOKUP($B$24,$3:$3,$4:$4)+100)/100)</f>
        <v>1</v>
      </c>
      <c r="D90" s="2782"/>
      <c r="E90" s="478" t="n">
        <f aca="false">(SUMIF($5:$5,D90,$6:$6)-SUMIF($5:$5,$D$24,$6:$6)+100)/100</f>
        <v>1</v>
      </c>
      <c r="F90" s="2782"/>
      <c r="G90" s="478" t="n">
        <f aca="false">(SUMIF($7:$7,F90,$8:$8)-SUMIF($7:$7,$F$24,$8:$8)+100)/100</f>
        <v>1</v>
      </c>
      <c r="H90" s="2782"/>
      <c r="I90" s="478" t="n">
        <f aca="false">(SUMIF($9:$9,H90,$10:$10)-SUMIF($9:$9,$H$24,$10:$10)+100)/100</f>
        <v>1</v>
      </c>
      <c r="J90" s="2782"/>
      <c r="K90" s="478" t="n">
        <f aca="false">(SUMIF($11:$11,J90,$12:$12)-SUMIF($11:$11,$J$24,$12:$12)+100)/100</f>
        <v>1</v>
      </c>
      <c r="L90" s="2782"/>
      <c r="M90" s="478" t="n">
        <f aca="false">(SUMIF($13:$13,L90,$14:$14)-SUMIF($13:$13,$L$24,$14:$14)+100)/100</f>
        <v>1</v>
      </c>
      <c r="N90" s="2782"/>
      <c r="O90" s="478" t="n">
        <f aca="false">(SUMIF($15:$15,N90,$16:$16)-SUMIF($15:$15,$N$24,$16:$16)+100)/100</f>
        <v>1</v>
      </c>
      <c r="P90" s="2782"/>
      <c r="Q90" s="478" t="n">
        <f aca="false">(SUMIF($17:$17,P90,$18:$18)-SUMIF($17:$17,$P$24,$18:$18)+100)/100</f>
        <v>1</v>
      </c>
      <c r="R90" s="2772" t="n">
        <f aca="false">IF(B90="",0,ROUND($R$24*C90*E90*G90*I90*K90*M90*O90*Q90,0))</f>
        <v>0</v>
      </c>
      <c r="S90" s="2771" t="n">
        <f aca="false">ROUND(R90*B90/10000,0)</f>
        <v>0</v>
      </c>
    </row>
    <row r="91" customFormat="false" ht="12.75" hidden="false" customHeight="false" outlineLevel="0" collapsed="false">
      <c r="A91" s="1016"/>
      <c r="B91" s="2781"/>
      <c r="C91" s="478" t="n">
        <f aca="false">IF(B91="",1,(LOOKUP(B91,$3:$3,$4:$4)-LOOKUP($B$24,$3:$3,$4:$4)+100)/100)</f>
        <v>1</v>
      </c>
      <c r="D91" s="2782"/>
      <c r="E91" s="478" t="n">
        <f aca="false">(SUMIF($5:$5,D91,$6:$6)-SUMIF($5:$5,$D$24,$6:$6)+100)/100</f>
        <v>1</v>
      </c>
      <c r="F91" s="2782"/>
      <c r="G91" s="478" t="n">
        <f aca="false">(SUMIF($7:$7,F91,$8:$8)-SUMIF($7:$7,$F$24,$8:$8)+100)/100</f>
        <v>1</v>
      </c>
      <c r="H91" s="2782"/>
      <c r="I91" s="478" t="n">
        <f aca="false">(SUMIF($9:$9,H91,$10:$10)-SUMIF($9:$9,$H$24,$10:$10)+100)/100</f>
        <v>1</v>
      </c>
      <c r="J91" s="2782"/>
      <c r="K91" s="478" t="n">
        <f aca="false">(SUMIF($11:$11,J91,$12:$12)-SUMIF($11:$11,$J$24,$12:$12)+100)/100</f>
        <v>1</v>
      </c>
      <c r="L91" s="2782"/>
      <c r="M91" s="478" t="n">
        <f aca="false">(SUMIF($13:$13,L91,$14:$14)-SUMIF($13:$13,$L$24,$14:$14)+100)/100</f>
        <v>1</v>
      </c>
      <c r="N91" s="2782"/>
      <c r="O91" s="478" t="n">
        <f aca="false">(SUMIF($15:$15,N91,$16:$16)-SUMIF($15:$15,$N$24,$16:$16)+100)/100</f>
        <v>1</v>
      </c>
      <c r="P91" s="2782"/>
      <c r="Q91" s="478" t="n">
        <f aca="false">(SUMIF($17:$17,P91,$18:$18)-SUMIF($17:$17,$P$24,$18:$18)+100)/100</f>
        <v>1</v>
      </c>
      <c r="R91" s="2772" t="n">
        <f aca="false">IF(B91="",0,ROUND($R$24*C91*E91*G91*I91*K91*M91*O91*Q91,0))</f>
        <v>0</v>
      </c>
      <c r="S91" s="2771" t="n">
        <f aca="false">ROUND(R91*B91/10000,0)</f>
        <v>0</v>
      </c>
    </row>
    <row r="92" customFormat="false" ht="12.75" hidden="false" customHeight="false" outlineLevel="0" collapsed="false">
      <c r="A92" s="1016"/>
      <c r="B92" s="2781"/>
      <c r="C92" s="478" t="n">
        <f aca="false">IF(B92="",1,(LOOKUP(B92,$3:$3,$4:$4)-LOOKUP($B$24,$3:$3,$4:$4)+100)/100)</f>
        <v>1</v>
      </c>
      <c r="D92" s="2782"/>
      <c r="E92" s="478" t="n">
        <f aca="false">(SUMIF($5:$5,D92,$6:$6)-SUMIF($5:$5,$D$24,$6:$6)+100)/100</f>
        <v>1</v>
      </c>
      <c r="F92" s="2782"/>
      <c r="G92" s="478" t="n">
        <f aca="false">(SUMIF($7:$7,F92,$8:$8)-SUMIF($7:$7,$F$24,$8:$8)+100)/100</f>
        <v>1</v>
      </c>
      <c r="H92" s="2782"/>
      <c r="I92" s="478" t="n">
        <f aca="false">(SUMIF($9:$9,H92,$10:$10)-SUMIF($9:$9,$H$24,$10:$10)+100)/100</f>
        <v>1</v>
      </c>
      <c r="J92" s="2782"/>
      <c r="K92" s="478" t="n">
        <f aca="false">(SUMIF($11:$11,J92,$12:$12)-SUMIF($11:$11,$J$24,$12:$12)+100)/100</f>
        <v>1</v>
      </c>
      <c r="L92" s="2782"/>
      <c r="M92" s="478" t="n">
        <f aca="false">(SUMIF($13:$13,L92,$14:$14)-SUMIF($13:$13,$L$24,$14:$14)+100)/100</f>
        <v>1</v>
      </c>
      <c r="N92" s="2782"/>
      <c r="O92" s="478" t="n">
        <f aca="false">(SUMIF($15:$15,N92,$16:$16)-SUMIF($15:$15,$N$24,$16:$16)+100)/100</f>
        <v>1</v>
      </c>
      <c r="P92" s="2782"/>
      <c r="Q92" s="478" t="n">
        <f aca="false">(SUMIF($17:$17,P92,$18:$18)-SUMIF($17:$17,$P$24,$18:$18)+100)/100</f>
        <v>1</v>
      </c>
      <c r="R92" s="2772" t="n">
        <f aca="false">IF(B92="",0,ROUND($R$24*C92*E92*G92*I92*K92*M92*O92*Q92,0))</f>
        <v>0</v>
      </c>
      <c r="S92" s="2771" t="n">
        <f aca="false">ROUND(R92*B92/10000,0)</f>
        <v>0</v>
      </c>
    </row>
    <row r="93" customFormat="false" ht="12.75" hidden="false" customHeight="false" outlineLevel="0" collapsed="false">
      <c r="A93" s="1016"/>
      <c r="B93" s="2781"/>
      <c r="C93" s="478" t="n">
        <f aca="false">IF(B93="",1,(LOOKUP(B93,$3:$3,$4:$4)-LOOKUP($B$24,$3:$3,$4:$4)+100)/100)</f>
        <v>1</v>
      </c>
      <c r="D93" s="2782"/>
      <c r="E93" s="478" t="n">
        <f aca="false">(SUMIF($5:$5,D93,$6:$6)-SUMIF($5:$5,$D$24,$6:$6)+100)/100</f>
        <v>1</v>
      </c>
      <c r="F93" s="2782"/>
      <c r="G93" s="478" t="n">
        <f aca="false">(SUMIF($7:$7,F93,$8:$8)-SUMIF($7:$7,$F$24,$8:$8)+100)/100</f>
        <v>1</v>
      </c>
      <c r="H93" s="2782"/>
      <c r="I93" s="478" t="n">
        <f aca="false">(SUMIF($9:$9,H93,$10:$10)-SUMIF($9:$9,$H$24,$10:$10)+100)/100</f>
        <v>1</v>
      </c>
      <c r="J93" s="2782"/>
      <c r="K93" s="478" t="n">
        <f aca="false">(SUMIF($11:$11,J93,$12:$12)-SUMIF($11:$11,$J$24,$12:$12)+100)/100</f>
        <v>1</v>
      </c>
      <c r="L93" s="2782"/>
      <c r="M93" s="478" t="n">
        <f aca="false">(SUMIF($13:$13,L93,$14:$14)-SUMIF($13:$13,$L$24,$14:$14)+100)/100</f>
        <v>1</v>
      </c>
      <c r="N93" s="2782"/>
      <c r="O93" s="478" t="n">
        <f aca="false">(SUMIF($15:$15,N93,$16:$16)-SUMIF($15:$15,$N$24,$16:$16)+100)/100</f>
        <v>1</v>
      </c>
      <c r="P93" s="2782"/>
      <c r="Q93" s="478" t="n">
        <f aca="false">(SUMIF($17:$17,P93,$18:$18)-SUMIF($17:$17,$P$24,$18:$18)+100)/100</f>
        <v>1</v>
      </c>
      <c r="R93" s="2772" t="n">
        <f aca="false">IF(B93="",0,ROUND($R$24*C93*E93*G93*I93*K93*M93*O93*Q93,0))</f>
        <v>0</v>
      </c>
      <c r="S93" s="2771" t="n">
        <f aca="false">ROUND(R93*B93/10000,0)</f>
        <v>0</v>
      </c>
    </row>
    <row r="94" customFormat="false" ht="12.75" hidden="false" customHeight="false" outlineLevel="0" collapsed="false">
      <c r="A94" s="1016"/>
      <c r="B94" s="2781"/>
      <c r="C94" s="478" t="n">
        <f aca="false">IF(B94="",1,(LOOKUP(B94,$3:$3,$4:$4)-LOOKUP($B$24,$3:$3,$4:$4)+100)/100)</f>
        <v>1</v>
      </c>
      <c r="D94" s="2782"/>
      <c r="E94" s="478" t="n">
        <f aca="false">(SUMIF($5:$5,D94,$6:$6)-SUMIF($5:$5,$D$24,$6:$6)+100)/100</f>
        <v>1</v>
      </c>
      <c r="F94" s="2782"/>
      <c r="G94" s="478" t="n">
        <f aca="false">(SUMIF($7:$7,F94,$8:$8)-SUMIF($7:$7,$F$24,$8:$8)+100)/100</f>
        <v>1</v>
      </c>
      <c r="H94" s="2782"/>
      <c r="I94" s="478" t="n">
        <f aca="false">(SUMIF($9:$9,H94,$10:$10)-SUMIF($9:$9,$H$24,$10:$10)+100)/100</f>
        <v>1</v>
      </c>
      <c r="J94" s="2782"/>
      <c r="K94" s="478" t="n">
        <f aca="false">(SUMIF($11:$11,J94,$12:$12)-SUMIF($11:$11,$J$24,$12:$12)+100)/100</f>
        <v>1</v>
      </c>
      <c r="L94" s="2782"/>
      <c r="M94" s="478" t="n">
        <f aca="false">(SUMIF($13:$13,L94,$14:$14)-SUMIF($13:$13,$L$24,$14:$14)+100)/100</f>
        <v>1</v>
      </c>
      <c r="N94" s="2782"/>
      <c r="O94" s="478" t="n">
        <f aca="false">(SUMIF($15:$15,N94,$16:$16)-SUMIF($15:$15,$N$24,$16:$16)+100)/100</f>
        <v>1</v>
      </c>
      <c r="P94" s="2782"/>
      <c r="Q94" s="478" t="n">
        <f aca="false">(SUMIF($17:$17,P94,$18:$18)-SUMIF($17:$17,$P$24,$18:$18)+100)/100</f>
        <v>1</v>
      </c>
      <c r="R94" s="2772" t="n">
        <f aca="false">IF(B94="",0,ROUND($R$24*C94*E94*G94*I94*K94*M94*O94*Q94,0))</f>
        <v>0</v>
      </c>
      <c r="S94" s="2771" t="n">
        <f aca="false">ROUND(R94*B94/10000,0)</f>
        <v>0</v>
      </c>
    </row>
    <row r="95" customFormat="false" ht="12.75" hidden="false" customHeight="false" outlineLevel="0" collapsed="false">
      <c r="A95" s="1016"/>
      <c r="B95" s="2781"/>
      <c r="C95" s="478" t="n">
        <f aca="false">IF(B95="",1,(LOOKUP(B95,$3:$3,$4:$4)-LOOKUP($B$24,$3:$3,$4:$4)+100)/100)</f>
        <v>1</v>
      </c>
      <c r="D95" s="2782"/>
      <c r="E95" s="478" t="n">
        <f aca="false">(SUMIF($5:$5,D95,$6:$6)-SUMIF($5:$5,$D$24,$6:$6)+100)/100</f>
        <v>1</v>
      </c>
      <c r="F95" s="2782"/>
      <c r="G95" s="478" t="n">
        <f aca="false">(SUMIF($7:$7,F95,$8:$8)-SUMIF($7:$7,$F$24,$8:$8)+100)/100</f>
        <v>1</v>
      </c>
      <c r="H95" s="2782"/>
      <c r="I95" s="478" t="n">
        <f aca="false">(SUMIF($9:$9,H95,$10:$10)-SUMIF($9:$9,$H$24,$10:$10)+100)/100</f>
        <v>1</v>
      </c>
      <c r="J95" s="2782"/>
      <c r="K95" s="478" t="n">
        <f aca="false">(SUMIF($11:$11,J95,$12:$12)-SUMIF($11:$11,$J$24,$12:$12)+100)/100</f>
        <v>1</v>
      </c>
      <c r="L95" s="2782"/>
      <c r="M95" s="478" t="n">
        <f aca="false">(SUMIF($13:$13,L95,$14:$14)-SUMIF($13:$13,$L$24,$14:$14)+100)/100</f>
        <v>1</v>
      </c>
      <c r="N95" s="2782"/>
      <c r="O95" s="478" t="n">
        <f aca="false">(SUMIF($15:$15,N95,$16:$16)-SUMIF($15:$15,$N$24,$16:$16)+100)/100</f>
        <v>1</v>
      </c>
      <c r="P95" s="2782"/>
      <c r="Q95" s="478" t="n">
        <f aca="false">(SUMIF($17:$17,P95,$18:$18)-SUMIF($17:$17,$P$24,$18:$18)+100)/100</f>
        <v>1</v>
      </c>
      <c r="R95" s="2772" t="n">
        <f aca="false">IF(B95="",0,ROUND($R$24*C95*E95*G95*I95*K95*M95*O95*Q95,0))</f>
        <v>0</v>
      </c>
      <c r="S95" s="2771" t="n">
        <f aca="false">ROUND(R95*B95/10000,0)</f>
        <v>0</v>
      </c>
    </row>
    <row r="96" customFormat="false" ht="12.75" hidden="false" customHeight="false" outlineLevel="0" collapsed="false">
      <c r="A96" s="1016"/>
      <c r="B96" s="2781"/>
      <c r="C96" s="478" t="n">
        <f aca="false">IF(B96="",1,(LOOKUP(B96,$3:$3,$4:$4)-LOOKUP($B$24,$3:$3,$4:$4)+100)/100)</f>
        <v>1</v>
      </c>
      <c r="D96" s="2782"/>
      <c r="E96" s="478" t="n">
        <f aca="false">(SUMIF($5:$5,D96,$6:$6)-SUMIF($5:$5,$D$24,$6:$6)+100)/100</f>
        <v>1</v>
      </c>
      <c r="F96" s="2782"/>
      <c r="G96" s="478" t="n">
        <f aca="false">(SUMIF($7:$7,F96,$8:$8)-SUMIF($7:$7,$F$24,$8:$8)+100)/100</f>
        <v>1</v>
      </c>
      <c r="H96" s="2782"/>
      <c r="I96" s="478" t="n">
        <f aca="false">(SUMIF($9:$9,H96,$10:$10)-SUMIF($9:$9,$H$24,$10:$10)+100)/100</f>
        <v>1</v>
      </c>
      <c r="J96" s="2782"/>
      <c r="K96" s="478" t="n">
        <f aca="false">(SUMIF($11:$11,J96,$12:$12)-SUMIF($11:$11,$J$24,$12:$12)+100)/100</f>
        <v>1</v>
      </c>
      <c r="L96" s="2782"/>
      <c r="M96" s="478" t="n">
        <f aca="false">(SUMIF($13:$13,L96,$14:$14)-SUMIF($13:$13,$L$24,$14:$14)+100)/100</f>
        <v>1</v>
      </c>
      <c r="N96" s="2782"/>
      <c r="O96" s="478" t="n">
        <f aca="false">(SUMIF($15:$15,N96,$16:$16)-SUMIF($15:$15,$N$24,$16:$16)+100)/100</f>
        <v>1</v>
      </c>
      <c r="P96" s="2782"/>
      <c r="Q96" s="478" t="n">
        <f aca="false">(SUMIF($17:$17,P96,$18:$18)-SUMIF($17:$17,$P$24,$18:$18)+100)/100</f>
        <v>1</v>
      </c>
      <c r="R96" s="2772" t="n">
        <f aca="false">IF(B96="",0,ROUND($R$24*C96*E96*G96*I96*K96*M96*O96*Q96,0))</f>
        <v>0</v>
      </c>
      <c r="S96" s="2771" t="n">
        <f aca="false">ROUND(R96*B96/10000,0)</f>
        <v>0</v>
      </c>
    </row>
    <row r="97" customFormat="false" ht="12.75" hidden="false" customHeight="false" outlineLevel="0" collapsed="false">
      <c r="A97" s="1016"/>
      <c r="B97" s="2781"/>
      <c r="C97" s="478" t="n">
        <f aca="false">IF(B97="",1,(LOOKUP(B97,$3:$3,$4:$4)-LOOKUP($B$24,$3:$3,$4:$4)+100)/100)</f>
        <v>1</v>
      </c>
      <c r="D97" s="2782"/>
      <c r="E97" s="478" t="n">
        <f aca="false">(SUMIF($5:$5,D97,$6:$6)-SUMIF($5:$5,$D$24,$6:$6)+100)/100</f>
        <v>1</v>
      </c>
      <c r="F97" s="2782"/>
      <c r="G97" s="478" t="n">
        <f aca="false">(SUMIF($7:$7,F97,$8:$8)-SUMIF($7:$7,$F$24,$8:$8)+100)/100</f>
        <v>1</v>
      </c>
      <c r="H97" s="2782"/>
      <c r="I97" s="478" t="n">
        <f aca="false">(SUMIF($9:$9,H97,$10:$10)-SUMIF($9:$9,$H$24,$10:$10)+100)/100</f>
        <v>1</v>
      </c>
      <c r="J97" s="2782"/>
      <c r="K97" s="478" t="n">
        <f aca="false">(SUMIF($11:$11,J97,$12:$12)-SUMIF($11:$11,$J$24,$12:$12)+100)/100</f>
        <v>1</v>
      </c>
      <c r="L97" s="2782"/>
      <c r="M97" s="478" t="n">
        <f aca="false">(SUMIF($13:$13,L97,$14:$14)-SUMIF($13:$13,$L$24,$14:$14)+100)/100</f>
        <v>1</v>
      </c>
      <c r="N97" s="2782"/>
      <c r="O97" s="478" t="n">
        <f aca="false">(SUMIF($15:$15,N97,$16:$16)-SUMIF($15:$15,$N$24,$16:$16)+100)/100</f>
        <v>1</v>
      </c>
      <c r="P97" s="2782"/>
      <c r="Q97" s="478" t="n">
        <f aca="false">(SUMIF($17:$17,P97,$18:$18)-SUMIF($17:$17,$P$24,$18:$18)+100)/100</f>
        <v>1</v>
      </c>
      <c r="R97" s="2772" t="n">
        <f aca="false">IF(B97="",0,ROUND($R$24*C97*E97*G97*I97*K97*M97*O97*Q97,0))</f>
        <v>0</v>
      </c>
      <c r="S97" s="2771" t="n">
        <f aca="false">ROUND(R97*B97/10000,0)</f>
        <v>0</v>
      </c>
    </row>
    <row r="98" customFormat="false" ht="12.75" hidden="false" customHeight="false" outlineLevel="0" collapsed="false">
      <c r="A98" s="1016"/>
      <c r="B98" s="2781"/>
      <c r="C98" s="478" t="n">
        <f aca="false">IF(B98="",1,(LOOKUP(B98,$3:$3,$4:$4)-LOOKUP($B$24,$3:$3,$4:$4)+100)/100)</f>
        <v>1</v>
      </c>
      <c r="D98" s="2782"/>
      <c r="E98" s="478" t="n">
        <f aca="false">(SUMIF($5:$5,D98,$6:$6)-SUMIF($5:$5,$D$24,$6:$6)+100)/100</f>
        <v>1</v>
      </c>
      <c r="F98" s="2782"/>
      <c r="G98" s="478" t="n">
        <f aca="false">(SUMIF($7:$7,F98,$8:$8)-SUMIF($7:$7,$F$24,$8:$8)+100)/100</f>
        <v>1</v>
      </c>
      <c r="H98" s="2782"/>
      <c r="I98" s="478" t="n">
        <f aca="false">(SUMIF($9:$9,H98,$10:$10)-SUMIF($9:$9,$H$24,$10:$10)+100)/100</f>
        <v>1</v>
      </c>
      <c r="J98" s="2782"/>
      <c r="K98" s="478" t="n">
        <f aca="false">(SUMIF($11:$11,J98,$12:$12)-SUMIF($11:$11,$J$24,$12:$12)+100)/100</f>
        <v>1</v>
      </c>
      <c r="L98" s="2782"/>
      <c r="M98" s="478" t="n">
        <f aca="false">(SUMIF($13:$13,L98,$14:$14)-SUMIF($13:$13,$L$24,$14:$14)+100)/100</f>
        <v>1</v>
      </c>
      <c r="N98" s="2782"/>
      <c r="O98" s="478" t="n">
        <f aca="false">(SUMIF($15:$15,N98,$16:$16)-SUMIF($15:$15,$N$24,$16:$16)+100)/100</f>
        <v>1</v>
      </c>
      <c r="P98" s="2782"/>
      <c r="Q98" s="478" t="n">
        <f aca="false">(SUMIF($17:$17,P98,$18:$18)-SUMIF($17:$17,$P$24,$18:$18)+100)/100</f>
        <v>1</v>
      </c>
      <c r="R98" s="2772" t="n">
        <f aca="false">IF(B98="",0,ROUND($R$24*C98*E98*G98*I98*K98*M98*O98*Q98,0))</f>
        <v>0</v>
      </c>
      <c r="S98" s="2771" t="n">
        <f aca="false">ROUND(R98*B98/10000,0)</f>
        <v>0</v>
      </c>
    </row>
    <row r="99" customFormat="false" ht="12.75" hidden="false" customHeight="false" outlineLevel="0" collapsed="false">
      <c r="A99" s="1016"/>
      <c r="B99" s="2781"/>
      <c r="C99" s="478" t="n">
        <f aca="false">IF(B99="",1,(LOOKUP(B99,$3:$3,$4:$4)-LOOKUP($B$24,$3:$3,$4:$4)+100)/100)</f>
        <v>1</v>
      </c>
      <c r="D99" s="2782"/>
      <c r="E99" s="478" t="n">
        <f aca="false">(SUMIF($5:$5,D99,$6:$6)-SUMIF($5:$5,$D$24,$6:$6)+100)/100</f>
        <v>1</v>
      </c>
      <c r="F99" s="2782"/>
      <c r="G99" s="478" t="n">
        <f aca="false">(SUMIF($7:$7,F99,$8:$8)-SUMIF($7:$7,$F$24,$8:$8)+100)/100</f>
        <v>1</v>
      </c>
      <c r="H99" s="2782"/>
      <c r="I99" s="478" t="n">
        <f aca="false">(SUMIF($9:$9,H99,$10:$10)-SUMIF($9:$9,$H$24,$10:$10)+100)/100</f>
        <v>1</v>
      </c>
      <c r="J99" s="2782"/>
      <c r="K99" s="478" t="n">
        <f aca="false">(SUMIF($11:$11,J99,$12:$12)-SUMIF($11:$11,$J$24,$12:$12)+100)/100</f>
        <v>1</v>
      </c>
      <c r="L99" s="2782"/>
      <c r="M99" s="478" t="n">
        <f aca="false">(SUMIF($13:$13,L99,$14:$14)-SUMIF($13:$13,$L$24,$14:$14)+100)/100</f>
        <v>1</v>
      </c>
      <c r="N99" s="2782"/>
      <c r="O99" s="478" t="n">
        <f aca="false">(SUMIF($15:$15,N99,$16:$16)-SUMIF($15:$15,$N$24,$16:$16)+100)/100</f>
        <v>1</v>
      </c>
      <c r="P99" s="2782"/>
      <c r="Q99" s="478" t="n">
        <f aca="false">(SUMIF($17:$17,P99,$18:$18)-SUMIF($17:$17,$P$24,$18:$18)+100)/100</f>
        <v>1</v>
      </c>
      <c r="R99" s="2772" t="n">
        <f aca="false">IF(B99="",0,ROUND($R$24*C99*E99*G99*I99*K99*M99*O99*Q99,0))</f>
        <v>0</v>
      </c>
      <c r="S99" s="2771" t="n">
        <f aca="false">ROUND(R99*B99/10000,0)</f>
        <v>0</v>
      </c>
    </row>
    <row r="100" customFormat="false" ht="12.75" hidden="false" customHeight="false" outlineLevel="0" collapsed="false">
      <c r="A100" s="1016"/>
      <c r="B100" s="2781"/>
      <c r="C100" s="478" t="n">
        <f aca="false">IF(B100="",1,(LOOKUP(B100,$3:$3,$4:$4)-LOOKUP($B$24,$3:$3,$4:$4)+100)/100)</f>
        <v>1</v>
      </c>
      <c r="D100" s="2782"/>
      <c r="E100" s="478" t="n">
        <f aca="false">(SUMIF($5:$5,D100,$6:$6)-SUMIF($5:$5,$D$24,$6:$6)+100)/100</f>
        <v>1</v>
      </c>
      <c r="F100" s="2782"/>
      <c r="G100" s="478" t="n">
        <f aca="false">(SUMIF($7:$7,F100,$8:$8)-SUMIF($7:$7,$F$24,$8:$8)+100)/100</f>
        <v>1</v>
      </c>
      <c r="H100" s="2782"/>
      <c r="I100" s="478" t="n">
        <f aca="false">(SUMIF($9:$9,H100,$10:$10)-SUMIF($9:$9,$H$24,$10:$10)+100)/100</f>
        <v>1</v>
      </c>
      <c r="J100" s="2782"/>
      <c r="K100" s="478" t="n">
        <f aca="false">(SUMIF($11:$11,J100,$12:$12)-SUMIF($11:$11,$J$24,$12:$12)+100)/100</f>
        <v>1</v>
      </c>
      <c r="L100" s="2782"/>
      <c r="M100" s="478" t="n">
        <f aca="false">(SUMIF($13:$13,L100,$14:$14)-SUMIF($13:$13,$L$24,$14:$14)+100)/100</f>
        <v>1</v>
      </c>
      <c r="N100" s="2782"/>
      <c r="O100" s="478" t="n">
        <f aca="false">(SUMIF($15:$15,N100,$16:$16)-SUMIF($15:$15,$N$24,$16:$16)+100)/100</f>
        <v>1</v>
      </c>
      <c r="P100" s="2782"/>
      <c r="Q100" s="478" t="n">
        <f aca="false">(SUMIF($17:$17,P100,$18:$18)-SUMIF($17:$17,$P$24,$18:$18)+100)/100</f>
        <v>1</v>
      </c>
      <c r="R100" s="2772" t="n">
        <f aca="false">IF(B100="",0,ROUND($R$24*C100*E100*G100*I100*K100*M100*O100*Q100,0))</f>
        <v>0</v>
      </c>
      <c r="S100" s="2771" t="n">
        <f aca="false">ROUND(R100*B100/10000,0)</f>
        <v>0</v>
      </c>
    </row>
    <row r="101" customFormat="false" ht="12.75" hidden="false" customHeight="false" outlineLevel="0" collapsed="false">
      <c r="A101" s="1016"/>
      <c r="B101" s="2781"/>
      <c r="C101" s="478" t="n">
        <f aca="false">IF(B101="",1,(LOOKUP(B101,$3:$3,$4:$4)-LOOKUP($B$24,$3:$3,$4:$4)+100)/100)</f>
        <v>1</v>
      </c>
      <c r="D101" s="2782"/>
      <c r="E101" s="478" t="n">
        <f aca="false">(SUMIF($5:$5,D101,$6:$6)-SUMIF($5:$5,$D$24,$6:$6)+100)/100</f>
        <v>1</v>
      </c>
      <c r="F101" s="2782"/>
      <c r="G101" s="478" t="n">
        <f aca="false">(SUMIF($7:$7,F101,$8:$8)-SUMIF($7:$7,$F$24,$8:$8)+100)/100</f>
        <v>1</v>
      </c>
      <c r="H101" s="2782"/>
      <c r="I101" s="478" t="n">
        <f aca="false">(SUMIF($9:$9,H101,$10:$10)-SUMIF($9:$9,$H$24,$10:$10)+100)/100</f>
        <v>1</v>
      </c>
      <c r="J101" s="2782"/>
      <c r="K101" s="478" t="n">
        <f aca="false">(SUMIF($11:$11,J101,$12:$12)-SUMIF($11:$11,$J$24,$12:$12)+100)/100</f>
        <v>1</v>
      </c>
      <c r="L101" s="2782"/>
      <c r="M101" s="478" t="n">
        <f aca="false">(SUMIF($13:$13,L101,$14:$14)-SUMIF($13:$13,$L$24,$14:$14)+100)/100</f>
        <v>1</v>
      </c>
      <c r="N101" s="2782"/>
      <c r="O101" s="478" t="n">
        <f aca="false">(SUMIF($15:$15,N101,$16:$16)-SUMIF($15:$15,$N$24,$16:$16)+100)/100</f>
        <v>1</v>
      </c>
      <c r="P101" s="2782"/>
      <c r="Q101" s="478" t="n">
        <f aca="false">(SUMIF($17:$17,P101,$18:$18)-SUMIF($17:$17,$P$24,$18:$18)+100)/100</f>
        <v>1</v>
      </c>
      <c r="R101" s="2772" t="n">
        <f aca="false">IF(B101="",0,ROUND($R$24*C101*E101*G101*I101*K101*M101*O101*Q101,0))</f>
        <v>0</v>
      </c>
      <c r="S101" s="2771" t="n">
        <f aca="false">ROUND(R101*B101/10000,0)</f>
        <v>0</v>
      </c>
    </row>
    <row r="102" customFormat="false" ht="12.75" hidden="false" customHeight="false" outlineLevel="0" collapsed="false">
      <c r="A102" s="1016"/>
      <c r="B102" s="2781"/>
      <c r="C102" s="478" t="n">
        <f aca="false">IF(B102="",1,(LOOKUP(B102,$3:$3,$4:$4)-LOOKUP($B$24,$3:$3,$4:$4)+100)/100)</f>
        <v>1</v>
      </c>
      <c r="D102" s="2782"/>
      <c r="E102" s="478" t="n">
        <f aca="false">(SUMIF($5:$5,D102,$6:$6)-SUMIF($5:$5,$D$24,$6:$6)+100)/100</f>
        <v>1</v>
      </c>
      <c r="F102" s="2782"/>
      <c r="G102" s="478" t="n">
        <f aca="false">(SUMIF($7:$7,F102,$8:$8)-SUMIF($7:$7,$F$24,$8:$8)+100)/100</f>
        <v>1</v>
      </c>
      <c r="H102" s="2782"/>
      <c r="I102" s="478" t="n">
        <f aca="false">(SUMIF($9:$9,H102,$10:$10)-SUMIF($9:$9,$H$24,$10:$10)+100)/100</f>
        <v>1</v>
      </c>
      <c r="J102" s="2782"/>
      <c r="K102" s="478" t="n">
        <f aca="false">(SUMIF($11:$11,J102,$12:$12)-SUMIF($11:$11,$J$24,$12:$12)+100)/100</f>
        <v>1</v>
      </c>
      <c r="L102" s="2782"/>
      <c r="M102" s="478" t="n">
        <f aca="false">(SUMIF($13:$13,L102,$14:$14)-SUMIF($13:$13,$L$24,$14:$14)+100)/100</f>
        <v>1</v>
      </c>
      <c r="N102" s="2782"/>
      <c r="O102" s="478" t="n">
        <f aca="false">(SUMIF($15:$15,N102,$16:$16)-SUMIF($15:$15,$N$24,$16:$16)+100)/100</f>
        <v>1</v>
      </c>
      <c r="P102" s="2782"/>
      <c r="Q102" s="478" t="n">
        <f aca="false">(SUMIF($17:$17,P102,$18:$18)-SUMIF($17:$17,$P$24,$18:$18)+100)/100</f>
        <v>1</v>
      </c>
      <c r="R102" s="2772" t="n">
        <f aca="false">IF(B102="",0,ROUND($R$24*C102*E102*G102*I102*K102*M102*O102*Q102,0))</f>
        <v>0</v>
      </c>
      <c r="S102" s="2771" t="n">
        <f aca="false">ROUND(R102*B102/10000,0)</f>
        <v>0</v>
      </c>
    </row>
    <row r="103" customFormat="false" ht="12.75" hidden="false" customHeight="false" outlineLevel="0" collapsed="false">
      <c r="A103" s="1016"/>
      <c r="B103" s="2781"/>
      <c r="C103" s="478" t="n">
        <f aca="false">IF(B103="",1,(LOOKUP(B103,$3:$3,$4:$4)-LOOKUP($B$24,$3:$3,$4:$4)+100)/100)</f>
        <v>1</v>
      </c>
      <c r="D103" s="2782"/>
      <c r="E103" s="478" t="n">
        <f aca="false">(SUMIF($5:$5,D103,$6:$6)-SUMIF($5:$5,$D$24,$6:$6)+100)/100</f>
        <v>1</v>
      </c>
      <c r="F103" s="2782"/>
      <c r="G103" s="478" t="n">
        <f aca="false">(SUMIF($7:$7,F103,$8:$8)-SUMIF($7:$7,$F$24,$8:$8)+100)/100</f>
        <v>1</v>
      </c>
      <c r="H103" s="2782"/>
      <c r="I103" s="478" t="n">
        <f aca="false">(SUMIF($9:$9,H103,$10:$10)-SUMIF($9:$9,$H$24,$10:$10)+100)/100</f>
        <v>1</v>
      </c>
      <c r="J103" s="2782"/>
      <c r="K103" s="478" t="n">
        <f aca="false">(SUMIF($11:$11,J103,$12:$12)-SUMIF($11:$11,$J$24,$12:$12)+100)/100</f>
        <v>1</v>
      </c>
      <c r="L103" s="2782"/>
      <c r="M103" s="478" t="n">
        <f aca="false">(SUMIF($13:$13,L103,$14:$14)-SUMIF($13:$13,$L$24,$14:$14)+100)/100</f>
        <v>1</v>
      </c>
      <c r="N103" s="2782"/>
      <c r="O103" s="478" t="n">
        <f aca="false">(SUMIF($15:$15,N103,$16:$16)-SUMIF($15:$15,$N$24,$16:$16)+100)/100</f>
        <v>1</v>
      </c>
      <c r="P103" s="2782"/>
      <c r="Q103" s="478" t="n">
        <f aca="false">(SUMIF($17:$17,P103,$18:$18)-SUMIF($17:$17,$P$24,$18:$18)+100)/100</f>
        <v>1</v>
      </c>
      <c r="R103" s="2772" t="n">
        <f aca="false">IF(B103="",0,ROUND($R$24*C103*E103*G103*I103*K103*M103*O103*Q103,0))</f>
        <v>0</v>
      </c>
      <c r="S103" s="2771" t="n">
        <f aca="false">ROUND(R103*B103/10000,0)</f>
        <v>0</v>
      </c>
    </row>
    <row r="104" customFormat="false" ht="12.75" hidden="false" customHeight="false" outlineLevel="0" collapsed="false">
      <c r="A104" s="1016"/>
      <c r="B104" s="2781"/>
      <c r="C104" s="478" t="n">
        <f aca="false">IF(B104="",1,(LOOKUP(B104,$3:$3,$4:$4)-LOOKUP($B$24,$3:$3,$4:$4)+100)/100)</f>
        <v>1</v>
      </c>
      <c r="D104" s="2782"/>
      <c r="E104" s="478" t="n">
        <f aca="false">(SUMIF($5:$5,D104,$6:$6)-SUMIF($5:$5,$D$24,$6:$6)+100)/100</f>
        <v>1</v>
      </c>
      <c r="F104" s="2782"/>
      <c r="G104" s="478" t="n">
        <f aca="false">(SUMIF($7:$7,F104,$8:$8)-SUMIF($7:$7,$F$24,$8:$8)+100)/100</f>
        <v>1</v>
      </c>
      <c r="H104" s="2782"/>
      <c r="I104" s="478" t="n">
        <f aca="false">(SUMIF($9:$9,H104,$10:$10)-SUMIF($9:$9,$H$24,$10:$10)+100)/100</f>
        <v>1</v>
      </c>
      <c r="J104" s="2782"/>
      <c r="K104" s="478" t="n">
        <f aca="false">(SUMIF($11:$11,J104,$12:$12)-SUMIF($11:$11,$J$24,$12:$12)+100)/100</f>
        <v>1</v>
      </c>
      <c r="L104" s="2782"/>
      <c r="M104" s="478" t="n">
        <f aca="false">(SUMIF($13:$13,L104,$14:$14)-SUMIF($13:$13,$L$24,$14:$14)+100)/100</f>
        <v>1</v>
      </c>
      <c r="N104" s="2782"/>
      <c r="O104" s="478" t="n">
        <f aca="false">(SUMIF($15:$15,N104,$16:$16)-SUMIF($15:$15,$N$24,$16:$16)+100)/100</f>
        <v>1</v>
      </c>
      <c r="P104" s="2782"/>
      <c r="Q104" s="478" t="n">
        <f aca="false">(SUMIF($17:$17,P104,$18:$18)-SUMIF($17:$17,$P$24,$18:$18)+100)/100</f>
        <v>1</v>
      </c>
      <c r="R104" s="2772" t="n">
        <f aca="false">IF(B104="",0,ROUND($R$24*C104*E104*G104*I104*K104*M104*O104*Q104,0))</f>
        <v>0</v>
      </c>
      <c r="S104" s="2771" t="n">
        <f aca="false">ROUND(R104*B104/10000,0)</f>
        <v>0</v>
      </c>
    </row>
    <row r="105" customFormat="false" ht="12.75" hidden="false" customHeight="false" outlineLevel="0" collapsed="false">
      <c r="A105" s="1016"/>
      <c r="B105" s="2781"/>
      <c r="C105" s="478" t="n">
        <f aca="false">IF(B105="",1,(LOOKUP(B105,$3:$3,$4:$4)-LOOKUP($B$24,$3:$3,$4:$4)+100)/100)</f>
        <v>1</v>
      </c>
      <c r="D105" s="2782"/>
      <c r="E105" s="478" t="n">
        <f aca="false">(SUMIF($5:$5,D105,$6:$6)-SUMIF($5:$5,$D$24,$6:$6)+100)/100</f>
        <v>1</v>
      </c>
      <c r="F105" s="2782"/>
      <c r="G105" s="478" t="n">
        <f aca="false">(SUMIF($7:$7,F105,$8:$8)-SUMIF($7:$7,$F$24,$8:$8)+100)/100</f>
        <v>1</v>
      </c>
      <c r="H105" s="2782"/>
      <c r="I105" s="478" t="n">
        <f aca="false">(SUMIF($9:$9,H105,$10:$10)-SUMIF($9:$9,$H$24,$10:$10)+100)/100</f>
        <v>1</v>
      </c>
      <c r="J105" s="2782"/>
      <c r="K105" s="478" t="n">
        <f aca="false">(SUMIF($11:$11,J105,$12:$12)-SUMIF($11:$11,$J$24,$12:$12)+100)/100</f>
        <v>1</v>
      </c>
      <c r="L105" s="2782"/>
      <c r="M105" s="478" t="n">
        <f aca="false">(SUMIF($13:$13,L105,$14:$14)-SUMIF($13:$13,$L$24,$14:$14)+100)/100</f>
        <v>1</v>
      </c>
      <c r="N105" s="2782"/>
      <c r="O105" s="478" t="n">
        <f aca="false">(SUMIF($15:$15,N105,$16:$16)-SUMIF($15:$15,$N$24,$16:$16)+100)/100</f>
        <v>1</v>
      </c>
      <c r="P105" s="2782"/>
      <c r="Q105" s="478" t="n">
        <f aca="false">(SUMIF($17:$17,P105,$18:$18)-SUMIF($17:$17,$P$24,$18:$18)+100)/100</f>
        <v>1</v>
      </c>
      <c r="R105" s="2772" t="n">
        <f aca="false">IF(B105="",0,ROUND($R$24*C105*E105*G105*I105*K105*M105*O105*Q105,0))</f>
        <v>0</v>
      </c>
      <c r="S105" s="2771" t="n">
        <f aca="false">ROUND(R105*B105/10000,0)</f>
        <v>0</v>
      </c>
    </row>
    <row r="106" customFormat="false" ht="12.75" hidden="false" customHeight="false" outlineLevel="0" collapsed="false">
      <c r="A106" s="1016"/>
      <c r="B106" s="2781"/>
      <c r="C106" s="478" t="n">
        <f aca="false">IF(B106="",1,(LOOKUP(B106,$3:$3,$4:$4)-LOOKUP($B$24,$3:$3,$4:$4)+100)/100)</f>
        <v>1</v>
      </c>
      <c r="D106" s="2782"/>
      <c r="E106" s="478" t="n">
        <f aca="false">(SUMIF($5:$5,D106,$6:$6)-SUMIF($5:$5,$D$24,$6:$6)+100)/100</f>
        <v>1</v>
      </c>
      <c r="F106" s="2782"/>
      <c r="G106" s="478" t="n">
        <f aca="false">(SUMIF($7:$7,F106,$8:$8)-SUMIF($7:$7,$F$24,$8:$8)+100)/100</f>
        <v>1</v>
      </c>
      <c r="H106" s="2782"/>
      <c r="I106" s="478" t="n">
        <f aca="false">(SUMIF($9:$9,H106,$10:$10)-SUMIF($9:$9,$H$24,$10:$10)+100)/100</f>
        <v>1</v>
      </c>
      <c r="J106" s="2782"/>
      <c r="K106" s="478" t="n">
        <f aca="false">(SUMIF($11:$11,J106,$12:$12)-SUMIF($11:$11,$J$24,$12:$12)+100)/100</f>
        <v>1</v>
      </c>
      <c r="L106" s="2782"/>
      <c r="M106" s="478" t="n">
        <f aca="false">(SUMIF($13:$13,L106,$14:$14)-SUMIF($13:$13,$L$24,$14:$14)+100)/100</f>
        <v>1</v>
      </c>
      <c r="N106" s="2782"/>
      <c r="O106" s="478" t="n">
        <f aca="false">(SUMIF($15:$15,N106,$16:$16)-SUMIF($15:$15,$N$24,$16:$16)+100)/100</f>
        <v>1</v>
      </c>
      <c r="P106" s="2782"/>
      <c r="Q106" s="478" t="n">
        <f aca="false">(SUMIF($17:$17,P106,$18:$18)-SUMIF($17:$17,$P$24,$18:$18)+100)/100</f>
        <v>1</v>
      </c>
      <c r="R106" s="2772" t="n">
        <f aca="false">IF(B106="",0,ROUND($R$24*C106*E106*G106*I106*K106*M106*O106*Q106,0))</f>
        <v>0</v>
      </c>
      <c r="S106" s="2771" t="n">
        <f aca="false">ROUND(R106*B106/10000,0)</f>
        <v>0</v>
      </c>
    </row>
    <row r="107" customFormat="false" ht="12.75" hidden="false" customHeight="false" outlineLevel="0" collapsed="false">
      <c r="A107" s="1016"/>
      <c r="B107" s="2781"/>
      <c r="C107" s="478" t="n">
        <f aca="false">IF(B107="",1,(LOOKUP(B107,$3:$3,$4:$4)-LOOKUP($B$24,$3:$3,$4:$4)+100)/100)</f>
        <v>1</v>
      </c>
      <c r="D107" s="2782"/>
      <c r="E107" s="478" t="n">
        <f aca="false">(SUMIF($5:$5,D107,$6:$6)-SUMIF($5:$5,$D$24,$6:$6)+100)/100</f>
        <v>1</v>
      </c>
      <c r="F107" s="2782"/>
      <c r="G107" s="478" t="n">
        <f aca="false">(SUMIF($7:$7,F107,$8:$8)-SUMIF($7:$7,$F$24,$8:$8)+100)/100</f>
        <v>1</v>
      </c>
      <c r="H107" s="2782"/>
      <c r="I107" s="478" t="n">
        <f aca="false">(SUMIF($9:$9,H107,$10:$10)-SUMIF($9:$9,$H$24,$10:$10)+100)/100</f>
        <v>1</v>
      </c>
      <c r="J107" s="2782"/>
      <c r="K107" s="478" t="n">
        <f aca="false">(SUMIF($11:$11,J107,$12:$12)-SUMIF($11:$11,$J$24,$12:$12)+100)/100</f>
        <v>1</v>
      </c>
      <c r="L107" s="2782"/>
      <c r="M107" s="478" t="n">
        <f aca="false">(SUMIF($13:$13,L107,$14:$14)-SUMIF($13:$13,$L$24,$14:$14)+100)/100</f>
        <v>1</v>
      </c>
      <c r="N107" s="2782"/>
      <c r="O107" s="478" t="n">
        <f aca="false">(SUMIF($15:$15,N107,$16:$16)-SUMIF($15:$15,$N$24,$16:$16)+100)/100</f>
        <v>1</v>
      </c>
      <c r="P107" s="2782"/>
      <c r="Q107" s="478" t="n">
        <f aca="false">(SUMIF($17:$17,P107,$18:$18)-SUMIF($17:$17,$P$24,$18:$18)+100)/100</f>
        <v>1</v>
      </c>
      <c r="R107" s="2772" t="n">
        <f aca="false">IF(B107="",0,ROUND($R$24*C107*E107*G107*I107*K107*M107*O107*Q107,0))</f>
        <v>0</v>
      </c>
      <c r="S107" s="2771" t="n">
        <f aca="false">ROUND(R107*B107/10000,0)</f>
        <v>0</v>
      </c>
    </row>
    <row r="108" customFormat="false" ht="12.75" hidden="false" customHeight="false" outlineLevel="0" collapsed="false">
      <c r="A108" s="1016"/>
      <c r="B108" s="2781"/>
      <c r="C108" s="478" t="n">
        <f aca="false">IF(B108="",1,(LOOKUP(B108,$3:$3,$4:$4)-LOOKUP($B$24,$3:$3,$4:$4)+100)/100)</f>
        <v>1</v>
      </c>
      <c r="D108" s="2782"/>
      <c r="E108" s="478" t="n">
        <f aca="false">(SUMIF($5:$5,D108,$6:$6)-SUMIF($5:$5,$D$24,$6:$6)+100)/100</f>
        <v>1</v>
      </c>
      <c r="F108" s="2782"/>
      <c r="G108" s="478" t="n">
        <f aca="false">(SUMIF($7:$7,F108,$8:$8)-SUMIF($7:$7,$F$24,$8:$8)+100)/100</f>
        <v>1</v>
      </c>
      <c r="H108" s="2782"/>
      <c r="I108" s="478" t="n">
        <f aca="false">(SUMIF($9:$9,H108,$10:$10)-SUMIF($9:$9,$H$24,$10:$10)+100)/100</f>
        <v>1</v>
      </c>
      <c r="J108" s="2782"/>
      <c r="K108" s="478" t="n">
        <f aca="false">(SUMIF($11:$11,J108,$12:$12)-SUMIF($11:$11,$J$24,$12:$12)+100)/100</f>
        <v>1</v>
      </c>
      <c r="L108" s="2782"/>
      <c r="M108" s="478" t="n">
        <f aca="false">(SUMIF($13:$13,L108,$14:$14)-SUMIF($13:$13,$L$24,$14:$14)+100)/100</f>
        <v>1</v>
      </c>
      <c r="N108" s="2782"/>
      <c r="O108" s="478" t="n">
        <f aca="false">(SUMIF($15:$15,N108,$16:$16)-SUMIF($15:$15,$N$24,$16:$16)+100)/100</f>
        <v>1</v>
      </c>
      <c r="P108" s="2782"/>
      <c r="Q108" s="478" t="n">
        <f aca="false">(SUMIF($17:$17,P108,$18:$18)-SUMIF($17:$17,$P$24,$18:$18)+100)/100</f>
        <v>1</v>
      </c>
      <c r="R108" s="2772" t="n">
        <f aca="false">IF(B108="",0,ROUND($R$24*C108*E108*G108*I108*K108*M108*O108*Q108,0))</f>
        <v>0</v>
      </c>
      <c r="S108" s="2771" t="n">
        <f aca="false">ROUND(R108*B108/10000,0)</f>
        <v>0</v>
      </c>
    </row>
    <row r="109" customFormat="false" ht="12.75" hidden="false" customHeight="false" outlineLevel="0" collapsed="false">
      <c r="A109" s="1016"/>
      <c r="B109" s="2781"/>
      <c r="C109" s="478" t="n">
        <f aca="false">IF(B109="",1,(LOOKUP(B109,$3:$3,$4:$4)-LOOKUP($B$24,$3:$3,$4:$4)+100)/100)</f>
        <v>1</v>
      </c>
      <c r="D109" s="2782"/>
      <c r="E109" s="478" t="n">
        <f aca="false">(SUMIF($5:$5,D109,$6:$6)-SUMIF($5:$5,$D$24,$6:$6)+100)/100</f>
        <v>1</v>
      </c>
      <c r="F109" s="2782"/>
      <c r="G109" s="478" t="n">
        <f aca="false">(SUMIF($7:$7,F109,$8:$8)-SUMIF($7:$7,$F$24,$8:$8)+100)/100</f>
        <v>1</v>
      </c>
      <c r="H109" s="2782"/>
      <c r="I109" s="478" t="n">
        <f aca="false">(SUMIF($9:$9,H109,$10:$10)-SUMIF($9:$9,$H$24,$10:$10)+100)/100</f>
        <v>1</v>
      </c>
      <c r="J109" s="2782"/>
      <c r="K109" s="478" t="n">
        <f aca="false">(SUMIF($11:$11,J109,$12:$12)-SUMIF($11:$11,$J$24,$12:$12)+100)/100</f>
        <v>1</v>
      </c>
      <c r="L109" s="2782"/>
      <c r="M109" s="478" t="n">
        <f aca="false">(SUMIF($13:$13,L109,$14:$14)-SUMIF($13:$13,$L$24,$14:$14)+100)/100</f>
        <v>1</v>
      </c>
      <c r="N109" s="2782"/>
      <c r="O109" s="478" t="n">
        <f aca="false">(SUMIF($15:$15,N109,$16:$16)-SUMIF($15:$15,$N$24,$16:$16)+100)/100</f>
        <v>1</v>
      </c>
      <c r="P109" s="2782"/>
      <c r="Q109" s="478" t="n">
        <f aca="false">(SUMIF($17:$17,P109,$18:$18)-SUMIF($17:$17,$P$24,$18:$18)+100)/100</f>
        <v>1</v>
      </c>
      <c r="R109" s="2772" t="n">
        <f aca="false">IF(B109="",0,ROUND($R$24*C109*E109*G109*I109*K109*M109*O109*Q109,0))</f>
        <v>0</v>
      </c>
      <c r="S109" s="2771" t="n">
        <f aca="false">ROUND(R109*B109/10000,0)</f>
        <v>0</v>
      </c>
    </row>
    <row r="110" customFormat="false" ht="12.75" hidden="false" customHeight="false" outlineLevel="0" collapsed="false">
      <c r="A110" s="1016"/>
      <c r="B110" s="2781"/>
      <c r="C110" s="478" t="n">
        <f aca="false">IF(B110="",1,(LOOKUP(B110,$3:$3,$4:$4)-LOOKUP($B$24,$3:$3,$4:$4)+100)/100)</f>
        <v>1</v>
      </c>
      <c r="D110" s="2782"/>
      <c r="E110" s="478" t="n">
        <f aca="false">(SUMIF($5:$5,D110,$6:$6)-SUMIF($5:$5,$D$24,$6:$6)+100)/100</f>
        <v>1</v>
      </c>
      <c r="F110" s="2782"/>
      <c r="G110" s="478" t="n">
        <f aca="false">(SUMIF($7:$7,F110,$8:$8)-SUMIF($7:$7,$F$24,$8:$8)+100)/100</f>
        <v>1</v>
      </c>
      <c r="H110" s="2782"/>
      <c r="I110" s="478" t="n">
        <f aca="false">(SUMIF($9:$9,H110,$10:$10)-SUMIF($9:$9,$H$24,$10:$10)+100)/100</f>
        <v>1</v>
      </c>
      <c r="J110" s="2782"/>
      <c r="K110" s="478" t="n">
        <f aca="false">(SUMIF($11:$11,J110,$12:$12)-SUMIF($11:$11,$J$24,$12:$12)+100)/100</f>
        <v>1</v>
      </c>
      <c r="L110" s="2782"/>
      <c r="M110" s="478" t="n">
        <f aca="false">(SUMIF($13:$13,L110,$14:$14)-SUMIF($13:$13,$L$24,$14:$14)+100)/100</f>
        <v>1</v>
      </c>
      <c r="N110" s="2782"/>
      <c r="O110" s="478" t="n">
        <f aca="false">(SUMIF($15:$15,N110,$16:$16)-SUMIF($15:$15,$N$24,$16:$16)+100)/100</f>
        <v>1</v>
      </c>
      <c r="P110" s="2782"/>
      <c r="Q110" s="478" t="n">
        <f aca="false">(SUMIF($17:$17,P110,$18:$18)-SUMIF($17:$17,$P$24,$18:$18)+100)/100</f>
        <v>1</v>
      </c>
      <c r="R110" s="2772" t="n">
        <f aca="false">IF(B110="",0,ROUND($R$24*C110*E110*G110*I110*K110*M110*O110*Q110,0))</f>
        <v>0</v>
      </c>
      <c r="S110" s="2771" t="n">
        <f aca="false">ROUND(R110*B110/10000,0)</f>
        <v>0</v>
      </c>
    </row>
    <row r="111" customFormat="false" ht="12.75" hidden="false" customHeight="false" outlineLevel="0" collapsed="false">
      <c r="A111" s="1016"/>
      <c r="B111" s="2781"/>
      <c r="C111" s="478" t="n">
        <f aca="false">IF(B111="",1,(LOOKUP(B111,$3:$3,$4:$4)-LOOKUP($B$24,$3:$3,$4:$4)+100)/100)</f>
        <v>1</v>
      </c>
      <c r="D111" s="2782"/>
      <c r="E111" s="478" t="n">
        <f aca="false">(SUMIF($5:$5,D111,$6:$6)-SUMIF($5:$5,$D$24,$6:$6)+100)/100</f>
        <v>1</v>
      </c>
      <c r="F111" s="2782"/>
      <c r="G111" s="478" t="n">
        <f aca="false">(SUMIF($7:$7,F111,$8:$8)-SUMIF($7:$7,$F$24,$8:$8)+100)/100</f>
        <v>1</v>
      </c>
      <c r="H111" s="2782"/>
      <c r="I111" s="478" t="n">
        <f aca="false">(SUMIF($9:$9,H111,$10:$10)-SUMIF($9:$9,$H$24,$10:$10)+100)/100</f>
        <v>1</v>
      </c>
      <c r="J111" s="2782"/>
      <c r="K111" s="478" t="n">
        <f aca="false">(SUMIF($11:$11,J111,$12:$12)-SUMIF($11:$11,$J$24,$12:$12)+100)/100</f>
        <v>1</v>
      </c>
      <c r="L111" s="2782"/>
      <c r="M111" s="478" t="n">
        <f aca="false">(SUMIF($13:$13,L111,$14:$14)-SUMIF($13:$13,$L$24,$14:$14)+100)/100</f>
        <v>1</v>
      </c>
      <c r="N111" s="2782"/>
      <c r="O111" s="478" t="n">
        <f aca="false">(SUMIF($15:$15,N111,$16:$16)-SUMIF($15:$15,$N$24,$16:$16)+100)/100</f>
        <v>1</v>
      </c>
      <c r="P111" s="2782"/>
      <c r="Q111" s="478" t="n">
        <f aca="false">(SUMIF($17:$17,P111,$18:$18)-SUMIF($17:$17,$P$24,$18:$18)+100)/100</f>
        <v>1</v>
      </c>
      <c r="R111" s="2772" t="n">
        <f aca="false">IF(B111="",0,ROUND($R$24*C111*E111*G111*I111*K111*M111*O111*Q111,0))</f>
        <v>0</v>
      </c>
      <c r="S111" s="2771" t="n">
        <f aca="false">ROUND(R111*B111/10000,0)</f>
        <v>0</v>
      </c>
    </row>
    <row r="112" customFormat="false" ht="12.75" hidden="false" customHeight="false" outlineLevel="0" collapsed="false">
      <c r="A112" s="1016"/>
      <c r="B112" s="2781"/>
      <c r="C112" s="478" t="n">
        <f aca="false">IF(B112="",1,(LOOKUP(B112,$3:$3,$4:$4)-LOOKUP($B$24,$3:$3,$4:$4)+100)/100)</f>
        <v>1</v>
      </c>
      <c r="D112" s="2782"/>
      <c r="E112" s="478" t="n">
        <f aca="false">(SUMIF($5:$5,D112,$6:$6)-SUMIF($5:$5,$D$24,$6:$6)+100)/100</f>
        <v>1</v>
      </c>
      <c r="F112" s="2782"/>
      <c r="G112" s="478" t="n">
        <f aca="false">(SUMIF($7:$7,F112,$8:$8)-SUMIF($7:$7,$F$24,$8:$8)+100)/100</f>
        <v>1</v>
      </c>
      <c r="H112" s="2782"/>
      <c r="I112" s="478" t="n">
        <f aca="false">(SUMIF($9:$9,H112,$10:$10)-SUMIF($9:$9,$H$24,$10:$10)+100)/100</f>
        <v>1</v>
      </c>
      <c r="J112" s="2782"/>
      <c r="K112" s="478" t="n">
        <f aca="false">(SUMIF($11:$11,J112,$12:$12)-SUMIF($11:$11,$J$24,$12:$12)+100)/100</f>
        <v>1</v>
      </c>
      <c r="L112" s="2782"/>
      <c r="M112" s="478" t="n">
        <f aca="false">(SUMIF($13:$13,L112,$14:$14)-SUMIF($13:$13,$L$24,$14:$14)+100)/100</f>
        <v>1</v>
      </c>
      <c r="N112" s="2782"/>
      <c r="O112" s="478" t="n">
        <f aca="false">(SUMIF($15:$15,N112,$16:$16)-SUMIF($15:$15,$N$24,$16:$16)+100)/100</f>
        <v>1</v>
      </c>
      <c r="P112" s="2782"/>
      <c r="Q112" s="478" t="n">
        <f aca="false">(SUMIF($17:$17,P112,$18:$18)-SUMIF($17:$17,$P$24,$18:$18)+100)/100</f>
        <v>1</v>
      </c>
      <c r="R112" s="2772" t="n">
        <f aca="false">IF(B112="",0,ROUND($R$24*C112*E112*G112*I112*K112*M112*O112*Q112,0))</f>
        <v>0</v>
      </c>
      <c r="S112" s="2771" t="n">
        <f aca="false">ROUND(R112*B112/10000,0)</f>
        <v>0</v>
      </c>
    </row>
    <row r="113" customFormat="false" ht="12.75" hidden="false" customHeight="false" outlineLevel="0" collapsed="false">
      <c r="A113" s="1016"/>
      <c r="B113" s="2781"/>
      <c r="C113" s="478" t="n">
        <f aca="false">IF(B113="",1,(LOOKUP(B113,$3:$3,$4:$4)-LOOKUP($B$24,$3:$3,$4:$4)+100)/100)</f>
        <v>1</v>
      </c>
      <c r="D113" s="2782"/>
      <c r="E113" s="478" t="n">
        <f aca="false">(SUMIF($5:$5,D113,$6:$6)-SUMIF($5:$5,$D$24,$6:$6)+100)/100</f>
        <v>1</v>
      </c>
      <c r="F113" s="2782"/>
      <c r="G113" s="478" t="n">
        <f aca="false">(SUMIF($7:$7,F113,$8:$8)-SUMIF($7:$7,$F$24,$8:$8)+100)/100</f>
        <v>1</v>
      </c>
      <c r="H113" s="2782"/>
      <c r="I113" s="478" t="n">
        <f aca="false">(SUMIF($9:$9,H113,$10:$10)-SUMIF($9:$9,$H$24,$10:$10)+100)/100</f>
        <v>1</v>
      </c>
      <c r="J113" s="2782"/>
      <c r="K113" s="478" t="n">
        <f aca="false">(SUMIF($11:$11,J113,$12:$12)-SUMIF($11:$11,$J$24,$12:$12)+100)/100</f>
        <v>1</v>
      </c>
      <c r="L113" s="2782"/>
      <c r="M113" s="478" t="n">
        <f aca="false">(SUMIF($13:$13,L113,$14:$14)-SUMIF($13:$13,$L$24,$14:$14)+100)/100</f>
        <v>1</v>
      </c>
      <c r="N113" s="2782"/>
      <c r="O113" s="478" t="n">
        <f aca="false">(SUMIF($15:$15,N113,$16:$16)-SUMIF($15:$15,$N$24,$16:$16)+100)/100</f>
        <v>1</v>
      </c>
      <c r="P113" s="2782"/>
      <c r="Q113" s="478" t="n">
        <f aca="false">(SUMIF($17:$17,P113,$18:$18)-SUMIF($17:$17,$P$24,$18:$18)+100)/100</f>
        <v>1</v>
      </c>
      <c r="R113" s="2772" t="n">
        <f aca="false">IF(B113="",0,ROUND($R$24*C113*E113*G113*I113*K113*M113*O113*Q113,0))</f>
        <v>0</v>
      </c>
      <c r="S113" s="2771" t="n">
        <f aca="false">ROUND(R113*B113/10000,0)</f>
        <v>0</v>
      </c>
    </row>
    <row r="114" customFormat="false" ht="12.75" hidden="false" customHeight="false" outlineLevel="0" collapsed="false">
      <c r="A114" s="1016"/>
      <c r="B114" s="2781"/>
      <c r="C114" s="478" t="n">
        <f aca="false">IF(B114="",1,(LOOKUP(B114,$3:$3,$4:$4)-LOOKUP($B$24,$3:$3,$4:$4)+100)/100)</f>
        <v>1</v>
      </c>
      <c r="D114" s="2782"/>
      <c r="E114" s="478" t="n">
        <f aca="false">(SUMIF($5:$5,D114,$6:$6)-SUMIF($5:$5,$D$24,$6:$6)+100)/100</f>
        <v>1</v>
      </c>
      <c r="F114" s="2782"/>
      <c r="G114" s="478" t="n">
        <f aca="false">(SUMIF($7:$7,F114,$8:$8)-SUMIF($7:$7,$F$24,$8:$8)+100)/100</f>
        <v>1</v>
      </c>
      <c r="H114" s="2782"/>
      <c r="I114" s="478" t="n">
        <f aca="false">(SUMIF($9:$9,H114,$10:$10)-SUMIF($9:$9,$H$24,$10:$10)+100)/100</f>
        <v>1</v>
      </c>
      <c r="J114" s="2782"/>
      <c r="K114" s="478" t="n">
        <f aca="false">(SUMIF($11:$11,J114,$12:$12)-SUMIF($11:$11,$J$24,$12:$12)+100)/100</f>
        <v>1</v>
      </c>
      <c r="L114" s="2782"/>
      <c r="M114" s="478" t="n">
        <f aca="false">(SUMIF($13:$13,L114,$14:$14)-SUMIF($13:$13,$L$24,$14:$14)+100)/100</f>
        <v>1</v>
      </c>
      <c r="N114" s="2782"/>
      <c r="O114" s="478" t="n">
        <f aca="false">(SUMIF($15:$15,N114,$16:$16)-SUMIF($15:$15,$N$24,$16:$16)+100)/100</f>
        <v>1</v>
      </c>
      <c r="P114" s="2782"/>
      <c r="Q114" s="478" t="n">
        <f aca="false">(SUMIF($17:$17,P114,$18:$18)-SUMIF($17:$17,$P$24,$18:$18)+100)/100</f>
        <v>1</v>
      </c>
      <c r="R114" s="2772" t="n">
        <f aca="false">IF(B114="",0,ROUND($R$24*C114*E114*G114*I114*K114*M114*O114*Q114,0))</f>
        <v>0</v>
      </c>
      <c r="S114" s="2771" t="n">
        <f aca="false">ROUND(R114*B114/10000,0)</f>
        <v>0</v>
      </c>
    </row>
    <row r="115" customFormat="false" ht="12.75" hidden="false" customHeight="false" outlineLevel="0" collapsed="false">
      <c r="A115" s="1016"/>
      <c r="B115" s="2781"/>
      <c r="C115" s="478" t="n">
        <f aca="false">IF(B115="",1,(LOOKUP(B115,$3:$3,$4:$4)-LOOKUP($B$24,$3:$3,$4:$4)+100)/100)</f>
        <v>1</v>
      </c>
      <c r="D115" s="2782"/>
      <c r="E115" s="478" t="n">
        <f aca="false">(SUMIF($5:$5,D115,$6:$6)-SUMIF($5:$5,$D$24,$6:$6)+100)/100</f>
        <v>1</v>
      </c>
      <c r="F115" s="2782"/>
      <c r="G115" s="478" t="n">
        <f aca="false">(SUMIF($7:$7,F115,$8:$8)-SUMIF($7:$7,$F$24,$8:$8)+100)/100</f>
        <v>1</v>
      </c>
      <c r="H115" s="2782"/>
      <c r="I115" s="478" t="n">
        <f aca="false">(SUMIF($9:$9,H115,$10:$10)-SUMIF($9:$9,$H$24,$10:$10)+100)/100</f>
        <v>1</v>
      </c>
      <c r="J115" s="2782"/>
      <c r="K115" s="478" t="n">
        <f aca="false">(SUMIF($11:$11,J115,$12:$12)-SUMIF($11:$11,$J$24,$12:$12)+100)/100</f>
        <v>1</v>
      </c>
      <c r="L115" s="2782"/>
      <c r="M115" s="478" t="n">
        <f aca="false">(SUMIF($13:$13,L115,$14:$14)-SUMIF($13:$13,$L$24,$14:$14)+100)/100</f>
        <v>1</v>
      </c>
      <c r="N115" s="2782"/>
      <c r="O115" s="478" t="n">
        <f aca="false">(SUMIF($15:$15,N115,$16:$16)-SUMIF($15:$15,$N$24,$16:$16)+100)/100</f>
        <v>1</v>
      </c>
      <c r="P115" s="2782"/>
      <c r="Q115" s="478" t="n">
        <f aca="false">(SUMIF($17:$17,P115,$18:$18)-SUMIF($17:$17,$P$24,$18:$18)+100)/100</f>
        <v>1</v>
      </c>
      <c r="R115" s="2772" t="n">
        <f aca="false">IF(B115="",0,ROUND($R$24*C115*E115*G115*I115*K115*M115*O115*Q115,0))</f>
        <v>0</v>
      </c>
      <c r="S115" s="2771" t="n">
        <f aca="false">ROUND(R115*B115/10000,0)</f>
        <v>0</v>
      </c>
    </row>
    <row r="116" customFormat="false" ht="12.75" hidden="false" customHeight="false" outlineLevel="0" collapsed="false">
      <c r="A116" s="1016"/>
      <c r="B116" s="2781"/>
      <c r="C116" s="478" t="n">
        <f aca="false">IF(B116="",1,(LOOKUP(B116,$3:$3,$4:$4)-LOOKUP($B$24,$3:$3,$4:$4)+100)/100)</f>
        <v>1</v>
      </c>
      <c r="D116" s="2782"/>
      <c r="E116" s="478" t="n">
        <f aca="false">(SUMIF($5:$5,D116,$6:$6)-SUMIF($5:$5,$D$24,$6:$6)+100)/100</f>
        <v>1</v>
      </c>
      <c r="F116" s="2782"/>
      <c r="G116" s="478" t="n">
        <f aca="false">(SUMIF($7:$7,F116,$8:$8)-SUMIF($7:$7,$F$24,$8:$8)+100)/100</f>
        <v>1</v>
      </c>
      <c r="H116" s="2782"/>
      <c r="I116" s="478" t="n">
        <f aca="false">(SUMIF($9:$9,H116,$10:$10)-SUMIF($9:$9,$H$24,$10:$10)+100)/100</f>
        <v>1</v>
      </c>
      <c r="J116" s="2782"/>
      <c r="K116" s="478" t="n">
        <f aca="false">(SUMIF($11:$11,J116,$12:$12)-SUMIF($11:$11,$J$24,$12:$12)+100)/100</f>
        <v>1</v>
      </c>
      <c r="L116" s="2782"/>
      <c r="M116" s="478" t="n">
        <f aca="false">(SUMIF($13:$13,L116,$14:$14)-SUMIF($13:$13,$L$24,$14:$14)+100)/100</f>
        <v>1</v>
      </c>
      <c r="N116" s="2782"/>
      <c r="O116" s="478" t="n">
        <f aca="false">(SUMIF($15:$15,N116,$16:$16)-SUMIF($15:$15,$N$24,$16:$16)+100)/100</f>
        <v>1</v>
      </c>
      <c r="P116" s="2782"/>
      <c r="Q116" s="478" t="n">
        <f aca="false">(SUMIF($17:$17,P116,$18:$18)-SUMIF($17:$17,$P$24,$18:$18)+100)/100</f>
        <v>1</v>
      </c>
      <c r="R116" s="2772" t="n">
        <f aca="false">IF(B116="",0,ROUND($R$24*C116*E116*G116*I116*K116*M116*O116*Q116,0))</f>
        <v>0</v>
      </c>
      <c r="S116" s="2771" t="n">
        <f aca="false">ROUND(R116*B116/10000,0)</f>
        <v>0</v>
      </c>
    </row>
    <row r="117" customFormat="false" ht="12.75" hidden="false" customHeight="false" outlineLevel="0" collapsed="false">
      <c r="A117" s="1016"/>
      <c r="B117" s="2781"/>
      <c r="C117" s="478" t="n">
        <f aca="false">IF(B117="",1,(LOOKUP(B117,$3:$3,$4:$4)-LOOKUP($B$24,$3:$3,$4:$4)+100)/100)</f>
        <v>1</v>
      </c>
      <c r="D117" s="2782"/>
      <c r="E117" s="478" t="n">
        <f aca="false">(SUMIF($5:$5,D117,$6:$6)-SUMIF($5:$5,$D$24,$6:$6)+100)/100</f>
        <v>1</v>
      </c>
      <c r="F117" s="2782"/>
      <c r="G117" s="478" t="n">
        <f aca="false">(SUMIF($7:$7,F117,$8:$8)-SUMIF($7:$7,$F$24,$8:$8)+100)/100</f>
        <v>1</v>
      </c>
      <c r="H117" s="2782"/>
      <c r="I117" s="478" t="n">
        <f aca="false">(SUMIF($9:$9,H117,$10:$10)-SUMIF($9:$9,$H$24,$10:$10)+100)/100</f>
        <v>1</v>
      </c>
      <c r="J117" s="2782"/>
      <c r="K117" s="478" t="n">
        <f aca="false">(SUMIF($11:$11,J117,$12:$12)-SUMIF($11:$11,$J$24,$12:$12)+100)/100</f>
        <v>1</v>
      </c>
      <c r="L117" s="2782"/>
      <c r="M117" s="478" t="n">
        <f aca="false">(SUMIF($13:$13,L117,$14:$14)-SUMIF($13:$13,$L$24,$14:$14)+100)/100</f>
        <v>1</v>
      </c>
      <c r="N117" s="2782"/>
      <c r="O117" s="478" t="n">
        <f aca="false">(SUMIF($15:$15,N117,$16:$16)-SUMIF($15:$15,$N$24,$16:$16)+100)/100</f>
        <v>1</v>
      </c>
      <c r="P117" s="2782"/>
      <c r="Q117" s="478" t="n">
        <f aca="false">(SUMIF($17:$17,P117,$18:$18)-SUMIF($17:$17,$P$24,$18:$18)+100)/100</f>
        <v>1</v>
      </c>
      <c r="R117" s="2772" t="n">
        <f aca="false">IF(B117="",0,ROUND($R$24*C117*E117*G117*I117*K117*M117*O117*Q117,0))</f>
        <v>0</v>
      </c>
      <c r="S117" s="2771" t="n">
        <f aca="false">ROUND(R117*B117/10000,0)</f>
        <v>0</v>
      </c>
    </row>
    <row r="118" customFormat="false" ht="12.75" hidden="false" customHeight="false" outlineLevel="0" collapsed="false">
      <c r="A118" s="1016"/>
      <c r="B118" s="2781"/>
      <c r="C118" s="478" t="n">
        <f aca="false">IF(B118="",1,(LOOKUP(B118,$3:$3,$4:$4)-LOOKUP($B$24,$3:$3,$4:$4)+100)/100)</f>
        <v>1</v>
      </c>
      <c r="D118" s="2782"/>
      <c r="E118" s="478" t="n">
        <f aca="false">(SUMIF($5:$5,D118,$6:$6)-SUMIF($5:$5,$D$24,$6:$6)+100)/100</f>
        <v>1</v>
      </c>
      <c r="F118" s="2782"/>
      <c r="G118" s="478" t="n">
        <f aca="false">(SUMIF($7:$7,F118,$8:$8)-SUMIF($7:$7,$F$24,$8:$8)+100)/100</f>
        <v>1</v>
      </c>
      <c r="H118" s="2782"/>
      <c r="I118" s="478" t="n">
        <f aca="false">(SUMIF($9:$9,H118,$10:$10)-SUMIF($9:$9,$H$24,$10:$10)+100)/100</f>
        <v>1</v>
      </c>
      <c r="J118" s="2782"/>
      <c r="K118" s="478" t="n">
        <f aca="false">(SUMIF($11:$11,J118,$12:$12)-SUMIF($11:$11,$J$24,$12:$12)+100)/100</f>
        <v>1</v>
      </c>
      <c r="L118" s="2782"/>
      <c r="M118" s="478" t="n">
        <f aca="false">(SUMIF($13:$13,L118,$14:$14)-SUMIF($13:$13,$L$24,$14:$14)+100)/100</f>
        <v>1</v>
      </c>
      <c r="N118" s="2782"/>
      <c r="O118" s="478" t="n">
        <f aca="false">(SUMIF($15:$15,N118,$16:$16)-SUMIF($15:$15,$N$24,$16:$16)+100)/100</f>
        <v>1</v>
      </c>
      <c r="P118" s="2782"/>
      <c r="Q118" s="478" t="n">
        <f aca="false">(SUMIF($17:$17,P118,$18:$18)-SUMIF($17:$17,$P$24,$18:$18)+100)/100</f>
        <v>1</v>
      </c>
      <c r="R118" s="2772" t="n">
        <f aca="false">IF(B118="",0,ROUND($R$24*C118*E118*G118*I118*K118*M118*O118*Q118,0))</f>
        <v>0</v>
      </c>
      <c r="S118" s="2771" t="n">
        <f aca="false">ROUND(R118*B118/10000,0)</f>
        <v>0</v>
      </c>
    </row>
    <row r="119" customFormat="false" ht="12.75" hidden="false" customHeight="false" outlineLevel="0" collapsed="false">
      <c r="A119" s="1016"/>
      <c r="B119" s="2781"/>
      <c r="C119" s="478" t="n">
        <f aca="false">IF(B119="",1,(LOOKUP(B119,$3:$3,$4:$4)-LOOKUP($B$24,$3:$3,$4:$4)+100)/100)</f>
        <v>1</v>
      </c>
      <c r="D119" s="2782"/>
      <c r="E119" s="478" t="n">
        <f aca="false">(SUMIF($5:$5,D119,$6:$6)-SUMIF($5:$5,$D$24,$6:$6)+100)/100</f>
        <v>1</v>
      </c>
      <c r="F119" s="2782"/>
      <c r="G119" s="478" t="n">
        <f aca="false">(SUMIF($7:$7,F119,$8:$8)-SUMIF($7:$7,$F$24,$8:$8)+100)/100</f>
        <v>1</v>
      </c>
      <c r="H119" s="2782"/>
      <c r="I119" s="478" t="n">
        <f aca="false">(SUMIF($9:$9,H119,$10:$10)-SUMIF($9:$9,$H$24,$10:$10)+100)/100</f>
        <v>1</v>
      </c>
      <c r="J119" s="2782"/>
      <c r="K119" s="478" t="n">
        <f aca="false">(SUMIF($11:$11,J119,$12:$12)-SUMIF($11:$11,$J$24,$12:$12)+100)/100</f>
        <v>1</v>
      </c>
      <c r="L119" s="2782"/>
      <c r="M119" s="478" t="n">
        <f aca="false">(SUMIF($13:$13,L119,$14:$14)-SUMIF($13:$13,$L$24,$14:$14)+100)/100</f>
        <v>1</v>
      </c>
      <c r="N119" s="2782"/>
      <c r="O119" s="478" t="n">
        <f aca="false">(SUMIF($15:$15,N119,$16:$16)-SUMIF($15:$15,$N$24,$16:$16)+100)/100</f>
        <v>1</v>
      </c>
      <c r="P119" s="2782"/>
      <c r="Q119" s="478" t="n">
        <f aca="false">(SUMIF($17:$17,P119,$18:$18)-SUMIF($17:$17,$P$24,$18:$18)+100)/100</f>
        <v>1</v>
      </c>
      <c r="R119" s="2772" t="n">
        <f aca="false">IF(B119="",0,ROUND($R$24*C119*E119*G119*I119*K119*M119*O119*Q119,0))</f>
        <v>0</v>
      </c>
      <c r="S119" s="2771" t="n">
        <f aca="false">ROUND(R119*B119/10000,0)</f>
        <v>0</v>
      </c>
    </row>
    <row r="120" customFormat="false" ht="12.75" hidden="false" customHeight="false" outlineLevel="0" collapsed="false">
      <c r="A120" s="1016"/>
      <c r="B120" s="2781"/>
      <c r="C120" s="478" t="n">
        <f aca="false">IF(B120="",1,(LOOKUP(B120,$3:$3,$4:$4)-LOOKUP($B$24,$3:$3,$4:$4)+100)/100)</f>
        <v>1</v>
      </c>
      <c r="D120" s="2782"/>
      <c r="E120" s="478" t="n">
        <f aca="false">(SUMIF($5:$5,D120,$6:$6)-SUMIF($5:$5,$D$24,$6:$6)+100)/100</f>
        <v>1</v>
      </c>
      <c r="F120" s="2782"/>
      <c r="G120" s="478" t="n">
        <f aca="false">(SUMIF($7:$7,F120,$8:$8)-SUMIF($7:$7,$F$24,$8:$8)+100)/100</f>
        <v>1</v>
      </c>
      <c r="H120" s="2782"/>
      <c r="I120" s="478" t="n">
        <f aca="false">(SUMIF($9:$9,H120,$10:$10)-SUMIF($9:$9,$H$24,$10:$10)+100)/100</f>
        <v>1</v>
      </c>
      <c r="J120" s="2782"/>
      <c r="K120" s="478" t="n">
        <f aca="false">(SUMIF($11:$11,J120,$12:$12)-SUMIF($11:$11,$J$24,$12:$12)+100)/100</f>
        <v>1</v>
      </c>
      <c r="L120" s="2782"/>
      <c r="M120" s="478" t="n">
        <f aca="false">(SUMIF($13:$13,L120,$14:$14)-SUMIF($13:$13,$L$24,$14:$14)+100)/100</f>
        <v>1</v>
      </c>
      <c r="N120" s="2782"/>
      <c r="O120" s="478" t="n">
        <f aca="false">(SUMIF($15:$15,N120,$16:$16)-SUMIF($15:$15,$N$24,$16:$16)+100)/100</f>
        <v>1</v>
      </c>
      <c r="P120" s="2782"/>
      <c r="Q120" s="478" t="n">
        <f aca="false">(SUMIF($17:$17,P120,$18:$18)-SUMIF($17:$17,$P$24,$18:$18)+100)/100</f>
        <v>1</v>
      </c>
      <c r="R120" s="2772" t="n">
        <f aca="false">IF(B120="",0,ROUND($R$24*C120*E120*G120*I120*K120*M120*O120*Q120,0))</f>
        <v>0</v>
      </c>
      <c r="S120" s="2771" t="n">
        <f aca="false">ROUND(R120*B120/10000,0)</f>
        <v>0</v>
      </c>
    </row>
    <row r="121" customFormat="false" ht="12.75" hidden="false" customHeight="false" outlineLevel="0" collapsed="false">
      <c r="A121" s="1016"/>
      <c r="B121" s="2781"/>
      <c r="C121" s="478" t="n">
        <f aca="false">IF(B121="",1,(LOOKUP(B121,$3:$3,$4:$4)-LOOKUP($B$24,$3:$3,$4:$4)+100)/100)</f>
        <v>1</v>
      </c>
      <c r="D121" s="2782"/>
      <c r="E121" s="478" t="n">
        <f aca="false">(SUMIF($5:$5,D121,$6:$6)-SUMIF($5:$5,$D$24,$6:$6)+100)/100</f>
        <v>1</v>
      </c>
      <c r="F121" s="2782"/>
      <c r="G121" s="478" t="n">
        <f aca="false">(SUMIF($7:$7,F121,$8:$8)-SUMIF($7:$7,$F$24,$8:$8)+100)/100</f>
        <v>1</v>
      </c>
      <c r="H121" s="2782"/>
      <c r="I121" s="478" t="n">
        <f aca="false">(SUMIF($9:$9,H121,$10:$10)-SUMIF($9:$9,$H$24,$10:$10)+100)/100</f>
        <v>1</v>
      </c>
      <c r="J121" s="2782"/>
      <c r="K121" s="478" t="n">
        <f aca="false">(SUMIF($11:$11,J121,$12:$12)-SUMIF($11:$11,$J$24,$12:$12)+100)/100</f>
        <v>1</v>
      </c>
      <c r="L121" s="2782"/>
      <c r="M121" s="478" t="n">
        <f aca="false">(SUMIF($13:$13,L121,$14:$14)-SUMIF($13:$13,$L$24,$14:$14)+100)/100</f>
        <v>1</v>
      </c>
      <c r="N121" s="2782"/>
      <c r="O121" s="478" t="n">
        <f aca="false">(SUMIF($15:$15,N121,$16:$16)-SUMIF($15:$15,$N$24,$16:$16)+100)/100</f>
        <v>1</v>
      </c>
      <c r="P121" s="2782"/>
      <c r="Q121" s="478" t="n">
        <f aca="false">(SUMIF($17:$17,P121,$18:$18)-SUMIF($17:$17,$P$24,$18:$18)+100)/100</f>
        <v>1</v>
      </c>
      <c r="R121" s="2772" t="n">
        <f aca="false">IF(B121="",0,ROUND($R$24*C121*E121*G121*I121*K121*M121*O121*Q121,0))</f>
        <v>0</v>
      </c>
      <c r="S121" s="2771" t="n">
        <f aca="false">ROUND(R121*B121/10000,0)</f>
        <v>0</v>
      </c>
    </row>
    <row r="122" customFormat="false" ht="12.75" hidden="false" customHeight="false" outlineLevel="0" collapsed="false">
      <c r="A122" s="1016"/>
      <c r="B122" s="2781"/>
      <c r="C122" s="478" t="n">
        <f aca="false">IF(B122="",1,(LOOKUP(B122,$3:$3,$4:$4)-LOOKUP($B$24,$3:$3,$4:$4)+100)/100)</f>
        <v>1</v>
      </c>
      <c r="D122" s="2782"/>
      <c r="E122" s="478" t="n">
        <f aca="false">(SUMIF($5:$5,D122,$6:$6)-SUMIF($5:$5,$D$24,$6:$6)+100)/100</f>
        <v>1</v>
      </c>
      <c r="F122" s="2782"/>
      <c r="G122" s="478" t="n">
        <f aca="false">(SUMIF($7:$7,F122,$8:$8)-SUMIF($7:$7,$F$24,$8:$8)+100)/100</f>
        <v>1</v>
      </c>
      <c r="H122" s="2782"/>
      <c r="I122" s="478" t="n">
        <f aca="false">(SUMIF($9:$9,H122,$10:$10)-SUMIF($9:$9,$H$24,$10:$10)+100)/100</f>
        <v>1</v>
      </c>
      <c r="J122" s="2782"/>
      <c r="K122" s="478" t="n">
        <f aca="false">(SUMIF($11:$11,J122,$12:$12)-SUMIF($11:$11,$J$24,$12:$12)+100)/100</f>
        <v>1</v>
      </c>
      <c r="L122" s="2782"/>
      <c r="M122" s="478" t="n">
        <f aca="false">(SUMIF($13:$13,L122,$14:$14)-SUMIF($13:$13,$L$24,$14:$14)+100)/100</f>
        <v>1</v>
      </c>
      <c r="N122" s="2782"/>
      <c r="O122" s="478" t="n">
        <f aca="false">(SUMIF($15:$15,N122,$16:$16)-SUMIF($15:$15,$N$24,$16:$16)+100)/100</f>
        <v>1</v>
      </c>
      <c r="P122" s="2782"/>
      <c r="Q122" s="478" t="n">
        <f aca="false">(SUMIF($17:$17,P122,$18:$18)-SUMIF($17:$17,$P$24,$18:$18)+100)/100</f>
        <v>1</v>
      </c>
      <c r="R122" s="2772" t="n">
        <f aca="false">IF(B122="",0,ROUND($R$24*C122*E122*G122*I122*K122*M122*O122*Q122,0))</f>
        <v>0</v>
      </c>
      <c r="S122" s="2771" t="n">
        <f aca="false">ROUND(R122*B122/10000,0)</f>
        <v>0</v>
      </c>
    </row>
    <row r="123" customFormat="false" ht="12.75" hidden="false" customHeight="false" outlineLevel="0" collapsed="false">
      <c r="A123" s="1016"/>
      <c r="B123" s="2781"/>
      <c r="C123" s="478" t="n">
        <f aca="false">IF(B123="",1,(LOOKUP(B123,$3:$3,$4:$4)-LOOKUP($B$24,$3:$3,$4:$4)+100)/100)</f>
        <v>1</v>
      </c>
      <c r="D123" s="2782"/>
      <c r="E123" s="478" t="n">
        <f aca="false">(SUMIF($5:$5,D123,$6:$6)-SUMIF($5:$5,$D$24,$6:$6)+100)/100</f>
        <v>1</v>
      </c>
      <c r="F123" s="2782"/>
      <c r="G123" s="478" t="n">
        <f aca="false">(SUMIF($7:$7,F123,$8:$8)-SUMIF($7:$7,$F$24,$8:$8)+100)/100</f>
        <v>1</v>
      </c>
      <c r="H123" s="2782"/>
      <c r="I123" s="478" t="n">
        <f aca="false">(SUMIF($9:$9,H123,$10:$10)-SUMIF($9:$9,$H$24,$10:$10)+100)/100</f>
        <v>1</v>
      </c>
      <c r="J123" s="2782"/>
      <c r="K123" s="478" t="n">
        <f aca="false">(SUMIF($11:$11,J123,$12:$12)-SUMIF($11:$11,$J$24,$12:$12)+100)/100</f>
        <v>1</v>
      </c>
      <c r="L123" s="2782"/>
      <c r="M123" s="478" t="n">
        <f aca="false">(SUMIF($13:$13,L123,$14:$14)-SUMIF($13:$13,$L$24,$14:$14)+100)/100</f>
        <v>1</v>
      </c>
      <c r="N123" s="2782"/>
      <c r="O123" s="478" t="n">
        <f aca="false">(SUMIF($15:$15,N123,$16:$16)-SUMIF($15:$15,$N$24,$16:$16)+100)/100</f>
        <v>1</v>
      </c>
      <c r="P123" s="2782"/>
      <c r="Q123" s="478" t="n">
        <f aca="false">(SUMIF($17:$17,P123,$18:$18)-SUMIF($17:$17,$P$24,$18:$18)+100)/100</f>
        <v>1</v>
      </c>
      <c r="R123" s="2772" t="n">
        <f aca="false">IF(B123="",0,ROUND($R$24*C123*E123*G123*I123*K123*M123*O123*Q123,0))</f>
        <v>0</v>
      </c>
      <c r="S123" s="2771" t="n">
        <f aca="false">ROUND(R123*B123/10000,0)</f>
        <v>0</v>
      </c>
    </row>
    <row r="124" customFormat="false" ht="12.75" hidden="false" customHeight="false" outlineLevel="0" collapsed="false">
      <c r="A124" s="1016"/>
      <c r="B124" s="2781"/>
      <c r="C124" s="478" t="n">
        <f aca="false">IF(B124="",1,(LOOKUP(B124,$3:$3,$4:$4)-LOOKUP($B$24,$3:$3,$4:$4)+100)/100)</f>
        <v>1</v>
      </c>
      <c r="D124" s="2782"/>
      <c r="E124" s="478" t="n">
        <f aca="false">(SUMIF($5:$5,D124,$6:$6)-SUMIF($5:$5,$D$24,$6:$6)+100)/100</f>
        <v>1</v>
      </c>
      <c r="F124" s="2782"/>
      <c r="G124" s="478" t="n">
        <f aca="false">(SUMIF($7:$7,F124,$8:$8)-SUMIF($7:$7,$F$24,$8:$8)+100)/100</f>
        <v>1</v>
      </c>
      <c r="H124" s="2782"/>
      <c r="I124" s="478" t="n">
        <f aca="false">(SUMIF($9:$9,H124,$10:$10)-SUMIF($9:$9,$H$24,$10:$10)+100)/100</f>
        <v>1</v>
      </c>
      <c r="J124" s="2782"/>
      <c r="K124" s="478" t="n">
        <f aca="false">(SUMIF($11:$11,J124,$12:$12)-SUMIF($11:$11,$J$24,$12:$12)+100)/100</f>
        <v>1</v>
      </c>
      <c r="L124" s="2782"/>
      <c r="M124" s="478" t="n">
        <f aca="false">(SUMIF($13:$13,L124,$14:$14)-SUMIF($13:$13,$L$24,$14:$14)+100)/100</f>
        <v>1</v>
      </c>
      <c r="N124" s="2782"/>
      <c r="O124" s="478" t="n">
        <f aca="false">(SUMIF($15:$15,N124,$16:$16)-SUMIF($15:$15,$N$24,$16:$16)+100)/100</f>
        <v>1</v>
      </c>
      <c r="P124" s="2782"/>
      <c r="Q124" s="478" t="n">
        <f aca="false">(SUMIF($17:$17,P124,$18:$18)-SUMIF($17:$17,$P$24,$18:$18)+100)/100</f>
        <v>1</v>
      </c>
      <c r="R124" s="2772" t="n">
        <f aca="false">IF(B124="",0,ROUND($R$24*C124*E124*G124*I124*K124*M124*O124*Q124,0))</f>
        <v>0</v>
      </c>
      <c r="S124" s="2771" t="n">
        <f aca="false">ROUND(R124*B124/10000,0)</f>
        <v>0</v>
      </c>
    </row>
    <row r="125" customFormat="false" ht="12.75" hidden="false" customHeight="false" outlineLevel="0" collapsed="false">
      <c r="A125" s="1016"/>
      <c r="B125" s="2781"/>
      <c r="C125" s="478" t="n">
        <f aca="false">IF(B125="",1,(LOOKUP(B125,$3:$3,$4:$4)-LOOKUP($B$24,$3:$3,$4:$4)+100)/100)</f>
        <v>1</v>
      </c>
      <c r="D125" s="2782"/>
      <c r="E125" s="478" t="n">
        <f aca="false">(SUMIF($5:$5,D125,$6:$6)-SUMIF($5:$5,$D$24,$6:$6)+100)/100</f>
        <v>1</v>
      </c>
      <c r="F125" s="2782"/>
      <c r="G125" s="478" t="n">
        <f aca="false">(SUMIF($7:$7,F125,$8:$8)-SUMIF($7:$7,$F$24,$8:$8)+100)/100</f>
        <v>1</v>
      </c>
      <c r="H125" s="2782"/>
      <c r="I125" s="478" t="n">
        <f aca="false">(SUMIF($9:$9,H125,$10:$10)-SUMIF($9:$9,$H$24,$10:$10)+100)/100</f>
        <v>1</v>
      </c>
      <c r="J125" s="2782"/>
      <c r="K125" s="478" t="n">
        <f aca="false">(SUMIF($11:$11,J125,$12:$12)-SUMIF($11:$11,$J$24,$12:$12)+100)/100</f>
        <v>1</v>
      </c>
      <c r="L125" s="2782"/>
      <c r="M125" s="478" t="n">
        <f aca="false">(SUMIF($13:$13,L125,$14:$14)-SUMIF($13:$13,$L$24,$14:$14)+100)/100</f>
        <v>1</v>
      </c>
      <c r="N125" s="2782"/>
      <c r="O125" s="478" t="n">
        <f aca="false">(SUMIF($15:$15,N125,$16:$16)-SUMIF($15:$15,$N$24,$16:$16)+100)/100</f>
        <v>1</v>
      </c>
      <c r="P125" s="2782"/>
      <c r="Q125" s="478" t="n">
        <f aca="false">(SUMIF($17:$17,P125,$18:$18)-SUMIF($17:$17,$P$24,$18:$18)+100)/100</f>
        <v>1</v>
      </c>
      <c r="R125" s="2772" t="n">
        <f aca="false">IF(B125="",0,ROUND($R$24*C125*E125*G125*I125*K125*M125*O125*Q125,0))</f>
        <v>0</v>
      </c>
      <c r="S125" s="2771" t="n">
        <f aca="false">ROUND(R125*B125/10000,0)</f>
        <v>0</v>
      </c>
    </row>
    <row r="126" customFormat="false" ht="12.75" hidden="false" customHeight="false" outlineLevel="0" collapsed="false">
      <c r="A126" s="1016"/>
      <c r="B126" s="2781"/>
      <c r="C126" s="478" t="n">
        <f aca="false">IF(B126="",1,(LOOKUP(B126,$3:$3,$4:$4)-LOOKUP($B$24,$3:$3,$4:$4)+100)/100)</f>
        <v>1</v>
      </c>
      <c r="D126" s="2782"/>
      <c r="E126" s="478" t="n">
        <f aca="false">(SUMIF($5:$5,D126,$6:$6)-SUMIF($5:$5,$D$24,$6:$6)+100)/100</f>
        <v>1</v>
      </c>
      <c r="F126" s="2782"/>
      <c r="G126" s="478" t="n">
        <f aca="false">(SUMIF($7:$7,F126,$8:$8)-SUMIF($7:$7,$F$24,$8:$8)+100)/100</f>
        <v>1</v>
      </c>
      <c r="H126" s="2782"/>
      <c r="I126" s="478" t="n">
        <f aca="false">(SUMIF($9:$9,H126,$10:$10)-SUMIF($9:$9,$H$24,$10:$10)+100)/100</f>
        <v>1</v>
      </c>
      <c r="J126" s="2782"/>
      <c r="K126" s="478" t="n">
        <f aca="false">(SUMIF($11:$11,J126,$12:$12)-SUMIF($11:$11,$J$24,$12:$12)+100)/100</f>
        <v>1</v>
      </c>
      <c r="L126" s="2782"/>
      <c r="M126" s="478" t="n">
        <f aca="false">(SUMIF($13:$13,L126,$14:$14)-SUMIF($13:$13,$L$24,$14:$14)+100)/100</f>
        <v>1</v>
      </c>
      <c r="N126" s="2782"/>
      <c r="O126" s="478" t="n">
        <f aca="false">(SUMIF($15:$15,N126,$16:$16)-SUMIF($15:$15,$N$24,$16:$16)+100)/100</f>
        <v>1</v>
      </c>
      <c r="P126" s="2782"/>
      <c r="Q126" s="478" t="n">
        <f aca="false">(SUMIF($17:$17,P126,$18:$18)-SUMIF($17:$17,$P$24,$18:$18)+100)/100</f>
        <v>1</v>
      </c>
      <c r="R126" s="2772" t="n">
        <f aca="false">IF(B126="",0,ROUND($R$24*C126*E126*G126*I126*K126*M126*O126*Q126,0))</f>
        <v>0</v>
      </c>
      <c r="S126" s="2771" t="n">
        <f aca="false">ROUND(R126*B126/10000,0)</f>
        <v>0</v>
      </c>
    </row>
    <row r="127" customFormat="false" ht="12.75" hidden="false" customHeight="false" outlineLevel="0" collapsed="false">
      <c r="A127" s="1016"/>
      <c r="B127" s="2781"/>
      <c r="C127" s="478" t="n">
        <f aca="false">IF(B127="",1,(LOOKUP(B127,$3:$3,$4:$4)-LOOKUP($B$24,$3:$3,$4:$4)+100)/100)</f>
        <v>1</v>
      </c>
      <c r="D127" s="2782"/>
      <c r="E127" s="478" t="n">
        <f aca="false">(SUMIF($5:$5,D127,$6:$6)-SUMIF($5:$5,$D$24,$6:$6)+100)/100</f>
        <v>1</v>
      </c>
      <c r="F127" s="2782"/>
      <c r="G127" s="478" t="n">
        <f aca="false">(SUMIF($7:$7,F127,$8:$8)-SUMIF($7:$7,$F$24,$8:$8)+100)/100</f>
        <v>1</v>
      </c>
      <c r="H127" s="2782"/>
      <c r="I127" s="478" t="n">
        <f aca="false">(SUMIF($9:$9,H127,$10:$10)-SUMIF($9:$9,$H$24,$10:$10)+100)/100</f>
        <v>1</v>
      </c>
      <c r="J127" s="2782"/>
      <c r="K127" s="478" t="n">
        <f aca="false">(SUMIF($11:$11,J127,$12:$12)-SUMIF($11:$11,$J$24,$12:$12)+100)/100</f>
        <v>1</v>
      </c>
      <c r="L127" s="2782"/>
      <c r="M127" s="478" t="n">
        <f aca="false">(SUMIF($13:$13,L127,$14:$14)-SUMIF($13:$13,$L$24,$14:$14)+100)/100</f>
        <v>1</v>
      </c>
      <c r="N127" s="2782"/>
      <c r="O127" s="478" t="n">
        <f aca="false">(SUMIF($15:$15,N127,$16:$16)-SUMIF($15:$15,$N$24,$16:$16)+100)/100</f>
        <v>1</v>
      </c>
      <c r="P127" s="2782"/>
      <c r="Q127" s="478" t="n">
        <f aca="false">(SUMIF($17:$17,P127,$18:$18)-SUMIF($17:$17,$P$24,$18:$18)+100)/100</f>
        <v>1</v>
      </c>
      <c r="R127" s="2772" t="n">
        <f aca="false">IF(B127="",0,ROUND($R$24*C127*E127*G127*I127*K127*M127*O127*Q127,0))</f>
        <v>0</v>
      </c>
      <c r="S127" s="2771" t="n">
        <f aca="false">ROUND(R127*B127/10000,0)</f>
        <v>0</v>
      </c>
    </row>
    <row r="128" customFormat="false" ht="12.75" hidden="false" customHeight="false" outlineLevel="0" collapsed="false">
      <c r="A128" s="1016"/>
      <c r="B128" s="2781"/>
      <c r="C128" s="478" t="n">
        <f aca="false">IF(B128="",1,(LOOKUP(B128,$3:$3,$4:$4)-LOOKUP($B$24,$3:$3,$4:$4)+100)/100)</f>
        <v>1</v>
      </c>
      <c r="D128" s="2782"/>
      <c r="E128" s="478" t="n">
        <f aca="false">(SUMIF($5:$5,D128,$6:$6)-SUMIF($5:$5,$D$24,$6:$6)+100)/100</f>
        <v>1</v>
      </c>
      <c r="F128" s="2782"/>
      <c r="G128" s="478" t="n">
        <f aca="false">(SUMIF($7:$7,F128,$8:$8)-SUMIF($7:$7,$F$24,$8:$8)+100)/100</f>
        <v>1</v>
      </c>
      <c r="H128" s="2782"/>
      <c r="I128" s="478" t="n">
        <f aca="false">(SUMIF($9:$9,H128,$10:$10)-SUMIF($9:$9,$H$24,$10:$10)+100)/100</f>
        <v>1</v>
      </c>
      <c r="J128" s="2782"/>
      <c r="K128" s="478" t="n">
        <f aca="false">(SUMIF($11:$11,J128,$12:$12)-SUMIF($11:$11,$J$24,$12:$12)+100)/100</f>
        <v>1</v>
      </c>
      <c r="L128" s="2782"/>
      <c r="M128" s="478" t="n">
        <f aca="false">(SUMIF($13:$13,L128,$14:$14)-SUMIF($13:$13,$L$24,$14:$14)+100)/100</f>
        <v>1</v>
      </c>
      <c r="N128" s="2782"/>
      <c r="O128" s="478" t="n">
        <f aca="false">(SUMIF($15:$15,N128,$16:$16)-SUMIF($15:$15,$N$24,$16:$16)+100)/100</f>
        <v>1</v>
      </c>
      <c r="P128" s="2782"/>
      <c r="Q128" s="478" t="n">
        <f aca="false">(SUMIF($17:$17,P128,$18:$18)-SUMIF($17:$17,$P$24,$18:$18)+100)/100</f>
        <v>1</v>
      </c>
      <c r="R128" s="2772" t="n">
        <f aca="false">IF(B128="",0,ROUND($R$24*C128*E128*G128*I128*K128*M128*O128*Q128,0))</f>
        <v>0</v>
      </c>
      <c r="S128" s="2771" t="n">
        <f aca="false">ROUND(R128*B128/10000,0)</f>
        <v>0</v>
      </c>
    </row>
    <row r="129" customFormat="false" ht="12.75" hidden="false" customHeight="false" outlineLevel="0" collapsed="false">
      <c r="A129" s="1016"/>
      <c r="B129" s="2781"/>
      <c r="C129" s="478" t="n">
        <f aca="false">IF(B129="",1,(LOOKUP(B129,$3:$3,$4:$4)-LOOKUP($B$24,$3:$3,$4:$4)+100)/100)</f>
        <v>1</v>
      </c>
      <c r="D129" s="2782"/>
      <c r="E129" s="478" t="n">
        <f aca="false">(SUMIF($5:$5,D129,$6:$6)-SUMIF($5:$5,$D$24,$6:$6)+100)/100</f>
        <v>1</v>
      </c>
      <c r="F129" s="2782"/>
      <c r="G129" s="478" t="n">
        <f aca="false">(SUMIF($7:$7,F129,$8:$8)-SUMIF($7:$7,$F$24,$8:$8)+100)/100</f>
        <v>1</v>
      </c>
      <c r="H129" s="2782"/>
      <c r="I129" s="478" t="n">
        <f aca="false">(SUMIF($9:$9,H129,$10:$10)-SUMIF($9:$9,$H$24,$10:$10)+100)/100</f>
        <v>1</v>
      </c>
      <c r="J129" s="2782"/>
      <c r="K129" s="478" t="n">
        <f aca="false">(SUMIF($11:$11,J129,$12:$12)-SUMIF($11:$11,$J$24,$12:$12)+100)/100</f>
        <v>1</v>
      </c>
      <c r="L129" s="2782"/>
      <c r="M129" s="478" t="n">
        <f aca="false">(SUMIF($13:$13,L129,$14:$14)-SUMIF($13:$13,$L$24,$14:$14)+100)/100</f>
        <v>1</v>
      </c>
      <c r="N129" s="2782"/>
      <c r="O129" s="478" t="n">
        <f aca="false">(SUMIF($15:$15,N129,$16:$16)-SUMIF($15:$15,$N$24,$16:$16)+100)/100</f>
        <v>1</v>
      </c>
      <c r="P129" s="2782"/>
      <c r="Q129" s="478" t="n">
        <f aca="false">(SUMIF($17:$17,P129,$18:$18)-SUMIF($17:$17,$P$24,$18:$18)+100)/100</f>
        <v>1</v>
      </c>
      <c r="R129" s="2772" t="n">
        <f aca="false">IF(B129="",0,ROUND($R$24*C129*E129*G129*I129*K129*M129*O129*Q129,0))</f>
        <v>0</v>
      </c>
      <c r="S129" s="2771" t="n">
        <f aca="false">ROUND(R129*B129/10000,0)</f>
        <v>0</v>
      </c>
    </row>
    <row r="130" customFormat="false" ht="12.75" hidden="false" customHeight="false" outlineLevel="0" collapsed="false">
      <c r="A130" s="1016"/>
      <c r="B130" s="2781"/>
      <c r="C130" s="478" t="n">
        <f aca="false">IF(B130="",1,(LOOKUP(B130,$3:$3,$4:$4)-LOOKUP($B$24,$3:$3,$4:$4)+100)/100)</f>
        <v>1</v>
      </c>
      <c r="D130" s="2782"/>
      <c r="E130" s="478" t="n">
        <f aca="false">(SUMIF($5:$5,D130,$6:$6)-SUMIF($5:$5,$D$24,$6:$6)+100)/100</f>
        <v>1</v>
      </c>
      <c r="F130" s="2782"/>
      <c r="G130" s="478" t="n">
        <f aca="false">(SUMIF($7:$7,F130,$8:$8)-SUMIF($7:$7,$F$24,$8:$8)+100)/100</f>
        <v>1</v>
      </c>
      <c r="H130" s="2782"/>
      <c r="I130" s="478" t="n">
        <f aca="false">(SUMIF($9:$9,H130,$10:$10)-SUMIF($9:$9,$H$24,$10:$10)+100)/100</f>
        <v>1</v>
      </c>
      <c r="J130" s="2782"/>
      <c r="K130" s="478" t="n">
        <f aca="false">(SUMIF($11:$11,J130,$12:$12)-SUMIF($11:$11,$J$24,$12:$12)+100)/100</f>
        <v>1</v>
      </c>
      <c r="L130" s="2782"/>
      <c r="M130" s="478" t="n">
        <f aca="false">(SUMIF($13:$13,L130,$14:$14)-SUMIF($13:$13,$L$24,$14:$14)+100)/100</f>
        <v>1</v>
      </c>
      <c r="N130" s="2782"/>
      <c r="O130" s="478" t="n">
        <f aca="false">(SUMIF($15:$15,N130,$16:$16)-SUMIF($15:$15,$N$24,$16:$16)+100)/100</f>
        <v>1</v>
      </c>
      <c r="P130" s="2782"/>
      <c r="Q130" s="478" t="n">
        <f aca="false">(SUMIF($17:$17,P130,$18:$18)-SUMIF($17:$17,$P$24,$18:$18)+100)/100</f>
        <v>1</v>
      </c>
      <c r="R130" s="2772" t="n">
        <f aca="false">IF(B130="",0,ROUND($R$24*C130*E130*G130*I130*K130*M130*O130*Q130,0))</f>
        <v>0</v>
      </c>
      <c r="S130" s="2771" t="n">
        <f aca="false">ROUND(R130*B130/10000,0)</f>
        <v>0</v>
      </c>
    </row>
    <row r="131" customFormat="false" ht="12.75" hidden="false" customHeight="false" outlineLevel="0" collapsed="false">
      <c r="A131" s="1016"/>
      <c r="B131" s="2781"/>
      <c r="C131" s="478" t="n">
        <f aca="false">IF(B131="",1,(LOOKUP(B131,$3:$3,$4:$4)-LOOKUP($B$24,$3:$3,$4:$4)+100)/100)</f>
        <v>1</v>
      </c>
      <c r="D131" s="2782"/>
      <c r="E131" s="478" t="n">
        <f aca="false">(SUMIF($5:$5,D131,$6:$6)-SUMIF($5:$5,$D$24,$6:$6)+100)/100</f>
        <v>1</v>
      </c>
      <c r="F131" s="2782"/>
      <c r="G131" s="478" t="n">
        <f aca="false">(SUMIF($7:$7,F131,$8:$8)-SUMIF($7:$7,$F$24,$8:$8)+100)/100</f>
        <v>1</v>
      </c>
      <c r="H131" s="2782"/>
      <c r="I131" s="478" t="n">
        <f aca="false">(SUMIF($9:$9,H131,$10:$10)-SUMIF($9:$9,$H$24,$10:$10)+100)/100</f>
        <v>1</v>
      </c>
      <c r="J131" s="2782"/>
      <c r="K131" s="478" t="n">
        <f aca="false">(SUMIF($11:$11,J131,$12:$12)-SUMIF($11:$11,$J$24,$12:$12)+100)/100</f>
        <v>1</v>
      </c>
      <c r="L131" s="2782"/>
      <c r="M131" s="478" t="n">
        <f aca="false">(SUMIF($13:$13,L131,$14:$14)-SUMIF($13:$13,$L$24,$14:$14)+100)/100</f>
        <v>1</v>
      </c>
      <c r="N131" s="2782"/>
      <c r="O131" s="478" t="n">
        <f aca="false">(SUMIF($15:$15,N131,$16:$16)-SUMIF($15:$15,$N$24,$16:$16)+100)/100</f>
        <v>1</v>
      </c>
      <c r="P131" s="2782"/>
      <c r="Q131" s="478" t="n">
        <f aca="false">(SUMIF($17:$17,P131,$18:$18)-SUMIF($17:$17,$P$24,$18:$18)+100)/100</f>
        <v>1</v>
      </c>
      <c r="R131" s="2772" t="n">
        <f aca="false">IF(B131="",0,ROUND($R$24*C131*E131*G131*I131*K131*M131*O131*Q131,0))</f>
        <v>0</v>
      </c>
      <c r="S131" s="2771" t="n">
        <f aca="false">ROUND(R131*B131/10000,0)</f>
        <v>0</v>
      </c>
    </row>
    <row r="132" customFormat="false" ht="12.75" hidden="false" customHeight="false" outlineLevel="0" collapsed="false">
      <c r="A132" s="1016"/>
      <c r="B132" s="2781"/>
      <c r="C132" s="478" t="n">
        <f aca="false">IF(B132="",1,(LOOKUP(B132,$3:$3,$4:$4)-LOOKUP($B$24,$3:$3,$4:$4)+100)/100)</f>
        <v>1</v>
      </c>
      <c r="D132" s="2782"/>
      <c r="E132" s="478" t="n">
        <f aca="false">(SUMIF($5:$5,D132,$6:$6)-SUMIF($5:$5,$D$24,$6:$6)+100)/100</f>
        <v>1</v>
      </c>
      <c r="F132" s="2782"/>
      <c r="G132" s="478" t="n">
        <f aca="false">(SUMIF($7:$7,F132,$8:$8)-SUMIF($7:$7,$F$24,$8:$8)+100)/100</f>
        <v>1</v>
      </c>
      <c r="H132" s="2782"/>
      <c r="I132" s="478" t="n">
        <f aca="false">(SUMIF($9:$9,H132,$10:$10)-SUMIF($9:$9,$H$24,$10:$10)+100)/100</f>
        <v>1</v>
      </c>
      <c r="J132" s="2782"/>
      <c r="K132" s="478" t="n">
        <f aca="false">(SUMIF($11:$11,J132,$12:$12)-SUMIF($11:$11,$J$24,$12:$12)+100)/100</f>
        <v>1</v>
      </c>
      <c r="L132" s="2782"/>
      <c r="M132" s="478" t="n">
        <f aca="false">(SUMIF($13:$13,L132,$14:$14)-SUMIF($13:$13,$L$24,$14:$14)+100)/100</f>
        <v>1</v>
      </c>
      <c r="N132" s="2782"/>
      <c r="O132" s="478" t="n">
        <f aca="false">(SUMIF($15:$15,N132,$16:$16)-SUMIF($15:$15,$N$24,$16:$16)+100)/100</f>
        <v>1</v>
      </c>
      <c r="P132" s="2782"/>
      <c r="Q132" s="478" t="n">
        <f aca="false">(SUMIF($17:$17,P132,$18:$18)-SUMIF($17:$17,$P$24,$18:$18)+100)/100</f>
        <v>1</v>
      </c>
      <c r="R132" s="2772" t="n">
        <f aca="false">IF(B132="",0,ROUND($R$24*C132*E132*G132*I132*K132*M132*O132*Q132,0))</f>
        <v>0</v>
      </c>
      <c r="S132" s="2771" t="n">
        <f aca="false">ROUND(R132*B132/10000,0)</f>
        <v>0</v>
      </c>
    </row>
    <row r="133" customFormat="false" ht="12.75" hidden="false" customHeight="false" outlineLevel="0" collapsed="false">
      <c r="A133" s="1016"/>
      <c r="B133" s="2781"/>
      <c r="C133" s="478" t="n">
        <f aca="false">IF(B133="",1,(LOOKUP(B133,$3:$3,$4:$4)-LOOKUP($B$24,$3:$3,$4:$4)+100)/100)</f>
        <v>1</v>
      </c>
      <c r="D133" s="2782"/>
      <c r="E133" s="478" t="n">
        <f aca="false">(SUMIF($5:$5,D133,$6:$6)-SUMIF($5:$5,$D$24,$6:$6)+100)/100</f>
        <v>1</v>
      </c>
      <c r="F133" s="2782"/>
      <c r="G133" s="478" t="n">
        <f aca="false">(SUMIF($7:$7,F133,$8:$8)-SUMIF($7:$7,$F$24,$8:$8)+100)/100</f>
        <v>1</v>
      </c>
      <c r="H133" s="2782"/>
      <c r="I133" s="478" t="n">
        <f aca="false">(SUMIF($9:$9,H133,$10:$10)-SUMIF($9:$9,$H$24,$10:$10)+100)/100</f>
        <v>1</v>
      </c>
      <c r="J133" s="2782"/>
      <c r="K133" s="478" t="n">
        <f aca="false">(SUMIF($11:$11,J133,$12:$12)-SUMIF($11:$11,$J$24,$12:$12)+100)/100</f>
        <v>1</v>
      </c>
      <c r="L133" s="2782"/>
      <c r="M133" s="478" t="n">
        <f aca="false">(SUMIF($13:$13,L133,$14:$14)-SUMIF($13:$13,$L$24,$14:$14)+100)/100</f>
        <v>1</v>
      </c>
      <c r="N133" s="2782"/>
      <c r="O133" s="478" t="n">
        <f aca="false">(SUMIF($15:$15,N133,$16:$16)-SUMIF($15:$15,$N$24,$16:$16)+100)/100</f>
        <v>1</v>
      </c>
      <c r="P133" s="2782"/>
      <c r="Q133" s="478" t="n">
        <f aca="false">(SUMIF($17:$17,P133,$18:$18)-SUMIF($17:$17,$P$24,$18:$18)+100)/100</f>
        <v>1</v>
      </c>
      <c r="R133" s="2772" t="n">
        <f aca="false">IF(B133="",0,ROUND($R$24*C133*E133*G133*I133*K133*M133*O133*Q133,0))</f>
        <v>0</v>
      </c>
      <c r="S133" s="2771" t="n">
        <f aca="false">ROUND(R133*B133/10000,0)</f>
        <v>0</v>
      </c>
    </row>
    <row r="134" customFormat="false" ht="12.75" hidden="false" customHeight="false" outlineLevel="0" collapsed="false">
      <c r="A134" s="1016"/>
      <c r="B134" s="2781"/>
      <c r="C134" s="478" t="n">
        <f aca="false">IF(B134="",1,(LOOKUP(B134,$3:$3,$4:$4)-LOOKUP($B$24,$3:$3,$4:$4)+100)/100)</f>
        <v>1</v>
      </c>
      <c r="D134" s="2782"/>
      <c r="E134" s="478" t="n">
        <f aca="false">(SUMIF($5:$5,D134,$6:$6)-SUMIF($5:$5,$D$24,$6:$6)+100)/100</f>
        <v>1</v>
      </c>
      <c r="F134" s="2782"/>
      <c r="G134" s="478" t="n">
        <f aca="false">(SUMIF($7:$7,F134,$8:$8)-SUMIF($7:$7,$F$24,$8:$8)+100)/100</f>
        <v>1</v>
      </c>
      <c r="H134" s="2782"/>
      <c r="I134" s="478" t="n">
        <f aca="false">(SUMIF($9:$9,H134,$10:$10)-SUMIF($9:$9,$H$24,$10:$10)+100)/100</f>
        <v>1</v>
      </c>
      <c r="J134" s="2782"/>
      <c r="K134" s="478" t="n">
        <f aca="false">(SUMIF($11:$11,J134,$12:$12)-SUMIF($11:$11,$J$24,$12:$12)+100)/100</f>
        <v>1</v>
      </c>
      <c r="L134" s="2782"/>
      <c r="M134" s="478" t="n">
        <f aca="false">(SUMIF($13:$13,L134,$14:$14)-SUMIF($13:$13,$L$24,$14:$14)+100)/100</f>
        <v>1</v>
      </c>
      <c r="N134" s="2782"/>
      <c r="O134" s="478" t="n">
        <f aca="false">(SUMIF($15:$15,N134,$16:$16)-SUMIF($15:$15,$N$24,$16:$16)+100)/100</f>
        <v>1</v>
      </c>
      <c r="P134" s="2782"/>
      <c r="Q134" s="478" t="n">
        <f aca="false">(SUMIF($17:$17,P134,$18:$18)-SUMIF($17:$17,$P$24,$18:$18)+100)/100</f>
        <v>1</v>
      </c>
      <c r="R134" s="2772" t="n">
        <f aca="false">IF(B134="",0,ROUND($R$24*C134*E134*G134*I134*K134*M134*O134*Q134,0))</f>
        <v>0</v>
      </c>
      <c r="S134" s="2771" t="n">
        <f aca="false">ROUND(R134*B134/10000,0)</f>
        <v>0</v>
      </c>
    </row>
    <row r="135" customFormat="false" ht="12.75" hidden="false" customHeight="false" outlineLevel="0" collapsed="false">
      <c r="A135" s="1016"/>
      <c r="B135" s="2781"/>
      <c r="C135" s="478" t="n">
        <f aca="false">IF(B135="",1,(LOOKUP(B135,$3:$3,$4:$4)-LOOKUP($B$24,$3:$3,$4:$4)+100)/100)</f>
        <v>1</v>
      </c>
      <c r="D135" s="2782"/>
      <c r="E135" s="478" t="n">
        <f aca="false">(SUMIF($5:$5,D135,$6:$6)-SUMIF($5:$5,$D$24,$6:$6)+100)/100</f>
        <v>1</v>
      </c>
      <c r="F135" s="2782"/>
      <c r="G135" s="478" t="n">
        <f aca="false">(SUMIF($7:$7,F135,$8:$8)-SUMIF($7:$7,$F$24,$8:$8)+100)/100</f>
        <v>1</v>
      </c>
      <c r="H135" s="2782"/>
      <c r="I135" s="478" t="n">
        <f aca="false">(SUMIF($9:$9,H135,$10:$10)-SUMIF($9:$9,$H$24,$10:$10)+100)/100</f>
        <v>1</v>
      </c>
      <c r="J135" s="2782"/>
      <c r="K135" s="478" t="n">
        <f aca="false">(SUMIF($11:$11,J135,$12:$12)-SUMIF($11:$11,$J$24,$12:$12)+100)/100</f>
        <v>1</v>
      </c>
      <c r="L135" s="2782"/>
      <c r="M135" s="478" t="n">
        <f aca="false">(SUMIF($13:$13,L135,$14:$14)-SUMIF($13:$13,$L$24,$14:$14)+100)/100</f>
        <v>1</v>
      </c>
      <c r="N135" s="2782"/>
      <c r="O135" s="478" t="n">
        <f aca="false">(SUMIF($15:$15,N135,$16:$16)-SUMIF($15:$15,$N$24,$16:$16)+100)/100</f>
        <v>1</v>
      </c>
      <c r="P135" s="2782"/>
      <c r="Q135" s="478" t="n">
        <f aca="false">(SUMIF($17:$17,P135,$18:$18)-SUMIF($17:$17,$P$24,$18:$18)+100)/100</f>
        <v>1</v>
      </c>
      <c r="R135" s="2772" t="n">
        <f aca="false">IF(B135="",0,ROUND($R$24*C135*E135*G135*I135*K135*M135*O135*Q135,0))</f>
        <v>0</v>
      </c>
      <c r="S135" s="2771" t="n">
        <f aca="false">ROUND(R135*B135/10000,0)</f>
        <v>0</v>
      </c>
    </row>
    <row r="136" customFormat="false" ht="12.75" hidden="false" customHeight="false" outlineLevel="0" collapsed="false">
      <c r="A136" s="1016"/>
      <c r="B136" s="2781"/>
      <c r="C136" s="478" t="n">
        <f aca="false">IF(B136="",1,(LOOKUP(B136,$3:$3,$4:$4)-LOOKUP($B$24,$3:$3,$4:$4)+100)/100)</f>
        <v>1</v>
      </c>
      <c r="D136" s="2782"/>
      <c r="E136" s="478" t="n">
        <f aca="false">(SUMIF($5:$5,D136,$6:$6)-SUMIF($5:$5,$D$24,$6:$6)+100)/100</f>
        <v>1</v>
      </c>
      <c r="F136" s="2782"/>
      <c r="G136" s="478" t="n">
        <f aca="false">(SUMIF($7:$7,F136,$8:$8)-SUMIF($7:$7,$F$24,$8:$8)+100)/100</f>
        <v>1</v>
      </c>
      <c r="H136" s="2782"/>
      <c r="I136" s="478" t="n">
        <f aca="false">(SUMIF($9:$9,H136,$10:$10)-SUMIF($9:$9,$H$24,$10:$10)+100)/100</f>
        <v>1</v>
      </c>
      <c r="J136" s="2782"/>
      <c r="K136" s="478" t="n">
        <f aca="false">(SUMIF($11:$11,J136,$12:$12)-SUMIF($11:$11,$J$24,$12:$12)+100)/100</f>
        <v>1</v>
      </c>
      <c r="L136" s="2782"/>
      <c r="M136" s="478" t="n">
        <f aca="false">(SUMIF($13:$13,L136,$14:$14)-SUMIF($13:$13,$L$24,$14:$14)+100)/100</f>
        <v>1</v>
      </c>
      <c r="N136" s="2782"/>
      <c r="O136" s="478" t="n">
        <f aca="false">(SUMIF($15:$15,N136,$16:$16)-SUMIF($15:$15,$N$24,$16:$16)+100)/100</f>
        <v>1</v>
      </c>
      <c r="P136" s="2782"/>
      <c r="Q136" s="478" t="n">
        <f aca="false">(SUMIF($17:$17,P136,$18:$18)-SUMIF($17:$17,$P$24,$18:$18)+100)/100</f>
        <v>1</v>
      </c>
      <c r="R136" s="2772" t="n">
        <f aca="false">IF(B136="",0,ROUND($R$24*C136*E136*G136*I136*K136*M136*O136*Q136,0))</f>
        <v>0</v>
      </c>
      <c r="S136" s="2771" t="n">
        <f aca="false">ROUND(R136*B136/10000,0)</f>
        <v>0</v>
      </c>
    </row>
    <row r="137" customFormat="false" ht="12.75" hidden="false" customHeight="false" outlineLevel="0" collapsed="false">
      <c r="A137" s="1016"/>
      <c r="B137" s="2781"/>
      <c r="C137" s="478" t="n">
        <f aca="false">IF(B137="",1,(LOOKUP(B137,$3:$3,$4:$4)-LOOKUP($B$24,$3:$3,$4:$4)+100)/100)</f>
        <v>1</v>
      </c>
      <c r="D137" s="2782"/>
      <c r="E137" s="478" t="n">
        <f aca="false">(SUMIF($5:$5,D137,$6:$6)-SUMIF($5:$5,$D$24,$6:$6)+100)/100</f>
        <v>1</v>
      </c>
      <c r="F137" s="2782"/>
      <c r="G137" s="478" t="n">
        <f aca="false">(SUMIF($7:$7,F137,$8:$8)-SUMIF($7:$7,$F$24,$8:$8)+100)/100</f>
        <v>1</v>
      </c>
      <c r="H137" s="2782"/>
      <c r="I137" s="478" t="n">
        <f aca="false">(SUMIF($9:$9,H137,$10:$10)-SUMIF($9:$9,$H$24,$10:$10)+100)/100</f>
        <v>1</v>
      </c>
      <c r="J137" s="2782"/>
      <c r="K137" s="478" t="n">
        <f aca="false">(SUMIF($11:$11,J137,$12:$12)-SUMIF($11:$11,$J$24,$12:$12)+100)/100</f>
        <v>1</v>
      </c>
      <c r="L137" s="2782"/>
      <c r="M137" s="478" t="n">
        <f aca="false">(SUMIF($13:$13,L137,$14:$14)-SUMIF($13:$13,$L$24,$14:$14)+100)/100</f>
        <v>1</v>
      </c>
      <c r="N137" s="2782"/>
      <c r="O137" s="478" t="n">
        <f aca="false">(SUMIF($15:$15,N137,$16:$16)-SUMIF($15:$15,$N$24,$16:$16)+100)/100</f>
        <v>1</v>
      </c>
      <c r="P137" s="2782"/>
      <c r="Q137" s="478" t="n">
        <f aca="false">(SUMIF($17:$17,P137,$18:$18)-SUMIF($17:$17,$P$24,$18:$18)+100)/100</f>
        <v>1</v>
      </c>
      <c r="R137" s="2772" t="n">
        <f aca="false">IF(B137="",0,ROUND($R$24*C137*E137*G137*I137*K137*M137*O137*Q137,0))</f>
        <v>0</v>
      </c>
      <c r="S137" s="2771" t="n">
        <f aca="false">ROUND(R137*B137/10000,0)</f>
        <v>0</v>
      </c>
    </row>
    <row r="138" customFormat="false" ht="12.75" hidden="false" customHeight="false" outlineLevel="0" collapsed="false">
      <c r="A138" s="1016"/>
      <c r="B138" s="2781"/>
      <c r="C138" s="478" t="n">
        <f aca="false">IF(B138="",1,(LOOKUP(B138,$3:$3,$4:$4)-LOOKUP($B$24,$3:$3,$4:$4)+100)/100)</f>
        <v>1</v>
      </c>
      <c r="D138" s="2782"/>
      <c r="E138" s="478" t="n">
        <f aca="false">(SUMIF($5:$5,D138,$6:$6)-SUMIF($5:$5,$D$24,$6:$6)+100)/100</f>
        <v>1</v>
      </c>
      <c r="F138" s="2782"/>
      <c r="G138" s="478" t="n">
        <f aca="false">(SUMIF($7:$7,F138,$8:$8)-SUMIF($7:$7,$F$24,$8:$8)+100)/100</f>
        <v>1</v>
      </c>
      <c r="H138" s="2782"/>
      <c r="I138" s="478" t="n">
        <f aca="false">(SUMIF($9:$9,H138,$10:$10)-SUMIF($9:$9,$H$24,$10:$10)+100)/100</f>
        <v>1</v>
      </c>
      <c r="J138" s="2782"/>
      <c r="K138" s="478" t="n">
        <f aca="false">(SUMIF($11:$11,J138,$12:$12)-SUMIF($11:$11,$J$24,$12:$12)+100)/100</f>
        <v>1</v>
      </c>
      <c r="L138" s="2782"/>
      <c r="M138" s="478" t="n">
        <f aca="false">(SUMIF($13:$13,L138,$14:$14)-SUMIF($13:$13,$L$24,$14:$14)+100)/100</f>
        <v>1</v>
      </c>
      <c r="N138" s="2782"/>
      <c r="O138" s="478" t="n">
        <f aca="false">(SUMIF($15:$15,N138,$16:$16)-SUMIF($15:$15,$N$24,$16:$16)+100)/100</f>
        <v>1</v>
      </c>
      <c r="P138" s="2782"/>
      <c r="Q138" s="478" t="n">
        <f aca="false">(SUMIF($17:$17,P138,$18:$18)-SUMIF($17:$17,$P$24,$18:$18)+100)/100</f>
        <v>1</v>
      </c>
      <c r="R138" s="2772" t="n">
        <f aca="false">IF(B138="",0,ROUND($R$24*C138*E138*G138*I138*K138*M138*O138*Q138,0))</f>
        <v>0</v>
      </c>
      <c r="S138" s="2771" t="n">
        <f aca="false">ROUND(R138*B138/10000,0)</f>
        <v>0</v>
      </c>
    </row>
    <row r="139" customFormat="false" ht="12.75" hidden="false" customHeight="false" outlineLevel="0" collapsed="false">
      <c r="A139" s="1016"/>
      <c r="B139" s="2781"/>
      <c r="C139" s="478" t="n">
        <f aca="false">IF(B139="",1,(LOOKUP(B139,$3:$3,$4:$4)-LOOKUP($B$24,$3:$3,$4:$4)+100)/100)</f>
        <v>1</v>
      </c>
      <c r="D139" s="2782"/>
      <c r="E139" s="478" t="n">
        <f aca="false">(SUMIF($5:$5,D139,$6:$6)-SUMIF($5:$5,$D$24,$6:$6)+100)/100</f>
        <v>1</v>
      </c>
      <c r="F139" s="2782"/>
      <c r="G139" s="478" t="n">
        <f aca="false">(SUMIF($7:$7,F139,$8:$8)-SUMIF($7:$7,$F$24,$8:$8)+100)/100</f>
        <v>1</v>
      </c>
      <c r="H139" s="2782"/>
      <c r="I139" s="478" t="n">
        <f aca="false">(SUMIF($9:$9,H139,$10:$10)-SUMIF($9:$9,$H$24,$10:$10)+100)/100</f>
        <v>1</v>
      </c>
      <c r="J139" s="2782"/>
      <c r="K139" s="478" t="n">
        <f aca="false">(SUMIF($11:$11,J139,$12:$12)-SUMIF($11:$11,$J$24,$12:$12)+100)/100</f>
        <v>1</v>
      </c>
      <c r="L139" s="2782"/>
      <c r="M139" s="478" t="n">
        <f aca="false">(SUMIF($13:$13,L139,$14:$14)-SUMIF($13:$13,$L$24,$14:$14)+100)/100</f>
        <v>1</v>
      </c>
      <c r="N139" s="2782"/>
      <c r="O139" s="478" t="n">
        <f aca="false">(SUMIF($15:$15,N139,$16:$16)-SUMIF($15:$15,$N$24,$16:$16)+100)/100</f>
        <v>1</v>
      </c>
      <c r="P139" s="2782"/>
      <c r="Q139" s="478" t="n">
        <f aca="false">(SUMIF($17:$17,P139,$18:$18)-SUMIF($17:$17,$P$24,$18:$18)+100)/100</f>
        <v>1</v>
      </c>
      <c r="R139" s="2772" t="n">
        <f aca="false">IF(B139="",0,ROUND($R$24*C139*E139*G139*I139*K139*M139*O139*Q139,0))</f>
        <v>0</v>
      </c>
      <c r="S139" s="2771" t="n">
        <f aca="false">ROUND(R139*B139/10000,0)</f>
        <v>0</v>
      </c>
    </row>
    <row r="140" customFormat="false" ht="12.75" hidden="false" customHeight="false" outlineLevel="0" collapsed="false">
      <c r="A140" s="1016"/>
      <c r="B140" s="2781"/>
      <c r="C140" s="478" t="n">
        <f aca="false">IF(B140="",1,(LOOKUP(B140,$3:$3,$4:$4)-LOOKUP($B$24,$3:$3,$4:$4)+100)/100)</f>
        <v>1</v>
      </c>
      <c r="D140" s="2782"/>
      <c r="E140" s="478" t="n">
        <f aca="false">(SUMIF($5:$5,D140,$6:$6)-SUMIF($5:$5,$D$24,$6:$6)+100)/100</f>
        <v>1</v>
      </c>
      <c r="F140" s="2782"/>
      <c r="G140" s="478" t="n">
        <f aca="false">(SUMIF($7:$7,F140,$8:$8)-SUMIF($7:$7,$F$24,$8:$8)+100)/100</f>
        <v>1</v>
      </c>
      <c r="H140" s="2782"/>
      <c r="I140" s="478" t="n">
        <f aca="false">(SUMIF($9:$9,H140,$10:$10)-SUMIF($9:$9,$H$24,$10:$10)+100)/100</f>
        <v>1</v>
      </c>
      <c r="J140" s="2782"/>
      <c r="K140" s="478" t="n">
        <f aca="false">(SUMIF($11:$11,J140,$12:$12)-SUMIF($11:$11,$J$24,$12:$12)+100)/100</f>
        <v>1</v>
      </c>
      <c r="L140" s="2782"/>
      <c r="M140" s="478" t="n">
        <f aca="false">(SUMIF($13:$13,L140,$14:$14)-SUMIF($13:$13,$L$24,$14:$14)+100)/100</f>
        <v>1</v>
      </c>
      <c r="N140" s="2782"/>
      <c r="O140" s="478" t="n">
        <f aca="false">(SUMIF($15:$15,N140,$16:$16)-SUMIF($15:$15,$N$24,$16:$16)+100)/100</f>
        <v>1</v>
      </c>
      <c r="P140" s="2782"/>
      <c r="Q140" s="478" t="n">
        <f aca="false">(SUMIF($17:$17,P140,$18:$18)-SUMIF($17:$17,$P$24,$18:$18)+100)/100</f>
        <v>1</v>
      </c>
      <c r="R140" s="2772" t="n">
        <f aca="false">IF(B140="",0,ROUND($R$24*C140*E140*G140*I140*K140*M140*O140*Q140,0))</f>
        <v>0</v>
      </c>
      <c r="S140" s="2771" t="n">
        <f aca="false">ROUND(R140*B140/10000,0)</f>
        <v>0</v>
      </c>
    </row>
    <row r="141" customFormat="false" ht="12.75" hidden="false" customHeight="false" outlineLevel="0" collapsed="false">
      <c r="A141" s="1016"/>
      <c r="B141" s="2781"/>
      <c r="C141" s="478" t="n">
        <f aca="false">IF(B141="",1,(LOOKUP(B141,$3:$3,$4:$4)-LOOKUP($B$24,$3:$3,$4:$4)+100)/100)</f>
        <v>1</v>
      </c>
      <c r="D141" s="2782"/>
      <c r="E141" s="478" t="n">
        <f aca="false">(SUMIF($5:$5,D141,$6:$6)-SUMIF($5:$5,$D$24,$6:$6)+100)/100</f>
        <v>1</v>
      </c>
      <c r="F141" s="2782"/>
      <c r="G141" s="478" t="n">
        <f aca="false">(SUMIF($7:$7,F141,$8:$8)-SUMIF($7:$7,$F$24,$8:$8)+100)/100</f>
        <v>1</v>
      </c>
      <c r="H141" s="2782"/>
      <c r="I141" s="478" t="n">
        <f aca="false">(SUMIF($9:$9,H141,$10:$10)-SUMIF($9:$9,$H$24,$10:$10)+100)/100</f>
        <v>1</v>
      </c>
      <c r="J141" s="2782"/>
      <c r="K141" s="478" t="n">
        <f aca="false">(SUMIF($11:$11,J141,$12:$12)-SUMIF($11:$11,$J$24,$12:$12)+100)/100</f>
        <v>1</v>
      </c>
      <c r="L141" s="2782"/>
      <c r="M141" s="478" t="n">
        <f aca="false">(SUMIF($13:$13,L141,$14:$14)-SUMIF($13:$13,$L$24,$14:$14)+100)/100</f>
        <v>1</v>
      </c>
      <c r="N141" s="2782"/>
      <c r="O141" s="478" t="n">
        <f aca="false">(SUMIF($15:$15,N141,$16:$16)-SUMIF($15:$15,$N$24,$16:$16)+100)/100</f>
        <v>1</v>
      </c>
      <c r="P141" s="2782"/>
      <c r="Q141" s="478" t="n">
        <f aca="false">(SUMIF($17:$17,P141,$18:$18)-SUMIF($17:$17,$P$24,$18:$18)+100)/100</f>
        <v>1</v>
      </c>
      <c r="R141" s="2772" t="n">
        <f aca="false">IF(B141="",0,ROUND($R$24*C141*E141*G141*I141*K141*M141*O141*Q141,0))</f>
        <v>0</v>
      </c>
      <c r="S141" s="2771" t="n">
        <f aca="false">ROUND(R141*B141/10000,0)</f>
        <v>0</v>
      </c>
    </row>
    <row r="142" customFormat="false" ht="12.75" hidden="false" customHeight="false" outlineLevel="0" collapsed="false">
      <c r="A142" s="1016"/>
      <c r="B142" s="2781"/>
      <c r="C142" s="478" t="n">
        <f aca="false">IF(B142="",1,(LOOKUP(B142,$3:$3,$4:$4)-LOOKUP($B$24,$3:$3,$4:$4)+100)/100)</f>
        <v>1</v>
      </c>
      <c r="D142" s="2782"/>
      <c r="E142" s="478" t="n">
        <f aca="false">(SUMIF($5:$5,D142,$6:$6)-SUMIF($5:$5,$D$24,$6:$6)+100)/100</f>
        <v>1</v>
      </c>
      <c r="F142" s="2782"/>
      <c r="G142" s="478" t="n">
        <f aca="false">(SUMIF($7:$7,F142,$8:$8)-SUMIF($7:$7,$F$24,$8:$8)+100)/100</f>
        <v>1</v>
      </c>
      <c r="H142" s="2782"/>
      <c r="I142" s="478" t="n">
        <f aca="false">(SUMIF($9:$9,H142,$10:$10)-SUMIF($9:$9,$H$24,$10:$10)+100)/100</f>
        <v>1</v>
      </c>
      <c r="J142" s="2782"/>
      <c r="K142" s="478" t="n">
        <f aca="false">(SUMIF($11:$11,J142,$12:$12)-SUMIF($11:$11,$J$24,$12:$12)+100)/100</f>
        <v>1</v>
      </c>
      <c r="L142" s="2782"/>
      <c r="M142" s="478" t="n">
        <f aca="false">(SUMIF($13:$13,L142,$14:$14)-SUMIF($13:$13,$L$24,$14:$14)+100)/100</f>
        <v>1</v>
      </c>
      <c r="N142" s="2782"/>
      <c r="O142" s="478" t="n">
        <f aca="false">(SUMIF($15:$15,N142,$16:$16)-SUMIF($15:$15,$N$24,$16:$16)+100)/100</f>
        <v>1</v>
      </c>
      <c r="P142" s="2782"/>
      <c r="Q142" s="478" t="n">
        <f aca="false">(SUMIF($17:$17,P142,$18:$18)-SUMIF($17:$17,$P$24,$18:$18)+100)/100</f>
        <v>1</v>
      </c>
      <c r="R142" s="2772" t="n">
        <f aca="false">IF(B142="",0,ROUND($R$24*C142*E142*G142*I142*K142*M142*O142*Q142,0))</f>
        <v>0</v>
      </c>
      <c r="S142" s="2771" t="n">
        <f aca="false">ROUND(R142*B142/10000,0)</f>
        <v>0</v>
      </c>
    </row>
    <row r="143" customFormat="false" ht="12.75" hidden="false" customHeight="false" outlineLevel="0" collapsed="false">
      <c r="A143" s="1016"/>
      <c r="B143" s="2781"/>
      <c r="C143" s="478" t="n">
        <f aca="false">IF(B143="",1,(LOOKUP(B143,$3:$3,$4:$4)-LOOKUP($B$24,$3:$3,$4:$4)+100)/100)</f>
        <v>1</v>
      </c>
      <c r="D143" s="2782"/>
      <c r="E143" s="478" t="n">
        <f aca="false">(SUMIF($5:$5,D143,$6:$6)-SUMIF($5:$5,$D$24,$6:$6)+100)/100</f>
        <v>1</v>
      </c>
      <c r="F143" s="2782"/>
      <c r="G143" s="478" t="n">
        <f aca="false">(SUMIF($7:$7,F143,$8:$8)-SUMIF($7:$7,$F$24,$8:$8)+100)/100</f>
        <v>1</v>
      </c>
      <c r="H143" s="2782"/>
      <c r="I143" s="478" t="n">
        <f aca="false">(SUMIF($9:$9,H143,$10:$10)-SUMIF($9:$9,$H$24,$10:$10)+100)/100</f>
        <v>1</v>
      </c>
      <c r="J143" s="2782"/>
      <c r="K143" s="478" t="n">
        <f aca="false">(SUMIF($11:$11,J143,$12:$12)-SUMIF($11:$11,$J$24,$12:$12)+100)/100</f>
        <v>1</v>
      </c>
      <c r="L143" s="2782"/>
      <c r="M143" s="478" t="n">
        <f aca="false">(SUMIF($13:$13,L143,$14:$14)-SUMIF($13:$13,$L$24,$14:$14)+100)/100</f>
        <v>1</v>
      </c>
      <c r="N143" s="2782"/>
      <c r="O143" s="478" t="n">
        <f aca="false">(SUMIF($15:$15,N143,$16:$16)-SUMIF($15:$15,$N$24,$16:$16)+100)/100</f>
        <v>1</v>
      </c>
      <c r="P143" s="2782"/>
      <c r="Q143" s="478" t="n">
        <f aca="false">(SUMIF($17:$17,P143,$18:$18)-SUMIF($17:$17,$P$24,$18:$18)+100)/100</f>
        <v>1</v>
      </c>
      <c r="R143" s="2772" t="n">
        <f aca="false">IF(B143="",0,ROUND($R$24*C143*E143*G143*I143*K143*M143*O143*Q143,0))</f>
        <v>0</v>
      </c>
      <c r="S143" s="2771" t="n">
        <f aca="false">ROUND(R143*B143/10000,0)</f>
        <v>0</v>
      </c>
    </row>
    <row r="144" customFormat="false" ht="12.75" hidden="false" customHeight="false" outlineLevel="0" collapsed="false">
      <c r="A144" s="1016"/>
      <c r="B144" s="2781"/>
      <c r="C144" s="478" t="n">
        <f aca="false">IF(B144="",1,(LOOKUP(B144,$3:$3,$4:$4)-LOOKUP($B$24,$3:$3,$4:$4)+100)/100)</f>
        <v>1</v>
      </c>
      <c r="D144" s="2782"/>
      <c r="E144" s="478" t="n">
        <f aca="false">(SUMIF($5:$5,D144,$6:$6)-SUMIF($5:$5,$D$24,$6:$6)+100)/100</f>
        <v>1</v>
      </c>
      <c r="F144" s="2782"/>
      <c r="G144" s="478" t="n">
        <f aca="false">(SUMIF($7:$7,F144,$8:$8)-SUMIF($7:$7,$F$24,$8:$8)+100)/100</f>
        <v>1</v>
      </c>
      <c r="H144" s="2782"/>
      <c r="I144" s="478" t="n">
        <f aca="false">(SUMIF($9:$9,H144,$10:$10)-SUMIF($9:$9,$H$24,$10:$10)+100)/100</f>
        <v>1</v>
      </c>
      <c r="J144" s="2782"/>
      <c r="K144" s="478" t="n">
        <f aca="false">(SUMIF($11:$11,J144,$12:$12)-SUMIF($11:$11,$J$24,$12:$12)+100)/100</f>
        <v>1</v>
      </c>
      <c r="L144" s="2782"/>
      <c r="M144" s="478" t="n">
        <f aca="false">(SUMIF($13:$13,L144,$14:$14)-SUMIF($13:$13,$L$24,$14:$14)+100)/100</f>
        <v>1</v>
      </c>
      <c r="N144" s="2782"/>
      <c r="O144" s="478" t="n">
        <f aca="false">(SUMIF($15:$15,N144,$16:$16)-SUMIF($15:$15,$N$24,$16:$16)+100)/100</f>
        <v>1</v>
      </c>
      <c r="P144" s="2782"/>
      <c r="Q144" s="478" t="n">
        <f aca="false">(SUMIF($17:$17,P144,$18:$18)-SUMIF($17:$17,$P$24,$18:$18)+100)/100</f>
        <v>1</v>
      </c>
      <c r="R144" s="2772" t="n">
        <f aca="false">IF(B144="",0,ROUND($R$24*C144*E144*G144*I144*K144*M144*O144*Q144,0))</f>
        <v>0</v>
      </c>
      <c r="S144" s="2771" t="n">
        <f aca="false">ROUND(R144*B144/10000,0)</f>
        <v>0</v>
      </c>
    </row>
    <row r="145" customFormat="false" ht="12.75" hidden="false" customHeight="false" outlineLevel="0" collapsed="false">
      <c r="A145" s="1016"/>
      <c r="B145" s="2781"/>
      <c r="C145" s="478" t="n">
        <f aca="false">IF(B145="",1,(LOOKUP(B145,$3:$3,$4:$4)-LOOKUP($B$24,$3:$3,$4:$4)+100)/100)</f>
        <v>1</v>
      </c>
      <c r="D145" s="2782"/>
      <c r="E145" s="478" t="n">
        <f aca="false">(SUMIF($5:$5,D145,$6:$6)-SUMIF($5:$5,$D$24,$6:$6)+100)/100</f>
        <v>1</v>
      </c>
      <c r="F145" s="2782"/>
      <c r="G145" s="478" t="n">
        <f aca="false">(SUMIF($7:$7,F145,$8:$8)-SUMIF($7:$7,$F$24,$8:$8)+100)/100</f>
        <v>1</v>
      </c>
      <c r="H145" s="2782"/>
      <c r="I145" s="478" t="n">
        <f aca="false">(SUMIF($9:$9,H145,$10:$10)-SUMIF($9:$9,$H$24,$10:$10)+100)/100</f>
        <v>1</v>
      </c>
      <c r="J145" s="2782"/>
      <c r="K145" s="478" t="n">
        <f aca="false">(SUMIF($11:$11,J145,$12:$12)-SUMIF($11:$11,$J$24,$12:$12)+100)/100</f>
        <v>1</v>
      </c>
      <c r="L145" s="2782"/>
      <c r="M145" s="478" t="n">
        <f aca="false">(SUMIF($13:$13,L145,$14:$14)-SUMIF($13:$13,$L$24,$14:$14)+100)/100</f>
        <v>1</v>
      </c>
      <c r="N145" s="2782"/>
      <c r="O145" s="478" t="n">
        <f aca="false">(SUMIF($15:$15,N145,$16:$16)-SUMIF($15:$15,$N$24,$16:$16)+100)/100</f>
        <v>1</v>
      </c>
      <c r="P145" s="2782"/>
      <c r="Q145" s="478" t="n">
        <f aca="false">(SUMIF($17:$17,P145,$18:$18)-SUMIF($17:$17,$P$24,$18:$18)+100)/100</f>
        <v>1</v>
      </c>
      <c r="R145" s="2772" t="n">
        <f aca="false">IF(B145="",0,ROUND($R$24*C145*E145*G145*I145*K145*M145*O145*Q145,0))</f>
        <v>0</v>
      </c>
      <c r="S145" s="2771" t="n">
        <f aca="false">ROUND(R145*B145/10000,0)</f>
        <v>0</v>
      </c>
    </row>
    <row r="146" customFormat="false" ht="12.75" hidden="false" customHeight="false" outlineLevel="0" collapsed="false">
      <c r="A146" s="1016"/>
      <c r="B146" s="2781"/>
      <c r="C146" s="478" t="n">
        <f aca="false">IF(B146="",1,(LOOKUP(B146,$3:$3,$4:$4)-LOOKUP($B$24,$3:$3,$4:$4)+100)/100)</f>
        <v>1</v>
      </c>
      <c r="D146" s="2782"/>
      <c r="E146" s="478" t="n">
        <f aca="false">(SUMIF($5:$5,D146,$6:$6)-SUMIF($5:$5,$D$24,$6:$6)+100)/100</f>
        <v>1</v>
      </c>
      <c r="F146" s="2782"/>
      <c r="G146" s="478" t="n">
        <f aca="false">(SUMIF($7:$7,F146,$8:$8)-SUMIF($7:$7,$F$24,$8:$8)+100)/100</f>
        <v>1</v>
      </c>
      <c r="H146" s="2782"/>
      <c r="I146" s="478" t="n">
        <f aca="false">(SUMIF($9:$9,H146,$10:$10)-SUMIF($9:$9,$H$24,$10:$10)+100)/100</f>
        <v>1</v>
      </c>
      <c r="J146" s="2782"/>
      <c r="K146" s="478" t="n">
        <f aca="false">(SUMIF($11:$11,J146,$12:$12)-SUMIF($11:$11,$J$24,$12:$12)+100)/100</f>
        <v>1</v>
      </c>
      <c r="L146" s="2782"/>
      <c r="M146" s="478" t="n">
        <f aca="false">(SUMIF($13:$13,L146,$14:$14)-SUMIF($13:$13,$L$24,$14:$14)+100)/100</f>
        <v>1</v>
      </c>
      <c r="N146" s="2782"/>
      <c r="O146" s="478" t="n">
        <f aca="false">(SUMIF($15:$15,N146,$16:$16)-SUMIF($15:$15,$N$24,$16:$16)+100)/100</f>
        <v>1</v>
      </c>
      <c r="P146" s="2782"/>
      <c r="Q146" s="478" t="n">
        <f aca="false">(SUMIF($17:$17,P146,$18:$18)-SUMIF($17:$17,$P$24,$18:$18)+100)/100</f>
        <v>1</v>
      </c>
      <c r="R146" s="2772" t="n">
        <f aca="false">IF(B146="",0,ROUND($R$24*C146*E146*G146*I146*K146*M146*O146*Q146,0))</f>
        <v>0</v>
      </c>
      <c r="S146" s="2771" t="n">
        <f aca="false">ROUND(R146*B146/10000,0)</f>
        <v>0</v>
      </c>
    </row>
    <row r="147" customFormat="false" ht="12.75" hidden="false" customHeight="false" outlineLevel="0" collapsed="false">
      <c r="A147" s="1016"/>
      <c r="B147" s="2781"/>
      <c r="C147" s="478" t="n">
        <f aca="false">IF(B147="",1,(LOOKUP(B147,$3:$3,$4:$4)-LOOKUP($B$24,$3:$3,$4:$4)+100)/100)</f>
        <v>1</v>
      </c>
      <c r="D147" s="2782"/>
      <c r="E147" s="478" t="n">
        <f aca="false">(SUMIF($5:$5,D147,$6:$6)-SUMIF($5:$5,$D$24,$6:$6)+100)/100</f>
        <v>1</v>
      </c>
      <c r="F147" s="2782"/>
      <c r="G147" s="478" t="n">
        <f aca="false">(SUMIF($7:$7,F147,$8:$8)-SUMIF($7:$7,$F$24,$8:$8)+100)/100</f>
        <v>1</v>
      </c>
      <c r="H147" s="2782"/>
      <c r="I147" s="478" t="n">
        <f aca="false">(SUMIF($9:$9,H147,$10:$10)-SUMIF($9:$9,$H$24,$10:$10)+100)/100</f>
        <v>1</v>
      </c>
      <c r="J147" s="2782"/>
      <c r="K147" s="478" t="n">
        <f aca="false">(SUMIF($11:$11,J147,$12:$12)-SUMIF($11:$11,$J$24,$12:$12)+100)/100</f>
        <v>1</v>
      </c>
      <c r="L147" s="2782"/>
      <c r="M147" s="478" t="n">
        <f aca="false">(SUMIF($13:$13,L147,$14:$14)-SUMIF($13:$13,$L$24,$14:$14)+100)/100</f>
        <v>1</v>
      </c>
      <c r="N147" s="2782"/>
      <c r="O147" s="478" t="n">
        <f aca="false">(SUMIF($15:$15,N147,$16:$16)-SUMIF($15:$15,$N$24,$16:$16)+100)/100</f>
        <v>1</v>
      </c>
      <c r="P147" s="2782"/>
      <c r="Q147" s="478" t="n">
        <f aca="false">(SUMIF($17:$17,P147,$18:$18)-SUMIF($17:$17,$P$24,$18:$18)+100)/100</f>
        <v>1</v>
      </c>
      <c r="R147" s="2772" t="n">
        <f aca="false">IF(B147="",0,ROUND($R$24*C147*E147*G147*I147*K147*M147*O147*Q147,0))</f>
        <v>0</v>
      </c>
      <c r="S147" s="2771" t="n">
        <f aca="false">ROUND(R147*B147/10000,0)</f>
        <v>0</v>
      </c>
    </row>
    <row r="148" customFormat="false" ht="12.75" hidden="false" customHeight="false" outlineLevel="0" collapsed="false">
      <c r="A148" s="1016"/>
      <c r="B148" s="2781"/>
      <c r="C148" s="478" t="n">
        <f aca="false">IF(B148="",1,(LOOKUP(B148,$3:$3,$4:$4)-LOOKUP($B$24,$3:$3,$4:$4)+100)/100)</f>
        <v>1</v>
      </c>
      <c r="D148" s="2782"/>
      <c r="E148" s="478" t="n">
        <f aca="false">(SUMIF($5:$5,D148,$6:$6)-SUMIF($5:$5,$D$24,$6:$6)+100)/100</f>
        <v>1</v>
      </c>
      <c r="F148" s="2782"/>
      <c r="G148" s="478" t="n">
        <f aca="false">(SUMIF($7:$7,F148,$8:$8)-SUMIF($7:$7,$F$24,$8:$8)+100)/100</f>
        <v>1</v>
      </c>
      <c r="H148" s="2782"/>
      <c r="I148" s="478" t="n">
        <f aca="false">(SUMIF($9:$9,H148,$10:$10)-SUMIF($9:$9,$H$24,$10:$10)+100)/100</f>
        <v>1</v>
      </c>
      <c r="J148" s="2782"/>
      <c r="K148" s="478" t="n">
        <f aca="false">(SUMIF($11:$11,J148,$12:$12)-SUMIF($11:$11,$J$24,$12:$12)+100)/100</f>
        <v>1</v>
      </c>
      <c r="L148" s="2782"/>
      <c r="M148" s="478" t="n">
        <f aca="false">(SUMIF($13:$13,L148,$14:$14)-SUMIF($13:$13,$L$24,$14:$14)+100)/100</f>
        <v>1</v>
      </c>
      <c r="N148" s="2782"/>
      <c r="O148" s="478" t="n">
        <f aca="false">(SUMIF($15:$15,N148,$16:$16)-SUMIF($15:$15,$N$24,$16:$16)+100)/100</f>
        <v>1</v>
      </c>
      <c r="P148" s="2782"/>
      <c r="Q148" s="478" t="n">
        <f aca="false">(SUMIF($17:$17,P148,$18:$18)-SUMIF($17:$17,$P$24,$18:$18)+100)/100</f>
        <v>1</v>
      </c>
      <c r="R148" s="2772" t="n">
        <f aca="false">IF(B148="",0,ROUND($R$24*C148*E148*G148*I148*K148*M148*O148*Q148,0))</f>
        <v>0</v>
      </c>
      <c r="S148" s="2771" t="n">
        <f aca="false">ROUND(R148*B148/10000,0)</f>
        <v>0</v>
      </c>
    </row>
    <row r="149" customFormat="false" ht="12.75" hidden="false" customHeight="false" outlineLevel="0" collapsed="false">
      <c r="A149" s="1016"/>
      <c r="B149" s="2781"/>
      <c r="C149" s="478" t="n">
        <f aca="false">IF(B149="",1,(LOOKUP(B149,$3:$3,$4:$4)-LOOKUP($B$24,$3:$3,$4:$4)+100)/100)</f>
        <v>1</v>
      </c>
      <c r="D149" s="2782"/>
      <c r="E149" s="478" t="n">
        <f aca="false">(SUMIF($5:$5,D149,$6:$6)-SUMIF($5:$5,$D$24,$6:$6)+100)/100</f>
        <v>1</v>
      </c>
      <c r="F149" s="2782"/>
      <c r="G149" s="478" t="n">
        <f aca="false">(SUMIF($7:$7,F149,$8:$8)-SUMIF($7:$7,$F$24,$8:$8)+100)/100</f>
        <v>1</v>
      </c>
      <c r="H149" s="2782"/>
      <c r="I149" s="478" t="n">
        <f aca="false">(SUMIF($9:$9,H149,$10:$10)-SUMIF($9:$9,$H$24,$10:$10)+100)/100</f>
        <v>1</v>
      </c>
      <c r="J149" s="2782"/>
      <c r="K149" s="478" t="n">
        <f aca="false">(SUMIF($11:$11,J149,$12:$12)-SUMIF($11:$11,$J$24,$12:$12)+100)/100</f>
        <v>1</v>
      </c>
      <c r="L149" s="2782"/>
      <c r="M149" s="478" t="n">
        <f aca="false">(SUMIF($13:$13,L149,$14:$14)-SUMIF($13:$13,$L$24,$14:$14)+100)/100</f>
        <v>1</v>
      </c>
      <c r="N149" s="2782"/>
      <c r="O149" s="478" t="n">
        <f aca="false">(SUMIF($15:$15,N149,$16:$16)-SUMIF($15:$15,$N$24,$16:$16)+100)/100</f>
        <v>1</v>
      </c>
      <c r="P149" s="2782"/>
      <c r="Q149" s="478" t="n">
        <f aca="false">(SUMIF($17:$17,P149,$18:$18)-SUMIF($17:$17,$P$24,$18:$18)+100)/100</f>
        <v>1</v>
      </c>
      <c r="R149" s="2772" t="n">
        <f aca="false">IF(B149="",0,ROUND($R$24*C149*E149*G149*I149*K149*M149*O149*Q149,0))</f>
        <v>0</v>
      </c>
      <c r="S149" s="2771" t="n">
        <f aca="false">ROUND(R149*B149/10000,0)</f>
        <v>0</v>
      </c>
    </row>
    <row r="150" customFormat="false" ht="12.75" hidden="false" customHeight="false" outlineLevel="0" collapsed="false">
      <c r="A150" s="1016"/>
      <c r="B150" s="2781"/>
      <c r="C150" s="478" t="n">
        <f aca="false">IF(B150="",1,(LOOKUP(B150,$3:$3,$4:$4)-LOOKUP($B$24,$3:$3,$4:$4)+100)/100)</f>
        <v>1</v>
      </c>
      <c r="D150" s="2782"/>
      <c r="E150" s="478" t="n">
        <f aca="false">(SUMIF($5:$5,D150,$6:$6)-SUMIF($5:$5,$D$24,$6:$6)+100)/100</f>
        <v>1</v>
      </c>
      <c r="F150" s="2782"/>
      <c r="G150" s="478" t="n">
        <f aca="false">(SUMIF($7:$7,F150,$8:$8)-SUMIF($7:$7,$F$24,$8:$8)+100)/100</f>
        <v>1</v>
      </c>
      <c r="H150" s="2782"/>
      <c r="I150" s="478" t="n">
        <f aca="false">(SUMIF($9:$9,H150,$10:$10)-SUMIF($9:$9,$H$24,$10:$10)+100)/100</f>
        <v>1</v>
      </c>
      <c r="J150" s="2782"/>
      <c r="K150" s="478" t="n">
        <f aca="false">(SUMIF($11:$11,J150,$12:$12)-SUMIF($11:$11,$J$24,$12:$12)+100)/100</f>
        <v>1</v>
      </c>
      <c r="L150" s="2782"/>
      <c r="M150" s="478" t="n">
        <f aca="false">(SUMIF($13:$13,L150,$14:$14)-SUMIF($13:$13,$L$24,$14:$14)+100)/100</f>
        <v>1</v>
      </c>
      <c r="N150" s="2782"/>
      <c r="O150" s="478" t="n">
        <f aca="false">(SUMIF($15:$15,N150,$16:$16)-SUMIF($15:$15,$N$24,$16:$16)+100)/100</f>
        <v>1</v>
      </c>
      <c r="P150" s="2782"/>
      <c r="Q150" s="478" t="n">
        <f aca="false">(SUMIF($17:$17,P150,$18:$18)-SUMIF($17:$17,$P$24,$18:$18)+100)/100</f>
        <v>1</v>
      </c>
      <c r="R150" s="2772" t="n">
        <f aca="false">IF(B150="",0,ROUND($R$24*C150*E150*G150*I150*K150*M150*O150*Q150,0))</f>
        <v>0</v>
      </c>
      <c r="S150" s="2771" t="n">
        <f aca="false">ROUND(R150*B150/10000,0)</f>
        <v>0</v>
      </c>
    </row>
    <row r="151" customFormat="false" ht="12.75" hidden="false" customHeight="false" outlineLevel="0" collapsed="false">
      <c r="A151" s="1016"/>
      <c r="B151" s="2781"/>
      <c r="C151" s="478" t="n">
        <f aca="false">IF(B151="",1,(LOOKUP(B151,$3:$3,$4:$4)-LOOKUP($B$24,$3:$3,$4:$4)+100)/100)</f>
        <v>1</v>
      </c>
      <c r="D151" s="2782"/>
      <c r="E151" s="478" t="n">
        <f aca="false">(SUMIF($5:$5,D151,$6:$6)-SUMIF($5:$5,$D$24,$6:$6)+100)/100</f>
        <v>1</v>
      </c>
      <c r="F151" s="2782"/>
      <c r="G151" s="478" t="n">
        <f aca="false">(SUMIF($7:$7,F151,$8:$8)-SUMIF($7:$7,$F$24,$8:$8)+100)/100</f>
        <v>1</v>
      </c>
      <c r="H151" s="2782"/>
      <c r="I151" s="478" t="n">
        <f aca="false">(SUMIF($9:$9,H151,$10:$10)-SUMIF($9:$9,$H$24,$10:$10)+100)/100</f>
        <v>1</v>
      </c>
      <c r="J151" s="2782"/>
      <c r="K151" s="478" t="n">
        <f aca="false">(SUMIF($11:$11,J151,$12:$12)-SUMIF($11:$11,$J$24,$12:$12)+100)/100</f>
        <v>1</v>
      </c>
      <c r="L151" s="2782"/>
      <c r="M151" s="478" t="n">
        <f aca="false">(SUMIF($13:$13,L151,$14:$14)-SUMIF($13:$13,$L$24,$14:$14)+100)/100</f>
        <v>1</v>
      </c>
      <c r="N151" s="2782"/>
      <c r="O151" s="478" t="n">
        <f aca="false">(SUMIF($15:$15,N151,$16:$16)-SUMIF($15:$15,$N$24,$16:$16)+100)/100</f>
        <v>1</v>
      </c>
      <c r="P151" s="2782"/>
      <c r="Q151" s="478" t="n">
        <f aca="false">(SUMIF($17:$17,P151,$18:$18)-SUMIF($17:$17,$P$24,$18:$18)+100)/100</f>
        <v>1</v>
      </c>
      <c r="R151" s="2772" t="n">
        <f aca="false">IF(B151="",0,ROUND($R$24*C151*E151*G151*I151*K151*M151*O151*Q151,0))</f>
        <v>0</v>
      </c>
      <c r="S151" s="2771" t="n">
        <f aca="false">ROUND(R151*B151/10000,0)</f>
        <v>0</v>
      </c>
    </row>
    <row r="152" customFormat="false" ht="12.75" hidden="false" customHeight="false" outlineLevel="0" collapsed="false">
      <c r="A152" s="1016"/>
      <c r="B152" s="2781"/>
      <c r="C152" s="478" t="n">
        <f aca="false">IF(B152="",1,(LOOKUP(B152,$3:$3,$4:$4)-LOOKUP($B$24,$3:$3,$4:$4)+100)/100)</f>
        <v>1</v>
      </c>
      <c r="D152" s="2782"/>
      <c r="E152" s="478" t="n">
        <f aca="false">(SUMIF($5:$5,D152,$6:$6)-SUMIF($5:$5,$D$24,$6:$6)+100)/100</f>
        <v>1</v>
      </c>
      <c r="F152" s="2782"/>
      <c r="G152" s="478" t="n">
        <f aca="false">(SUMIF($7:$7,F152,$8:$8)-SUMIF($7:$7,$F$24,$8:$8)+100)/100</f>
        <v>1</v>
      </c>
      <c r="H152" s="2782"/>
      <c r="I152" s="478" t="n">
        <f aca="false">(SUMIF($9:$9,H152,$10:$10)-SUMIF($9:$9,$H$24,$10:$10)+100)/100</f>
        <v>1</v>
      </c>
      <c r="J152" s="2782"/>
      <c r="K152" s="478" t="n">
        <f aca="false">(SUMIF($11:$11,J152,$12:$12)-SUMIF($11:$11,$J$24,$12:$12)+100)/100</f>
        <v>1</v>
      </c>
      <c r="L152" s="2782"/>
      <c r="M152" s="478" t="n">
        <f aca="false">(SUMIF($13:$13,L152,$14:$14)-SUMIF($13:$13,$L$24,$14:$14)+100)/100</f>
        <v>1</v>
      </c>
      <c r="N152" s="2782"/>
      <c r="O152" s="478" t="n">
        <f aca="false">(SUMIF($15:$15,N152,$16:$16)-SUMIF($15:$15,$N$24,$16:$16)+100)/100</f>
        <v>1</v>
      </c>
      <c r="P152" s="2782"/>
      <c r="Q152" s="478" t="n">
        <f aca="false">(SUMIF($17:$17,P152,$18:$18)-SUMIF($17:$17,$P$24,$18:$18)+100)/100</f>
        <v>1</v>
      </c>
      <c r="R152" s="2772" t="n">
        <f aca="false">IF(B152="",0,ROUND($R$24*C152*E152*G152*I152*K152*M152*O152*Q152,0))</f>
        <v>0</v>
      </c>
      <c r="S152" s="2771" t="n">
        <f aca="false">ROUND(R152*B152/10000,0)</f>
        <v>0</v>
      </c>
    </row>
    <row r="153" customFormat="false" ht="12.75" hidden="false" customHeight="false" outlineLevel="0" collapsed="false">
      <c r="A153" s="1016"/>
      <c r="B153" s="2781"/>
      <c r="C153" s="478" t="n">
        <f aca="false">IF(B153="",1,(LOOKUP(B153,$3:$3,$4:$4)-LOOKUP($B$24,$3:$3,$4:$4)+100)/100)</f>
        <v>1</v>
      </c>
      <c r="D153" s="2782"/>
      <c r="E153" s="478" t="n">
        <f aca="false">(SUMIF($5:$5,D153,$6:$6)-SUMIF($5:$5,$D$24,$6:$6)+100)/100</f>
        <v>1</v>
      </c>
      <c r="F153" s="2782"/>
      <c r="G153" s="478" t="n">
        <f aca="false">(SUMIF($7:$7,F153,$8:$8)-SUMIF($7:$7,$F$24,$8:$8)+100)/100</f>
        <v>1</v>
      </c>
      <c r="H153" s="2782"/>
      <c r="I153" s="478" t="n">
        <f aca="false">(SUMIF($9:$9,H153,$10:$10)-SUMIF($9:$9,$H$24,$10:$10)+100)/100</f>
        <v>1</v>
      </c>
      <c r="J153" s="2782"/>
      <c r="K153" s="478" t="n">
        <f aca="false">(SUMIF($11:$11,J153,$12:$12)-SUMIF($11:$11,$J$24,$12:$12)+100)/100</f>
        <v>1</v>
      </c>
      <c r="L153" s="2782"/>
      <c r="M153" s="478" t="n">
        <f aca="false">(SUMIF($13:$13,L153,$14:$14)-SUMIF($13:$13,$L$24,$14:$14)+100)/100</f>
        <v>1</v>
      </c>
      <c r="N153" s="2782"/>
      <c r="O153" s="478" t="n">
        <f aca="false">(SUMIF($15:$15,N153,$16:$16)-SUMIF($15:$15,$N$24,$16:$16)+100)/100</f>
        <v>1</v>
      </c>
      <c r="P153" s="2782"/>
      <c r="Q153" s="478" t="n">
        <f aca="false">(SUMIF($17:$17,P153,$18:$18)-SUMIF($17:$17,$P$24,$18:$18)+100)/100</f>
        <v>1</v>
      </c>
      <c r="R153" s="2772" t="n">
        <f aca="false">IF(B153="",0,ROUND($R$24*C153*E153*G153*I153*K153*M153*O153*Q153,0))</f>
        <v>0</v>
      </c>
      <c r="S153" s="2771" t="n">
        <f aca="false">ROUND(R153*B153/10000,0)</f>
        <v>0</v>
      </c>
    </row>
    <row r="154" customFormat="false" ht="12.75" hidden="false" customHeight="false" outlineLevel="0" collapsed="false">
      <c r="A154" s="1016"/>
      <c r="B154" s="2781"/>
      <c r="C154" s="478" t="n">
        <f aca="false">IF(B154="",1,(LOOKUP(B154,$3:$3,$4:$4)-LOOKUP($B$24,$3:$3,$4:$4)+100)/100)</f>
        <v>1</v>
      </c>
      <c r="D154" s="2782"/>
      <c r="E154" s="478" t="n">
        <f aca="false">(SUMIF($5:$5,D154,$6:$6)-SUMIF($5:$5,$D$24,$6:$6)+100)/100</f>
        <v>1</v>
      </c>
      <c r="F154" s="2782"/>
      <c r="G154" s="478" t="n">
        <f aca="false">(SUMIF($7:$7,F154,$8:$8)-SUMIF($7:$7,$F$24,$8:$8)+100)/100</f>
        <v>1</v>
      </c>
      <c r="H154" s="2782"/>
      <c r="I154" s="478" t="n">
        <f aca="false">(SUMIF($9:$9,H154,$10:$10)-SUMIF($9:$9,$H$24,$10:$10)+100)/100</f>
        <v>1</v>
      </c>
      <c r="J154" s="2782"/>
      <c r="K154" s="478" t="n">
        <f aca="false">(SUMIF($11:$11,J154,$12:$12)-SUMIF($11:$11,$J$24,$12:$12)+100)/100</f>
        <v>1</v>
      </c>
      <c r="L154" s="2782"/>
      <c r="M154" s="478" t="n">
        <f aca="false">(SUMIF($13:$13,L154,$14:$14)-SUMIF($13:$13,$L$24,$14:$14)+100)/100</f>
        <v>1</v>
      </c>
      <c r="N154" s="2782"/>
      <c r="O154" s="478" t="n">
        <f aca="false">(SUMIF($15:$15,N154,$16:$16)-SUMIF($15:$15,$N$24,$16:$16)+100)/100</f>
        <v>1</v>
      </c>
      <c r="P154" s="2782"/>
      <c r="Q154" s="478" t="n">
        <f aca="false">(SUMIF($17:$17,P154,$18:$18)-SUMIF($17:$17,$P$24,$18:$18)+100)/100</f>
        <v>1</v>
      </c>
      <c r="R154" s="2772" t="n">
        <f aca="false">IF(B154="",0,ROUND($R$24*C154*E154*G154*I154*K154*M154*O154*Q154,0))</f>
        <v>0</v>
      </c>
      <c r="S154" s="2771" t="n">
        <f aca="false">ROUND(R154*B154/10000,0)</f>
        <v>0</v>
      </c>
    </row>
    <row r="155" customFormat="false" ht="12.75" hidden="false" customHeight="false" outlineLevel="0" collapsed="false">
      <c r="A155" s="1016"/>
      <c r="B155" s="2781"/>
      <c r="C155" s="478" t="n">
        <f aca="false">IF(B155="",1,(LOOKUP(B155,$3:$3,$4:$4)-LOOKUP($B$24,$3:$3,$4:$4)+100)/100)</f>
        <v>1</v>
      </c>
      <c r="D155" s="2782"/>
      <c r="E155" s="478" t="n">
        <f aca="false">(SUMIF($5:$5,D155,$6:$6)-SUMIF($5:$5,$D$24,$6:$6)+100)/100</f>
        <v>1</v>
      </c>
      <c r="F155" s="2782"/>
      <c r="G155" s="478" t="n">
        <f aca="false">(SUMIF($7:$7,F155,$8:$8)-SUMIF($7:$7,$F$24,$8:$8)+100)/100</f>
        <v>1</v>
      </c>
      <c r="H155" s="2782"/>
      <c r="I155" s="478" t="n">
        <f aca="false">(SUMIF($9:$9,H155,$10:$10)-SUMIF($9:$9,$H$24,$10:$10)+100)/100</f>
        <v>1</v>
      </c>
      <c r="J155" s="2782"/>
      <c r="K155" s="478" t="n">
        <f aca="false">(SUMIF($11:$11,J155,$12:$12)-SUMIF($11:$11,$J$24,$12:$12)+100)/100</f>
        <v>1</v>
      </c>
      <c r="L155" s="2782"/>
      <c r="M155" s="478" t="n">
        <f aca="false">(SUMIF($13:$13,L155,$14:$14)-SUMIF($13:$13,$L$24,$14:$14)+100)/100</f>
        <v>1</v>
      </c>
      <c r="N155" s="2782"/>
      <c r="O155" s="478" t="n">
        <f aca="false">(SUMIF($15:$15,N155,$16:$16)-SUMIF($15:$15,$N$24,$16:$16)+100)/100</f>
        <v>1</v>
      </c>
      <c r="P155" s="2782"/>
      <c r="Q155" s="478" t="n">
        <f aca="false">(SUMIF($17:$17,P155,$18:$18)-SUMIF($17:$17,$P$24,$18:$18)+100)/100</f>
        <v>1</v>
      </c>
      <c r="R155" s="2772" t="n">
        <f aca="false">IF(B155="",0,ROUND($R$24*C155*E155*G155*I155*K155*M155*O155*Q155,0))</f>
        <v>0</v>
      </c>
      <c r="S155" s="2771" t="n">
        <f aca="false">ROUND(R155*B155/10000,0)</f>
        <v>0</v>
      </c>
    </row>
    <row r="156" customFormat="false" ht="12.75" hidden="false" customHeight="false" outlineLevel="0" collapsed="false">
      <c r="A156" s="1016"/>
      <c r="B156" s="2781"/>
      <c r="C156" s="478" t="n">
        <f aca="false">IF(B156="",1,(LOOKUP(B156,$3:$3,$4:$4)-LOOKUP($B$24,$3:$3,$4:$4)+100)/100)</f>
        <v>1</v>
      </c>
      <c r="D156" s="2782"/>
      <c r="E156" s="478" t="n">
        <f aca="false">(SUMIF($5:$5,D156,$6:$6)-SUMIF($5:$5,$D$24,$6:$6)+100)/100</f>
        <v>1</v>
      </c>
      <c r="F156" s="2782"/>
      <c r="G156" s="478" t="n">
        <f aca="false">(SUMIF($7:$7,F156,$8:$8)-SUMIF($7:$7,$F$24,$8:$8)+100)/100</f>
        <v>1</v>
      </c>
      <c r="H156" s="2782"/>
      <c r="I156" s="478" t="n">
        <f aca="false">(SUMIF($9:$9,H156,$10:$10)-SUMIF($9:$9,$H$24,$10:$10)+100)/100</f>
        <v>1</v>
      </c>
      <c r="J156" s="2782"/>
      <c r="K156" s="478" t="n">
        <f aca="false">(SUMIF($11:$11,J156,$12:$12)-SUMIF($11:$11,$J$24,$12:$12)+100)/100</f>
        <v>1</v>
      </c>
      <c r="L156" s="2782"/>
      <c r="M156" s="478" t="n">
        <f aca="false">(SUMIF($13:$13,L156,$14:$14)-SUMIF($13:$13,$L$24,$14:$14)+100)/100</f>
        <v>1</v>
      </c>
      <c r="N156" s="2782"/>
      <c r="O156" s="478" t="n">
        <f aca="false">(SUMIF($15:$15,N156,$16:$16)-SUMIF($15:$15,$N$24,$16:$16)+100)/100</f>
        <v>1</v>
      </c>
      <c r="P156" s="2782"/>
      <c r="Q156" s="478" t="n">
        <f aca="false">(SUMIF($17:$17,P156,$18:$18)-SUMIF($17:$17,$P$24,$18:$18)+100)/100</f>
        <v>1</v>
      </c>
      <c r="R156" s="2772" t="n">
        <f aca="false">IF(B156="",0,ROUND($R$24*C156*E156*G156*I156*K156*M156*O156*Q156,0))</f>
        <v>0</v>
      </c>
      <c r="S156" s="2771" t="n">
        <f aca="false">ROUND(R156*B156/10000,0)</f>
        <v>0</v>
      </c>
    </row>
    <row r="157" customFormat="false" ht="12.75" hidden="false" customHeight="false" outlineLevel="0" collapsed="false">
      <c r="A157" s="1016"/>
      <c r="B157" s="2781"/>
      <c r="C157" s="478" t="n">
        <f aca="false">IF(B157="",1,(LOOKUP(B157,$3:$3,$4:$4)-LOOKUP($B$24,$3:$3,$4:$4)+100)/100)</f>
        <v>1</v>
      </c>
      <c r="D157" s="2782"/>
      <c r="E157" s="478" t="n">
        <f aca="false">(SUMIF($5:$5,D157,$6:$6)-SUMIF($5:$5,$D$24,$6:$6)+100)/100</f>
        <v>1</v>
      </c>
      <c r="F157" s="2782"/>
      <c r="G157" s="478" t="n">
        <f aca="false">(SUMIF($7:$7,F157,$8:$8)-SUMIF($7:$7,$F$24,$8:$8)+100)/100</f>
        <v>1</v>
      </c>
      <c r="H157" s="2782"/>
      <c r="I157" s="478" t="n">
        <f aca="false">(SUMIF($9:$9,H157,$10:$10)-SUMIF($9:$9,$H$24,$10:$10)+100)/100</f>
        <v>1</v>
      </c>
      <c r="J157" s="2782"/>
      <c r="K157" s="478" t="n">
        <f aca="false">(SUMIF($11:$11,J157,$12:$12)-SUMIF($11:$11,$J$24,$12:$12)+100)/100</f>
        <v>1</v>
      </c>
      <c r="L157" s="2782"/>
      <c r="M157" s="478" t="n">
        <f aca="false">(SUMIF($13:$13,L157,$14:$14)-SUMIF($13:$13,$L$24,$14:$14)+100)/100</f>
        <v>1</v>
      </c>
      <c r="N157" s="2782"/>
      <c r="O157" s="478" t="n">
        <f aca="false">(SUMIF($15:$15,N157,$16:$16)-SUMIF($15:$15,$N$24,$16:$16)+100)/100</f>
        <v>1</v>
      </c>
      <c r="P157" s="2782"/>
      <c r="Q157" s="478" t="n">
        <f aca="false">(SUMIF($17:$17,P157,$18:$18)-SUMIF($17:$17,$P$24,$18:$18)+100)/100</f>
        <v>1</v>
      </c>
      <c r="R157" s="2772" t="n">
        <f aca="false">IF(B157="",0,ROUND($R$24*C157*E157*G157*I157*K157*M157*O157*Q157,0))</f>
        <v>0</v>
      </c>
      <c r="S157" s="2771" t="n">
        <f aca="false">ROUND(R157*B157/10000,0)</f>
        <v>0</v>
      </c>
    </row>
    <row r="158" customFormat="false" ht="12.75" hidden="false" customHeight="false" outlineLevel="0" collapsed="false">
      <c r="A158" s="1016"/>
      <c r="B158" s="2781"/>
      <c r="C158" s="478" t="n">
        <f aca="false">IF(B158="",1,(LOOKUP(B158,$3:$3,$4:$4)-LOOKUP($B$24,$3:$3,$4:$4)+100)/100)</f>
        <v>1</v>
      </c>
      <c r="D158" s="2782"/>
      <c r="E158" s="478" t="n">
        <f aca="false">(SUMIF($5:$5,D158,$6:$6)-SUMIF($5:$5,$D$24,$6:$6)+100)/100</f>
        <v>1</v>
      </c>
      <c r="F158" s="2782"/>
      <c r="G158" s="478" t="n">
        <f aca="false">(SUMIF($7:$7,F158,$8:$8)-SUMIF($7:$7,$F$24,$8:$8)+100)/100</f>
        <v>1</v>
      </c>
      <c r="H158" s="2782"/>
      <c r="I158" s="478" t="n">
        <f aca="false">(SUMIF($9:$9,H158,$10:$10)-SUMIF($9:$9,$H$24,$10:$10)+100)/100</f>
        <v>1</v>
      </c>
      <c r="J158" s="2782"/>
      <c r="K158" s="478" t="n">
        <f aca="false">(SUMIF($11:$11,J158,$12:$12)-SUMIF($11:$11,$J$24,$12:$12)+100)/100</f>
        <v>1</v>
      </c>
      <c r="L158" s="2782"/>
      <c r="M158" s="478" t="n">
        <f aca="false">(SUMIF($13:$13,L158,$14:$14)-SUMIF($13:$13,$L$24,$14:$14)+100)/100</f>
        <v>1</v>
      </c>
      <c r="N158" s="2782"/>
      <c r="O158" s="478" t="n">
        <f aca="false">(SUMIF($15:$15,N158,$16:$16)-SUMIF($15:$15,$N$24,$16:$16)+100)/100</f>
        <v>1</v>
      </c>
      <c r="P158" s="2782"/>
      <c r="Q158" s="478" t="n">
        <f aca="false">(SUMIF($17:$17,P158,$18:$18)-SUMIF($17:$17,$P$24,$18:$18)+100)/100</f>
        <v>1</v>
      </c>
      <c r="R158" s="2772" t="n">
        <f aca="false">IF(B158="",0,ROUND($R$24*C158*E158*G158*I158*K158*M158*O158*Q158,0))</f>
        <v>0</v>
      </c>
      <c r="S158" s="2771" t="n">
        <f aca="false">ROUND(R158*B158/10000,0)</f>
        <v>0</v>
      </c>
    </row>
    <row r="159" customFormat="false" ht="12.75" hidden="false" customHeight="false" outlineLevel="0" collapsed="false">
      <c r="A159" s="1016"/>
      <c r="B159" s="2781"/>
      <c r="C159" s="478" t="n">
        <f aca="false">IF(B159="",1,(LOOKUP(B159,$3:$3,$4:$4)-LOOKUP($B$24,$3:$3,$4:$4)+100)/100)</f>
        <v>1</v>
      </c>
      <c r="D159" s="2782"/>
      <c r="E159" s="478" t="n">
        <f aca="false">(SUMIF($5:$5,D159,$6:$6)-SUMIF($5:$5,$D$24,$6:$6)+100)/100</f>
        <v>1</v>
      </c>
      <c r="F159" s="2782"/>
      <c r="G159" s="478" t="n">
        <f aca="false">(SUMIF($7:$7,F159,$8:$8)-SUMIF($7:$7,$F$24,$8:$8)+100)/100</f>
        <v>1</v>
      </c>
      <c r="H159" s="2782"/>
      <c r="I159" s="478" t="n">
        <f aca="false">(SUMIF($9:$9,H159,$10:$10)-SUMIF($9:$9,$H$24,$10:$10)+100)/100</f>
        <v>1</v>
      </c>
      <c r="J159" s="2782"/>
      <c r="K159" s="478" t="n">
        <f aca="false">(SUMIF($11:$11,J159,$12:$12)-SUMIF($11:$11,$J$24,$12:$12)+100)/100</f>
        <v>1</v>
      </c>
      <c r="L159" s="2782"/>
      <c r="M159" s="478" t="n">
        <f aca="false">(SUMIF($13:$13,L159,$14:$14)-SUMIF($13:$13,$L$24,$14:$14)+100)/100</f>
        <v>1</v>
      </c>
      <c r="N159" s="2782"/>
      <c r="O159" s="478" t="n">
        <f aca="false">(SUMIF($15:$15,N159,$16:$16)-SUMIF($15:$15,$N$24,$16:$16)+100)/100</f>
        <v>1</v>
      </c>
      <c r="P159" s="2782"/>
      <c r="Q159" s="478" t="n">
        <f aca="false">(SUMIF($17:$17,P159,$18:$18)-SUMIF($17:$17,$P$24,$18:$18)+100)/100</f>
        <v>1</v>
      </c>
      <c r="R159" s="2772" t="n">
        <f aca="false">IF(B159="",0,ROUND($R$24*C159*E159*G159*I159*K159*M159*O159*Q159,0))</f>
        <v>0</v>
      </c>
      <c r="S159" s="2771" t="n">
        <f aca="false">ROUND(R159*B159/10000,0)</f>
        <v>0</v>
      </c>
    </row>
    <row r="160" customFormat="false" ht="12.75" hidden="false" customHeight="false" outlineLevel="0" collapsed="false">
      <c r="A160" s="1016"/>
      <c r="B160" s="2781"/>
      <c r="C160" s="478" t="n">
        <f aca="false">IF(B160="",1,(LOOKUP(B160,$3:$3,$4:$4)-LOOKUP($B$24,$3:$3,$4:$4)+100)/100)</f>
        <v>1</v>
      </c>
      <c r="D160" s="2782"/>
      <c r="E160" s="478" t="n">
        <f aca="false">(SUMIF($5:$5,D160,$6:$6)-SUMIF($5:$5,$D$24,$6:$6)+100)/100</f>
        <v>1</v>
      </c>
      <c r="F160" s="2782"/>
      <c r="G160" s="478" t="n">
        <f aca="false">(SUMIF($7:$7,F160,$8:$8)-SUMIF($7:$7,$F$24,$8:$8)+100)/100</f>
        <v>1</v>
      </c>
      <c r="H160" s="2782"/>
      <c r="I160" s="478" t="n">
        <f aca="false">(SUMIF($9:$9,H160,$10:$10)-SUMIF($9:$9,$H$24,$10:$10)+100)/100</f>
        <v>1</v>
      </c>
      <c r="J160" s="2782"/>
      <c r="K160" s="478" t="n">
        <f aca="false">(SUMIF($11:$11,J160,$12:$12)-SUMIF($11:$11,$J$24,$12:$12)+100)/100</f>
        <v>1</v>
      </c>
      <c r="L160" s="2782"/>
      <c r="M160" s="478" t="n">
        <f aca="false">(SUMIF($13:$13,L160,$14:$14)-SUMIF($13:$13,$L$24,$14:$14)+100)/100</f>
        <v>1</v>
      </c>
      <c r="N160" s="2782"/>
      <c r="O160" s="478" t="n">
        <f aca="false">(SUMIF($15:$15,N160,$16:$16)-SUMIF($15:$15,$N$24,$16:$16)+100)/100</f>
        <v>1</v>
      </c>
      <c r="P160" s="2782"/>
      <c r="Q160" s="478" t="n">
        <f aca="false">(SUMIF($17:$17,P160,$18:$18)-SUMIF($17:$17,$P$24,$18:$18)+100)/100</f>
        <v>1</v>
      </c>
      <c r="R160" s="2772" t="n">
        <f aca="false">IF(B160="",0,ROUND($R$24*C160*E160*G160*I160*K160*M160*O160*Q160,0))</f>
        <v>0</v>
      </c>
      <c r="S160" s="2771" t="n">
        <f aca="false">ROUND(R160*B160/10000,0)</f>
        <v>0</v>
      </c>
    </row>
    <row r="161" customFormat="false" ht="12.75" hidden="false" customHeight="false" outlineLevel="0" collapsed="false">
      <c r="A161" s="1016"/>
      <c r="B161" s="2781"/>
      <c r="C161" s="478" t="n">
        <f aca="false">IF(B161="",1,(LOOKUP(B161,$3:$3,$4:$4)-LOOKUP($B$24,$3:$3,$4:$4)+100)/100)</f>
        <v>1</v>
      </c>
      <c r="D161" s="2782"/>
      <c r="E161" s="478" t="n">
        <f aca="false">(SUMIF($5:$5,D161,$6:$6)-SUMIF($5:$5,$D$24,$6:$6)+100)/100</f>
        <v>1</v>
      </c>
      <c r="F161" s="2782"/>
      <c r="G161" s="478" t="n">
        <f aca="false">(SUMIF($7:$7,F161,$8:$8)-SUMIF($7:$7,$F$24,$8:$8)+100)/100</f>
        <v>1</v>
      </c>
      <c r="H161" s="2782"/>
      <c r="I161" s="478" t="n">
        <f aca="false">(SUMIF($9:$9,H161,$10:$10)-SUMIF($9:$9,$H$24,$10:$10)+100)/100</f>
        <v>1</v>
      </c>
      <c r="J161" s="2782"/>
      <c r="K161" s="478" t="n">
        <f aca="false">(SUMIF($11:$11,J161,$12:$12)-SUMIF($11:$11,$J$24,$12:$12)+100)/100</f>
        <v>1</v>
      </c>
      <c r="L161" s="2782"/>
      <c r="M161" s="478" t="n">
        <f aca="false">(SUMIF($13:$13,L161,$14:$14)-SUMIF($13:$13,$L$24,$14:$14)+100)/100</f>
        <v>1</v>
      </c>
      <c r="N161" s="2782"/>
      <c r="O161" s="478" t="n">
        <f aca="false">(SUMIF($15:$15,N161,$16:$16)-SUMIF($15:$15,$N$24,$16:$16)+100)/100</f>
        <v>1</v>
      </c>
      <c r="P161" s="2782"/>
      <c r="Q161" s="478" t="n">
        <f aca="false">(SUMIF($17:$17,P161,$18:$18)-SUMIF($17:$17,$P$24,$18:$18)+100)/100</f>
        <v>1</v>
      </c>
      <c r="R161" s="2772" t="n">
        <f aca="false">IF(B161="",0,ROUND($R$24*C161*E161*G161*I161*K161*M161*O161*Q161,0))</f>
        <v>0</v>
      </c>
      <c r="S161" s="2771" t="n">
        <f aca="false">ROUND(R161*B161/10000,0)</f>
        <v>0</v>
      </c>
    </row>
    <row r="162" customFormat="false" ht="12.75" hidden="false" customHeight="false" outlineLevel="0" collapsed="false">
      <c r="A162" s="1016"/>
      <c r="B162" s="2781"/>
      <c r="C162" s="478" t="n">
        <f aca="false">IF(B162="",1,(LOOKUP(B162,$3:$3,$4:$4)-LOOKUP($B$24,$3:$3,$4:$4)+100)/100)</f>
        <v>1</v>
      </c>
      <c r="D162" s="2782"/>
      <c r="E162" s="478" t="n">
        <f aca="false">(SUMIF($5:$5,D162,$6:$6)-SUMIF($5:$5,$D$24,$6:$6)+100)/100</f>
        <v>1</v>
      </c>
      <c r="F162" s="2782"/>
      <c r="G162" s="478" t="n">
        <f aca="false">(SUMIF($7:$7,F162,$8:$8)-SUMIF($7:$7,$F$24,$8:$8)+100)/100</f>
        <v>1</v>
      </c>
      <c r="H162" s="2782"/>
      <c r="I162" s="478" t="n">
        <f aca="false">(SUMIF($9:$9,H162,$10:$10)-SUMIF($9:$9,$H$24,$10:$10)+100)/100</f>
        <v>1</v>
      </c>
      <c r="J162" s="2782"/>
      <c r="K162" s="478" t="n">
        <f aca="false">(SUMIF($11:$11,J162,$12:$12)-SUMIF($11:$11,$J$24,$12:$12)+100)/100</f>
        <v>1</v>
      </c>
      <c r="L162" s="2782"/>
      <c r="M162" s="478" t="n">
        <f aca="false">(SUMIF($13:$13,L162,$14:$14)-SUMIF($13:$13,$L$24,$14:$14)+100)/100</f>
        <v>1</v>
      </c>
      <c r="N162" s="2782"/>
      <c r="O162" s="478" t="n">
        <f aca="false">(SUMIF($15:$15,N162,$16:$16)-SUMIF($15:$15,$N$24,$16:$16)+100)/100</f>
        <v>1</v>
      </c>
      <c r="P162" s="2782"/>
      <c r="Q162" s="478" t="n">
        <f aca="false">(SUMIF($17:$17,P162,$18:$18)-SUMIF($17:$17,$P$24,$18:$18)+100)/100</f>
        <v>1</v>
      </c>
      <c r="R162" s="2772" t="n">
        <f aca="false">IF(B162="",0,ROUND($R$24*C162*E162*G162*I162*K162*M162*O162*Q162,0))</f>
        <v>0</v>
      </c>
      <c r="S162" s="2771" t="n">
        <f aca="false">ROUND(R162*B162/10000,0)</f>
        <v>0</v>
      </c>
    </row>
    <row r="163" customFormat="false" ht="12.75" hidden="false" customHeight="false" outlineLevel="0" collapsed="false">
      <c r="A163" s="1016"/>
      <c r="B163" s="2781"/>
      <c r="C163" s="478" t="n">
        <f aca="false">IF(B163="",1,(LOOKUP(B163,$3:$3,$4:$4)-LOOKUP($B$24,$3:$3,$4:$4)+100)/100)</f>
        <v>1</v>
      </c>
      <c r="D163" s="2782"/>
      <c r="E163" s="478" t="n">
        <f aca="false">(SUMIF($5:$5,D163,$6:$6)-SUMIF($5:$5,$D$24,$6:$6)+100)/100</f>
        <v>1</v>
      </c>
      <c r="F163" s="2782"/>
      <c r="G163" s="478" t="n">
        <f aca="false">(SUMIF($7:$7,F163,$8:$8)-SUMIF($7:$7,$F$24,$8:$8)+100)/100</f>
        <v>1</v>
      </c>
      <c r="H163" s="2782"/>
      <c r="I163" s="478" t="n">
        <f aca="false">(SUMIF($9:$9,H163,$10:$10)-SUMIF($9:$9,$H$24,$10:$10)+100)/100</f>
        <v>1</v>
      </c>
      <c r="J163" s="2782"/>
      <c r="K163" s="478" t="n">
        <f aca="false">(SUMIF($11:$11,J163,$12:$12)-SUMIF($11:$11,$J$24,$12:$12)+100)/100</f>
        <v>1</v>
      </c>
      <c r="L163" s="2782"/>
      <c r="M163" s="478" t="n">
        <f aca="false">(SUMIF($13:$13,L163,$14:$14)-SUMIF($13:$13,$L$24,$14:$14)+100)/100</f>
        <v>1</v>
      </c>
      <c r="N163" s="2782"/>
      <c r="O163" s="478" t="n">
        <f aca="false">(SUMIF($15:$15,N163,$16:$16)-SUMIF($15:$15,$N$24,$16:$16)+100)/100</f>
        <v>1</v>
      </c>
      <c r="P163" s="2782"/>
      <c r="Q163" s="478" t="n">
        <f aca="false">(SUMIF($17:$17,P163,$18:$18)-SUMIF($17:$17,$P$24,$18:$18)+100)/100</f>
        <v>1</v>
      </c>
      <c r="R163" s="2772" t="n">
        <f aca="false">IF(B163="",0,ROUND($R$24*C163*E163*G163*I163*K163*M163*O163*Q163,0))</f>
        <v>0</v>
      </c>
      <c r="S163" s="2771" t="n">
        <f aca="false">ROUND(R163*B163/10000,0)</f>
        <v>0</v>
      </c>
    </row>
    <row r="164" customFormat="false" ht="12.75" hidden="false" customHeight="false" outlineLevel="0" collapsed="false">
      <c r="A164" s="1016"/>
      <c r="B164" s="2781"/>
      <c r="C164" s="478" t="n">
        <f aca="false">IF(B164="",1,(LOOKUP(B164,$3:$3,$4:$4)-LOOKUP($B$24,$3:$3,$4:$4)+100)/100)</f>
        <v>1</v>
      </c>
      <c r="D164" s="2782"/>
      <c r="E164" s="478" t="n">
        <f aca="false">(SUMIF($5:$5,D164,$6:$6)-SUMIF($5:$5,$D$24,$6:$6)+100)/100</f>
        <v>1</v>
      </c>
      <c r="F164" s="2782"/>
      <c r="G164" s="478" t="n">
        <f aca="false">(SUMIF($7:$7,F164,$8:$8)-SUMIF($7:$7,$F$24,$8:$8)+100)/100</f>
        <v>1</v>
      </c>
      <c r="H164" s="2782"/>
      <c r="I164" s="478" t="n">
        <f aca="false">(SUMIF($9:$9,H164,$10:$10)-SUMIF($9:$9,$H$24,$10:$10)+100)/100</f>
        <v>1</v>
      </c>
      <c r="J164" s="2782"/>
      <c r="K164" s="478" t="n">
        <f aca="false">(SUMIF($11:$11,J164,$12:$12)-SUMIF($11:$11,$J$24,$12:$12)+100)/100</f>
        <v>1</v>
      </c>
      <c r="L164" s="2782"/>
      <c r="M164" s="478" t="n">
        <f aca="false">(SUMIF($13:$13,L164,$14:$14)-SUMIF($13:$13,$L$24,$14:$14)+100)/100</f>
        <v>1</v>
      </c>
      <c r="N164" s="2782"/>
      <c r="O164" s="478" t="n">
        <f aca="false">(SUMIF($15:$15,N164,$16:$16)-SUMIF($15:$15,$N$24,$16:$16)+100)/100</f>
        <v>1</v>
      </c>
      <c r="P164" s="2782"/>
      <c r="Q164" s="478" t="n">
        <f aca="false">(SUMIF($17:$17,P164,$18:$18)-SUMIF($17:$17,$P$24,$18:$18)+100)/100</f>
        <v>1</v>
      </c>
      <c r="R164" s="2772" t="n">
        <f aca="false">IF(B164="",0,ROUND($R$24*C164*E164*G164*I164*K164*M164*O164*Q164,0))</f>
        <v>0</v>
      </c>
      <c r="S164" s="2771" t="n">
        <f aca="false">ROUND(R164*B164/10000,0)</f>
        <v>0</v>
      </c>
    </row>
    <row r="165" customFormat="false" ht="12.75" hidden="false" customHeight="false" outlineLevel="0" collapsed="false">
      <c r="A165" s="1016"/>
      <c r="B165" s="2781"/>
      <c r="C165" s="478" t="n">
        <f aca="false">IF(B165="",1,(LOOKUP(B165,$3:$3,$4:$4)-LOOKUP($B$24,$3:$3,$4:$4)+100)/100)</f>
        <v>1</v>
      </c>
      <c r="D165" s="2782"/>
      <c r="E165" s="478" t="n">
        <f aca="false">(SUMIF($5:$5,D165,$6:$6)-SUMIF($5:$5,$D$24,$6:$6)+100)/100</f>
        <v>1</v>
      </c>
      <c r="F165" s="2782"/>
      <c r="G165" s="478" t="n">
        <f aca="false">(SUMIF($7:$7,F165,$8:$8)-SUMIF($7:$7,$F$24,$8:$8)+100)/100</f>
        <v>1</v>
      </c>
      <c r="H165" s="2782"/>
      <c r="I165" s="478" t="n">
        <f aca="false">(SUMIF($9:$9,H165,$10:$10)-SUMIF($9:$9,$H$24,$10:$10)+100)/100</f>
        <v>1</v>
      </c>
      <c r="J165" s="2782"/>
      <c r="K165" s="478" t="n">
        <f aca="false">(SUMIF($11:$11,J165,$12:$12)-SUMIF($11:$11,$J$24,$12:$12)+100)/100</f>
        <v>1</v>
      </c>
      <c r="L165" s="2782"/>
      <c r="M165" s="478" t="n">
        <f aca="false">(SUMIF($13:$13,L165,$14:$14)-SUMIF($13:$13,$L$24,$14:$14)+100)/100</f>
        <v>1</v>
      </c>
      <c r="N165" s="2782"/>
      <c r="O165" s="478" t="n">
        <f aca="false">(SUMIF($15:$15,N165,$16:$16)-SUMIF($15:$15,$N$24,$16:$16)+100)/100</f>
        <v>1</v>
      </c>
      <c r="P165" s="2782"/>
      <c r="Q165" s="478" t="n">
        <f aca="false">(SUMIF($17:$17,P165,$18:$18)-SUMIF($17:$17,$P$24,$18:$18)+100)/100</f>
        <v>1</v>
      </c>
      <c r="R165" s="2772" t="n">
        <f aca="false">IF(B165="",0,ROUND($R$24*C165*E165*G165*I165*K165*M165*O165*Q165,0))</f>
        <v>0</v>
      </c>
      <c r="S165" s="2771" t="n">
        <f aca="false">ROUND(R165*B165/10000,0)</f>
        <v>0</v>
      </c>
    </row>
    <row r="166" customFormat="false" ht="12.75" hidden="false" customHeight="false" outlineLevel="0" collapsed="false">
      <c r="A166" s="1016"/>
      <c r="B166" s="2781"/>
      <c r="C166" s="478" t="n">
        <f aca="false">IF(B166="",1,(LOOKUP(B166,$3:$3,$4:$4)-LOOKUP($B$24,$3:$3,$4:$4)+100)/100)</f>
        <v>1</v>
      </c>
      <c r="D166" s="2782"/>
      <c r="E166" s="478" t="n">
        <f aca="false">(SUMIF($5:$5,D166,$6:$6)-SUMIF($5:$5,$D$24,$6:$6)+100)/100</f>
        <v>1</v>
      </c>
      <c r="F166" s="2782"/>
      <c r="G166" s="478" t="n">
        <f aca="false">(SUMIF($7:$7,F166,$8:$8)-SUMIF($7:$7,$F$24,$8:$8)+100)/100</f>
        <v>1</v>
      </c>
      <c r="H166" s="2782"/>
      <c r="I166" s="478" t="n">
        <f aca="false">(SUMIF($9:$9,H166,$10:$10)-SUMIF($9:$9,$H$24,$10:$10)+100)/100</f>
        <v>1</v>
      </c>
      <c r="J166" s="2782"/>
      <c r="K166" s="478" t="n">
        <f aca="false">(SUMIF($11:$11,J166,$12:$12)-SUMIF($11:$11,$J$24,$12:$12)+100)/100</f>
        <v>1</v>
      </c>
      <c r="L166" s="2782"/>
      <c r="M166" s="478" t="n">
        <f aca="false">(SUMIF($13:$13,L166,$14:$14)-SUMIF($13:$13,$L$24,$14:$14)+100)/100</f>
        <v>1</v>
      </c>
      <c r="N166" s="2782"/>
      <c r="O166" s="478" t="n">
        <f aca="false">(SUMIF($15:$15,N166,$16:$16)-SUMIF($15:$15,$N$24,$16:$16)+100)/100</f>
        <v>1</v>
      </c>
      <c r="P166" s="2782"/>
      <c r="Q166" s="478" t="n">
        <f aca="false">(SUMIF($17:$17,P166,$18:$18)-SUMIF($17:$17,$P$24,$18:$18)+100)/100</f>
        <v>1</v>
      </c>
      <c r="R166" s="2772" t="n">
        <f aca="false">IF(B166="",0,ROUND($R$24*C166*E166*G166*I166*K166*M166*O166*Q166,0))</f>
        <v>0</v>
      </c>
      <c r="S166" s="2771" t="n">
        <f aca="false">ROUND(R166*B166/10000,0)</f>
        <v>0</v>
      </c>
    </row>
    <row r="167" customFormat="false" ht="12.75" hidden="false" customHeight="false" outlineLevel="0" collapsed="false">
      <c r="A167" s="1016"/>
      <c r="B167" s="2781"/>
      <c r="C167" s="478" t="n">
        <f aca="false">IF(B167="",1,(LOOKUP(B167,$3:$3,$4:$4)-LOOKUP($B$24,$3:$3,$4:$4)+100)/100)</f>
        <v>1</v>
      </c>
      <c r="D167" s="2782"/>
      <c r="E167" s="478" t="n">
        <f aca="false">(SUMIF($5:$5,D167,$6:$6)-SUMIF($5:$5,$D$24,$6:$6)+100)/100</f>
        <v>1</v>
      </c>
      <c r="F167" s="2782"/>
      <c r="G167" s="478" t="n">
        <f aca="false">(SUMIF($7:$7,F167,$8:$8)-SUMIF($7:$7,$F$24,$8:$8)+100)/100</f>
        <v>1</v>
      </c>
      <c r="H167" s="2782"/>
      <c r="I167" s="478" t="n">
        <f aca="false">(SUMIF($9:$9,H167,$10:$10)-SUMIF($9:$9,$H$24,$10:$10)+100)/100</f>
        <v>1</v>
      </c>
      <c r="J167" s="2782"/>
      <c r="K167" s="478" t="n">
        <f aca="false">(SUMIF($11:$11,J167,$12:$12)-SUMIF($11:$11,$J$24,$12:$12)+100)/100</f>
        <v>1</v>
      </c>
      <c r="L167" s="2782"/>
      <c r="M167" s="478" t="n">
        <f aca="false">(SUMIF($13:$13,L167,$14:$14)-SUMIF($13:$13,$L$24,$14:$14)+100)/100</f>
        <v>1</v>
      </c>
      <c r="N167" s="2782"/>
      <c r="O167" s="478" t="n">
        <f aca="false">(SUMIF($15:$15,N167,$16:$16)-SUMIF($15:$15,$N$24,$16:$16)+100)/100</f>
        <v>1</v>
      </c>
      <c r="P167" s="2782"/>
      <c r="Q167" s="478" t="n">
        <f aca="false">(SUMIF($17:$17,P167,$18:$18)-SUMIF($17:$17,$P$24,$18:$18)+100)/100</f>
        <v>1</v>
      </c>
      <c r="R167" s="2772" t="n">
        <f aca="false">IF(B167="",0,ROUND($R$24*C167*E167*G167*I167*K167*M167*O167*Q167,0))</f>
        <v>0</v>
      </c>
      <c r="S167" s="2771" t="n">
        <f aca="false">ROUND(R167*B167/10000,0)</f>
        <v>0</v>
      </c>
    </row>
    <row r="168" customFormat="false" ht="12.75" hidden="false" customHeight="false" outlineLevel="0" collapsed="false">
      <c r="A168" s="1016"/>
      <c r="B168" s="2781"/>
      <c r="C168" s="478" t="n">
        <f aca="false">IF(B168="",1,(LOOKUP(B168,$3:$3,$4:$4)-LOOKUP($B$24,$3:$3,$4:$4)+100)/100)</f>
        <v>1</v>
      </c>
      <c r="D168" s="2782"/>
      <c r="E168" s="478" t="n">
        <f aca="false">(SUMIF($5:$5,D168,$6:$6)-SUMIF($5:$5,$D$24,$6:$6)+100)/100</f>
        <v>1</v>
      </c>
      <c r="F168" s="2782"/>
      <c r="G168" s="478" t="n">
        <f aca="false">(SUMIF($7:$7,F168,$8:$8)-SUMIF($7:$7,$F$24,$8:$8)+100)/100</f>
        <v>1</v>
      </c>
      <c r="H168" s="2782"/>
      <c r="I168" s="478" t="n">
        <f aca="false">(SUMIF($9:$9,H168,$10:$10)-SUMIF($9:$9,$H$24,$10:$10)+100)/100</f>
        <v>1</v>
      </c>
      <c r="J168" s="2782"/>
      <c r="K168" s="478" t="n">
        <f aca="false">(SUMIF($11:$11,J168,$12:$12)-SUMIF($11:$11,$J$24,$12:$12)+100)/100</f>
        <v>1</v>
      </c>
      <c r="L168" s="2782"/>
      <c r="M168" s="478" t="n">
        <f aca="false">(SUMIF($13:$13,L168,$14:$14)-SUMIF($13:$13,$L$24,$14:$14)+100)/100</f>
        <v>1</v>
      </c>
      <c r="N168" s="2782"/>
      <c r="O168" s="478" t="n">
        <f aca="false">(SUMIF($15:$15,N168,$16:$16)-SUMIF($15:$15,$N$24,$16:$16)+100)/100</f>
        <v>1</v>
      </c>
      <c r="P168" s="2782"/>
      <c r="Q168" s="478" t="n">
        <f aca="false">(SUMIF($17:$17,P168,$18:$18)-SUMIF($17:$17,$P$24,$18:$18)+100)/100</f>
        <v>1</v>
      </c>
      <c r="R168" s="2772" t="n">
        <f aca="false">IF(B168="",0,ROUND($R$24*C168*E168*G168*I168*K168*M168*O168*Q168,0))</f>
        <v>0</v>
      </c>
      <c r="S168" s="2771" t="n">
        <f aca="false">ROUND(R168*B168/10000,0)</f>
        <v>0</v>
      </c>
    </row>
    <row r="169" customFormat="false" ht="12.75" hidden="false" customHeight="false" outlineLevel="0" collapsed="false">
      <c r="A169" s="1016"/>
      <c r="B169" s="2781"/>
      <c r="C169" s="478" t="n">
        <f aca="false">IF(B169="",1,(LOOKUP(B169,$3:$3,$4:$4)-LOOKUP($B$24,$3:$3,$4:$4)+100)/100)</f>
        <v>1</v>
      </c>
      <c r="D169" s="2782"/>
      <c r="E169" s="478" t="n">
        <f aca="false">(SUMIF($5:$5,D169,$6:$6)-SUMIF($5:$5,$D$24,$6:$6)+100)/100</f>
        <v>1</v>
      </c>
      <c r="F169" s="2782"/>
      <c r="G169" s="478" t="n">
        <f aca="false">(SUMIF($7:$7,F169,$8:$8)-SUMIF($7:$7,$F$24,$8:$8)+100)/100</f>
        <v>1</v>
      </c>
      <c r="H169" s="2782"/>
      <c r="I169" s="478" t="n">
        <f aca="false">(SUMIF($9:$9,H169,$10:$10)-SUMIF($9:$9,$H$24,$10:$10)+100)/100</f>
        <v>1</v>
      </c>
      <c r="J169" s="2782"/>
      <c r="K169" s="478" t="n">
        <f aca="false">(SUMIF($11:$11,J169,$12:$12)-SUMIF($11:$11,$J$24,$12:$12)+100)/100</f>
        <v>1</v>
      </c>
      <c r="L169" s="2782"/>
      <c r="M169" s="478" t="n">
        <f aca="false">(SUMIF($13:$13,L169,$14:$14)-SUMIF($13:$13,$L$24,$14:$14)+100)/100</f>
        <v>1</v>
      </c>
      <c r="N169" s="2782"/>
      <c r="O169" s="478" t="n">
        <f aca="false">(SUMIF($15:$15,N169,$16:$16)-SUMIF($15:$15,$N$24,$16:$16)+100)/100</f>
        <v>1</v>
      </c>
      <c r="P169" s="2782"/>
      <c r="Q169" s="478" t="n">
        <f aca="false">(SUMIF($17:$17,P169,$18:$18)-SUMIF($17:$17,$P$24,$18:$18)+100)/100</f>
        <v>1</v>
      </c>
      <c r="R169" s="2772" t="n">
        <f aca="false">IF(B169="",0,ROUND($R$24*C169*E169*G169*I169*K169*M169*O169*Q169,0))</f>
        <v>0</v>
      </c>
      <c r="S169" s="2771" t="n">
        <f aca="false">ROUND(R169*B169/10000,0)</f>
        <v>0</v>
      </c>
    </row>
    <row r="170" customFormat="false" ht="12.75" hidden="false" customHeight="false" outlineLevel="0" collapsed="false">
      <c r="A170" s="1016"/>
      <c r="B170" s="2781"/>
      <c r="C170" s="478" t="n">
        <f aca="false">IF(B170="",1,(LOOKUP(B170,$3:$3,$4:$4)-LOOKUP($B$24,$3:$3,$4:$4)+100)/100)</f>
        <v>1</v>
      </c>
      <c r="D170" s="2782"/>
      <c r="E170" s="478" t="n">
        <f aca="false">(SUMIF($5:$5,D170,$6:$6)-SUMIF($5:$5,$D$24,$6:$6)+100)/100</f>
        <v>1</v>
      </c>
      <c r="F170" s="2782"/>
      <c r="G170" s="478" t="n">
        <f aca="false">(SUMIF($7:$7,F170,$8:$8)-SUMIF($7:$7,$F$24,$8:$8)+100)/100</f>
        <v>1</v>
      </c>
      <c r="H170" s="2782"/>
      <c r="I170" s="478" t="n">
        <f aca="false">(SUMIF($9:$9,H170,$10:$10)-SUMIF($9:$9,$H$24,$10:$10)+100)/100</f>
        <v>1</v>
      </c>
      <c r="J170" s="2782"/>
      <c r="K170" s="478" t="n">
        <f aca="false">(SUMIF($11:$11,J170,$12:$12)-SUMIF($11:$11,$J$24,$12:$12)+100)/100</f>
        <v>1</v>
      </c>
      <c r="L170" s="2782"/>
      <c r="M170" s="478" t="n">
        <f aca="false">(SUMIF($13:$13,L170,$14:$14)-SUMIF($13:$13,$L$24,$14:$14)+100)/100</f>
        <v>1</v>
      </c>
      <c r="N170" s="2782"/>
      <c r="O170" s="478" t="n">
        <f aca="false">(SUMIF($15:$15,N170,$16:$16)-SUMIF($15:$15,$N$24,$16:$16)+100)/100</f>
        <v>1</v>
      </c>
      <c r="P170" s="2782"/>
      <c r="Q170" s="478" t="n">
        <f aca="false">(SUMIF($17:$17,P170,$18:$18)-SUMIF($17:$17,$P$24,$18:$18)+100)/100</f>
        <v>1</v>
      </c>
      <c r="R170" s="2772" t="n">
        <f aca="false">IF(B170="",0,ROUND($R$24*C170*E170*G170*I170*K170*M170*O170*Q170,0))</f>
        <v>0</v>
      </c>
      <c r="S170" s="2771" t="n">
        <f aca="false">ROUND(R170*B170/10000,0)</f>
        <v>0</v>
      </c>
    </row>
    <row r="171" customFormat="false" ht="12.75" hidden="false" customHeight="false" outlineLevel="0" collapsed="false">
      <c r="A171" s="1016"/>
      <c r="B171" s="2781"/>
      <c r="C171" s="478" t="n">
        <f aca="false">IF(B171="",1,(LOOKUP(B171,$3:$3,$4:$4)-LOOKUP($B$24,$3:$3,$4:$4)+100)/100)</f>
        <v>1</v>
      </c>
      <c r="D171" s="2782"/>
      <c r="E171" s="478" t="n">
        <f aca="false">(SUMIF($5:$5,D171,$6:$6)-SUMIF($5:$5,$D$24,$6:$6)+100)/100</f>
        <v>1</v>
      </c>
      <c r="F171" s="2782"/>
      <c r="G171" s="478" t="n">
        <f aca="false">(SUMIF($7:$7,F171,$8:$8)-SUMIF($7:$7,$F$24,$8:$8)+100)/100</f>
        <v>1</v>
      </c>
      <c r="H171" s="2782"/>
      <c r="I171" s="478" t="n">
        <f aca="false">(SUMIF($9:$9,H171,$10:$10)-SUMIF($9:$9,$H$24,$10:$10)+100)/100</f>
        <v>1</v>
      </c>
      <c r="J171" s="2782"/>
      <c r="K171" s="478" t="n">
        <f aca="false">(SUMIF($11:$11,J171,$12:$12)-SUMIF($11:$11,$J$24,$12:$12)+100)/100</f>
        <v>1</v>
      </c>
      <c r="L171" s="2782"/>
      <c r="M171" s="478" t="n">
        <f aca="false">(SUMIF($13:$13,L171,$14:$14)-SUMIF($13:$13,$L$24,$14:$14)+100)/100</f>
        <v>1</v>
      </c>
      <c r="N171" s="2782"/>
      <c r="O171" s="478" t="n">
        <f aca="false">(SUMIF($15:$15,N171,$16:$16)-SUMIF($15:$15,$N$24,$16:$16)+100)/100</f>
        <v>1</v>
      </c>
      <c r="P171" s="2782"/>
      <c r="Q171" s="478" t="n">
        <f aca="false">(SUMIF($17:$17,P171,$18:$18)-SUMIF($17:$17,$P$24,$18:$18)+100)/100</f>
        <v>1</v>
      </c>
      <c r="R171" s="2772" t="n">
        <f aca="false">IF(B171="",0,ROUND($R$24*C171*E171*G171*I171*K171*M171*O171*Q171,0))</f>
        <v>0</v>
      </c>
      <c r="S171" s="2771" t="n">
        <f aca="false">ROUND(R171*B171/10000,0)</f>
        <v>0</v>
      </c>
    </row>
    <row r="172" customFormat="false" ht="12.75" hidden="false" customHeight="false" outlineLevel="0" collapsed="false">
      <c r="A172" s="1016"/>
      <c r="B172" s="2781"/>
      <c r="C172" s="478" t="n">
        <f aca="false">IF(B172="",1,(LOOKUP(B172,$3:$3,$4:$4)-LOOKUP($B$24,$3:$3,$4:$4)+100)/100)</f>
        <v>1</v>
      </c>
      <c r="D172" s="2782"/>
      <c r="E172" s="478" t="n">
        <f aca="false">(SUMIF($5:$5,D172,$6:$6)-SUMIF($5:$5,$D$24,$6:$6)+100)/100</f>
        <v>1</v>
      </c>
      <c r="F172" s="2782"/>
      <c r="G172" s="478" t="n">
        <f aca="false">(SUMIF($7:$7,F172,$8:$8)-SUMIF($7:$7,$F$24,$8:$8)+100)/100</f>
        <v>1</v>
      </c>
      <c r="H172" s="2782"/>
      <c r="I172" s="478" t="n">
        <f aca="false">(SUMIF($9:$9,H172,$10:$10)-SUMIF($9:$9,$H$24,$10:$10)+100)/100</f>
        <v>1</v>
      </c>
      <c r="J172" s="2782"/>
      <c r="K172" s="478" t="n">
        <f aca="false">(SUMIF($11:$11,J172,$12:$12)-SUMIF($11:$11,$J$24,$12:$12)+100)/100</f>
        <v>1</v>
      </c>
      <c r="L172" s="2782"/>
      <c r="M172" s="478" t="n">
        <f aca="false">(SUMIF($13:$13,L172,$14:$14)-SUMIF($13:$13,$L$24,$14:$14)+100)/100</f>
        <v>1</v>
      </c>
      <c r="N172" s="2782"/>
      <c r="O172" s="478" t="n">
        <f aca="false">(SUMIF($15:$15,N172,$16:$16)-SUMIF($15:$15,$N$24,$16:$16)+100)/100</f>
        <v>1</v>
      </c>
      <c r="P172" s="2782"/>
      <c r="Q172" s="478" t="n">
        <f aca="false">(SUMIF($17:$17,P172,$18:$18)-SUMIF($17:$17,$P$24,$18:$18)+100)/100</f>
        <v>1</v>
      </c>
      <c r="R172" s="2772" t="n">
        <f aca="false">IF(B172="",0,ROUND($R$24*C172*E172*G172*I172*K172*M172*O172*Q172,0))</f>
        <v>0</v>
      </c>
      <c r="S172" s="2771" t="n">
        <f aca="false">ROUND(R172*B172/10000,0)</f>
        <v>0</v>
      </c>
    </row>
    <row r="173" customFormat="false" ht="12.75" hidden="false" customHeight="false" outlineLevel="0" collapsed="false">
      <c r="A173" s="1016"/>
      <c r="B173" s="2781"/>
      <c r="C173" s="478" t="n">
        <f aca="false">IF(B173="",1,(LOOKUP(B173,$3:$3,$4:$4)-LOOKUP($B$24,$3:$3,$4:$4)+100)/100)</f>
        <v>1</v>
      </c>
      <c r="D173" s="2782"/>
      <c r="E173" s="478" t="n">
        <f aca="false">(SUMIF($5:$5,D173,$6:$6)-SUMIF($5:$5,$D$24,$6:$6)+100)/100</f>
        <v>1</v>
      </c>
      <c r="F173" s="2782"/>
      <c r="G173" s="478" t="n">
        <f aca="false">(SUMIF($7:$7,F173,$8:$8)-SUMIF($7:$7,$F$24,$8:$8)+100)/100</f>
        <v>1</v>
      </c>
      <c r="H173" s="2782"/>
      <c r="I173" s="478" t="n">
        <f aca="false">(SUMIF($9:$9,H173,$10:$10)-SUMIF($9:$9,$H$24,$10:$10)+100)/100</f>
        <v>1</v>
      </c>
      <c r="J173" s="2782"/>
      <c r="K173" s="478" t="n">
        <f aca="false">(SUMIF($11:$11,J173,$12:$12)-SUMIF($11:$11,$J$24,$12:$12)+100)/100</f>
        <v>1</v>
      </c>
      <c r="L173" s="2782"/>
      <c r="M173" s="478" t="n">
        <f aca="false">(SUMIF($13:$13,L173,$14:$14)-SUMIF($13:$13,$L$24,$14:$14)+100)/100</f>
        <v>1</v>
      </c>
      <c r="N173" s="2782"/>
      <c r="O173" s="478" t="n">
        <f aca="false">(SUMIF($15:$15,N173,$16:$16)-SUMIF($15:$15,$N$24,$16:$16)+100)/100</f>
        <v>1</v>
      </c>
      <c r="P173" s="2782"/>
      <c r="Q173" s="478" t="n">
        <f aca="false">(SUMIF($17:$17,P173,$18:$18)-SUMIF($17:$17,$P$24,$18:$18)+100)/100</f>
        <v>1</v>
      </c>
      <c r="R173" s="2772" t="n">
        <f aca="false">IF(B173="",0,ROUND($R$24*C173*E173*G173*I173*K173*M173*O173*Q173,0))</f>
        <v>0</v>
      </c>
      <c r="S173" s="2771" t="n">
        <f aca="false">ROUND(R173*B173/10000,0)</f>
        <v>0</v>
      </c>
    </row>
    <row r="174" customFormat="false" ht="12.75" hidden="false" customHeight="false" outlineLevel="0" collapsed="false">
      <c r="A174" s="1016"/>
      <c r="B174" s="2781"/>
      <c r="C174" s="478" t="n">
        <f aca="false">IF(B174="",1,(LOOKUP(B174,$3:$3,$4:$4)-LOOKUP($B$24,$3:$3,$4:$4)+100)/100)</f>
        <v>1</v>
      </c>
      <c r="D174" s="2782"/>
      <c r="E174" s="478" t="n">
        <f aca="false">(SUMIF($5:$5,D174,$6:$6)-SUMIF($5:$5,$D$24,$6:$6)+100)/100</f>
        <v>1</v>
      </c>
      <c r="F174" s="2782"/>
      <c r="G174" s="478" t="n">
        <f aca="false">(SUMIF($7:$7,F174,$8:$8)-SUMIF($7:$7,$F$24,$8:$8)+100)/100</f>
        <v>1</v>
      </c>
      <c r="H174" s="2782"/>
      <c r="I174" s="478" t="n">
        <f aca="false">(SUMIF($9:$9,H174,$10:$10)-SUMIF($9:$9,$H$24,$10:$10)+100)/100</f>
        <v>1</v>
      </c>
      <c r="J174" s="2782"/>
      <c r="K174" s="478" t="n">
        <f aca="false">(SUMIF($11:$11,J174,$12:$12)-SUMIF($11:$11,$J$24,$12:$12)+100)/100</f>
        <v>1</v>
      </c>
      <c r="L174" s="2782"/>
      <c r="M174" s="478" t="n">
        <f aca="false">(SUMIF($13:$13,L174,$14:$14)-SUMIF($13:$13,$L$24,$14:$14)+100)/100</f>
        <v>1</v>
      </c>
      <c r="N174" s="2782"/>
      <c r="O174" s="478" t="n">
        <f aca="false">(SUMIF($15:$15,N174,$16:$16)-SUMIF($15:$15,$N$24,$16:$16)+100)/100</f>
        <v>1</v>
      </c>
      <c r="P174" s="2782"/>
      <c r="Q174" s="478" t="n">
        <f aca="false">(SUMIF($17:$17,P174,$18:$18)-SUMIF($17:$17,$P$24,$18:$18)+100)/100</f>
        <v>1</v>
      </c>
      <c r="R174" s="2772" t="n">
        <f aca="false">IF(B174="",0,ROUND($R$24*C174*E174*G174*I174*K174*M174*O174*Q174,0))</f>
        <v>0</v>
      </c>
      <c r="S174" s="2771" t="n">
        <f aca="false">ROUND(R174*B174/10000,0)</f>
        <v>0</v>
      </c>
    </row>
    <row r="175" customFormat="false" ht="12.75" hidden="false" customHeight="false" outlineLevel="0" collapsed="false">
      <c r="A175" s="1016"/>
      <c r="B175" s="2781"/>
      <c r="C175" s="478" t="n">
        <f aca="false">IF(B175="",1,(LOOKUP(B175,$3:$3,$4:$4)-LOOKUP($B$24,$3:$3,$4:$4)+100)/100)</f>
        <v>1</v>
      </c>
      <c r="D175" s="2782"/>
      <c r="E175" s="478" t="n">
        <f aca="false">(SUMIF($5:$5,D175,$6:$6)-SUMIF($5:$5,$D$24,$6:$6)+100)/100</f>
        <v>1</v>
      </c>
      <c r="F175" s="2782"/>
      <c r="G175" s="478" t="n">
        <f aca="false">(SUMIF($7:$7,F175,$8:$8)-SUMIF($7:$7,$F$24,$8:$8)+100)/100</f>
        <v>1</v>
      </c>
      <c r="H175" s="2782"/>
      <c r="I175" s="478" t="n">
        <f aca="false">(SUMIF($9:$9,H175,$10:$10)-SUMIF($9:$9,$H$24,$10:$10)+100)/100</f>
        <v>1</v>
      </c>
      <c r="J175" s="2782"/>
      <c r="K175" s="478" t="n">
        <f aca="false">(SUMIF($11:$11,J175,$12:$12)-SUMIF($11:$11,$J$24,$12:$12)+100)/100</f>
        <v>1</v>
      </c>
      <c r="L175" s="2782"/>
      <c r="M175" s="478" t="n">
        <f aca="false">(SUMIF($13:$13,L175,$14:$14)-SUMIF($13:$13,$L$24,$14:$14)+100)/100</f>
        <v>1</v>
      </c>
      <c r="N175" s="2782"/>
      <c r="O175" s="478" t="n">
        <f aca="false">(SUMIF($15:$15,N175,$16:$16)-SUMIF($15:$15,$N$24,$16:$16)+100)/100</f>
        <v>1</v>
      </c>
      <c r="P175" s="2782"/>
      <c r="Q175" s="478" t="n">
        <f aca="false">(SUMIF($17:$17,P175,$18:$18)-SUMIF($17:$17,$P$24,$18:$18)+100)/100</f>
        <v>1</v>
      </c>
      <c r="R175" s="2772" t="n">
        <f aca="false">IF(B175="",0,ROUND($R$24*C175*E175*G175*I175*K175*M175*O175*Q175,0))</f>
        <v>0</v>
      </c>
      <c r="S175" s="2771" t="n">
        <f aca="false">ROUND(R175*B175/10000,0)</f>
        <v>0</v>
      </c>
    </row>
    <row r="176" customFormat="false" ht="12.75" hidden="false" customHeight="false" outlineLevel="0" collapsed="false">
      <c r="A176" s="1016"/>
      <c r="B176" s="2781"/>
      <c r="C176" s="478" t="n">
        <f aca="false">IF(B176="",1,(LOOKUP(B176,$3:$3,$4:$4)-LOOKUP($B$24,$3:$3,$4:$4)+100)/100)</f>
        <v>1</v>
      </c>
      <c r="D176" s="2782"/>
      <c r="E176" s="478" t="n">
        <f aca="false">(SUMIF($5:$5,D176,$6:$6)-SUMIF($5:$5,$D$24,$6:$6)+100)/100</f>
        <v>1</v>
      </c>
      <c r="F176" s="2782"/>
      <c r="G176" s="478" t="n">
        <f aca="false">(SUMIF($7:$7,F176,$8:$8)-SUMIF($7:$7,$F$24,$8:$8)+100)/100</f>
        <v>1</v>
      </c>
      <c r="H176" s="2782"/>
      <c r="I176" s="478" t="n">
        <f aca="false">(SUMIF($9:$9,H176,$10:$10)-SUMIF($9:$9,$H$24,$10:$10)+100)/100</f>
        <v>1</v>
      </c>
      <c r="J176" s="2782"/>
      <c r="K176" s="478" t="n">
        <f aca="false">(SUMIF($11:$11,J176,$12:$12)-SUMIF($11:$11,$J$24,$12:$12)+100)/100</f>
        <v>1</v>
      </c>
      <c r="L176" s="2782"/>
      <c r="M176" s="478" t="n">
        <f aca="false">(SUMIF($13:$13,L176,$14:$14)-SUMIF($13:$13,$L$24,$14:$14)+100)/100</f>
        <v>1</v>
      </c>
      <c r="N176" s="2782"/>
      <c r="O176" s="478" t="n">
        <f aca="false">(SUMIF($15:$15,N176,$16:$16)-SUMIF($15:$15,$N$24,$16:$16)+100)/100</f>
        <v>1</v>
      </c>
      <c r="P176" s="2782"/>
      <c r="Q176" s="478" t="n">
        <f aca="false">(SUMIF($17:$17,P176,$18:$18)-SUMIF($17:$17,$P$24,$18:$18)+100)/100</f>
        <v>1</v>
      </c>
      <c r="R176" s="2772" t="n">
        <f aca="false">IF(B176="",0,ROUND($R$24*C176*E176*G176*I176*K176*M176*O176*Q176,0))</f>
        <v>0</v>
      </c>
      <c r="S176" s="2771" t="n">
        <f aca="false">ROUND(R176*B176/10000,0)</f>
        <v>0</v>
      </c>
    </row>
    <row r="177" customFormat="false" ht="12.75" hidden="false" customHeight="false" outlineLevel="0" collapsed="false">
      <c r="A177" s="1016"/>
      <c r="B177" s="2781"/>
      <c r="C177" s="478" t="n">
        <f aca="false">IF(B177="",1,(LOOKUP(B177,$3:$3,$4:$4)-LOOKUP($B$24,$3:$3,$4:$4)+100)/100)</f>
        <v>1</v>
      </c>
      <c r="D177" s="2782"/>
      <c r="E177" s="478" t="n">
        <f aca="false">(SUMIF($5:$5,D177,$6:$6)-SUMIF($5:$5,$D$24,$6:$6)+100)/100</f>
        <v>1</v>
      </c>
      <c r="F177" s="2782"/>
      <c r="G177" s="478" t="n">
        <f aca="false">(SUMIF($7:$7,F177,$8:$8)-SUMIF($7:$7,$F$24,$8:$8)+100)/100</f>
        <v>1</v>
      </c>
      <c r="H177" s="2782"/>
      <c r="I177" s="478" t="n">
        <f aca="false">(SUMIF($9:$9,H177,$10:$10)-SUMIF($9:$9,$H$24,$10:$10)+100)/100</f>
        <v>1</v>
      </c>
      <c r="J177" s="2782"/>
      <c r="K177" s="478" t="n">
        <f aca="false">(SUMIF($11:$11,J177,$12:$12)-SUMIF($11:$11,$J$24,$12:$12)+100)/100</f>
        <v>1</v>
      </c>
      <c r="L177" s="2782"/>
      <c r="M177" s="478" t="n">
        <f aca="false">(SUMIF($13:$13,L177,$14:$14)-SUMIF($13:$13,$L$24,$14:$14)+100)/100</f>
        <v>1</v>
      </c>
      <c r="N177" s="2782"/>
      <c r="O177" s="478" t="n">
        <f aca="false">(SUMIF($15:$15,N177,$16:$16)-SUMIF($15:$15,$N$24,$16:$16)+100)/100</f>
        <v>1</v>
      </c>
      <c r="P177" s="2782"/>
      <c r="Q177" s="478" t="n">
        <f aca="false">(SUMIF($17:$17,P177,$18:$18)-SUMIF($17:$17,$P$24,$18:$18)+100)/100</f>
        <v>1</v>
      </c>
      <c r="R177" s="2772" t="n">
        <f aca="false">IF(B177="",0,ROUND($R$24*C177*E177*G177*I177*K177*M177*O177*Q177,0))</f>
        <v>0</v>
      </c>
      <c r="S177" s="2771" t="n">
        <f aca="false">ROUND(R177*B177/10000,0)</f>
        <v>0</v>
      </c>
    </row>
    <row r="178" customFormat="false" ht="12.75" hidden="false" customHeight="false" outlineLevel="0" collapsed="false">
      <c r="A178" s="1016"/>
      <c r="B178" s="2781"/>
      <c r="C178" s="478" t="n">
        <f aca="false">IF(B178="",1,(LOOKUP(B178,$3:$3,$4:$4)-LOOKUP($B$24,$3:$3,$4:$4)+100)/100)</f>
        <v>1</v>
      </c>
      <c r="D178" s="2782"/>
      <c r="E178" s="478" t="n">
        <f aca="false">(SUMIF($5:$5,D178,$6:$6)-SUMIF($5:$5,$D$24,$6:$6)+100)/100</f>
        <v>1</v>
      </c>
      <c r="F178" s="2782"/>
      <c r="G178" s="478" t="n">
        <f aca="false">(SUMIF($7:$7,F178,$8:$8)-SUMIF($7:$7,$F$24,$8:$8)+100)/100</f>
        <v>1</v>
      </c>
      <c r="H178" s="2782"/>
      <c r="I178" s="478" t="n">
        <f aca="false">(SUMIF($9:$9,H178,$10:$10)-SUMIF($9:$9,$H$24,$10:$10)+100)/100</f>
        <v>1</v>
      </c>
      <c r="J178" s="2782"/>
      <c r="K178" s="478" t="n">
        <f aca="false">(SUMIF($11:$11,J178,$12:$12)-SUMIF($11:$11,$J$24,$12:$12)+100)/100</f>
        <v>1</v>
      </c>
      <c r="L178" s="2782"/>
      <c r="M178" s="478" t="n">
        <f aca="false">(SUMIF($13:$13,L178,$14:$14)-SUMIF($13:$13,$L$24,$14:$14)+100)/100</f>
        <v>1</v>
      </c>
      <c r="N178" s="2782"/>
      <c r="O178" s="478" t="n">
        <f aca="false">(SUMIF($15:$15,N178,$16:$16)-SUMIF($15:$15,$N$24,$16:$16)+100)/100</f>
        <v>1</v>
      </c>
      <c r="P178" s="2782"/>
      <c r="Q178" s="478" t="n">
        <f aca="false">(SUMIF($17:$17,P178,$18:$18)-SUMIF($17:$17,$P$24,$18:$18)+100)/100</f>
        <v>1</v>
      </c>
      <c r="R178" s="2772" t="n">
        <f aca="false">IF(B178="",0,ROUND($R$24*C178*E178*G178*I178*K178*M178*O178*Q178,0))</f>
        <v>0</v>
      </c>
      <c r="S178" s="2771" t="n">
        <f aca="false">ROUND(R178*B178/10000,0)</f>
        <v>0</v>
      </c>
    </row>
    <row r="179" customFormat="false" ht="12.75" hidden="false" customHeight="false" outlineLevel="0" collapsed="false">
      <c r="A179" s="1016"/>
      <c r="B179" s="2781"/>
      <c r="C179" s="478" t="n">
        <f aca="false">IF(B179="",1,(LOOKUP(B179,$3:$3,$4:$4)-LOOKUP($B$24,$3:$3,$4:$4)+100)/100)</f>
        <v>1</v>
      </c>
      <c r="D179" s="2782"/>
      <c r="E179" s="478" t="n">
        <f aca="false">(SUMIF($5:$5,D179,$6:$6)-SUMIF($5:$5,$D$24,$6:$6)+100)/100</f>
        <v>1</v>
      </c>
      <c r="F179" s="2782"/>
      <c r="G179" s="478" t="n">
        <f aca="false">(SUMIF($7:$7,F179,$8:$8)-SUMIF($7:$7,$F$24,$8:$8)+100)/100</f>
        <v>1</v>
      </c>
      <c r="H179" s="2782"/>
      <c r="I179" s="478" t="n">
        <f aca="false">(SUMIF($9:$9,H179,$10:$10)-SUMIF($9:$9,$H$24,$10:$10)+100)/100</f>
        <v>1</v>
      </c>
      <c r="J179" s="2782"/>
      <c r="K179" s="478" t="n">
        <f aca="false">(SUMIF($11:$11,J179,$12:$12)-SUMIF($11:$11,$J$24,$12:$12)+100)/100</f>
        <v>1</v>
      </c>
      <c r="L179" s="2782"/>
      <c r="M179" s="478" t="n">
        <f aca="false">(SUMIF($13:$13,L179,$14:$14)-SUMIF($13:$13,$L$24,$14:$14)+100)/100</f>
        <v>1</v>
      </c>
      <c r="N179" s="2782"/>
      <c r="O179" s="478" t="n">
        <f aca="false">(SUMIF($15:$15,N179,$16:$16)-SUMIF($15:$15,$N$24,$16:$16)+100)/100</f>
        <v>1</v>
      </c>
      <c r="P179" s="2782"/>
      <c r="Q179" s="478" t="n">
        <f aca="false">(SUMIF($17:$17,P179,$18:$18)-SUMIF($17:$17,$P$24,$18:$18)+100)/100</f>
        <v>1</v>
      </c>
      <c r="R179" s="2772" t="n">
        <f aca="false">IF(B179="",0,ROUND($R$24*C179*E179*G179*I179*K179*M179*O179*Q179,0))</f>
        <v>0</v>
      </c>
      <c r="S179" s="2771" t="n">
        <f aca="false">ROUND(R179*B179/10000,0)</f>
        <v>0</v>
      </c>
    </row>
    <row r="180" customFormat="false" ht="12.75" hidden="false" customHeight="false" outlineLevel="0" collapsed="false">
      <c r="A180" s="1016"/>
      <c r="B180" s="2781"/>
      <c r="C180" s="478" t="n">
        <f aca="false">IF(B180="",1,(LOOKUP(B180,$3:$3,$4:$4)-LOOKUP($B$24,$3:$3,$4:$4)+100)/100)</f>
        <v>1</v>
      </c>
      <c r="D180" s="2782"/>
      <c r="E180" s="478" t="n">
        <f aca="false">(SUMIF($5:$5,D180,$6:$6)-SUMIF($5:$5,$D$24,$6:$6)+100)/100</f>
        <v>1</v>
      </c>
      <c r="F180" s="2782"/>
      <c r="G180" s="478" t="n">
        <f aca="false">(SUMIF($7:$7,F180,$8:$8)-SUMIF($7:$7,$F$24,$8:$8)+100)/100</f>
        <v>1</v>
      </c>
      <c r="H180" s="2782"/>
      <c r="I180" s="478" t="n">
        <f aca="false">(SUMIF($9:$9,H180,$10:$10)-SUMIF($9:$9,$H$24,$10:$10)+100)/100</f>
        <v>1</v>
      </c>
      <c r="J180" s="2782"/>
      <c r="K180" s="478" t="n">
        <f aca="false">(SUMIF($11:$11,J180,$12:$12)-SUMIF($11:$11,$J$24,$12:$12)+100)/100</f>
        <v>1</v>
      </c>
      <c r="L180" s="2782"/>
      <c r="M180" s="478" t="n">
        <f aca="false">(SUMIF($13:$13,L180,$14:$14)-SUMIF($13:$13,$L$24,$14:$14)+100)/100</f>
        <v>1</v>
      </c>
      <c r="N180" s="2782"/>
      <c r="O180" s="478" t="n">
        <f aca="false">(SUMIF($15:$15,N180,$16:$16)-SUMIF($15:$15,$N$24,$16:$16)+100)/100</f>
        <v>1</v>
      </c>
      <c r="P180" s="2782"/>
      <c r="Q180" s="478" t="n">
        <f aca="false">(SUMIF($17:$17,P180,$18:$18)-SUMIF($17:$17,$P$24,$18:$18)+100)/100</f>
        <v>1</v>
      </c>
      <c r="R180" s="2772" t="n">
        <f aca="false">IF(B180="",0,ROUND($R$24*C180*E180*G180*I180*K180*M180*O180*Q180,0))</f>
        <v>0</v>
      </c>
      <c r="S180" s="2771" t="n">
        <f aca="false">ROUND(R180*B180/10000,0)</f>
        <v>0</v>
      </c>
    </row>
    <row r="181" customFormat="false" ht="12.75" hidden="false" customHeight="false" outlineLevel="0" collapsed="false">
      <c r="A181" s="1016"/>
      <c r="B181" s="2781"/>
      <c r="C181" s="478" t="n">
        <f aca="false">IF(B181="",1,(LOOKUP(B181,$3:$3,$4:$4)-LOOKUP($B$24,$3:$3,$4:$4)+100)/100)</f>
        <v>1</v>
      </c>
      <c r="D181" s="2782"/>
      <c r="E181" s="478" t="n">
        <f aca="false">(SUMIF($5:$5,D181,$6:$6)-SUMIF($5:$5,$D$24,$6:$6)+100)/100</f>
        <v>1</v>
      </c>
      <c r="F181" s="2782"/>
      <c r="G181" s="478" t="n">
        <f aca="false">(SUMIF($7:$7,F181,$8:$8)-SUMIF($7:$7,$F$24,$8:$8)+100)/100</f>
        <v>1</v>
      </c>
      <c r="H181" s="2782"/>
      <c r="I181" s="478" t="n">
        <f aca="false">(SUMIF($9:$9,H181,$10:$10)-SUMIF($9:$9,$H$24,$10:$10)+100)/100</f>
        <v>1</v>
      </c>
      <c r="J181" s="2782"/>
      <c r="K181" s="478" t="n">
        <f aca="false">(SUMIF($11:$11,J181,$12:$12)-SUMIF($11:$11,$J$24,$12:$12)+100)/100</f>
        <v>1</v>
      </c>
      <c r="L181" s="2782"/>
      <c r="M181" s="478" t="n">
        <f aca="false">(SUMIF($13:$13,L181,$14:$14)-SUMIF($13:$13,$L$24,$14:$14)+100)/100</f>
        <v>1</v>
      </c>
      <c r="N181" s="2782"/>
      <c r="O181" s="478" t="n">
        <f aca="false">(SUMIF($15:$15,N181,$16:$16)-SUMIF($15:$15,$N$24,$16:$16)+100)/100</f>
        <v>1</v>
      </c>
      <c r="P181" s="2782"/>
      <c r="Q181" s="478" t="n">
        <f aca="false">(SUMIF($17:$17,P181,$18:$18)-SUMIF($17:$17,$P$24,$18:$18)+100)/100</f>
        <v>1</v>
      </c>
      <c r="R181" s="2772" t="n">
        <f aca="false">IF(B181="",0,ROUND($R$24*C181*E181*G181*I181*K181*M181*O181*Q181,0))</f>
        <v>0</v>
      </c>
      <c r="S181" s="2771" t="n">
        <f aca="false">ROUND(R181*B181/10000,0)</f>
        <v>0</v>
      </c>
    </row>
    <row r="182" customFormat="false" ht="12.75" hidden="false" customHeight="false" outlineLevel="0" collapsed="false">
      <c r="A182" s="1016"/>
      <c r="B182" s="2781"/>
      <c r="C182" s="478" t="n">
        <f aca="false">IF(B182="",1,(LOOKUP(B182,$3:$3,$4:$4)-LOOKUP($B$24,$3:$3,$4:$4)+100)/100)</f>
        <v>1</v>
      </c>
      <c r="D182" s="2782"/>
      <c r="E182" s="478" t="n">
        <f aca="false">(SUMIF($5:$5,D182,$6:$6)-SUMIF($5:$5,$D$24,$6:$6)+100)/100</f>
        <v>1</v>
      </c>
      <c r="F182" s="2782"/>
      <c r="G182" s="478" t="n">
        <f aca="false">(SUMIF($7:$7,F182,$8:$8)-SUMIF($7:$7,$F$24,$8:$8)+100)/100</f>
        <v>1</v>
      </c>
      <c r="H182" s="2782"/>
      <c r="I182" s="478" t="n">
        <f aca="false">(SUMIF($9:$9,H182,$10:$10)-SUMIF($9:$9,$H$24,$10:$10)+100)/100</f>
        <v>1</v>
      </c>
      <c r="J182" s="2782"/>
      <c r="K182" s="478" t="n">
        <f aca="false">(SUMIF($11:$11,J182,$12:$12)-SUMIF($11:$11,$J$24,$12:$12)+100)/100</f>
        <v>1</v>
      </c>
      <c r="L182" s="2782"/>
      <c r="M182" s="478" t="n">
        <f aca="false">(SUMIF($13:$13,L182,$14:$14)-SUMIF($13:$13,$L$24,$14:$14)+100)/100</f>
        <v>1</v>
      </c>
      <c r="N182" s="2782"/>
      <c r="O182" s="478" t="n">
        <f aca="false">(SUMIF($15:$15,N182,$16:$16)-SUMIF($15:$15,$N$24,$16:$16)+100)/100</f>
        <v>1</v>
      </c>
      <c r="P182" s="2782"/>
      <c r="Q182" s="478" t="n">
        <f aca="false">(SUMIF($17:$17,P182,$18:$18)-SUMIF($17:$17,$P$24,$18:$18)+100)/100</f>
        <v>1</v>
      </c>
      <c r="R182" s="2772" t="n">
        <f aca="false">IF(B182="",0,ROUND($R$24*C182*E182*G182*I182*K182*M182*O182*Q182,0))</f>
        <v>0</v>
      </c>
      <c r="S182" s="2771" t="n">
        <f aca="false">ROUND(R182*B182/10000,0)</f>
        <v>0</v>
      </c>
    </row>
    <row r="183" customFormat="false" ht="12.75" hidden="false" customHeight="false" outlineLevel="0" collapsed="false">
      <c r="A183" s="1016"/>
      <c r="B183" s="2781"/>
      <c r="C183" s="478" t="n">
        <f aca="false">IF(B183="",1,(LOOKUP(B183,$3:$3,$4:$4)-LOOKUP($B$24,$3:$3,$4:$4)+100)/100)</f>
        <v>1</v>
      </c>
      <c r="D183" s="2782"/>
      <c r="E183" s="478" t="n">
        <f aca="false">(SUMIF($5:$5,D183,$6:$6)-SUMIF($5:$5,$D$24,$6:$6)+100)/100</f>
        <v>1</v>
      </c>
      <c r="F183" s="2782"/>
      <c r="G183" s="478" t="n">
        <f aca="false">(SUMIF($7:$7,F183,$8:$8)-SUMIF($7:$7,$F$24,$8:$8)+100)/100</f>
        <v>1</v>
      </c>
      <c r="H183" s="2782"/>
      <c r="I183" s="478" t="n">
        <f aca="false">(SUMIF($9:$9,H183,$10:$10)-SUMIF($9:$9,$H$24,$10:$10)+100)/100</f>
        <v>1</v>
      </c>
      <c r="J183" s="2782"/>
      <c r="K183" s="478" t="n">
        <f aca="false">(SUMIF($11:$11,J183,$12:$12)-SUMIF($11:$11,$J$24,$12:$12)+100)/100</f>
        <v>1</v>
      </c>
      <c r="L183" s="2782"/>
      <c r="M183" s="478" t="n">
        <f aca="false">(SUMIF($13:$13,L183,$14:$14)-SUMIF($13:$13,$L$24,$14:$14)+100)/100</f>
        <v>1</v>
      </c>
      <c r="N183" s="2782"/>
      <c r="O183" s="478" t="n">
        <f aca="false">(SUMIF($15:$15,N183,$16:$16)-SUMIF($15:$15,$N$24,$16:$16)+100)/100</f>
        <v>1</v>
      </c>
      <c r="P183" s="2782"/>
      <c r="Q183" s="478" t="n">
        <f aca="false">(SUMIF($17:$17,P183,$18:$18)-SUMIF($17:$17,$P$24,$18:$18)+100)/100</f>
        <v>1</v>
      </c>
      <c r="R183" s="2772" t="n">
        <f aca="false">IF(B183="",0,ROUND($R$24*C183*E183*G183*I183*K183*M183*O183*Q183,0))</f>
        <v>0</v>
      </c>
      <c r="S183" s="2771" t="n">
        <f aca="false">ROUND(R183*B183/10000,0)</f>
        <v>0</v>
      </c>
    </row>
    <row r="184" customFormat="false" ht="12.75" hidden="false" customHeight="false" outlineLevel="0" collapsed="false">
      <c r="A184" s="1016"/>
      <c r="B184" s="2781"/>
      <c r="C184" s="478" t="n">
        <f aca="false">IF(B184="",1,(LOOKUP(B184,$3:$3,$4:$4)-LOOKUP($B$24,$3:$3,$4:$4)+100)/100)</f>
        <v>1</v>
      </c>
      <c r="D184" s="2782"/>
      <c r="E184" s="478" t="n">
        <f aca="false">(SUMIF($5:$5,D184,$6:$6)-SUMIF($5:$5,$D$24,$6:$6)+100)/100</f>
        <v>1</v>
      </c>
      <c r="F184" s="2782"/>
      <c r="G184" s="478" t="n">
        <f aca="false">(SUMIF($7:$7,F184,$8:$8)-SUMIF($7:$7,$F$24,$8:$8)+100)/100</f>
        <v>1</v>
      </c>
      <c r="H184" s="2782"/>
      <c r="I184" s="478" t="n">
        <f aca="false">(SUMIF($9:$9,H184,$10:$10)-SUMIF($9:$9,$H$24,$10:$10)+100)/100</f>
        <v>1</v>
      </c>
      <c r="J184" s="2782"/>
      <c r="K184" s="478" t="n">
        <f aca="false">(SUMIF($11:$11,J184,$12:$12)-SUMIF($11:$11,$J$24,$12:$12)+100)/100</f>
        <v>1</v>
      </c>
      <c r="L184" s="2782"/>
      <c r="M184" s="478" t="n">
        <f aca="false">(SUMIF($13:$13,L184,$14:$14)-SUMIF($13:$13,$L$24,$14:$14)+100)/100</f>
        <v>1</v>
      </c>
      <c r="N184" s="2782"/>
      <c r="O184" s="478" t="n">
        <f aca="false">(SUMIF($15:$15,N184,$16:$16)-SUMIF($15:$15,$N$24,$16:$16)+100)/100</f>
        <v>1</v>
      </c>
      <c r="P184" s="2782"/>
      <c r="Q184" s="478" t="n">
        <f aca="false">(SUMIF($17:$17,P184,$18:$18)-SUMIF($17:$17,$P$24,$18:$18)+100)/100</f>
        <v>1</v>
      </c>
      <c r="R184" s="2772" t="n">
        <f aca="false">IF(B184="",0,ROUND($R$24*C184*E184*G184*I184*K184*M184*O184*Q184,0))</f>
        <v>0</v>
      </c>
      <c r="S184" s="2771" t="n">
        <f aca="false">ROUND(R184*B184/10000,0)</f>
        <v>0</v>
      </c>
    </row>
    <row r="185" customFormat="false" ht="12.75" hidden="false" customHeight="false" outlineLevel="0" collapsed="false">
      <c r="A185" s="1016"/>
      <c r="B185" s="2781"/>
      <c r="C185" s="478" t="n">
        <f aca="false">IF(B185="",1,(LOOKUP(B185,$3:$3,$4:$4)-LOOKUP($B$24,$3:$3,$4:$4)+100)/100)</f>
        <v>1</v>
      </c>
      <c r="D185" s="2782"/>
      <c r="E185" s="478" t="n">
        <f aca="false">(SUMIF($5:$5,D185,$6:$6)-SUMIF($5:$5,$D$24,$6:$6)+100)/100</f>
        <v>1</v>
      </c>
      <c r="F185" s="2782"/>
      <c r="G185" s="478" t="n">
        <f aca="false">(SUMIF($7:$7,F185,$8:$8)-SUMIF($7:$7,$F$24,$8:$8)+100)/100</f>
        <v>1</v>
      </c>
      <c r="H185" s="2782"/>
      <c r="I185" s="478" t="n">
        <f aca="false">(SUMIF($9:$9,H185,$10:$10)-SUMIF($9:$9,$H$24,$10:$10)+100)/100</f>
        <v>1</v>
      </c>
      <c r="J185" s="2782"/>
      <c r="K185" s="478" t="n">
        <f aca="false">(SUMIF($11:$11,J185,$12:$12)-SUMIF($11:$11,$J$24,$12:$12)+100)/100</f>
        <v>1</v>
      </c>
      <c r="L185" s="2782"/>
      <c r="M185" s="478" t="n">
        <f aca="false">(SUMIF($13:$13,L185,$14:$14)-SUMIF($13:$13,$L$24,$14:$14)+100)/100</f>
        <v>1</v>
      </c>
      <c r="N185" s="2782"/>
      <c r="O185" s="478" t="n">
        <f aca="false">(SUMIF($15:$15,N185,$16:$16)-SUMIF($15:$15,$N$24,$16:$16)+100)/100</f>
        <v>1</v>
      </c>
      <c r="P185" s="2782"/>
      <c r="Q185" s="478" t="n">
        <f aca="false">(SUMIF($17:$17,P185,$18:$18)-SUMIF($17:$17,$P$24,$18:$18)+100)/100</f>
        <v>1</v>
      </c>
      <c r="R185" s="2772" t="n">
        <f aca="false">IF(B185="",0,ROUND($R$24*C185*E185*G185*I185*K185*M185*O185*Q185,0))</f>
        <v>0</v>
      </c>
      <c r="S185" s="2771" t="n">
        <f aca="false">ROUND(R185*B185/10000,0)</f>
        <v>0</v>
      </c>
    </row>
    <row r="186" customFormat="false" ht="12.75" hidden="false" customHeight="false" outlineLevel="0" collapsed="false">
      <c r="A186" s="1016"/>
      <c r="B186" s="2781"/>
      <c r="C186" s="478" t="n">
        <f aca="false">IF(B186="",1,(LOOKUP(B186,$3:$3,$4:$4)-LOOKUP($B$24,$3:$3,$4:$4)+100)/100)</f>
        <v>1</v>
      </c>
      <c r="D186" s="2782"/>
      <c r="E186" s="478" t="n">
        <f aca="false">(SUMIF($5:$5,D186,$6:$6)-SUMIF($5:$5,$D$24,$6:$6)+100)/100</f>
        <v>1</v>
      </c>
      <c r="F186" s="2782"/>
      <c r="G186" s="478" t="n">
        <f aca="false">(SUMIF($7:$7,F186,$8:$8)-SUMIF($7:$7,$F$24,$8:$8)+100)/100</f>
        <v>1</v>
      </c>
      <c r="H186" s="2782"/>
      <c r="I186" s="478" t="n">
        <f aca="false">(SUMIF($9:$9,H186,$10:$10)-SUMIF($9:$9,$H$24,$10:$10)+100)/100</f>
        <v>1</v>
      </c>
      <c r="J186" s="2782"/>
      <c r="K186" s="478" t="n">
        <f aca="false">(SUMIF($11:$11,J186,$12:$12)-SUMIF($11:$11,$J$24,$12:$12)+100)/100</f>
        <v>1</v>
      </c>
      <c r="L186" s="2782"/>
      <c r="M186" s="478" t="n">
        <f aca="false">(SUMIF($13:$13,L186,$14:$14)-SUMIF($13:$13,$L$24,$14:$14)+100)/100</f>
        <v>1</v>
      </c>
      <c r="N186" s="2782"/>
      <c r="O186" s="478" t="n">
        <f aca="false">(SUMIF($15:$15,N186,$16:$16)-SUMIF($15:$15,$N$24,$16:$16)+100)/100</f>
        <v>1</v>
      </c>
      <c r="P186" s="2782"/>
      <c r="Q186" s="478" t="n">
        <f aca="false">(SUMIF($17:$17,P186,$18:$18)-SUMIF($17:$17,$P$24,$18:$18)+100)/100</f>
        <v>1</v>
      </c>
      <c r="R186" s="2772" t="n">
        <f aca="false">IF(B186="",0,ROUND($R$24*C186*E186*G186*I186*K186*M186*O186*Q186,0))</f>
        <v>0</v>
      </c>
      <c r="S186" s="2771" t="n">
        <f aca="false">ROUND(R186*B186/10000,0)</f>
        <v>0</v>
      </c>
    </row>
    <row r="187" customFormat="false" ht="12.75" hidden="false" customHeight="false" outlineLevel="0" collapsed="false">
      <c r="A187" s="1016"/>
      <c r="B187" s="2781"/>
      <c r="C187" s="478" t="n">
        <f aca="false">IF(B187="",1,(LOOKUP(B187,$3:$3,$4:$4)-LOOKUP($B$24,$3:$3,$4:$4)+100)/100)</f>
        <v>1</v>
      </c>
      <c r="D187" s="2782"/>
      <c r="E187" s="478" t="n">
        <f aca="false">(SUMIF($5:$5,D187,$6:$6)-SUMIF($5:$5,$D$24,$6:$6)+100)/100</f>
        <v>1</v>
      </c>
      <c r="F187" s="2782"/>
      <c r="G187" s="478" t="n">
        <f aca="false">(SUMIF($7:$7,F187,$8:$8)-SUMIF($7:$7,$F$24,$8:$8)+100)/100</f>
        <v>1</v>
      </c>
      <c r="H187" s="2782"/>
      <c r="I187" s="478" t="n">
        <f aca="false">(SUMIF($9:$9,H187,$10:$10)-SUMIF($9:$9,$H$24,$10:$10)+100)/100</f>
        <v>1</v>
      </c>
      <c r="J187" s="2782"/>
      <c r="K187" s="478" t="n">
        <f aca="false">(SUMIF($11:$11,J187,$12:$12)-SUMIF($11:$11,$J$24,$12:$12)+100)/100</f>
        <v>1</v>
      </c>
      <c r="L187" s="2782"/>
      <c r="M187" s="478" t="n">
        <f aca="false">(SUMIF($13:$13,L187,$14:$14)-SUMIF($13:$13,$L$24,$14:$14)+100)/100</f>
        <v>1</v>
      </c>
      <c r="N187" s="2782"/>
      <c r="O187" s="478" t="n">
        <f aca="false">(SUMIF($15:$15,N187,$16:$16)-SUMIF($15:$15,$N$24,$16:$16)+100)/100</f>
        <v>1</v>
      </c>
      <c r="P187" s="2782"/>
      <c r="Q187" s="478" t="n">
        <f aca="false">(SUMIF($17:$17,P187,$18:$18)-SUMIF($17:$17,$P$24,$18:$18)+100)/100</f>
        <v>1</v>
      </c>
      <c r="R187" s="2772" t="n">
        <f aca="false">IF(B187="",0,ROUND($R$24*C187*E187*G187*I187*K187*M187*O187*Q187,0))</f>
        <v>0</v>
      </c>
      <c r="S187" s="2771" t="n">
        <f aca="false">ROUND(R187*B187/10000,0)</f>
        <v>0</v>
      </c>
    </row>
    <row r="188" customFormat="false" ht="12.75" hidden="false" customHeight="false" outlineLevel="0" collapsed="false">
      <c r="A188" s="1016"/>
      <c r="B188" s="2781"/>
      <c r="C188" s="478" t="n">
        <f aca="false">IF(B188="",1,(LOOKUP(B188,$3:$3,$4:$4)-LOOKUP($B$24,$3:$3,$4:$4)+100)/100)</f>
        <v>1</v>
      </c>
      <c r="D188" s="2782"/>
      <c r="E188" s="478" t="n">
        <f aca="false">(SUMIF($5:$5,D188,$6:$6)-SUMIF($5:$5,$D$24,$6:$6)+100)/100</f>
        <v>1</v>
      </c>
      <c r="F188" s="2782"/>
      <c r="G188" s="478" t="n">
        <f aca="false">(SUMIF($7:$7,F188,$8:$8)-SUMIF($7:$7,$F$24,$8:$8)+100)/100</f>
        <v>1</v>
      </c>
      <c r="H188" s="2782"/>
      <c r="I188" s="478" t="n">
        <f aca="false">(SUMIF($9:$9,H188,$10:$10)-SUMIF($9:$9,$H$24,$10:$10)+100)/100</f>
        <v>1</v>
      </c>
      <c r="J188" s="2782"/>
      <c r="K188" s="478" t="n">
        <f aca="false">(SUMIF($11:$11,J188,$12:$12)-SUMIF($11:$11,$J$24,$12:$12)+100)/100</f>
        <v>1</v>
      </c>
      <c r="L188" s="2782"/>
      <c r="M188" s="478" t="n">
        <f aca="false">(SUMIF($13:$13,L188,$14:$14)-SUMIF($13:$13,$L$24,$14:$14)+100)/100</f>
        <v>1</v>
      </c>
      <c r="N188" s="2782"/>
      <c r="O188" s="478" t="n">
        <f aca="false">(SUMIF($15:$15,N188,$16:$16)-SUMIF($15:$15,$N$24,$16:$16)+100)/100</f>
        <v>1</v>
      </c>
      <c r="P188" s="2782"/>
      <c r="Q188" s="478" t="n">
        <f aca="false">(SUMIF($17:$17,P188,$18:$18)-SUMIF($17:$17,$P$24,$18:$18)+100)/100</f>
        <v>1</v>
      </c>
      <c r="R188" s="2772" t="n">
        <f aca="false">IF(B188="",0,ROUND($R$24*C188*E188*G188*I188*K188*M188*O188*Q188,0))</f>
        <v>0</v>
      </c>
      <c r="S188" s="2771" t="n">
        <f aca="false">ROUND(R188*B188/10000,0)</f>
        <v>0</v>
      </c>
    </row>
    <row r="189" customFormat="false" ht="12.75" hidden="false" customHeight="false" outlineLevel="0" collapsed="false">
      <c r="A189" s="1016"/>
      <c r="B189" s="2781"/>
      <c r="C189" s="478" t="n">
        <f aca="false">IF(B189="",1,(LOOKUP(B189,$3:$3,$4:$4)-LOOKUP($B$24,$3:$3,$4:$4)+100)/100)</f>
        <v>1</v>
      </c>
      <c r="D189" s="2782"/>
      <c r="E189" s="478" t="n">
        <f aca="false">(SUMIF($5:$5,D189,$6:$6)-SUMIF($5:$5,$D$24,$6:$6)+100)/100</f>
        <v>1</v>
      </c>
      <c r="F189" s="2782"/>
      <c r="G189" s="478" t="n">
        <f aca="false">(SUMIF($7:$7,F189,$8:$8)-SUMIF($7:$7,$F$24,$8:$8)+100)/100</f>
        <v>1</v>
      </c>
      <c r="H189" s="2782"/>
      <c r="I189" s="478" t="n">
        <f aca="false">(SUMIF($9:$9,H189,$10:$10)-SUMIF($9:$9,$H$24,$10:$10)+100)/100</f>
        <v>1</v>
      </c>
      <c r="J189" s="2782"/>
      <c r="K189" s="478" t="n">
        <f aca="false">(SUMIF($11:$11,J189,$12:$12)-SUMIF($11:$11,$J$24,$12:$12)+100)/100</f>
        <v>1</v>
      </c>
      <c r="L189" s="2782"/>
      <c r="M189" s="478" t="n">
        <f aca="false">(SUMIF($13:$13,L189,$14:$14)-SUMIF($13:$13,$L$24,$14:$14)+100)/100</f>
        <v>1</v>
      </c>
      <c r="N189" s="2782"/>
      <c r="O189" s="478" t="n">
        <f aca="false">(SUMIF($15:$15,N189,$16:$16)-SUMIF($15:$15,$N$24,$16:$16)+100)/100</f>
        <v>1</v>
      </c>
      <c r="P189" s="2782"/>
      <c r="Q189" s="478" t="n">
        <f aca="false">(SUMIF($17:$17,P189,$18:$18)-SUMIF($17:$17,$P$24,$18:$18)+100)/100</f>
        <v>1</v>
      </c>
      <c r="R189" s="2772" t="n">
        <f aca="false">IF(B189="",0,ROUND($R$24*C189*E189*G189*I189*K189*M189*O189*Q189,0))</f>
        <v>0</v>
      </c>
      <c r="S189" s="2771" t="n">
        <f aca="false">ROUND(R189*B189/10000,0)</f>
        <v>0</v>
      </c>
    </row>
    <row r="190" customFormat="false" ht="12.75" hidden="false" customHeight="false" outlineLevel="0" collapsed="false">
      <c r="A190" s="1016"/>
      <c r="B190" s="2781"/>
      <c r="C190" s="478" t="n">
        <f aca="false">IF(B190="",1,(LOOKUP(B190,$3:$3,$4:$4)-LOOKUP($B$24,$3:$3,$4:$4)+100)/100)</f>
        <v>1</v>
      </c>
      <c r="D190" s="2782"/>
      <c r="E190" s="478" t="n">
        <f aca="false">(SUMIF($5:$5,D190,$6:$6)-SUMIF($5:$5,$D$24,$6:$6)+100)/100</f>
        <v>1</v>
      </c>
      <c r="F190" s="2782"/>
      <c r="G190" s="478" t="n">
        <f aca="false">(SUMIF($7:$7,F190,$8:$8)-SUMIF($7:$7,$F$24,$8:$8)+100)/100</f>
        <v>1</v>
      </c>
      <c r="H190" s="2782"/>
      <c r="I190" s="478" t="n">
        <f aca="false">(SUMIF($9:$9,H190,$10:$10)-SUMIF($9:$9,$H$24,$10:$10)+100)/100</f>
        <v>1</v>
      </c>
      <c r="J190" s="2782"/>
      <c r="K190" s="478" t="n">
        <f aca="false">(SUMIF($11:$11,J190,$12:$12)-SUMIF($11:$11,$J$24,$12:$12)+100)/100</f>
        <v>1</v>
      </c>
      <c r="L190" s="2782"/>
      <c r="M190" s="478" t="n">
        <f aca="false">(SUMIF($13:$13,L190,$14:$14)-SUMIF($13:$13,$L$24,$14:$14)+100)/100</f>
        <v>1</v>
      </c>
      <c r="N190" s="2782"/>
      <c r="O190" s="478" t="n">
        <f aca="false">(SUMIF($15:$15,N190,$16:$16)-SUMIF($15:$15,$N$24,$16:$16)+100)/100</f>
        <v>1</v>
      </c>
      <c r="P190" s="2782"/>
      <c r="Q190" s="478" t="n">
        <f aca="false">(SUMIF($17:$17,P190,$18:$18)-SUMIF($17:$17,$P$24,$18:$18)+100)/100</f>
        <v>1</v>
      </c>
      <c r="R190" s="2772" t="n">
        <f aca="false">IF(B190="",0,ROUND($R$24*C190*E190*G190*I190*K190*M190*O190*Q190,0))</f>
        <v>0</v>
      </c>
      <c r="S190" s="2771" t="n">
        <f aca="false">ROUND(R190*B190/10000,0)</f>
        <v>0</v>
      </c>
    </row>
    <row r="191" customFormat="false" ht="12.75" hidden="false" customHeight="false" outlineLevel="0" collapsed="false">
      <c r="A191" s="1016"/>
      <c r="B191" s="2781"/>
      <c r="C191" s="478" t="n">
        <f aca="false">IF(B191="",1,(LOOKUP(B191,$3:$3,$4:$4)-LOOKUP($B$24,$3:$3,$4:$4)+100)/100)</f>
        <v>1</v>
      </c>
      <c r="D191" s="2782"/>
      <c r="E191" s="478" t="n">
        <f aca="false">(SUMIF($5:$5,D191,$6:$6)-SUMIF($5:$5,$D$24,$6:$6)+100)/100</f>
        <v>1</v>
      </c>
      <c r="F191" s="2782"/>
      <c r="G191" s="478" t="n">
        <f aca="false">(SUMIF($7:$7,F191,$8:$8)-SUMIF($7:$7,$F$24,$8:$8)+100)/100</f>
        <v>1</v>
      </c>
      <c r="H191" s="2782"/>
      <c r="I191" s="478" t="n">
        <f aca="false">(SUMIF($9:$9,H191,$10:$10)-SUMIF($9:$9,$H$24,$10:$10)+100)/100</f>
        <v>1</v>
      </c>
      <c r="J191" s="2782"/>
      <c r="K191" s="478" t="n">
        <f aca="false">(SUMIF($11:$11,J191,$12:$12)-SUMIF($11:$11,$J$24,$12:$12)+100)/100</f>
        <v>1</v>
      </c>
      <c r="L191" s="2782"/>
      <c r="M191" s="478" t="n">
        <f aca="false">(SUMIF($13:$13,L191,$14:$14)-SUMIF($13:$13,$L$24,$14:$14)+100)/100</f>
        <v>1</v>
      </c>
      <c r="N191" s="2782"/>
      <c r="O191" s="478" t="n">
        <f aca="false">(SUMIF($15:$15,N191,$16:$16)-SUMIF($15:$15,$N$24,$16:$16)+100)/100</f>
        <v>1</v>
      </c>
      <c r="P191" s="2782"/>
      <c r="Q191" s="478" t="n">
        <f aca="false">(SUMIF($17:$17,P191,$18:$18)-SUMIF($17:$17,$P$24,$18:$18)+100)/100</f>
        <v>1</v>
      </c>
      <c r="R191" s="2772" t="n">
        <f aca="false">IF(B191="",0,ROUND($R$24*C191*E191*G191*I191*K191*M191*O191*Q191,0))</f>
        <v>0</v>
      </c>
      <c r="S191" s="2771" t="n">
        <f aca="false">ROUND(R191*B191/10000,0)</f>
        <v>0</v>
      </c>
    </row>
    <row r="192" customFormat="false" ht="12.75" hidden="false" customHeight="false" outlineLevel="0" collapsed="false">
      <c r="A192" s="1016"/>
      <c r="B192" s="2781"/>
      <c r="C192" s="478" t="n">
        <f aca="false">IF(B192="",1,(LOOKUP(B192,$3:$3,$4:$4)-LOOKUP($B$24,$3:$3,$4:$4)+100)/100)</f>
        <v>1</v>
      </c>
      <c r="D192" s="2782"/>
      <c r="E192" s="478" t="n">
        <f aca="false">(SUMIF($5:$5,D192,$6:$6)-SUMIF($5:$5,$D$24,$6:$6)+100)/100</f>
        <v>1</v>
      </c>
      <c r="F192" s="2782"/>
      <c r="G192" s="478" t="n">
        <f aca="false">(SUMIF($7:$7,F192,$8:$8)-SUMIF($7:$7,$F$24,$8:$8)+100)/100</f>
        <v>1</v>
      </c>
      <c r="H192" s="2782"/>
      <c r="I192" s="478" t="n">
        <f aca="false">(SUMIF($9:$9,H192,$10:$10)-SUMIF($9:$9,$H$24,$10:$10)+100)/100</f>
        <v>1</v>
      </c>
      <c r="J192" s="2782"/>
      <c r="K192" s="478" t="n">
        <f aca="false">(SUMIF($11:$11,J192,$12:$12)-SUMIF($11:$11,$J$24,$12:$12)+100)/100</f>
        <v>1</v>
      </c>
      <c r="L192" s="2782"/>
      <c r="M192" s="478" t="n">
        <f aca="false">(SUMIF($13:$13,L192,$14:$14)-SUMIF($13:$13,$L$24,$14:$14)+100)/100</f>
        <v>1</v>
      </c>
      <c r="N192" s="2782"/>
      <c r="O192" s="478" t="n">
        <f aca="false">(SUMIF($15:$15,N192,$16:$16)-SUMIF($15:$15,$N$24,$16:$16)+100)/100</f>
        <v>1</v>
      </c>
      <c r="P192" s="2782"/>
      <c r="Q192" s="478" t="n">
        <f aca="false">(SUMIF($17:$17,P192,$18:$18)-SUMIF($17:$17,$P$24,$18:$18)+100)/100</f>
        <v>1</v>
      </c>
      <c r="R192" s="2772" t="n">
        <f aca="false">IF(B192="",0,ROUND($R$24*C192*E192*G192*I192*K192*M192*O192*Q192,0))</f>
        <v>0</v>
      </c>
      <c r="S192" s="2771" t="n">
        <f aca="false">ROUND(R192*B192/10000,0)</f>
        <v>0</v>
      </c>
    </row>
    <row r="193" customFormat="false" ht="12.75" hidden="false" customHeight="false" outlineLevel="0" collapsed="false">
      <c r="A193" s="1016"/>
      <c r="B193" s="2781"/>
      <c r="C193" s="478" t="n">
        <f aca="false">IF(B193="",1,(LOOKUP(B193,$3:$3,$4:$4)-LOOKUP($B$24,$3:$3,$4:$4)+100)/100)</f>
        <v>1</v>
      </c>
      <c r="D193" s="2782"/>
      <c r="E193" s="478" t="n">
        <f aca="false">(SUMIF($5:$5,D193,$6:$6)-SUMIF($5:$5,$D$24,$6:$6)+100)/100</f>
        <v>1</v>
      </c>
      <c r="F193" s="2782"/>
      <c r="G193" s="478" t="n">
        <f aca="false">(SUMIF($7:$7,F193,$8:$8)-SUMIF($7:$7,$F$24,$8:$8)+100)/100</f>
        <v>1</v>
      </c>
      <c r="H193" s="2782"/>
      <c r="I193" s="478" t="n">
        <f aca="false">(SUMIF($9:$9,H193,$10:$10)-SUMIF($9:$9,$H$24,$10:$10)+100)/100</f>
        <v>1</v>
      </c>
      <c r="J193" s="2782"/>
      <c r="K193" s="478" t="n">
        <f aca="false">(SUMIF($11:$11,J193,$12:$12)-SUMIF($11:$11,$J$24,$12:$12)+100)/100</f>
        <v>1</v>
      </c>
      <c r="L193" s="2782"/>
      <c r="M193" s="478" t="n">
        <f aca="false">(SUMIF($13:$13,L193,$14:$14)-SUMIF($13:$13,$L$24,$14:$14)+100)/100</f>
        <v>1</v>
      </c>
      <c r="N193" s="2782"/>
      <c r="O193" s="478" t="n">
        <f aca="false">(SUMIF($15:$15,N193,$16:$16)-SUMIF($15:$15,$N$24,$16:$16)+100)/100</f>
        <v>1</v>
      </c>
      <c r="P193" s="2782"/>
      <c r="Q193" s="478" t="n">
        <f aca="false">(SUMIF($17:$17,P193,$18:$18)-SUMIF($17:$17,$P$24,$18:$18)+100)/100</f>
        <v>1</v>
      </c>
      <c r="R193" s="2772" t="n">
        <f aca="false">IF(B193="",0,ROUND($R$24*C193*E193*G193*I193*K193*M193*O193*Q193,0))</f>
        <v>0</v>
      </c>
      <c r="S193" s="2771" t="n">
        <f aca="false">ROUND(R193*B193/10000,0)</f>
        <v>0</v>
      </c>
    </row>
    <row r="194" customFormat="false" ht="12.75" hidden="false" customHeight="false" outlineLevel="0" collapsed="false">
      <c r="A194" s="1016"/>
      <c r="B194" s="2781"/>
      <c r="C194" s="478" t="n">
        <f aca="false">IF(B194="",1,(LOOKUP(B194,$3:$3,$4:$4)-LOOKUP($B$24,$3:$3,$4:$4)+100)/100)</f>
        <v>1</v>
      </c>
      <c r="D194" s="2782"/>
      <c r="E194" s="478" t="n">
        <f aca="false">(SUMIF($5:$5,D194,$6:$6)-SUMIF($5:$5,$D$24,$6:$6)+100)/100</f>
        <v>1</v>
      </c>
      <c r="F194" s="2782"/>
      <c r="G194" s="478" t="n">
        <f aca="false">(SUMIF($7:$7,F194,$8:$8)-SUMIF($7:$7,$F$24,$8:$8)+100)/100</f>
        <v>1</v>
      </c>
      <c r="H194" s="2782"/>
      <c r="I194" s="478" t="n">
        <f aca="false">(SUMIF($9:$9,H194,$10:$10)-SUMIF($9:$9,$H$24,$10:$10)+100)/100</f>
        <v>1</v>
      </c>
      <c r="J194" s="2782"/>
      <c r="K194" s="478" t="n">
        <f aca="false">(SUMIF($11:$11,J194,$12:$12)-SUMIF($11:$11,$J$24,$12:$12)+100)/100</f>
        <v>1</v>
      </c>
      <c r="L194" s="2782"/>
      <c r="M194" s="478" t="n">
        <f aca="false">(SUMIF($13:$13,L194,$14:$14)-SUMIF($13:$13,$L$24,$14:$14)+100)/100</f>
        <v>1</v>
      </c>
      <c r="N194" s="2782"/>
      <c r="O194" s="478" t="n">
        <f aca="false">(SUMIF($15:$15,N194,$16:$16)-SUMIF($15:$15,$N$24,$16:$16)+100)/100</f>
        <v>1</v>
      </c>
      <c r="P194" s="2782"/>
      <c r="Q194" s="478" t="n">
        <f aca="false">(SUMIF($17:$17,P194,$18:$18)-SUMIF($17:$17,$P$24,$18:$18)+100)/100</f>
        <v>1</v>
      </c>
      <c r="R194" s="2772" t="n">
        <f aca="false">IF(B194="",0,ROUND($R$24*C194*E194*G194*I194*K194*M194*O194*Q194,0))</f>
        <v>0</v>
      </c>
      <c r="S194" s="2771" t="n">
        <f aca="false">ROUND(R194*B194/10000,0)</f>
        <v>0</v>
      </c>
    </row>
    <row r="195" customFormat="false" ht="12.75" hidden="false" customHeight="false" outlineLevel="0" collapsed="false">
      <c r="A195" s="1016"/>
      <c r="B195" s="2781"/>
      <c r="C195" s="478" t="n">
        <f aca="false">IF(B195="",1,(LOOKUP(B195,$3:$3,$4:$4)-LOOKUP($B$24,$3:$3,$4:$4)+100)/100)</f>
        <v>1</v>
      </c>
      <c r="D195" s="2782"/>
      <c r="E195" s="478" t="n">
        <f aca="false">(SUMIF($5:$5,D195,$6:$6)-SUMIF($5:$5,$D$24,$6:$6)+100)/100</f>
        <v>1</v>
      </c>
      <c r="F195" s="2782"/>
      <c r="G195" s="478" t="n">
        <f aca="false">(SUMIF($7:$7,F195,$8:$8)-SUMIF($7:$7,$F$24,$8:$8)+100)/100</f>
        <v>1</v>
      </c>
      <c r="H195" s="2782"/>
      <c r="I195" s="478" t="n">
        <f aca="false">(SUMIF($9:$9,H195,$10:$10)-SUMIF($9:$9,$H$24,$10:$10)+100)/100</f>
        <v>1</v>
      </c>
      <c r="J195" s="2782"/>
      <c r="K195" s="478" t="n">
        <f aca="false">(SUMIF($11:$11,J195,$12:$12)-SUMIF($11:$11,$J$24,$12:$12)+100)/100</f>
        <v>1</v>
      </c>
      <c r="L195" s="2782"/>
      <c r="M195" s="478" t="n">
        <f aca="false">(SUMIF($13:$13,L195,$14:$14)-SUMIF($13:$13,$L$24,$14:$14)+100)/100</f>
        <v>1</v>
      </c>
      <c r="N195" s="2782"/>
      <c r="O195" s="478" t="n">
        <f aca="false">(SUMIF($15:$15,N195,$16:$16)-SUMIF($15:$15,$N$24,$16:$16)+100)/100</f>
        <v>1</v>
      </c>
      <c r="P195" s="2782"/>
      <c r="Q195" s="478" t="n">
        <f aca="false">(SUMIF($17:$17,P195,$18:$18)-SUMIF($17:$17,$P$24,$18:$18)+100)/100</f>
        <v>1</v>
      </c>
      <c r="R195" s="2772" t="n">
        <f aca="false">IF(B195="",0,ROUND($R$24*C195*E195*G195*I195*K195*M195*O195*Q195,0))</f>
        <v>0</v>
      </c>
      <c r="S195" s="2771" t="n">
        <f aca="false">ROUND(R195*B195/10000,0)</f>
        <v>0</v>
      </c>
    </row>
    <row r="196" customFormat="false" ht="12.75" hidden="false" customHeight="false" outlineLevel="0" collapsed="false">
      <c r="A196" s="1016"/>
      <c r="B196" s="2781"/>
      <c r="C196" s="478" t="n">
        <f aca="false">IF(B196="",1,(LOOKUP(B196,$3:$3,$4:$4)-LOOKUP($B$24,$3:$3,$4:$4)+100)/100)</f>
        <v>1</v>
      </c>
      <c r="D196" s="2782"/>
      <c r="E196" s="478" t="n">
        <f aca="false">(SUMIF($5:$5,D196,$6:$6)-SUMIF($5:$5,$D$24,$6:$6)+100)/100</f>
        <v>1</v>
      </c>
      <c r="F196" s="2782"/>
      <c r="G196" s="478" t="n">
        <f aca="false">(SUMIF($7:$7,F196,$8:$8)-SUMIF($7:$7,$F$24,$8:$8)+100)/100</f>
        <v>1</v>
      </c>
      <c r="H196" s="2782"/>
      <c r="I196" s="478" t="n">
        <f aca="false">(SUMIF($9:$9,H196,$10:$10)-SUMIF($9:$9,$H$24,$10:$10)+100)/100</f>
        <v>1</v>
      </c>
      <c r="J196" s="2782"/>
      <c r="K196" s="478" t="n">
        <f aca="false">(SUMIF($11:$11,J196,$12:$12)-SUMIF($11:$11,$J$24,$12:$12)+100)/100</f>
        <v>1</v>
      </c>
      <c r="L196" s="2782"/>
      <c r="M196" s="478" t="n">
        <f aca="false">(SUMIF($13:$13,L196,$14:$14)-SUMIF($13:$13,$L$24,$14:$14)+100)/100</f>
        <v>1</v>
      </c>
      <c r="N196" s="2782"/>
      <c r="O196" s="478" t="n">
        <f aca="false">(SUMIF($15:$15,N196,$16:$16)-SUMIF($15:$15,$N$24,$16:$16)+100)/100</f>
        <v>1</v>
      </c>
      <c r="P196" s="2782"/>
      <c r="Q196" s="478" t="n">
        <f aca="false">(SUMIF($17:$17,P196,$18:$18)-SUMIF($17:$17,$P$24,$18:$18)+100)/100</f>
        <v>1</v>
      </c>
      <c r="R196" s="2772" t="n">
        <f aca="false">IF(B196="",0,ROUND($R$24*C196*E196*G196*I196*K196*M196*O196*Q196,0))</f>
        <v>0</v>
      </c>
      <c r="S196" s="2771" t="n">
        <f aca="false">ROUND(R196*B196/10000,0)</f>
        <v>0</v>
      </c>
    </row>
    <row r="197" customFormat="false" ht="12.75" hidden="false" customHeight="false" outlineLevel="0" collapsed="false">
      <c r="A197" s="1016"/>
      <c r="B197" s="2781"/>
      <c r="C197" s="478" t="n">
        <f aca="false">IF(B197="",1,(LOOKUP(B197,$3:$3,$4:$4)-LOOKUP($B$24,$3:$3,$4:$4)+100)/100)</f>
        <v>1</v>
      </c>
      <c r="D197" s="2782"/>
      <c r="E197" s="478" t="n">
        <f aca="false">(SUMIF($5:$5,D197,$6:$6)-SUMIF($5:$5,$D$24,$6:$6)+100)/100</f>
        <v>1</v>
      </c>
      <c r="F197" s="2782"/>
      <c r="G197" s="478" t="n">
        <f aca="false">(SUMIF($7:$7,F197,$8:$8)-SUMIF($7:$7,$F$24,$8:$8)+100)/100</f>
        <v>1</v>
      </c>
      <c r="H197" s="2782"/>
      <c r="I197" s="478" t="n">
        <f aca="false">(SUMIF($9:$9,H197,$10:$10)-SUMIF($9:$9,$H$24,$10:$10)+100)/100</f>
        <v>1</v>
      </c>
      <c r="J197" s="2782"/>
      <c r="K197" s="478" t="n">
        <f aca="false">(SUMIF($11:$11,J197,$12:$12)-SUMIF($11:$11,$J$24,$12:$12)+100)/100</f>
        <v>1</v>
      </c>
      <c r="L197" s="2782"/>
      <c r="M197" s="478" t="n">
        <f aca="false">(SUMIF($13:$13,L197,$14:$14)-SUMIF($13:$13,$L$24,$14:$14)+100)/100</f>
        <v>1</v>
      </c>
      <c r="N197" s="2782"/>
      <c r="O197" s="478" t="n">
        <f aca="false">(SUMIF($15:$15,N197,$16:$16)-SUMIF($15:$15,$N$24,$16:$16)+100)/100</f>
        <v>1</v>
      </c>
      <c r="P197" s="2782"/>
      <c r="Q197" s="478" t="n">
        <f aca="false">(SUMIF($17:$17,P197,$18:$18)-SUMIF($17:$17,$P$24,$18:$18)+100)/100</f>
        <v>1</v>
      </c>
      <c r="R197" s="2772" t="n">
        <f aca="false">IF(B197="",0,ROUND($R$24*C197*E197*G197*I197*K197*M197*O197*Q197,0))</f>
        <v>0</v>
      </c>
      <c r="S197" s="2771" t="n">
        <f aca="false">ROUND(R197*B197/10000,0)</f>
        <v>0</v>
      </c>
    </row>
    <row r="198" customFormat="false" ht="12.75" hidden="false" customHeight="false" outlineLevel="0" collapsed="false">
      <c r="A198" s="1016"/>
      <c r="B198" s="2781"/>
      <c r="C198" s="478" t="n">
        <f aca="false">IF(B198="",1,(LOOKUP(B198,$3:$3,$4:$4)-LOOKUP($B$24,$3:$3,$4:$4)+100)/100)</f>
        <v>1</v>
      </c>
      <c r="D198" s="2782"/>
      <c r="E198" s="478" t="n">
        <f aca="false">(SUMIF($5:$5,D198,$6:$6)-SUMIF($5:$5,$D$24,$6:$6)+100)/100</f>
        <v>1</v>
      </c>
      <c r="F198" s="2782"/>
      <c r="G198" s="478" t="n">
        <f aca="false">(SUMIF($7:$7,F198,$8:$8)-SUMIF($7:$7,$F$24,$8:$8)+100)/100</f>
        <v>1</v>
      </c>
      <c r="H198" s="2782"/>
      <c r="I198" s="478" t="n">
        <f aca="false">(SUMIF($9:$9,H198,$10:$10)-SUMIF($9:$9,$H$24,$10:$10)+100)/100</f>
        <v>1</v>
      </c>
      <c r="J198" s="2782"/>
      <c r="K198" s="478" t="n">
        <f aca="false">(SUMIF($11:$11,J198,$12:$12)-SUMIF($11:$11,$J$24,$12:$12)+100)/100</f>
        <v>1</v>
      </c>
      <c r="L198" s="2782"/>
      <c r="M198" s="478" t="n">
        <f aca="false">(SUMIF($13:$13,L198,$14:$14)-SUMIF($13:$13,$L$24,$14:$14)+100)/100</f>
        <v>1</v>
      </c>
      <c r="N198" s="2782"/>
      <c r="O198" s="478" t="n">
        <f aca="false">(SUMIF($15:$15,N198,$16:$16)-SUMIF($15:$15,$N$24,$16:$16)+100)/100</f>
        <v>1</v>
      </c>
      <c r="P198" s="2782"/>
      <c r="Q198" s="478" t="n">
        <f aca="false">(SUMIF($17:$17,P198,$18:$18)-SUMIF($17:$17,$P$24,$18:$18)+100)/100</f>
        <v>1</v>
      </c>
      <c r="R198" s="2772" t="n">
        <f aca="false">IF(B198="",0,ROUND($R$24*C198*E198*G198*I198*K198*M198*O198*Q198,0))</f>
        <v>0</v>
      </c>
      <c r="S198" s="2771" t="n">
        <f aca="false">ROUND(R198*B198/10000,0)</f>
        <v>0</v>
      </c>
    </row>
    <row r="199" customFormat="false" ht="12.75" hidden="false" customHeight="false" outlineLevel="0" collapsed="false">
      <c r="A199" s="1016"/>
      <c r="B199" s="2781"/>
      <c r="C199" s="478" t="n">
        <f aca="false">IF(B199="",1,(LOOKUP(B199,$3:$3,$4:$4)-LOOKUP($B$24,$3:$3,$4:$4)+100)/100)</f>
        <v>1</v>
      </c>
      <c r="D199" s="2782"/>
      <c r="E199" s="478" t="n">
        <f aca="false">(SUMIF($5:$5,D199,$6:$6)-SUMIF($5:$5,$D$24,$6:$6)+100)/100</f>
        <v>1</v>
      </c>
      <c r="F199" s="2782"/>
      <c r="G199" s="478" t="n">
        <f aca="false">(SUMIF($7:$7,F199,$8:$8)-SUMIF($7:$7,$F$24,$8:$8)+100)/100</f>
        <v>1</v>
      </c>
      <c r="H199" s="2782"/>
      <c r="I199" s="478" t="n">
        <f aca="false">(SUMIF($9:$9,H199,$10:$10)-SUMIF($9:$9,$H$24,$10:$10)+100)/100</f>
        <v>1</v>
      </c>
      <c r="J199" s="2782"/>
      <c r="K199" s="478" t="n">
        <f aca="false">(SUMIF($11:$11,J199,$12:$12)-SUMIF($11:$11,$J$24,$12:$12)+100)/100</f>
        <v>1</v>
      </c>
      <c r="L199" s="2782"/>
      <c r="M199" s="478" t="n">
        <f aca="false">(SUMIF($13:$13,L199,$14:$14)-SUMIF($13:$13,$L$24,$14:$14)+100)/100</f>
        <v>1</v>
      </c>
      <c r="N199" s="2782"/>
      <c r="O199" s="478" t="n">
        <f aca="false">(SUMIF($15:$15,N199,$16:$16)-SUMIF($15:$15,$N$24,$16:$16)+100)/100</f>
        <v>1</v>
      </c>
      <c r="P199" s="2782"/>
      <c r="Q199" s="478" t="n">
        <f aca="false">(SUMIF($17:$17,P199,$18:$18)-SUMIF($17:$17,$P$24,$18:$18)+100)/100</f>
        <v>1</v>
      </c>
      <c r="R199" s="2772" t="n">
        <f aca="false">IF(B199="",0,ROUND($R$24*C199*E199*G199*I199*K199*M199*O199*Q199,0))</f>
        <v>0</v>
      </c>
      <c r="S199" s="2771" t="n">
        <f aca="false">ROUND(R199*B199/10000,0)</f>
        <v>0</v>
      </c>
    </row>
    <row r="200" customFormat="false" ht="12.75" hidden="false" customHeight="false" outlineLevel="0" collapsed="false">
      <c r="A200" s="1016"/>
      <c r="B200" s="2781"/>
      <c r="C200" s="478" t="n">
        <f aca="false">IF(B200="",1,(LOOKUP(B200,$3:$3,$4:$4)-LOOKUP($B$24,$3:$3,$4:$4)+100)/100)</f>
        <v>1</v>
      </c>
      <c r="D200" s="2782"/>
      <c r="E200" s="478" t="n">
        <f aca="false">(SUMIF($5:$5,D200,$6:$6)-SUMIF($5:$5,$D$24,$6:$6)+100)/100</f>
        <v>1</v>
      </c>
      <c r="F200" s="2782"/>
      <c r="G200" s="478" t="n">
        <f aca="false">(SUMIF($7:$7,F200,$8:$8)-SUMIF($7:$7,$F$24,$8:$8)+100)/100</f>
        <v>1</v>
      </c>
      <c r="H200" s="2782"/>
      <c r="I200" s="478" t="n">
        <f aca="false">(SUMIF($9:$9,H200,$10:$10)-SUMIF($9:$9,$H$24,$10:$10)+100)/100</f>
        <v>1</v>
      </c>
      <c r="J200" s="2782"/>
      <c r="K200" s="478" t="n">
        <f aca="false">(SUMIF($11:$11,J200,$12:$12)-SUMIF($11:$11,$J$24,$12:$12)+100)/100</f>
        <v>1</v>
      </c>
      <c r="L200" s="2782"/>
      <c r="M200" s="478" t="n">
        <f aca="false">(SUMIF($13:$13,L200,$14:$14)-SUMIF($13:$13,$L$24,$14:$14)+100)/100</f>
        <v>1</v>
      </c>
      <c r="N200" s="2782"/>
      <c r="O200" s="478" t="n">
        <f aca="false">(SUMIF($15:$15,N200,$16:$16)-SUMIF($15:$15,$N$24,$16:$16)+100)/100</f>
        <v>1</v>
      </c>
      <c r="P200" s="2782"/>
      <c r="Q200" s="478" t="n">
        <f aca="false">(SUMIF($17:$17,P200,$18:$18)-SUMIF($17:$17,$P$24,$18:$18)+100)/100</f>
        <v>1</v>
      </c>
      <c r="R200" s="2772" t="n">
        <f aca="false">IF(B200="",0,ROUND($R$24*C200*E200*G200*I200*K200*M200*O200*Q200,0))</f>
        <v>0</v>
      </c>
      <c r="S200" s="2771" t="n">
        <f aca="false">ROUND(R200*B200/10000,0)</f>
        <v>0</v>
      </c>
    </row>
    <row r="201" customFormat="false" ht="12.75" hidden="false" customHeight="false" outlineLevel="0" collapsed="false">
      <c r="A201" s="1016"/>
      <c r="B201" s="2781"/>
      <c r="C201" s="478" t="n">
        <f aca="false">IF(B201="",1,(LOOKUP(B201,$3:$3,$4:$4)-LOOKUP($B$24,$3:$3,$4:$4)+100)/100)</f>
        <v>1</v>
      </c>
      <c r="D201" s="2782"/>
      <c r="E201" s="478" t="n">
        <f aca="false">(SUMIF($5:$5,D201,$6:$6)-SUMIF($5:$5,$D$24,$6:$6)+100)/100</f>
        <v>1</v>
      </c>
      <c r="F201" s="2782"/>
      <c r="G201" s="478" t="n">
        <f aca="false">(SUMIF($7:$7,F201,$8:$8)-SUMIF($7:$7,$F$24,$8:$8)+100)/100</f>
        <v>1</v>
      </c>
      <c r="H201" s="2782"/>
      <c r="I201" s="478" t="n">
        <f aca="false">(SUMIF($9:$9,H201,$10:$10)-SUMIF($9:$9,$H$24,$10:$10)+100)/100</f>
        <v>1</v>
      </c>
      <c r="J201" s="2782"/>
      <c r="K201" s="478" t="n">
        <f aca="false">(SUMIF($11:$11,J201,$12:$12)-SUMIF($11:$11,$J$24,$12:$12)+100)/100</f>
        <v>1</v>
      </c>
      <c r="L201" s="2782"/>
      <c r="M201" s="478" t="n">
        <f aca="false">(SUMIF($13:$13,L201,$14:$14)-SUMIF($13:$13,$L$24,$14:$14)+100)/100</f>
        <v>1</v>
      </c>
      <c r="N201" s="2782"/>
      <c r="O201" s="478" t="n">
        <f aca="false">(SUMIF($15:$15,N201,$16:$16)-SUMIF($15:$15,$N$24,$16:$16)+100)/100</f>
        <v>1</v>
      </c>
      <c r="P201" s="2782"/>
      <c r="Q201" s="478" t="n">
        <f aca="false">(SUMIF($17:$17,P201,$18:$18)-SUMIF($17:$17,$P$24,$18:$18)+100)/100</f>
        <v>1</v>
      </c>
      <c r="R201" s="2772" t="n">
        <f aca="false">IF(B201="",0,ROUND($R$24*C201*E201*G201*I201*K201*M201*O201*Q201,0))</f>
        <v>0</v>
      </c>
      <c r="S201" s="2771" t="n">
        <f aca="false">ROUND(R201*B201/10000,0)</f>
        <v>0</v>
      </c>
    </row>
    <row r="202" customFormat="false" ht="12.75" hidden="false" customHeight="false" outlineLevel="0" collapsed="false">
      <c r="A202" s="1016"/>
      <c r="B202" s="2781"/>
      <c r="C202" s="478" t="n">
        <f aca="false">IF(B202="",1,(LOOKUP(B202,$3:$3,$4:$4)-LOOKUP($B$24,$3:$3,$4:$4)+100)/100)</f>
        <v>1</v>
      </c>
      <c r="D202" s="2782"/>
      <c r="E202" s="478" t="n">
        <f aca="false">(SUMIF($5:$5,D202,$6:$6)-SUMIF($5:$5,$D$24,$6:$6)+100)/100</f>
        <v>1</v>
      </c>
      <c r="F202" s="2782"/>
      <c r="G202" s="478" t="n">
        <f aca="false">(SUMIF($7:$7,F202,$8:$8)-SUMIF($7:$7,$F$24,$8:$8)+100)/100</f>
        <v>1</v>
      </c>
      <c r="H202" s="2782"/>
      <c r="I202" s="478" t="n">
        <f aca="false">(SUMIF($9:$9,H202,$10:$10)-SUMIF($9:$9,$H$24,$10:$10)+100)/100</f>
        <v>1</v>
      </c>
      <c r="J202" s="2782"/>
      <c r="K202" s="478" t="n">
        <f aca="false">(SUMIF($11:$11,J202,$12:$12)-SUMIF($11:$11,$J$24,$12:$12)+100)/100</f>
        <v>1</v>
      </c>
      <c r="L202" s="2782"/>
      <c r="M202" s="478" t="n">
        <f aca="false">(SUMIF($13:$13,L202,$14:$14)-SUMIF($13:$13,$L$24,$14:$14)+100)/100</f>
        <v>1</v>
      </c>
      <c r="N202" s="2782"/>
      <c r="O202" s="478" t="n">
        <f aca="false">(SUMIF($15:$15,N202,$16:$16)-SUMIF($15:$15,$N$24,$16:$16)+100)/100</f>
        <v>1</v>
      </c>
      <c r="P202" s="2782"/>
      <c r="Q202" s="478" t="n">
        <f aca="false">(SUMIF($17:$17,P202,$18:$18)-SUMIF($17:$17,$P$24,$18:$18)+100)/100</f>
        <v>1</v>
      </c>
      <c r="R202" s="2772" t="n">
        <f aca="false">IF(B202="",0,ROUND($R$24*C202*E202*G202*I202*K202*M202*O202*Q202,0))</f>
        <v>0</v>
      </c>
      <c r="S202" s="2771" t="n">
        <f aca="false">ROUND(R202*B202/10000,0)</f>
        <v>0</v>
      </c>
    </row>
    <row r="203" customFormat="false" ht="12.75" hidden="false" customHeight="false" outlineLevel="0" collapsed="false">
      <c r="A203" s="1016"/>
      <c r="B203" s="2781"/>
      <c r="C203" s="478" t="n">
        <f aca="false">IF(B203="",1,(LOOKUP(B203,$3:$3,$4:$4)-LOOKUP($B$24,$3:$3,$4:$4)+100)/100)</f>
        <v>1</v>
      </c>
      <c r="D203" s="2782"/>
      <c r="E203" s="478" t="n">
        <f aca="false">(SUMIF($5:$5,D203,$6:$6)-SUMIF($5:$5,$D$24,$6:$6)+100)/100</f>
        <v>1</v>
      </c>
      <c r="F203" s="2782"/>
      <c r="G203" s="478" t="n">
        <f aca="false">(SUMIF($7:$7,F203,$8:$8)-SUMIF($7:$7,$F$24,$8:$8)+100)/100</f>
        <v>1</v>
      </c>
      <c r="H203" s="2782"/>
      <c r="I203" s="478" t="n">
        <f aca="false">(SUMIF($9:$9,H203,$10:$10)-SUMIF($9:$9,$H$24,$10:$10)+100)/100</f>
        <v>1</v>
      </c>
      <c r="J203" s="2782"/>
      <c r="K203" s="478" t="n">
        <f aca="false">(SUMIF($11:$11,J203,$12:$12)-SUMIF($11:$11,$J$24,$12:$12)+100)/100</f>
        <v>1</v>
      </c>
      <c r="L203" s="2782"/>
      <c r="M203" s="478" t="n">
        <f aca="false">(SUMIF($13:$13,L203,$14:$14)-SUMIF($13:$13,$L$24,$14:$14)+100)/100</f>
        <v>1</v>
      </c>
      <c r="N203" s="2782"/>
      <c r="O203" s="478" t="n">
        <f aca="false">(SUMIF($15:$15,N203,$16:$16)-SUMIF($15:$15,$N$24,$16:$16)+100)/100</f>
        <v>1</v>
      </c>
      <c r="P203" s="2782"/>
      <c r="Q203" s="478" t="n">
        <f aca="false">(SUMIF($17:$17,P203,$18:$18)-SUMIF($17:$17,$P$24,$18:$18)+100)/100</f>
        <v>1</v>
      </c>
      <c r="R203" s="2772" t="n">
        <f aca="false">IF(B203="",0,ROUND($R$24*C203*E203*G203*I203*K203*M203*O203*Q203,0))</f>
        <v>0</v>
      </c>
      <c r="S203" s="2771" t="n">
        <f aca="false">ROUND(R203*B203/10000,0)</f>
        <v>0</v>
      </c>
    </row>
    <row r="204" customFormat="false" ht="12.75" hidden="false" customHeight="false" outlineLevel="0" collapsed="false">
      <c r="A204" s="1016"/>
      <c r="B204" s="2781"/>
      <c r="C204" s="478" t="n">
        <f aca="false">IF(B204="",1,(LOOKUP(B204,$3:$3,$4:$4)-LOOKUP($B$24,$3:$3,$4:$4)+100)/100)</f>
        <v>1</v>
      </c>
      <c r="D204" s="2782"/>
      <c r="E204" s="478" t="n">
        <f aca="false">(SUMIF($5:$5,D204,$6:$6)-SUMIF($5:$5,$D$24,$6:$6)+100)/100</f>
        <v>1</v>
      </c>
      <c r="F204" s="2782"/>
      <c r="G204" s="478" t="n">
        <f aca="false">(SUMIF($7:$7,F204,$8:$8)-SUMIF($7:$7,$F$24,$8:$8)+100)/100</f>
        <v>1</v>
      </c>
      <c r="H204" s="2782"/>
      <c r="I204" s="478" t="n">
        <f aca="false">(SUMIF($9:$9,H204,$10:$10)-SUMIF($9:$9,$H$24,$10:$10)+100)/100</f>
        <v>1</v>
      </c>
      <c r="J204" s="2782"/>
      <c r="K204" s="478" t="n">
        <f aca="false">(SUMIF($11:$11,J204,$12:$12)-SUMIF($11:$11,$J$24,$12:$12)+100)/100</f>
        <v>1</v>
      </c>
      <c r="L204" s="2782"/>
      <c r="M204" s="478" t="n">
        <f aca="false">(SUMIF($13:$13,L204,$14:$14)-SUMIF($13:$13,$L$24,$14:$14)+100)/100</f>
        <v>1</v>
      </c>
      <c r="N204" s="2782"/>
      <c r="O204" s="478" t="n">
        <f aca="false">(SUMIF($15:$15,N204,$16:$16)-SUMIF($15:$15,$N$24,$16:$16)+100)/100</f>
        <v>1</v>
      </c>
      <c r="P204" s="2782"/>
      <c r="Q204" s="478" t="n">
        <f aca="false">(SUMIF($17:$17,P204,$18:$18)-SUMIF($17:$17,$P$24,$18:$18)+100)/100</f>
        <v>1</v>
      </c>
      <c r="R204" s="2772" t="n">
        <f aca="false">IF(B204="",0,ROUND($R$24*C204*E204*G204*I204*K204*M204*O204*Q204,0))</f>
        <v>0</v>
      </c>
      <c r="S204" s="2771" t="n">
        <f aca="false">ROUND(R204*B204/10000,0)</f>
        <v>0</v>
      </c>
    </row>
    <row r="205" customFormat="false" ht="12.75" hidden="false" customHeight="false" outlineLevel="0" collapsed="false">
      <c r="A205" s="1016"/>
      <c r="B205" s="2781"/>
      <c r="C205" s="478" t="n">
        <f aca="false">IF(B205="",1,(LOOKUP(B205,$3:$3,$4:$4)-LOOKUP($B$24,$3:$3,$4:$4)+100)/100)</f>
        <v>1</v>
      </c>
      <c r="D205" s="2782"/>
      <c r="E205" s="478" t="n">
        <f aca="false">(SUMIF($5:$5,D205,$6:$6)-SUMIF($5:$5,$D$24,$6:$6)+100)/100</f>
        <v>1</v>
      </c>
      <c r="F205" s="2782"/>
      <c r="G205" s="478" t="n">
        <f aca="false">(SUMIF($7:$7,F205,$8:$8)-SUMIF($7:$7,$F$24,$8:$8)+100)/100</f>
        <v>1</v>
      </c>
      <c r="H205" s="2782"/>
      <c r="I205" s="478" t="n">
        <f aca="false">(SUMIF($9:$9,H205,$10:$10)-SUMIF($9:$9,$H$24,$10:$10)+100)/100</f>
        <v>1</v>
      </c>
      <c r="J205" s="2782"/>
      <c r="K205" s="478" t="n">
        <f aca="false">(SUMIF($11:$11,J205,$12:$12)-SUMIF($11:$11,$J$24,$12:$12)+100)/100</f>
        <v>1</v>
      </c>
      <c r="L205" s="2782"/>
      <c r="M205" s="478" t="n">
        <f aca="false">(SUMIF($13:$13,L205,$14:$14)-SUMIF($13:$13,$L$24,$14:$14)+100)/100</f>
        <v>1</v>
      </c>
      <c r="N205" s="2782"/>
      <c r="O205" s="478" t="n">
        <f aca="false">(SUMIF($15:$15,N205,$16:$16)-SUMIF($15:$15,$N$24,$16:$16)+100)/100</f>
        <v>1</v>
      </c>
      <c r="P205" s="2782"/>
      <c r="Q205" s="478" t="n">
        <f aca="false">(SUMIF($17:$17,P205,$18:$18)-SUMIF($17:$17,$P$24,$18:$18)+100)/100</f>
        <v>1</v>
      </c>
      <c r="R205" s="2772" t="n">
        <f aca="false">IF(B205="",0,ROUND($R$24*C205*E205*G205*I205*K205*M205*O205*Q205,0))</f>
        <v>0</v>
      </c>
      <c r="S205" s="2771" t="n">
        <f aca="false">ROUND(R205*B205/10000,0)</f>
        <v>0</v>
      </c>
    </row>
    <row r="206" customFormat="false" ht="12.75" hidden="false" customHeight="false" outlineLevel="0" collapsed="false">
      <c r="A206" s="1016"/>
      <c r="B206" s="2781"/>
      <c r="C206" s="478" t="n">
        <f aca="false">IF(B206="",1,(LOOKUP(B206,$3:$3,$4:$4)-LOOKUP($B$24,$3:$3,$4:$4)+100)/100)</f>
        <v>1</v>
      </c>
      <c r="D206" s="2782"/>
      <c r="E206" s="478" t="n">
        <f aca="false">(SUMIF($5:$5,D206,$6:$6)-SUMIF($5:$5,$D$24,$6:$6)+100)/100</f>
        <v>1</v>
      </c>
      <c r="F206" s="2782"/>
      <c r="G206" s="478" t="n">
        <f aca="false">(SUMIF($7:$7,F206,$8:$8)-SUMIF($7:$7,$F$24,$8:$8)+100)/100</f>
        <v>1</v>
      </c>
      <c r="H206" s="2782"/>
      <c r="I206" s="478" t="n">
        <f aca="false">(SUMIF($9:$9,H206,$10:$10)-SUMIF($9:$9,$H$24,$10:$10)+100)/100</f>
        <v>1</v>
      </c>
      <c r="J206" s="2782"/>
      <c r="K206" s="478" t="n">
        <f aca="false">(SUMIF($11:$11,J206,$12:$12)-SUMIF($11:$11,$J$24,$12:$12)+100)/100</f>
        <v>1</v>
      </c>
      <c r="L206" s="2782"/>
      <c r="M206" s="478" t="n">
        <f aca="false">(SUMIF($13:$13,L206,$14:$14)-SUMIF($13:$13,$L$24,$14:$14)+100)/100</f>
        <v>1</v>
      </c>
      <c r="N206" s="2782"/>
      <c r="O206" s="478" t="n">
        <f aca="false">(SUMIF($15:$15,N206,$16:$16)-SUMIF($15:$15,$N$24,$16:$16)+100)/100</f>
        <v>1</v>
      </c>
      <c r="P206" s="2782"/>
      <c r="Q206" s="478" t="n">
        <f aca="false">(SUMIF($17:$17,P206,$18:$18)-SUMIF($17:$17,$P$24,$18:$18)+100)/100</f>
        <v>1</v>
      </c>
      <c r="R206" s="2772" t="n">
        <f aca="false">IF(B206="",0,ROUND($R$24*C206*E206*G206*I206*K206*M206*O206*Q206,0))</f>
        <v>0</v>
      </c>
      <c r="S206" s="2771" t="n">
        <f aca="false">ROUND(R206*B206/10000,0)</f>
        <v>0</v>
      </c>
    </row>
    <row r="207" customFormat="false" ht="12.75" hidden="false" customHeight="false" outlineLevel="0" collapsed="false">
      <c r="A207" s="1016"/>
      <c r="B207" s="2781"/>
      <c r="C207" s="478" t="n">
        <f aca="false">IF(B207="",1,(LOOKUP(B207,$3:$3,$4:$4)-LOOKUP($B$24,$3:$3,$4:$4)+100)/100)</f>
        <v>1</v>
      </c>
      <c r="D207" s="2782"/>
      <c r="E207" s="478" t="n">
        <f aca="false">(SUMIF($5:$5,D207,$6:$6)-SUMIF($5:$5,$D$24,$6:$6)+100)/100</f>
        <v>1</v>
      </c>
      <c r="F207" s="2782"/>
      <c r="G207" s="478" t="n">
        <f aca="false">(SUMIF($7:$7,F207,$8:$8)-SUMIF($7:$7,$F$24,$8:$8)+100)/100</f>
        <v>1</v>
      </c>
      <c r="H207" s="2782"/>
      <c r="I207" s="478" t="n">
        <f aca="false">(SUMIF($9:$9,H207,$10:$10)-SUMIF($9:$9,$H$24,$10:$10)+100)/100</f>
        <v>1</v>
      </c>
      <c r="J207" s="2782"/>
      <c r="K207" s="478" t="n">
        <f aca="false">(SUMIF($11:$11,J207,$12:$12)-SUMIF($11:$11,$J$24,$12:$12)+100)/100</f>
        <v>1</v>
      </c>
      <c r="L207" s="2782"/>
      <c r="M207" s="478" t="n">
        <f aca="false">(SUMIF($13:$13,L207,$14:$14)-SUMIF($13:$13,$L$24,$14:$14)+100)/100</f>
        <v>1</v>
      </c>
      <c r="N207" s="2782"/>
      <c r="O207" s="478" t="n">
        <f aca="false">(SUMIF($15:$15,N207,$16:$16)-SUMIF($15:$15,$N$24,$16:$16)+100)/100</f>
        <v>1</v>
      </c>
      <c r="P207" s="2782"/>
      <c r="Q207" s="478" t="n">
        <f aca="false">(SUMIF($17:$17,P207,$18:$18)-SUMIF($17:$17,$P$24,$18:$18)+100)/100</f>
        <v>1</v>
      </c>
      <c r="R207" s="2772" t="n">
        <f aca="false">IF(B207="",0,ROUND($R$24*C207*E207*G207*I207*K207*M207*O207*Q207,0))</f>
        <v>0</v>
      </c>
      <c r="S207" s="2771" t="n">
        <f aca="false">ROUND(R207*B207/10000,0)</f>
        <v>0</v>
      </c>
    </row>
    <row r="208" customFormat="false" ht="12.75" hidden="false" customHeight="false" outlineLevel="0" collapsed="false">
      <c r="A208" s="1016"/>
      <c r="B208" s="2781"/>
      <c r="C208" s="478" t="n">
        <f aca="false">IF(B208="",1,(LOOKUP(B208,$3:$3,$4:$4)-LOOKUP($B$24,$3:$3,$4:$4)+100)/100)</f>
        <v>1</v>
      </c>
      <c r="D208" s="2782"/>
      <c r="E208" s="478" t="n">
        <f aca="false">(SUMIF($5:$5,D208,$6:$6)-SUMIF($5:$5,$D$24,$6:$6)+100)/100</f>
        <v>1</v>
      </c>
      <c r="F208" s="2782"/>
      <c r="G208" s="478" t="n">
        <f aca="false">(SUMIF($7:$7,F208,$8:$8)-SUMIF($7:$7,$F$24,$8:$8)+100)/100</f>
        <v>1</v>
      </c>
      <c r="H208" s="2782"/>
      <c r="I208" s="478" t="n">
        <f aca="false">(SUMIF($9:$9,H208,$10:$10)-SUMIF($9:$9,$H$24,$10:$10)+100)/100</f>
        <v>1</v>
      </c>
      <c r="J208" s="2782"/>
      <c r="K208" s="478" t="n">
        <f aca="false">(SUMIF($11:$11,J208,$12:$12)-SUMIF($11:$11,$J$24,$12:$12)+100)/100</f>
        <v>1</v>
      </c>
      <c r="L208" s="2782"/>
      <c r="M208" s="478" t="n">
        <f aca="false">(SUMIF($13:$13,L208,$14:$14)-SUMIF($13:$13,$L$24,$14:$14)+100)/100</f>
        <v>1</v>
      </c>
      <c r="N208" s="2782"/>
      <c r="O208" s="478" t="n">
        <f aca="false">(SUMIF($15:$15,N208,$16:$16)-SUMIF($15:$15,$N$24,$16:$16)+100)/100</f>
        <v>1</v>
      </c>
      <c r="P208" s="2782"/>
      <c r="Q208" s="478" t="n">
        <f aca="false">(SUMIF($17:$17,P208,$18:$18)-SUMIF($17:$17,$P$24,$18:$18)+100)/100</f>
        <v>1</v>
      </c>
      <c r="R208" s="2772" t="n">
        <f aca="false">IF(B208="",0,ROUND($R$24*C208*E208*G208*I208*K208*M208*O208*Q208,0))</f>
        <v>0</v>
      </c>
      <c r="S208" s="2771" t="n">
        <f aca="false">ROUND(R208*B208/10000,0)</f>
        <v>0</v>
      </c>
    </row>
    <row r="209" customFormat="false" ht="12.75" hidden="false" customHeight="false" outlineLevel="0" collapsed="false">
      <c r="A209" s="1016"/>
      <c r="B209" s="2781"/>
      <c r="C209" s="478" t="n">
        <f aca="false">IF(B209="",1,(LOOKUP(B209,$3:$3,$4:$4)-LOOKUP($B$24,$3:$3,$4:$4)+100)/100)</f>
        <v>1</v>
      </c>
      <c r="D209" s="2782"/>
      <c r="E209" s="478" t="n">
        <f aca="false">(SUMIF($5:$5,D209,$6:$6)-SUMIF($5:$5,$D$24,$6:$6)+100)/100</f>
        <v>1</v>
      </c>
      <c r="F209" s="2782"/>
      <c r="G209" s="478" t="n">
        <f aca="false">(SUMIF($7:$7,F209,$8:$8)-SUMIF($7:$7,$F$24,$8:$8)+100)/100</f>
        <v>1</v>
      </c>
      <c r="H209" s="2782"/>
      <c r="I209" s="478" t="n">
        <f aca="false">(SUMIF($9:$9,H209,$10:$10)-SUMIF($9:$9,$H$24,$10:$10)+100)/100</f>
        <v>1</v>
      </c>
      <c r="J209" s="2782"/>
      <c r="K209" s="478" t="n">
        <f aca="false">(SUMIF($11:$11,J209,$12:$12)-SUMIF($11:$11,$J$24,$12:$12)+100)/100</f>
        <v>1</v>
      </c>
      <c r="L209" s="2782"/>
      <c r="M209" s="478" t="n">
        <f aca="false">(SUMIF($13:$13,L209,$14:$14)-SUMIF($13:$13,$L$24,$14:$14)+100)/100</f>
        <v>1</v>
      </c>
      <c r="N209" s="2782"/>
      <c r="O209" s="478" t="n">
        <f aca="false">(SUMIF($15:$15,N209,$16:$16)-SUMIF($15:$15,$N$24,$16:$16)+100)/100</f>
        <v>1</v>
      </c>
      <c r="P209" s="2782"/>
      <c r="Q209" s="478" t="n">
        <f aca="false">(SUMIF($17:$17,P209,$18:$18)-SUMIF($17:$17,$P$24,$18:$18)+100)/100</f>
        <v>1</v>
      </c>
      <c r="R209" s="2772" t="n">
        <f aca="false">IF(B209="",0,ROUND($R$24*C209*E209*G209*I209*K209*M209*O209*Q209,0))</f>
        <v>0</v>
      </c>
      <c r="S209" s="2771" t="n">
        <f aca="false">ROUND(R209*B209/10000,0)</f>
        <v>0</v>
      </c>
    </row>
    <row r="210" customFormat="false" ht="12.75" hidden="false" customHeight="false" outlineLevel="0" collapsed="false">
      <c r="A210" s="1016"/>
      <c r="B210" s="2781"/>
      <c r="C210" s="478" t="n">
        <f aca="false">IF(B210="",1,(LOOKUP(B210,$3:$3,$4:$4)-LOOKUP($B$24,$3:$3,$4:$4)+100)/100)</f>
        <v>1</v>
      </c>
      <c r="D210" s="2782"/>
      <c r="E210" s="478" t="n">
        <f aca="false">(SUMIF($5:$5,D210,$6:$6)-SUMIF($5:$5,$D$24,$6:$6)+100)/100</f>
        <v>1</v>
      </c>
      <c r="F210" s="2782"/>
      <c r="G210" s="478" t="n">
        <f aca="false">(SUMIF($7:$7,F210,$8:$8)-SUMIF($7:$7,$F$24,$8:$8)+100)/100</f>
        <v>1</v>
      </c>
      <c r="H210" s="2782"/>
      <c r="I210" s="478" t="n">
        <f aca="false">(SUMIF($9:$9,H210,$10:$10)-SUMIF($9:$9,$H$24,$10:$10)+100)/100</f>
        <v>1</v>
      </c>
      <c r="J210" s="2782"/>
      <c r="K210" s="478" t="n">
        <f aca="false">(SUMIF($11:$11,J210,$12:$12)-SUMIF($11:$11,$J$24,$12:$12)+100)/100</f>
        <v>1</v>
      </c>
      <c r="L210" s="2782"/>
      <c r="M210" s="478" t="n">
        <f aca="false">(SUMIF($13:$13,L210,$14:$14)-SUMIF($13:$13,$L$24,$14:$14)+100)/100</f>
        <v>1</v>
      </c>
      <c r="N210" s="2782"/>
      <c r="O210" s="478" t="n">
        <f aca="false">(SUMIF($15:$15,N210,$16:$16)-SUMIF($15:$15,$N$24,$16:$16)+100)/100</f>
        <v>1</v>
      </c>
      <c r="P210" s="2782"/>
      <c r="Q210" s="478" t="n">
        <f aca="false">(SUMIF($17:$17,P210,$18:$18)-SUMIF($17:$17,$P$24,$18:$18)+100)/100</f>
        <v>1</v>
      </c>
      <c r="R210" s="2772" t="n">
        <f aca="false">IF(B210="",0,ROUND($R$24*C210*E210*G210*I210*K210*M210*O210*Q210,0))</f>
        <v>0</v>
      </c>
      <c r="S210" s="2771" t="n">
        <f aca="false">ROUND(R210*B210/10000,0)</f>
        <v>0</v>
      </c>
    </row>
    <row r="211" customFormat="false" ht="12.75" hidden="false" customHeight="false" outlineLevel="0" collapsed="false">
      <c r="A211" s="1016"/>
      <c r="B211" s="2781"/>
      <c r="C211" s="478" t="n">
        <f aca="false">IF(B211="",1,(LOOKUP(B211,$3:$3,$4:$4)-LOOKUP($B$24,$3:$3,$4:$4)+100)/100)</f>
        <v>1</v>
      </c>
      <c r="D211" s="2782"/>
      <c r="E211" s="478" t="n">
        <f aca="false">(SUMIF($5:$5,D211,$6:$6)-SUMIF($5:$5,$D$24,$6:$6)+100)/100</f>
        <v>1</v>
      </c>
      <c r="F211" s="2782"/>
      <c r="G211" s="478" t="n">
        <f aca="false">(SUMIF($7:$7,F211,$8:$8)-SUMIF($7:$7,$F$24,$8:$8)+100)/100</f>
        <v>1</v>
      </c>
      <c r="H211" s="2782"/>
      <c r="I211" s="478" t="n">
        <f aca="false">(SUMIF($9:$9,H211,$10:$10)-SUMIF($9:$9,$H$24,$10:$10)+100)/100</f>
        <v>1</v>
      </c>
      <c r="J211" s="2782"/>
      <c r="K211" s="478" t="n">
        <f aca="false">(SUMIF($11:$11,J211,$12:$12)-SUMIF($11:$11,$J$24,$12:$12)+100)/100</f>
        <v>1</v>
      </c>
      <c r="L211" s="2782"/>
      <c r="M211" s="478" t="n">
        <f aca="false">(SUMIF($13:$13,L211,$14:$14)-SUMIF($13:$13,$L$24,$14:$14)+100)/100</f>
        <v>1</v>
      </c>
      <c r="N211" s="2782"/>
      <c r="O211" s="478" t="n">
        <f aca="false">(SUMIF($15:$15,N211,$16:$16)-SUMIF($15:$15,$N$24,$16:$16)+100)/100</f>
        <v>1</v>
      </c>
      <c r="P211" s="2782"/>
      <c r="Q211" s="478" t="n">
        <f aca="false">(SUMIF($17:$17,P211,$18:$18)-SUMIF($17:$17,$P$24,$18:$18)+100)/100</f>
        <v>1</v>
      </c>
      <c r="R211" s="2772" t="n">
        <f aca="false">IF(B211="",0,ROUND($R$24*C211*E211*G211*I211*K211*M211*O211*Q211,0))</f>
        <v>0</v>
      </c>
      <c r="S211" s="2771" t="n">
        <f aca="false">ROUND(R211*B211/10000,0)</f>
        <v>0</v>
      </c>
    </row>
    <row r="212" customFormat="false" ht="12.75" hidden="false" customHeight="false" outlineLevel="0" collapsed="false">
      <c r="A212" s="1016"/>
      <c r="B212" s="2781"/>
      <c r="C212" s="478" t="n">
        <f aca="false">IF(B212="",1,(LOOKUP(B212,$3:$3,$4:$4)-LOOKUP($B$24,$3:$3,$4:$4)+100)/100)</f>
        <v>1</v>
      </c>
      <c r="D212" s="2782"/>
      <c r="E212" s="478" t="n">
        <f aca="false">(SUMIF($5:$5,D212,$6:$6)-SUMIF($5:$5,$D$24,$6:$6)+100)/100</f>
        <v>1</v>
      </c>
      <c r="F212" s="2782"/>
      <c r="G212" s="478" t="n">
        <f aca="false">(SUMIF($7:$7,F212,$8:$8)-SUMIF($7:$7,$F$24,$8:$8)+100)/100</f>
        <v>1</v>
      </c>
      <c r="H212" s="2782"/>
      <c r="I212" s="478" t="n">
        <f aca="false">(SUMIF($9:$9,H212,$10:$10)-SUMIF($9:$9,$H$24,$10:$10)+100)/100</f>
        <v>1</v>
      </c>
      <c r="J212" s="2782"/>
      <c r="K212" s="478" t="n">
        <f aca="false">(SUMIF($11:$11,J212,$12:$12)-SUMIF($11:$11,$J$24,$12:$12)+100)/100</f>
        <v>1</v>
      </c>
      <c r="L212" s="2782"/>
      <c r="M212" s="478" t="n">
        <f aca="false">(SUMIF($13:$13,L212,$14:$14)-SUMIF($13:$13,$L$24,$14:$14)+100)/100</f>
        <v>1</v>
      </c>
      <c r="N212" s="2782"/>
      <c r="O212" s="478" t="n">
        <f aca="false">(SUMIF($15:$15,N212,$16:$16)-SUMIF($15:$15,$N$24,$16:$16)+100)/100</f>
        <v>1</v>
      </c>
      <c r="P212" s="2782"/>
      <c r="Q212" s="478" t="n">
        <f aca="false">(SUMIF($17:$17,P212,$18:$18)-SUMIF($17:$17,$P$24,$18:$18)+100)/100</f>
        <v>1</v>
      </c>
      <c r="R212" s="2772" t="n">
        <f aca="false">IF(B212="",0,ROUND($R$24*C212*E212*G212*I212*K212*M212*O212*Q212,0))</f>
        <v>0</v>
      </c>
      <c r="S212" s="2771" t="n">
        <f aca="false">ROUND(R212*B212/10000,0)</f>
        <v>0</v>
      </c>
    </row>
    <row r="213" customFormat="false" ht="12.75" hidden="false" customHeight="false" outlineLevel="0" collapsed="false">
      <c r="A213" s="1016"/>
      <c r="B213" s="2781"/>
      <c r="C213" s="478" t="n">
        <f aca="false">IF(B213="",1,(LOOKUP(B213,$3:$3,$4:$4)-LOOKUP($B$24,$3:$3,$4:$4)+100)/100)</f>
        <v>1</v>
      </c>
      <c r="D213" s="2782"/>
      <c r="E213" s="478" t="n">
        <f aca="false">(SUMIF($5:$5,D213,$6:$6)-SUMIF($5:$5,$D$24,$6:$6)+100)/100</f>
        <v>1</v>
      </c>
      <c r="F213" s="2782"/>
      <c r="G213" s="478" t="n">
        <f aca="false">(SUMIF($7:$7,F213,$8:$8)-SUMIF($7:$7,$F$24,$8:$8)+100)/100</f>
        <v>1</v>
      </c>
      <c r="H213" s="2782"/>
      <c r="I213" s="478" t="n">
        <f aca="false">(SUMIF($9:$9,H213,$10:$10)-SUMIF($9:$9,$H$24,$10:$10)+100)/100</f>
        <v>1</v>
      </c>
      <c r="J213" s="2782"/>
      <c r="K213" s="478" t="n">
        <f aca="false">(SUMIF($11:$11,J213,$12:$12)-SUMIF($11:$11,$J$24,$12:$12)+100)/100</f>
        <v>1</v>
      </c>
      <c r="L213" s="2782"/>
      <c r="M213" s="478" t="n">
        <f aca="false">(SUMIF($13:$13,L213,$14:$14)-SUMIF($13:$13,$L$24,$14:$14)+100)/100</f>
        <v>1</v>
      </c>
      <c r="N213" s="2782"/>
      <c r="O213" s="478" t="n">
        <f aca="false">(SUMIF($15:$15,N213,$16:$16)-SUMIF($15:$15,$N$24,$16:$16)+100)/100</f>
        <v>1</v>
      </c>
      <c r="P213" s="2782"/>
      <c r="Q213" s="478" t="n">
        <f aca="false">(SUMIF($17:$17,P213,$18:$18)-SUMIF($17:$17,$P$24,$18:$18)+100)/100</f>
        <v>1</v>
      </c>
      <c r="R213" s="2772" t="n">
        <f aca="false">IF(B213="",0,ROUND($R$24*C213*E213*G213*I213*K213*M213*O213*Q213,0))</f>
        <v>0</v>
      </c>
      <c r="S213" s="2771" t="n">
        <f aca="false">ROUND(R213*B213/10000,0)</f>
        <v>0</v>
      </c>
    </row>
    <row r="214" customFormat="false" ht="12.75" hidden="false" customHeight="false" outlineLevel="0" collapsed="false">
      <c r="A214" s="1016"/>
      <c r="B214" s="2781"/>
      <c r="C214" s="478" t="n">
        <f aca="false">IF(B214="",1,(LOOKUP(B214,$3:$3,$4:$4)-LOOKUP($B$24,$3:$3,$4:$4)+100)/100)</f>
        <v>1</v>
      </c>
      <c r="D214" s="2782"/>
      <c r="E214" s="478" t="n">
        <f aca="false">(SUMIF($5:$5,D214,$6:$6)-SUMIF($5:$5,$D$24,$6:$6)+100)/100</f>
        <v>1</v>
      </c>
      <c r="F214" s="2782"/>
      <c r="G214" s="478" t="n">
        <f aca="false">(SUMIF($7:$7,F214,$8:$8)-SUMIF($7:$7,$F$24,$8:$8)+100)/100</f>
        <v>1</v>
      </c>
      <c r="H214" s="2782"/>
      <c r="I214" s="478" t="n">
        <f aca="false">(SUMIF($9:$9,H214,$10:$10)-SUMIF($9:$9,$H$24,$10:$10)+100)/100</f>
        <v>1</v>
      </c>
      <c r="J214" s="2782"/>
      <c r="K214" s="478" t="n">
        <f aca="false">(SUMIF($11:$11,J214,$12:$12)-SUMIF($11:$11,$J$24,$12:$12)+100)/100</f>
        <v>1</v>
      </c>
      <c r="L214" s="2782"/>
      <c r="M214" s="478" t="n">
        <f aca="false">(SUMIF($13:$13,L214,$14:$14)-SUMIF($13:$13,$L$24,$14:$14)+100)/100</f>
        <v>1</v>
      </c>
      <c r="N214" s="2782"/>
      <c r="O214" s="478" t="n">
        <f aca="false">(SUMIF($15:$15,N214,$16:$16)-SUMIF($15:$15,$N$24,$16:$16)+100)/100</f>
        <v>1</v>
      </c>
      <c r="P214" s="2782"/>
      <c r="Q214" s="478" t="n">
        <f aca="false">(SUMIF($17:$17,P214,$18:$18)-SUMIF($17:$17,$P$24,$18:$18)+100)/100</f>
        <v>1</v>
      </c>
      <c r="R214" s="2772" t="n">
        <f aca="false">IF(B214="",0,ROUND($R$24*C214*E214*G214*I214*K214*M214*O214*Q214,0))</f>
        <v>0</v>
      </c>
      <c r="S214" s="2771" t="n">
        <f aca="false">ROUND(R214*B214/10000,0)</f>
        <v>0</v>
      </c>
    </row>
    <row r="215" customFormat="false" ht="12.75" hidden="false" customHeight="false" outlineLevel="0" collapsed="false">
      <c r="A215" s="1016"/>
      <c r="B215" s="2781"/>
      <c r="C215" s="478" t="n">
        <f aca="false">IF(B215="",1,(LOOKUP(B215,$3:$3,$4:$4)-LOOKUP($B$24,$3:$3,$4:$4)+100)/100)</f>
        <v>1</v>
      </c>
      <c r="D215" s="2782"/>
      <c r="E215" s="478" t="n">
        <f aca="false">(SUMIF($5:$5,D215,$6:$6)-SUMIF($5:$5,$D$24,$6:$6)+100)/100</f>
        <v>1</v>
      </c>
      <c r="F215" s="2782"/>
      <c r="G215" s="478" t="n">
        <f aca="false">(SUMIF($7:$7,F215,$8:$8)-SUMIF($7:$7,$F$24,$8:$8)+100)/100</f>
        <v>1</v>
      </c>
      <c r="H215" s="2782"/>
      <c r="I215" s="478" t="n">
        <f aca="false">(SUMIF($9:$9,H215,$10:$10)-SUMIF($9:$9,$H$24,$10:$10)+100)/100</f>
        <v>1</v>
      </c>
      <c r="J215" s="2782"/>
      <c r="K215" s="478" t="n">
        <f aca="false">(SUMIF($11:$11,J215,$12:$12)-SUMIF($11:$11,$J$24,$12:$12)+100)/100</f>
        <v>1</v>
      </c>
      <c r="L215" s="2782"/>
      <c r="M215" s="478" t="n">
        <f aca="false">(SUMIF($13:$13,L215,$14:$14)-SUMIF($13:$13,$L$24,$14:$14)+100)/100</f>
        <v>1</v>
      </c>
      <c r="N215" s="2782"/>
      <c r="O215" s="478" t="n">
        <f aca="false">(SUMIF($15:$15,N215,$16:$16)-SUMIF($15:$15,$N$24,$16:$16)+100)/100</f>
        <v>1</v>
      </c>
      <c r="P215" s="2782"/>
      <c r="Q215" s="478" t="n">
        <f aca="false">(SUMIF($17:$17,P215,$18:$18)-SUMIF($17:$17,$P$24,$18:$18)+100)/100</f>
        <v>1</v>
      </c>
      <c r="R215" s="2772" t="n">
        <f aca="false">IF(B215="",0,ROUND($R$24*C215*E215*G215*I215*K215*M215*O215*Q215,0))</f>
        <v>0</v>
      </c>
      <c r="S215" s="2771" t="n">
        <f aca="false">ROUND(R215*B215/10000,0)</f>
        <v>0</v>
      </c>
    </row>
    <row r="216" customFormat="false" ht="12.75" hidden="false" customHeight="false" outlineLevel="0" collapsed="false">
      <c r="A216" s="1016"/>
      <c r="B216" s="2781"/>
      <c r="C216" s="478" t="n">
        <f aca="false">IF(B216="",1,(LOOKUP(B216,$3:$3,$4:$4)-LOOKUP($B$24,$3:$3,$4:$4)+100)/100)</f>
        <v>1</v>
      </c>
      <c r="D216" s="2782"/>
      <c r="E216" s="478" t="n">
        <f aca="false">(SUMIF($5:$5,D216,$6:$6)-SUMIF($5:$5,$D$24,$6:$6)+100)/100</f>
        <v>1</v>
      </c>
      <c r="F216" s="2782"/>
      <c r="G216" s="478" t="n">
        <f aca="false">(SUMIF($7:$7,F216,$8:$8)-SUMIF($7:$7,$F$24,$8:$8)+100)/100</f>
        <v>1</v>
      </c>
      <c r="H216" s="2782"/>
      <c r="I216" s="478" t="n">
        <f aca="false">(SUMIF($9:$9,H216,$10:$10)-SUMIF($9:$9,$H$24,$10:$10)+100)/100</f>
        <v>1</v>
      </c>
      <c r="J216" s="2782"/>
      <c r="K216" s="478" t="n">
        <f aca="false">(SUMIF($11:$11,J216,$12:$12)-SUMIF($11:$11,$J$24,$12:$12)+100)/100</f>
        <v>1</v>
      </c>
      <c r="L216" s="2782"/>
      <c r="M216" s="478" t="n">
        <f aca="false">(SUMIF($13:$13,L216,$14:$14)-SUMIF($13:$13,$L$24,$14:$14)+100)/100</f>
        <v>1</v>
      </c>
      <c r="N216" s="2782"/>
      <c r="O216" s="478" t="n">
        <f aca="false">(SUMIF($15:$15,N216,$16:$16)-SUMIF($15:$15,$N$24,$16:$16)+100)/100</f>
        <v>1</v>
      </c>
      <c r="P216" s="2782"/>
      <c r="Q216" s="478" t="n">
        <f aca="false">(SUMIF($17:$17,P216,$18:$18)-SUMIF($17:$17,$P$24,$18:$18)+100)/100</f>
        <v>1</v>
      </c>
      <c r="R216" s="2772" t="n">
        <f aca="false">IF(B216="",0,ROUND($R$24*C216*E216*G216*I216*K216*M216*O216*Q216,0))</f>
        <v>0</v>
      </c>
      <c r="S216" s="2771" t="n">
        <f aca="false">ROUND(R216*B216/10000,0)</f>
        <v>0</v>
      </c>
    </row>
    <row r="217" customFormat="false" ht="12.75" hidden="false" customHeight="false" outlineLevel="0" collapsed="false">
      <c r="A217" s="1016"/>
      <c r="B217" s="2781"/>
      <c r="C217" s="478" t="n">
        <f aca="false">IF(B217="",1,(LOOKUP(B217,$3:$3,$4:$4)-LOOKUP($B$24,$3:$3,$4:$4)+100)/100)</f>
        <v>1</v>
      </c>
      <c r="D217" s="2782"/>
      <c r="E217" s="478" t="n">
        <f aca="false">(SUMIF($5:$5,D217,$6:$6)-SUMIF($5:$5,$D$24,$6:$6)+100)/100</f>
        <v>1</v>
      </c>
      <c r="F217" s="2782"/>
      <c r="G217" s="478" t="n">
        <f aca="false">(SUMIF($7:$7,F217,$8:$8)-SUMIF($7:$7,$F$24,$8:$8)+100)/100</f>
        <v>1</v>
      </c>
      <c r="H217" s="2782"/>
      <c r="I217" s="478" t="n">
        <f aca="false">(SUMIF($9:$9,H217,$10:$10)-SUMIF($9:$9,$H$24,$10:$10)+100)/100</f>
        <v>1</v>
      </c>
      <c r="J217" s="2782"/>
      <c r="K217" s="478" t="n">
        <f aca="false">(SUMIF($11:$11,J217,$12:$12)-SUMIF($11:$11,$J$24,$12:$12)+100)/100</f>
        <v>1</v>
      </c>
      <c r="L217" s="2782"/>
      <c r="M217" s="478" t="n">
        <f aca="false">(SUMIF($13:$13,L217,$14:$14)-SUMIF($13:$13,$L$24,$14:$14)+100)/100</f>
        <v>1</v>
      </c>
      <c r="N217" s="2782"/>
      <c r="O217" s="478" t="n">
        <f aca="false">(SUMIF($15:$15,N217,$16:$16)-SUMIF($15:$15,$N$24,$16:$16)+100)/100</f>
        <v>1</v>
      </c>
      <c r="P217" s="2782"/>
      <c r="Q217" s="478" t="n">
        <f aca="false">(SUMIF($17:$17,P217,$18:$18)-SUMIF($17:$17,$P$24,$18:$18)+100)/100</f>
        <v>1</v>
      </c>
      <c r="R217" s="2772" t="n">
        <f aca="false">IF(B217="",0,ROUND($R$24*C217*E217*G217*I217*K217*M217*O217*Q217,0))</f>
        <v>0</v>
      </c>
      <c r="S217" s="2771" t="n">
        <f aca="false">ROUND(R217*B217/10000,0)</f>
        <v>0</v>
      </c>
    </row>
    <row r="218" customFormat="false" ht="12.75" hidden="false" customHeight="false" outlineLevel="0" collapsed="false">
      <c r="A218" s="1016"/>
      <c r="B218" s="2781"/>
      <c r="C218" s="478" t="n">
        <f aca="false">IF(B218="",1,(LOOKUP(B218,$3:$3,$4:$4)-LOOKUP($B$24,$3:$3,$4:$4)+100)/100)</f>
        <v>1</v>
      </c>
      <c r="D218" s="2782"/>
      <c r="E218" s="478" t="n">
        <f aca="false">(SUMIF($5:$5,D218,$6:$6)-SUMIF($5:$5,$D$24,$6:$6)+100)/100</f>
        <v>1</v>
      </c>
      <c r="F218" s="2782"/>
      <c r="G218" s="478" t="n">
        <f aca="false">(SUMIF($7:$7,F218,$8:$8)-SUMIF($7:$7,$F$24,$8:$8)+100)/100</f>
        <v>1</v>
      </c>
      <c r="H218" s="2782"/>
      <c r="I218" s="478" t="n">
        <f aca="false">(SUMIF($9:$9,H218,$10:$10)-SUMIF($9:$9,$H$24,$10:$10)+100)/100</f>
        <v>1</v>
      </c>
      <c r="J218" s="2782"/>
      <c r="K218" s="478" t="n">
        <f aca="false">(SUMIF($11:$11,J218,$12:$12)-SUMIF($11:$11,$J$24,$12:$12)+100)/100</f>
        <v>1</v>
      </c>
      <c r="L218" s="2782"/>
      <c r="M218" s="478" t="n">
        <f aca="false">(SUMIF($13:$13,L218,$14:$14)-SUMIF($13:$13,$L$24,$14:$14)+100)/100</f>
        <v>1</v>
      </c>
      <c r="N218" s="2782"/>
      <c r="O218" s="478" t="n">
        <f aca="false">(SUMIF($15:$15,N218,$16:$16)-SUMIF($15:$15,$N$24,$16:$16)+100)/100</f>
        <v>1</v>
      </c>
      <c r="P218" s="2782"/>
      <c r="Q218" s="478" t="n">
        <f aca="false">(SUMIF($17:$17,P218,$18:$18)-SUMIF($17:$17,$P$24,$18:$18)+100)/100</f>
        <v>1</v>
      </c>
      <c r="R218" s="2772" t="n">
        <f aca="false">IF(B218="",0,ROUND($R$24*C218*E218*G218*I218*K218*M218*O218*Q218,0))</f>
        <v>0</v>
      </c>
      <c r="S218" s="2771" t="n">
        <f aca="false">ROUND(R218*B218/10000,0)</f>
        <v>0</v>
      </c>
    </row>
    <row r="219" customFormat="false" ht="12.75" hidden="false" customHeight="false" outlineLevel="0" collapsed="false">
      <c r="A219" s="1016"/>
      <c r="B219" s="2781"/>
      <c r="C219" s="478" t="n">
        <f aca="false">IF(B219="",1,(LOOKUP(B219,$3:$3,$4:$4)-LOOKUP($B$24,$3:$3,$4:$4)+100)/100)</f>
        <v>1</v>
      </c>
      <c r="D219" s="2782"/>
      <c r="E219" s="478" t="n">
        <f aca="false">(SUMIF($5:$5,D219,$6:$6)-SUMIF($5:$5,$D$24,$6:$6)+100)/100</f>
        <v>1</v>
      </c>
      <c r="F219" s="2782"/>
      <c r="G219" s="478" t="n">
        <f aca="false">(SUMIF($7:$7,F219,$8:$8)-SUMIF($7:$7,$F$24,$8:$8)+100)/100</f>
        <v>1</v>
      </c>
      <c r="H219" s="2782"/>
      <c r="I219" s="478" t="n">
        <f aca="false">(SUMIF($9:$9,H219,$10:$10)-SUMIF($9:$9,$H$24,$10:$10)+100)/100</f>
        <v>1</v>
      </c>
      <c r="J219" s="2782"/>
      <c r="K219" s="478" t="n">
        <f aca="false">(SUMIF($11:$11,J219,$12:$12)-SUMIF($11:$11,$J$24,$12:$12)+100)/100</f>
        <v>1</v>
      </c>
      <c r="L219" s="2782"/>
      <c r="M219" s="478" t="n">
        <f aca="false">(SUMIF($13:$13,L219,$14:$14)-SUMIF($13:$13,$L$24,$14:$14)+100)/100</f>
        <v>1</v>
      </c>
      <c r="N219" s="2782"/>
      <c r="O219" s="478" t="n">
        <f aca="false">(SUMIF($15:$15,N219,$16:$16)-SUMIF($15:$15,$N$24,$16:$16)+100)/100</f>
        <v>1</v>
      </c>
      <c r="P219" s="2782"/>
      <c r="Q219" s="478" t="n">
        <f aca="false">(SUMIF($17:$17,P219,$18:$18)-SUMIF($17:$17,$P$24,$18:$18)+100)/100</f>
        <v>1</v>
      </c>
      <c r="R219" s="2772" t="n">
        <f aca="false">IF(B219="",0,ROUND($R$24*C219*E219*G219*I219*K219*M219*O219*Q219,0))</f>
        <v>0</v>
      </c>
      <c r="S219" s="2771" t="n">
        <f aca="false">ROUND(R219*B219/10000,0)</f>
        <v>0</v>
      </c>
    </row>
    <row r="220" customFormat="false" ht="12.75" hidden="false" customHeight="false" outlineLevel="0" collapsed="false">
      <c r="A220" s="1016"/>
      <c r="B220" s="2781"/>
      <c r="C220" s="478" t="n">
        <f aca="false">IF(B220="",1,(LOOKUP(B220,$3:$3,$4:$4)-LOOKUP($B$24,$3:$3,$4:$4)+100)/100)</f>
        <v>1</v>
      </c>
      <c r="D220" s="2782"/>
      <c r="E220" s="478" t="n">
        <f aca="false">(SUMIF($5:$5,D220,$6:$6)-SUMIF($5:$5,$D$24,$6:$6)+100)/100</f>
        <v>1</v>
      </c>
      <c r="F220" s="2782"/>
      <c r="G220" s="478" t="n">
        <f aca="false">(SUMIF($7:$7,F220,$8:$8)-SUMIF($7:$7,$F$24,$8:$8)+100)/100</f>
        <v>1</v>
      </c>
      <c r="H220" s="2782"/>
      <c r="I220" s="478" t="n">
        <f aca="false">(SUMIF($9:$9,H220,$10:$10)-SUMIF($9:$9,$H$24,$10:$10)+100)/100</f>
        <v>1</v>
      </c>
      <c r="J220" s="2782"/>
      <c r="K220" s="478" t="n">
        <f aca="false">(SUMIF($11:$11,J220,$12:$12)-SUMIF($11:$11,$J$24,$12:$12)+100)/100</f>
        <v>1</v>
      </c>
      <c r="L220" s="2782"/>
      <c r="M220" s="478" t="n">
        <f aca="false">(SUMIF($13:$13,L220,$14:$14)-SUMIF($13:$13,$L$24,$14:$14)+100)/100</f>
        <v>1</v>
      </c>
      <c r="N220" s="2782"/>
      <c r="O220" s="478" t="n">
        <f aca="false">(SUMIF($15:$15,N220,$16:$16)-SUMIF($15:$15,$N$24,$16:$16)+100)/100</f>
        <v>1</v>
      </c>
      <c r="P220" s="2782"/>
      <c r="Q220" s="478" t="n">
        <f aca="false">(SUMIF($17:$17,P220,$18:$18)-SUMIF($17:$17,$P$24,$18:$18)+100)/100</f>
        <v>1</v>
      </c>
      <c r="R220" s="2772" t="n">
        <f aca="false">IF(B220="",0,ROUND($R$24*C220*E220*G220*I220*K220*M220*O220*Q220,0))</f>
        <v>0</v>
      </c>
      <c r="S220" s="2771" t="n">
        <f aca="false">ROUND(R220*B220/10000,0)</f>
        <v>0</v>
      </c>
    </row>
    <row r="221" customFormat="false" ht="12.75" hidden="false" customHeight="false" outlineLevel="0" collapsed="false">
      <c r="A221" s="1016"/>
      <c r="B221" s="2781"/>
      <c r="C221" s="478" t="n">
        <f aca="false">IF(B221="",1,(LOOKUP(B221,$3:$3,$4:$4)-LOOKUP($B$24,$3:$3,$4:$4)+100)/100)</f>
        <v>1</v>
      </c>
      <c r="D221" s="2782"/>
      <c r="E221" s="478" t="n">
        <f aca="false">(SUMIF($5:$5,D221,$6:$6)-SUMIF($5:$5,$D$24,$6:$6)+100)/100</f>
        <v>1</v>
      </c>
      <c r="F221" s="2782"/>
      <c r="G221" s="478" t="n">
        <f aca="false">(SUMIF($7:$7,F221,$8:$8)-SUMIF($7:$7,$F$24,$8:$8)+100)/100</f>
        <v>1</v>
      </c>
      <c r="H221" s="2782"/>
      <c r="I221" s="478" t="n">
        <f aca="false">(SUMIF($9:$9,H221,$10:$10)-SUMIF($9:$9,$H$24,$10:$10)+100)/100</f>
        <v>1</v>
      </c>
      <c r="J221" s="2782"/>
      <c r="K221" s="478" t="n">
        <f aca="false">(SUMIF($11:$11,J221,$12:$12)-SUMIF($11:$11,$J$24,$12:$12)+100)/100</f>
        <v>1</v>
      </c>
      <c r="L221" s="2782"/>
      <c r="M221" s="478" t="n">
        <f aca="false">(SUMIF($13:$13,L221,$14:$14)-SUMIF($13:$13,$L$24,$14:$14)+100)/100</f>
        <v>1</v>
      </c>
      <c r="N221" s="2782"/>
      <c r="O221" s="478" t="n">
        <f aca="false">(SUMIF($15:$15,N221,$16:$16)-SUMIF($15:$15,$N$24,$16:$16)+100)/100</f>
        <v>1</v>
      </c>
      <c r="P221" s="2782"/>
      <c r="Q221" s="478" t="n">
        <f aca="false">(SUMIF($17:$17,P221,$18:$18)-SUMIF($17:$17,$P$24,$18:$18)+100)/100</f>
        <v>1</v>
      </c>
      <c r="R221" s="2772" t="n">
        <f aca="false">IF(B221="",0,ROUND($R$24*C221*E221*G221*I221*K221*M221*O221*Q221,0))</f>
        <v>0</v>
      </c>
      <c r="S221" s="2771" t="n">
        <f aca="false">ROUND(R221*B221/10000,0)</f>
        <v>0</v>
      </c>
    </row>
    <row r="222" customFormat="false" ht="12.75" hidden="false" customHeight="false" outlineLevel="0" collapsed="false">
      <c r="A222" s="1016"/>
      <c r="B222" s="2781"/>
      <c r="C222" s="478" t="n">
        <f aca="false">IF(B222="",1,(LOOKUP(B222,$3:$3,$4:$4)-LOOKUP($B$24,$3:$3,$4:$4)+100)/100)</f>
        <v>1</v>
      </c>
      <c r="D222" s="2782"/>
      <c r="E222" s="478" t="n">
        <f aca="false">(SUMIF($5:$5,D222,$6:$6)-SUMIF($5:$5,$D$24,$6:$6)+100)/100</f>
        <v>1</v>
      </c>
      <c r="F222" s="2782"/>
      <c r="G222" s="478" t="n">
        <f aca="false">(SUMIF($7:$7,F222,$8:$8)-SUMIF($7:$7,$F$24,$8:$8)+100)/100</f>
        <v>1</v>
      </c>
      <c r="H222" s="2782"/>
      <c r="I222" s="478" t="n">
        <f aca="false">(SUMIF($9:$9,H222,$10:$10)-SUMIF($9:$9,$H$24,$10:$10)+100)/100</f>
        <v>1</v>
      </c>
      <c r="J222" s="2782"/>
      <c r="K222" s="478" t="n">
        <f aca="false">(SUMIF($11:$11,J222,$12:$12)-SUMIF($11:$11,$J$24,$12:$12)+100)/100</f>
        <v>1</v>
      </c>
      <c r="L222" s="2782"/>
      <c r="M222" s="478" t="n">
        <f aca="false">(SUMIF($13:$13,L222,$14:$14)-SUMIF($13:$13,$L$24,$14:$14)+100)/100</f>
        <v>1</v>
      </c>
      <c r="N222" s="2782"/>
      <c r="O222" s="478" t="n">
        <f aca="false">(SUMIF($15:$15,N222,$16:$16)-SUMIF($15:$15,$N$24,$16:$16)+100)/100</f>
        <v>1</v>
      </c>
      <c r="P222" s="2782"/>
      <c r="Q222" s="478" t="n">
        <f aca="false">(SUMIF($17:$17,P222,$18:$18)-SUMIF($17:$17,$P$24,$18:$18)+100)/100</f>
        <v>1</v>
      </c>
      <c r="R222" s="2772" t="n">
        <f aca="false">IF(B222="",0,ROUND($R$24*C222*E222*G222*I222*K222*M222*O222*Q222,0))</f>
        <v>0</v>
      </c>
      <c r="S222" s="2771" t="n">
        <f aca="false">ROUND(R222*B222/10000,0)</f>
        <v>0</v>
      </c>
    </row>
    <row r="223" customFormat="false" ht="12.75" hidden="false" customHeight="false" outlineLevel="0" collapsed="false">
      <c r="A223" s="1016"/>
      <c r="B223" s="2781"/>
      <c r="C223" s="478" t="n">
        <f aca="false">IF(B223="",1,(LOOKUP(B223,$3:$3,$4:$4)-LOOKUP($B$24,$3:$3,$4:$4)+100)/100)</f>
        <v>1</v>
      </c>
      <c r="D223" s="2782"/>
      <c r="E223" s="478" t="n">
        <f aca="false">(SUMIF($5:$5,D223,$6:$6)-SUMIF($5:$5,$D$24,$6:$6)+100)/100</f>
        <v>1</v>
      </c>
      <c r="F223" s="2782"/>
      <c r="G223" s="478" t="n">
        <f aca="false">(SUMIF($7:$7,F223,$8:$8)-SUMIF($7:$7,$F$24,$8:$8)+100)/100</f>
        <v>1</v>
      </c>
      <c r="H223" s="2782"/>
      <c r="I223" s="478" t="n">
        <f aca="false">(SUMIF($9:$9,H223,$10:$10)-SUMIF($9:$9,$H$24,$10:$10)+100)/100</f>
        <v>1</v>
      </c>
      <c r="J223" s="2782"/>
      <c r="K223" s="478" t="n">
        <f aca="false">(SUMIF($11:$11,J223,$12:$12)-SUMIF($11:$11,$J$24,$12:$12)+100)/100</f>
        <v>1</v>
      </c>
      <c r="L223" s="2782"/>
      <c r="M223" s="478" t="n">
        <f aca="false">(SUMIF($13:$13,L223,$14:$14)-SUMIF($13:$13,$L$24,$14:$14)+100)/100</f>
        <v>1</v>
      </c>
      <c r="N223" s="2782"/>
      <c r="O223" s="478" t="n">
        <f aca="false">(SUMIF($15:$15,N223,$16:$16)-SUMIF($15:$15,$N$24,$16:$16)+100)/100</f>
        <v>1</v>
      </c>
      <c r="P223" s="2782"/>
      <c r="Q223" s="478" t="n">
        <f aca="false">(SUMIF($17:$17,P223,$18:$18)-SUMIF($17:$17,$P$24,$18:$18)+100)/100</f>
        <v>1</v>
      </c>
      <c r="R223" s="2772" t="n">
        <f aca="false">IF(B223="",0,ROUND($R$24*C223*E223*G223*I223*K223*M223*O223*Q223,0))</f>
        <v>0</v>
      </c>
      <c r="S223" s="2771" t="n">
        <f aca="false">ROUND(R223*B223/10000,0)</f>
        <v>0</v>
      </c>
    </row>
    <row r="224" customFormat="false" ht="12.75" hidden="false" customHeight="false" outlineLevel="0" collapsed="false">
      <c r="A224" s="1016"/>
      <c r="B224" s="2781"/>
      <c r="C224" s="478" t="n">
        <f aca="false">IF(B224="",1,(LOOKUP(B224,$3:$3,$4:$4)-LOOKUP($B$24,$3:$3,$4:$4)+100)/100)</f>
        <v>1</v>
      </c>
      <c r="D224" s="2782"/>
      <c r="E224" s="478" t="n">
        <f aca="false">(SUMIF($5:$5,D224,$6:$6)-SUMIF($5:$5,$D$24,$6:$6)+100)/100</f>
        <v>1</v>
      </c>
      <c r="F224" s="2782"/>
      <c r="G224" s="478" t="n">
        <f aca="false">(SUMIF($7:$7,F224,$8:$8)-SUMIF($7:$7,$F$24,$8:$8)+100)/100</f>
        <v>1</v>
      </c>
      <c r="H224" s="2782"/>
      <c r="I224" s="478" t="n">
        <f aca="false">(SUMIF($9:$9,H224,$10:$10)-SUMIF($9:$9,$H$24,$10:$10)+100)/100</f>
        <v>1</v>
      </c>
      <c r="J224" s="2782"/>
      <c r="K224" s="478" t="n">
        <f aca="false">(SUMIF($11:$11,J224,$12:$12)-SUMIF($11:$11,$J$24,$12:$12)+100)/100</f>
        <v>1</v>
      </c>
      <c r="L224" s="2782"/>
      <c r="M224" s="478" t="n">
        <f aca="false">(SUMIF($13:$13,L224,$14:$14)-SUMIF($13:$13,$L$24,$14:$14)+100)/100</f>
        <v>1</v>
      </c>
      <c r="N224" s="2782"/>
      <c r="O224" s="478" t="n">
        <f aca="false">(SUMIF($15:$15,N224,$16:$16)-SUMIF($15:$15,$N$24,$16:$16)+100)/100</f>
        <v>1</v>
      </c>
      <c r="P224" s="2782"/>
      <c r="Q224" s="478" t="n">
        <f aca="false">(SUMIF($17:$17,P224,$18:$18)-SUMIF($17:$17,$P$24,$18:$18)+100)/100</f>
        <v>1</v>
      </c>
      <c r="R224" s="2772" t="n">
        <f aca="false">IF(B224="",0,ROUND($R$24*C224*E224*G224*I224*K224*M224*O224*Q224,0))</f>
        <v>0</v>
      </c>
      <c r="S224" s="2771" t="n">
        <f aca="false">ROUND(R224*B224/10000,0)</f>
        <v>0</v>
      </c>
    </row>
    <row r="225" customFormat="false" ht="12.75" hidden="false" customHeight="false" outlineLevel="0" collapsed="false">
      <c r="A225" s="1016"/>
      <c r="B225" s="2781"/>
      <c r="C225" s="478" t="n">
        <f aca="false">IF(B225="",1,(LOOKUP(B225,$3:$3,$4:$4)-LOOKUP($B$24,$3:$3,$4:$4)+100)/100)</f>
        <v>1</v>
      </c>
      <c r="D225" s="2782"/>
      <c r="E225" s="478" t="n">
        <f aca="false">(SUMIF($5:$5,D225,$6:$6)-SUMIF($5:$5,$D$24,$6:$6)+100)/100</f>
        <v>1</v>
      </c>
      <c r="F225" s="2782"/>
      <c r="G225" s="478" t="n">
        <f aca="false">(SUMIF($7:$7,F225,$8:$8)-SUMIF($7:$7,$F$24,$8:$8)+100)/100</f>
        <v>1</v>
      </c>
      <c r="H225" s="2782"/>
      <c r="I225" s="478" t="n">
        <f aca="false">(SUMIF($9:$9,H225,$10:$10)-SUMIF($9:$9,$H$24,$10:$10)+100)/100</f>
        <v>1</v>
      </c>
      <c r="J225" s="2782"/>
      <c r="K225" s="478" t="n">
        <f aca="false">(SUMIF($11:$11,J225,$12:$12)-SUMIF($11:$11,$J$24,$12:$12)+100)/100</f>
        <v>1</v>
      </c>
      <c r="L225" s="2782"/>
      <c r="M225" s="478" t="n">
        <f aca="false">(SUMIF($13:$13,L225,$14:$14)-SUMIF($13:$13,$L$24,$14:$14)+100)/100</f>
        <v>1</v>
      </c>
      <c r="N225" s="2782"/>
      <c r="O225" s="478" t="n">
        <f aca="false">(SUMIF($15:$15,N225,$16:$16)-SUMIF($15:$15,$N$24,$16:$16)+100)/100</f>
        <v>1</v>
      </c>
      <c r="P225" s="2782"/>
      <c r="Q225" s="478" t="n">
        <f aca="false">(SUMIF($17:$17,P225,$18:$18)-SUMIF($17:$17,$P$24,$18:$18)+100)/100</f>
        <v>1</v>
      </c>
      <c r="R225" s="2772" t="n">
        <f aca="false">IF(B225="",0,ROUND($R$24*C225*E225*G225*I225*K225*M225*O225*Q225,0))</f>
        <v>0</v>
      </c>
      <c r="S225" s="2771" t="n">
        <f aca="false">ROUND(R225*B225/10000,0)</f>
        <v>0</v>
      </c>
    </row>
    <row r="226" customFormat="false" ht="12.75" hidden="false" customHeight="false" outlineLevel="0" collapsed="false">
      <c r="A226" s="1016"/>
      <c r="B226" s="2781"/>
      <c r="C226" s="478" t="n">
        <f aca="false">IF(B226="",1,(LOOKUP(B226,$3:$3,$4:$4)-LOOKUP($B$24,$3:$3,$4:$4)+100)/100)</f>
        <v>1</v>
      </c>
      <c r="D226" s="2782"/>
      <c r="E226" s="478" t="n">
        <f aca="false">(SUMIF($5:$5,D226,$6:$6)-SUMIF($5:$5,$D$24,$6:$6)+100)/100</f>
        <v>1</v>
      </c>
      <c r="F226" s="2782"/>
      <c r="G226" s="478" t="n">
        <f aca="false">(SUMIF($7:$7,F226,$8:$8)-SUMIF($7:$7,$F$24,$8:$8)+100)/100</f>
        <v>1</v>
      </c>
      <c r="H226" s="2782"/>
      <c r="I226" s="478" t="n">
        <f aca="false">(SUMIF($9:$9,H226,$10:$10)-SUMIF($9:$9,$H$24,$10:$10)+100)/100</f>
        <v>1</v>
      </c>
      <c r="J226" s="2782"/>
      <c r="K226" s="478" t="n">
        <f aca="false">(SUMIF($11:$11,J226,$12:$12)-SUMIF($11:$11,$J$24,$12:$12)+100)/100</f>
        <v>1</v>
      </c>
      <c r="L226" s="2782"/>
      <c r="M226" s="478" t="n">
        <f aca="false">(SUMIF($13:$13,L226,$14:$14)-SUMIF($13:$13,$L$24,$14:$14)+100)/100</f>
        <v>1</v>
      </c>
      <c r="N226" s="2782"/>
      <c r="O226" s="478" t="n">
        <f aca="false">(SUMIF($15:$15,N226,$16:$16)-SUMIF($15:$15,$N$24,$16:$16)+100)/100</f>
        <v>1</v>
      </c>
      <c r="P226" s="2782"/>
      <c r="Q226" s="478" t="n">
        <f aca="false">(SUMIF($17:$17,P226,$18:$18)-SUMIF($17:$17,$P$24,$18:$18)+100)/100</f>
        <v>1</v>
      </c>
      <c r="R226" s="2772" t="n">
        <f aca="false">IF(B226="",0,ROUND($R$24*C226*E226*G226*I226*K226*M226*O226*Q226,0))</f>
        <v>0</v>
      </c>
      <c r="S226" s="2771" t="n">
        <f aca="false">ROUND(R226*B226/10000,0)</f>
        <v>0</v>
      </c>
    </row>
    <row r="227" customFormat="false" ht="12.75" hidden="false" customHeight="false" outlineLevel="0" collapsed="false">
      <c r="A227" s="1016"/>
      <c r="B227" s="2781"/>
      <c r="C227" s="478" t="n">
        <f aca="false">IF(B227="",1,(LOOKUP(B227,$3:$3,$4:$4)-LOOKUP($B$24,$3:$3,$4:$4)+100)/100)</f>
        <v>1</v>
      </c>
      <c r="D227" s="2782"/>
      <c r="E227" s="478" t="n">
        <f aca="false">(SUMIF($5:$5,D227,$6:$6)-SUMIF($5:$5,$D$24,$6:$6)+100)/100</f>
        <v>1</v>
      </c>
      <c r="F227" s="2782"/>
      <c r="G227" s="478" t="n">
        <f aca="false">(SUMIF($7:$7,F227,$8:$8)-SUMIF($7:$7,$F$24,$8:$8)+100)/100</f>
        <v>1</v>
      </c>
      <c r="H227" s="2782"/>
      <c r="I227" s="478" t="n">
        <f aca="false">(SUMIF($9:$9,H227,$10:$10)-SUMIF($9:$9,$H$24,$10:$10)+100)/100</f>
        <v>1</v>
      </c>
      <c r="J227" s="2782"/>
      <c r="K227" s="478" t="n">
        <f aca="false">(SUMIF($11:$11,J227,$12:$12)-SUMIF($11:$11,$J$24,$12:$12)+100)/100</f>
        <v>1</v>
      </c>
      <c r="L227" s="2782"/>
      <c r="M227" s="478" t="n">
        <f aca="false">(SUMIF($13:$13,L227,$14:$14)-SUMIF($13:$13,$L$24,$14:$14)+100)/100</f>
        <v>1</v>
      </c>
      <c r="N227" s="2782"/>
      <c r="O227" s="478" t="n">
        <f aca="false">(SUMIF($15:$15,N227,$16:$16)-SUMIF($15:$15,$N$24,$16:$16)+100)/100</f>
        <v>1</v>
      </c>
      <c r="P227" s="2782"/>
      <c r="Q227" s="478" t="n">
        <f aca="false">(SUMIF($17:$17,P227,$18:$18)-SUMIF($17:$17,$P$24,$18:$18)+100)/100</f>
        <v>1</v>
      </c>
      <c r="R227" s="2772" t="n">
        <f aca="false">IF(B227="",0,ROUND($R$24*C227*E227*G227*I227*K227*M227*O227*Q227,0))</f>
        <v>0</v>
      </c>
      <c r="S227" s="2771" t="n">
        <f aca="false">ROUND(R227*B227/10000,0)</f>
        <v>0</v>
      </c>
    </row>
    <row r="228" customFormat="false" ht="12.75" hidden="false" customHeight="false" outlineLevel="0" collapsed="false">
      <c r="A228" s="1016"/>
      <c r="B228" s="2781"/>
      <c r="C228" s="478" t="n">
        <f aca="false">IF(B228="",1,(LOOKUP(B228,$3:$3,$4:$4)-LOOKUP($B$24,$3:$3,$4:$4)+100)/100)</f>
        <v>1</v>
      </c>
      <c r="D228" s="2782"/>
      <c r="E228" s="478" t="n">
        <f aca="false">(SUMIF($5:$5,D228,$6:$6)-SUMIF($5:$5,$D$24,$6:$6)+100)/100</f>
        <v>1</v>
      </c>
      <c r="F228" s="2782"/>
      <c r="G228" s="478" t="n">
        <f aca="false">(SUMIF($7:$7,F228,$8:$8)-SUMIF($7:$7,$F$24,$8:$8)+100)/100</f>
        <v>1</v>
      </c>
      <c r="H228" s="2782"/>
      <c r="I228" s="478" t="n">
        <f aca="false">(SUMIF($9:$9,H228,$10:$10)-SUMIF($9:$9,$H$24,$10:$10)+100)/100</f>
        <v>1</v>
      </c>
      <c r="J228" s="2782"/>
      <c r="K228" s="478" t="n">
        <f aca="false">(SUMIF($11:$11,J228,$12:$12)-SUMIF($11:$11,$J$24,$12:$12)+100)/100</f>
        <v>1</v>
      </c>
      <c r="L228" s="2782"/>
      <c r="M228" s="478" t="n">
        <f aca="false">(SUMIF($13:$13,L228,$14:$14)-SUMIF($13:$13,$L$24,$14:$14)+100)/100</f>
        <v>1</v>
      </c>
      <c r="N228" s="2782"/>
      <c r="O228" s="478" t="n">
        <f aca="false">(SUMIF($15:$15,N228,$16:$16)-SUMIF($15:$15,$N$24,$16:$16)+100)/100</f>
        <v>1</v>
      </c>
      <c r="P228" s="2782"/>
      <c r="Q228" s="478" t="n">
        <f aca="false">(SUMIF($17:$17,P228,$18:$18)-SUMIF($17:$17,$P$24,$18:$18)+100)/100</f>
        <v>1</v>
      </c>
      <c r="R228" s="2772" t="n">
        <f aca="false">IF(B228="",0,ROUND($R$24*C228*E228*G228*I228*K228*M228*O228*Q228,0))</f>
        <v>0</v>
      </c>
      <c r="S228" s="2771" t="n">
        <f aca="false">ROUND(R228*B228/10000,0)</f>
        <v>0</v>
      </c>
    </row>
    <row r="229" customFormat="false" ht="12.75" hidden="false" customHeight="false" outlineLevel="0" collapsed="false">
      <c r="A229" s="1016"/>
      <c r="B229" s="2781"/>
      <c r="C229" s="478" t="n">
        <f aca="false">IF(B229="",1,(LOOKUP(B229,$3:$3,$4:$4)-LOOKUP($B$24,$3:$3,$4:$4)+100)/100)</f>
        <v>1</v>
      </c>
      <c r="D229" s="2782"/>
      <c r="E229" s="478" t="n">
        <f aca="false">(SUMIF($5:$5,D229,$6:$6)-SUMIF($5:$5,$D$24,$6:$6)+100)/100</f>
        <v>1</v>
      </c>
      <c r="F229" s="2782"/>
      <c r="G229" s="478" t="n">
        <f aca="false">(SUMIF($7:$7,F229,$8:$8)-SUMIF($7:$7,$F$24,$8:$8)+100)/100</f>
        <v>1</v>
      </c>
      <c r="H229" s="2782"/>
      <c r="I229" s="478" t="n">
        <f aca="false">(SUMIF($9:$9,H229,$10:$10)-SUMIF($9:$9,$H$24,$10:$10)+100)/100</f>
        <v>1</v>
      </c>
      <c r="J229" s="2782"/>
      <c r="K229" s="478" t="n">
        <f aca="false">(SUMIF($11:$11,J229,$12:$12)-SUMIF($11:$11,$J$24,$12:$12)+100)/100</f>
        <v>1</v>
      </c>
      <c r="L229" s="2782"/>
      <c r="M229" s="478" t="n">
        <f aca="false">(SUMIF($13:$13,L229,$14:$14)-SUMIF($13:$13,$L$24,$14:$14)+100)/100</f>
        <v>1</v>
      </c>
      <c r="N229" s="2782"/>
      <c r="O229" s="478" t="n">
        <f aca="false">(SUMIF($15:$15,N229,$16:$16)-SUMIF($15:$15,$N$24,$16:$16)+100)/100</f>
        <v>1</v>
      </c>
      <c r="P229" s="2782"/>
      <c r="Q229" s="478" t="n">
        <f aca="false">(SUMIF($17:$17,P229,$18:$18)-SUMIF($17:$17,$P$24,$18:$18)+100)/100</f>
        <v>1</v>
      </c>
      <c r="R229" s="2772" t="n">
        <f aca="false">IF(B229="",0,ROUND($R$24*C229*E229*G229*I229*K229*M229*O229*Q229,0))</f>
        <v>0</v>
      </c>
      <c r="S229" s="2771" t="n">
        <f aca="false">ROUND(R229*B229/10000,0)</f>
        <v>0</v>
      </c>
    </row>
    <row r="230" customFormat="false" ht="12.75" hidden="false" customHeight="false" outlineLevel="0" collapsed="false">
      <c r="A230" s="1016"/>
      <c r="B230" s="2781"/>
      <c r="C230" s="478" t="n">
        <f aca="false">IF(B230="",1,(LOOKUP(B230,$3:$3,$4:$4)-LOOKUP($B$24,$3:$3,$4:$4)+100)/100)</f>
        <v>1</v>
      </c>
      <c r="D230" s="2782"/>
      <c r="E230" s="478" t="n">
        <f aca="false">(SUMIF($5:$5,D230,$6:$6)-SUMIF($5:$5,$D$24,$6:$6)+100)/100</f>
        <v>1</v>
      </c>
      <c r="F230" s="2782"/>
      <c r="G230" s="478" t="n">
        <f aca="false">(SUMIF($7:$7,F230,$8:$8)-SUMIF($7:$7,$F$24,$8:$8)+100)/100</f>
        <v>1</v>
      </c>
      <c r="H230" s="2782"/>
      <c r="I230" s="478" t="n">
        <f aca="false">(SUMIF($9:$9,H230,$10:$10)-SUMIF($9:$9,$H$24,$10:$10)+100)/100</f>
        <v>1</v>
      </c>
      <c r="J230" s="2782"/>
      <c r="K230" s="478" t="n">
        <f aca="false">(SUMIF($11:$11,J230,$12:$12)-SUMIF($11:$11,$J$24,$12:$12)+100)/100</f>
        <v>1</v>
      </c>
      <c r="L230" s="2782"/>
      <c r="M230" s="478" t="n">
        <f aca="false">(SUMIF($13:$13,L230,$14:$14)-SUMIF($13:$13,$L$24,$14:$14)+100)/100</f>
        <v>1</v>
      </c>
      <c r="N230" s="2782"/>
      <c r="O230" s="478" t="n">
        <f aca="false">(SUMIF($15:$15,N230,$16:$16)-SUMIF($15:$15,$N$24,$16:$16)+100)/100</f>
        <v>1</v>
      </c>
      <c r="P230" s="2782"/>
      <c r="Q230" s="478" t="n">
        <f aca="false">(SUMIF($17:$17,P230,$18:$18)-SUMIF($17:$17,$P$24,$18:$18)+100)/100</f>
        <v>1</v>
      </c>
      <c r="R230" s="2772" t="n">
        <f aca="false">IF(B230="",0,ROUND($R$24*C230*E230*G230*I230*K230*M230*O230*Q230,0))</f>
        <v>0</v>
      </c>
      <c r="S230" s="2771" t="n">
        <f aca="false">ROUND(R230*B230/10000,0)</f>
        <v>0</v>
      </c>
    </row>
    <row r="231" customFormat="false" ht="12.75" hidden="false" customHeight="false" outlineLevel="0" collapsed="false">
      <c r="A231" s="1016"/>
      <c r="B231" s="2781"/>
      <c r="C231" s="478" t="n">
        <f aca="false">IF(B231="",1,(LOOKUP(B231,$3:$3,$4:$4)-LOOKUP($B$24,$3:$3,$4:$4)+100)/100)</f>
        <v>1</v>
      </c>
      <c r="D231" s="2782"/>
      <c r="E231" s="478" t="n">
        <f aca="false">(SUMIF($5:$5,D231,$6:$6)-SUMIF($5:$5,$D$24,$6:$6)+100)/100</f>
        <v>1</v>
      </c>
      <c r="F231" s="2782"/>
      <c r="G231" s="478" t="n">
        <f aca="false">(SUMIF($7:$7,F231,$8:$8)-SUMIF($7:$7,$F$24,$8:$8)+100)/100</f>
        <v>1</v>
      </c>
      <c r="H231" s="2782"/>
      <c r="I231" s="478" t="n">
        <f aca="false">(SUMIF($9:$9,H231,$10:$10)-SUMIF($9:$9,$H$24,$10:$10)+100)/100</f>
        <v>1</v>
      </c>
      <c r="J231" s="2782"/>
      <c r="K231" s="478" t="n">
        <f aca="false">(SUMIF($11:$11,J231,$12:$12)-SUMIF($11:$11,$J$24,$12:$12)+100)/100</f>
        <v>1</v>
      </c>
      <c r="L231" s="2782"/>
      <c r="M231" s="478" t="n">
        <f aca="false">(SUMIF($13:$13,L231,$14:$14)-SUMIF($13:$13,$L$24,$14:$14)+100)/100</f>
        <v>1</v>
      </c>
      <c r="N231" s="2782"/>
      <c r="O231" s="478" t="n">
        <f aca="false">(SUMIF($15:$15,N231,$16:$16)-SUMIF($15:$15,$N$24,$16:$16)+100)/100</f>
        <v>1</v>
      </c>
      <c r="P231" s="2782"/>
      <c r="Q231" s="478" t="n">
        <f aca="false">(SUMIF($17:$17,P231,$18:$18)-SUMIF($17:$17,$P$24,$18:$18)+100)/100</f>
        <v>1</v>
      </c>
      <c r="R231" s="2772" t="n">
        <f aca="false">IF(B231="",0,ROUND($R$24*C231*E231*G231*I231*K231*M231*O231*Q231,0))</f>
        <v>0</v>
      </c>
      <c r="S231" s="2771" t="n">
        <f aca="false">ROUND(R231*B231/10000,0)</f>
        <v>0</v>
      </c>
    </row>
    <row r="232" customFormat="false" ht="12.75" hidden="false" customHeight="false" outlineLevel="0" collapsed="false">
      <c r="A232" s="1016"/>
      <c r="B232" s="2781"/>
      <c r="C232" s="478" t="n">
        <f aca="false">IF(B232="",1,(LOOKUP(B232,$3:$3,$4:$4)-LOOKUP($B$24,$3:$3,$4:$4)+100)/100)</f>
        <v>1</v>
      </c>
      <c r="D232" s="2782"/>
      <c r="E232" s="478" t="n">
        <f aca="false">(SUMIF($5:$5,D232,$6:$6)-SUMIF($5:$5,$D$24,$6:$6)+100)/100</f>
        <v>1</v>
      </c>
      <c r="F232" s="2782"/>
      <c r="G232" s="478" t="n">
        <f aca="false">(SUMIF($7:$7,F232,$8:$8)-SUMIF($7:$7,$F$24,$8:$8)+100)/100</f>
        <v>1</v>
      </c>
      <c r="H232" s="2782"/>
      <c r="I232" s="478" t="n">
        <f aca="false">(SUMIF($9:$9,H232,$10:$10)-SUMIF($9:$9,$H$24,$10:$10)+100)/100</f>
        <v>1</v>
      </c>
      <c r="J232" s="2782"/>
      <c r="K232" s="478" t="n">
        <f aca="false">(SUMIF($11:$11,J232,$12:$12)-SUMIF($11:$11,$J$24,$12:$12)+100)/100</f>
        <v>1</v>
      </c>
      <c r="L232" s="2782"/>
      <c r="M232" s="478" t="n">
        <f aca="false">(SUMIF($13:$13,L232,$14:$14)-SUMIF($13:$13,$L$24,$14:$14)+100)/100</f>
        <v>1</v>
      </c>
      <c r="N232" s="2782"/>
      <c r="O232" s="478" t="n">
        <f aca="false">(SUMIF($15:$15,N232,$16:$16)-SUMIF($15:$15,$N$24,$16:$16)+100)/100</f>
        <v>1</v>
      </c>
      <c r="P232" s="2782"/>
      <c r="Q232" s="478" t="n">
        <f aca="false">(SUMIF($17:$17,P232,$18:$18)-SUMIF($17:$17,$P$24,$18:$18)+100)/100</f>
        <v>1</v>
      </c>
      <c r="R232" s="2772" t="n">
        <f aca="false">IF(B232="",0,ROUND($R$24*C232*E232*G232*I232*K232*M232*O232*Q232,0))</f>
        <v>0</v>
      </c>
      <c r="S232" s="2771" t="n">
        <f aca="false">ROUND(R232*B232/10000,0)</f>
        <v>0</v>
      </c>
    </row>
    <row r="233" customFormat="false" ht="12.75" hidden="false" customHeight="false" outlineLevel="0" collapsed="false">
      <c r="A233" s="1016"/>
      <c r="B233" s="2781"/>
      <c r="C233" s="478" t="n">
        <f aca="false">IF(B233="",1,(LOOKUP(B233,$3:$3,$4:$4)-LOOKUP($B$24,$3:$3,$4:$4)+100)/100)</f>
        <v>1</v>
      </c>
      <c r="D233" s="2782"/>
      <c r="E233" s="478" t="n">
        <f aca="false">(SUMIF($5:$5,D233,$6:$6)-SUMIF($5:$5,$D$24,$6:$6)+100)/100</f>
        <v>1</v>
      </c>
      <c r="F233" s="2782"/>
      <c r="G233" s="478" t="n">
        <f aca="false">(SUMIF($7:$7,F233,$8:$8)-SUMIF($7:$7,$F$24,$8:$8)+100)/100</f>
        <v>1</v>
      </c>
      <c r="H233" s="2782"/>
      <c r="I233" s="478" t="n">
        <f aca="false">(SUMIF($9:$9,H233,$10:$10)-SUMIF($9:$9,$H$24,$10:$10)+100)/100</f>
        <v>1</v>
      </c>
      <c r="J233" s="2782"/>
      <c r="K233" s="478" t="n">
        <f aca="false">(SUMIF($11:$11,J233,$12:$12)-SUMIF($11:$11,$J$24,$12:$12)+100)/100</f>
        <v>1</v>
      </c>
      <c r="L233" s="2782"/>
      <c r="M233" s="478" t="n">
        <f aca="false">(SUMIF($13:$13,L233,$14:$14)-SUMIF($13:$13,$L$24,$14:$14)+100)/100</f>
        <v>1</v>
      </c>
      <c r="N233" s="2782"/>
      <c r="O233" s="478" t="n">
        <f aca="false">(SUMIF($15:$15,N233,$16:$16)-SUMIF($15:$15,$N$24,$16:$16)+100)/100</f>
        <v>1</v>
      </c>
      <c r="P233" s="2782"/>
      <c r="Q233" s="478" t="n">
        <f aca="false">(SUMIF($17:$17,P233,$18:$18)-SUMIF($17:$17,$P$24,$18:$18)+100)/100</f>
        <v>1</v>
      </c>
      <c r="R233" s="2772" t="n">
        <f aca="false">IF(B233="",0,ROUND($R$24*C233*E233*G233*I233*K233*M233*O233*Q233,0))</f>
        <v>0</v>
      </c>
      <c r="S233" s="2771" t="n">
        <f aca="false">ROUND(R233*B233/10000,0)</f>
        <v>0</v>
      </c>
    </row>
    <row r="234" customFormat="false" ht="12.75" hidden="false" customHeight="false" outlineLevel="0" collapsed="false">
      <c r="A234" s="1016"/>
      <c r="B234" s="2781"/>
      <c r="C234" s="478" t="n">
        <f aca="false">IF(B234="",1,(LOOKUP(B234,$3:$3,$4:$4)-LOOKUP($B$24,$3:$3,$4:$4)+100)/100)</f>
        <v>1</v>
      </c>
      <c r="D234" s="2782"/>
      <c r="E234" s="478" t="n">
        <f aca="false">(SUMIF($5:$5,D234,$6:$6)-SUMIF($5:$5,$D$24,$6:$6)+100)/100</f>
        <v>1</v>
      </c>
      <c r="F234" s="2782"/>
      <c r="G234" s="478" t="n">
        <f aca="false">(SUMIF($7:$7,F234,$8:$8)-SUMIF($7:$7,$F$24,$8:$8)+100)/100</f>
        <v>1</v>
      </c>
      <c r="H234" s="2782"/>
      <c r="I234" s="478" t="n">
        <f aca="false">(SUMIF($9:$9,H234,$10:$10)-SUMIF($9:$9,$H$24,$10:$10)+100)/100</f>
        <v>1</v>
      </c>
      <c r="J234" s="2782"/>
      <c r="K234" s="478" t="n">
        <f aca="false">(SUMIF($11:$11,J234,$12:$12)-SUMIF($11:$11,$J$24,$12:$12)+100)/100</f>
        <v>1</v>
      </c>
      <c r="L234" s="2782"/>
      <c r="M234" s="478" t="n">
        <f aca="false">(SUMIF($13:$13,L234,$14:$14)-SUMIF($13:$13,$L$24,$14:$14)+100)/100</f>
        <v>1</v>
      </c>
      <c r="N234" s="2782"/>
      <c r="O234" s="478" t="n">
        <f aca="false">(SUMIF($15:$15,N234,$16:$16)-SUMIF($15:$15,$N$24,$16:$16)+100)/100</f>
        <v>1</v>
      </c>
      <c r="P234" s="2782"/>
      <c r="Q234" s="478" t="n">
        <f aca="false">(SUMIF($17:$17,P234,$18:$18)-SUMIF($17:$17,$P$24,$18:$18)+100)/100</f>
        <v>1</v>
      </c>
      <c r="R234" s="2772" t="n">
        <f aca="false">IF(B234="",0,ROUND($R$24*C234*E234*G234*I234*K234*M234*O234*Q234,0))</f>
        <v>0</v>
      </c>
      <c r="S234" s="2771" t="n">
        <f aca="false">ROUND(R234*B234/10000,0)</f>
        <v>0</v>
      </c>
    </row>
    <row r="235" customFormat="false" ht="12.75" hidden="false" customHeight="false" outlineLevel="0" collapsed="false">
      <c r="A235" s="1016"/>
      <c r="B235" s="2781"/>
      <c r="C235" s="478" t="n">
        <f aca="false">IF(B235="",1,(LOOKUP(B235,$3:$3,$4:$4)-LOOKUP($B$24,$3:$3,$4:$4)+100)/100)</f>
        <v>1</v>
      </c>
      <c r="D235" s="2782"/>
      <c r="E235" s="478" t="n">
        <f aca="false">(SUMIF($5:$5,D235,$6:$6)-SUMIF($5:$5,$D$24,$6:$6)+100)/100</f>
        <v>1</v>
      </c>
      <c r="F235" s="2782"/>
      <c r="G235" s="478" t="n">
        <f aca="false">(SUMIF($7:$7,F235,$8:$8)-SUMIF($7:$7,$F$24,$8:$8)+100)/100</f>
        <v>1</v>
      </c>
      <c r="H235" s="2782"/>
      <c r="I235" s="478" t="n">
        <f aca="false">(SUMIF($9:$9,H235,$10:$10)-SUMIF($9:$9,$H$24,$10:$10)+100)/100</f>
        <v>1</v>
      </c>
      <c r="J235" s="2782"/>
      <c r="K235" s="478" t="n">
        <f aca="false">(SUMIF($11:$11,J235,$12:$12)-SUMIF($11:$11,$J$24,$12:$12)+100)/100</f>
        <v>1</v>
      </c>
      <c r="L235" s="2782"/>
      <c r="M235" s="478" t="n">
        <f aca="false">(SUMIF($13:$13,L235,$14:$14)-SUMIF($13:$13,$L$24,$14:$14)+100)/100</f>
        <v>1</v>
      </c>
      <c r="N235" s="2782"/>
      <c r="O235" s="478" t="n">
        <f aca="false">(SUMIF($15:$15,N235,$16:$16)-SUMIF($15:$15,$N$24,$16:$16)+100)/100</f>
        <v>1</v>
      </c>
      <c r="P235" s="2782"/>
      <c r="Q235" s="478" t="n">
        <f aca="false">(SUMIF($17:$17,P235,$18:$18)-SUMIF($17:$17,$P$24,$18:$18)+100)/100</f>
        <v>1</v>
      </c>
      <c r="R235" s="2772" t="n">
        <f aca="false">IF(B235="",0,ROUND($R$24*C235*E235*G235*I235*K235*M235*O235*Q235,0))</f>
        <v>0</v>
      </c>
      <c r="S235" s="2771" t="n">
        <f aca="false">ROUND(R235*B235/10000,0)</f>
        <v>0</v>
      </c>
    </row>
    <row r="236" customFormat="false" ht="12.75" hidden="false" customHeight="false" outlineLevel="0" collapsed="false">
      <c r="A236" s="1016"/>
      <c r="B236" s="2781"/>
      <c r="C236" s="478" t="n">
        <f aca="false">IF(B236="",1,(LOOKUP(B236,$3:$3,$4:$4)-LOOKUP($B$24,$3:$3,$4:$4)+100)/100)</f>
        <v>1</v>
      </c>
      <c r="D236" s="2782"/>
      <c r="E236" s="478" t="n">
        <f aca="false">(SUMIF($5:$5,D236,$6:$6)-SUMIF($5:$5,$D$24,$6:$6)+100)/100</f>
        <v>1</v>
      </c>
      <c r="F236" s="2782"/>
      <c r="G236" s="478" t="n">
        <f aca="false">(SUMIF($7:$7,F236,$8:$8)-SUMIF($7:$7,$F$24,$8:$8)+100)/100</f>
        <v>1</v>
      </c>
      <c r="H236" s="2782"/>
      <c r="I236" s="478" t="n">
        <f aca="false">(SUMIF($9:$9,H236,$10:$10)-SUMIF($9:$9,$H$24,$10:$10)+100)/100</f>
        <v>1</v>
      </c>
      <c r="J236" s="2782"/>
      <c r="K236" s="478" t="n">
        <f aca="false">(SUMIF($11:$11,J236,$12:$12)-SUMIF($11:$11,$J$24,$12:$12)+100)/100</f>
        <v>1</v>
      </c>
      <c r="L236" s="2782"/>
      <c r="M236" s="478" t="n">
        <f aca="false">(SUMIF($13:$13,L236,$14:$14)-SUMIF($13:$13,$L$24,$14:$14)+100)/100</f>
        <v>1</v>
      </c>
      <c r="N236" s="2782"/>
      <c r="O236" s="478" t="n">
        <f aca="false">(SUMIF($15:$15,N236,$16:$16)-SUMIF($15:$15,$N$24,$16:$16)+100)/100</f>
        <v>1</v>
      </c>
      <c r="P236" s="2782"/>
      <c r="Q236" s="478" t="n">
        <f aca="false">(SUMIF($17:$17,P236,$18:$18)-SUMIF($17:$17,$P$24,$18:$18)+100)/100</f>
        <v>1</v>
      </c>
      <c r="R236" s="2772" t="n">
        <f aca="false">IF(B236="",0,ROUND($R$24*C236*E236*G236*I236*K236*M236*O236*Q236,0))</f>
        <v>0</v>
      </c>
      <c r="S236" s="2771" t="n">
        <f aca="false">ROUND(R236*B236/10000,0)</f>
        <v>0</v>
      </c>
    </row>
    <row r="237" customFormat="false" ht="12.75" hidden="false" customHeight="false" outlineLevel="0" collapsed="false">
      <c r="A237" s="1016"/>
      <c r="B237" s="2781"/>
      <c r="C237" s="478" t="n">
        <f aca="false">IF(B237="",1,(LOOKUP(B237,$3:$3,$4:$4)-LOOKUP($B$24,$3:$3,$4:$4)+100)/100)</f>
        <v>1</v>
      </c>
      <c r="D237" s="2782"/>
      <c r="E237" s="478" t="n">
        <f aca="false">(SUMIF($5:$5,D237,$6:$6)-SUMIF($5:$5,$D$24,$6:$6)+100)/100</f>
        <v>1</v>
      </c>
      <c r="F237" s="2782"/>
      <c r="G237" s="478" t="n">
        <f aca="false">(SUMIF($7:$7,F237,$8:$8)-SUMIF($7:$7,$F$24,$8:$8)+100)/100</f>
        <v>1</v>
      </c>
      <c r="H237" s="2782"/>
      <c r="I237" s="478" t="n">
        <f aca="false">(SUMIF($9:$9,H237,$10:$10)-SUMIF($9:$9,$H$24,$10:$10)+100)/100</f>
        <v>1</v>
      </c>
      <c r="J237" s="2782"/>
      <c r="K237" s="478" t="n">
        <f aca="false">(SUMIF($11:$11,J237,$12:$12)-SUMIF($11:$11,$J$24,$12:$12)+100)/100</f>
        <v>1</v>
      </c>
      <c r="L237" s="2782"/>
      <c r="M237" s="478" t="n">
        <f aca="false">(SUMIF($13:$13,L237,$14:$14)-SUMIF($13:$13,$L$24,$14:$14)+100)/100</f>
        <v>1</v>
      </c>
      <c r="N237" s="2782"/>
      <c r="O237" s="478" t="n">
        <f aca="false">(SUMIF($15:$15,N237,$16:$16)-SUMIF($15:$15,$N$24,$16:$16)+100)/100</f>
        <v>1</v>
      </c>
      <c r="P237" s="2782"/>
      <c r="Q237" s="478" t="n">
        <f aca="false">(SUMIF($17:$17,P237,$18:$18)-SUMIF($17:$17,$P$24,$18:$18)+100)/100</f>
        <v>1</v>
      </c>
      <c r="R237" s="2772" t="n">
        <f aca="false">IF(B237="",0,ROUND($R$24*C237*E237*G237*I237*K237*M237*O237*Q237,0))</f>
        <v>0</v>
      </c>
      <c r="S237" s="2771" t="n">
        <f aca="false">ROUND(R237*B237/10000,0)</f>
        <v>0</v>
      </c>
    </row>
    <row r="238" customFormat="false" ht="12.75" hidden="false" customHeight="false" outlineLevel="0" collapsed="false">
      <c r="A238" s="1016"/>
      <c r="B238" s="2781"/>
      <c r="C238" s="478" t="n">
        <f aca="false">IF(B238="",1,(LOOKUP(B238,$3:$3,$4:$4)-LOOKUP($B$24,$3:$3,$4:$4)+100)/100)</f>
        <v>1</v>
      </c>
      <c r="D238" s="2782"/>
      <c r="E238" s="478" t="n">
        <f aca="false">(SUMIF($5:$5,D238,$6:$6)-SUMIF($5:$5,$D$24,$6:$6)+100)/100</f>
        <v>1</v>
      </c>
      <c r="F238" s="2782"/>
      <c r="G238" s="478" t="n">
        <f aca="false">(SUMIF($7:$7,F238,$8:$8)-SUMIF($7:$7,$F$24,$8:$8)+100)/100</f>
        <v>1</v>
      </c>
      <c r="H238" s="2782"/>
      <c r="I238" s="478" t="n">
        <f aca="false">(SUMIF($9:$9,H238,$10:$10)-SUMIF($9:$9,$H$24,$10:$10)+100)/100</f>
        <v>1</v>
      </c>
      <c r="J238" s="2782"/>
      <c r="K238" s="478" t="n">
        <f aca="false">(SUMIF($11:$11,J238,$12:$12)-SUMIF($11:$11,$J$24,$12:$12)+100)/100</f>
        <v>1</v>
      </c>
      <c r="L238" s="2782"/>
      <c r="M238" s="478" t="n">
        <f aca="false">(SUMIF($13:$13,L238,$14:$14)-SUMIF($13:$13,$L$24,$14:$14)+100)/100</f>
        <v>1</v>
      </c>
      <c r="N238" s="2782"/>
      <c r="O238" s="478" t="n">
        <f aca="false">(SUMIF($15:$15,N238,$16:$16)-SUMIF($15:$15,$N$24,$16:$16)+100)/100</f>
        <v>1</v>
      </c>
      <c r="P238" s="2782"/>
      <c r="Q238" s="478" t="n">
        <f aca="false">(SUMIF($17:$17,P238,$18:$18)-SUMIF($17:$17,$P$24,$18:$18)+100)/100</f>
        <v>1</v>
      </c>
      <c r="R238" s="2772" t="n">
        <f aca="false">IF(B238="",0,ROUND($R$24*C238*E238*G238*I238*K238*M238*O238*Q238,0))</f>
        <v>0</v>
      </c>
      <c r="S238" s="2771" t="n">
        <f aca="false">ROUND(R238*B238/10000,0)</f>
        <v>0</v>
      </c>
    </row>
    <row r="239" customFormat="false" ht="12.75" hidden="false" customHeight="false" outlineLevel="0" collapsed="false">
      <c r="A239" s="1016"/>
      <c r="B239" s="2781"/>
      <c r="C239" s="478" t="n">
        <f aca="false">IF(B239="",1,(LOOKUP(B239,$3:$3,$4:$4)-LOOKUP($B$24,$3:$3,$4:$4)+100)/100)</f>
        <v>1</v>
      </c>
      <c r="D239" s="2782"/>
      <c r="E239" s="478" t="n">
        <f aca="false">(SUMIF($5:$5,D239,$6:$6)-SUMIF($5:$5,$D$24,$6:$6)+100)/100</f>
        <v>1</v>
      </c>
      <c r="F239" s="2782"/>
      <c r="G239" s="478" t="n">
        <f aca="false">(SUMIF($7:$7,F239,$8:$8)-SUMIF($7:$7,$F$24,$8:$8)+100)/100</f>
        <v>1</v>
      </c>
      <c r="H239" s="2782"/>
      <c r="I239" s="478" t="n">
        <f aca="false">(SUMIF($9:$9,H239,$10:$10)-SUMIF($9:$9,$H$24,$10:$10)+100)/100</f>
        <v>1</v>
      </c>
      <c r="J239" s="2782"/>
      <c r="K239" s="478" t="n">
        <f aca="false">(SUMIF($11:$11,J239,$12:$12)-SUMIF($11:$11,$J$24,$12:$12)+100)/100</f>
        <v>1</v>
      </c>
      <c r="L239" s="2782"/>
      <c r="M239" s="478" t="n">
        <f aca="false">(SUMIF($13:$13,L239,$14:$14)-SUMIF($13:$13,$L$24,$14:$14)+100)/100</f>
        <v>1</v>
      </c>
      <c r="N239" s="2782"/>
      <c r="O239" s="478" t="n">
        <f aca="false">(SUMIF($15:$15,N239,$16:$16)-SUMIF($15:$15,$N$24,$16:$16)+100)/100</f>
        <v>1</v>
      </c>
      <c r="P239" s="2782"/>
      <c r="Q239" s="478" t="n">
        <f aca="false">(SUMIF($17:$17,P239,$18:$18)-SUMIF($17:$17,$P$24,$18:$18)+100)/100</f>
        <v>1</v>
      </c>
      <c r="R239" s="2772" t="n">
        <f aca="false">IF(B239="",0,ROUND($R$24*C239*E239*G239*I239*K239*M239*O239*Q239,0))</f>
        <v>0</v>
      </c>
      <c r="S239" s="2771" t="n">
        <f aca="false">ROUND(R239*B239/10000,0)</f>
        <v>0</v>
      </c>
    </row>
    <row r="240" customFormat="false" ht="12.75" hidden="false" customHeight="false" outlineLevel="0" collapsed="false">
      <c r="A240" s="1016"/>
      <c r="B240" s="2781"/>
      <c r="C240" s="478" t="n">
        <f aca="false">IF(B240="",1,(LOOKUP(B240,$3:$3,$4:$4)-LOOKUP($B$24,$3:$3,$4:$4)+100)/100)</f>
        <v>1</v>
      </c>
      <c r="D240" s="2782"/>
      <c r="E240" s="478" t="n">
        <f aca="false">(SUMIF($5:$5,D240,$6:$6)-SUMIF($5:$5,$D$24,$6:$6)+100)/100</f>
        <v>1</v>
      </c>
      <c r="F240" s="2782"/>
      <c r="G240" s="478" t="n">
        <f aca="false">(SUMIF($7:$7,F240,$8:$8)-SUMIF($7:$7,$F$24,$8:$8)+100)/100</f>
        <v>1</v>
      </c>
      <c r="H240" s="2782"/>
      <c r="I240" s="478" t="n">
        <f aca="false">(SUMIF($9:$9,H240,$10:$10)-SUMIF($9:$9,$H$24,$10:$10)+100)/100</f>
        <v>1</v>
      </c>
      <c r="J240" s="2782"/>
      <c r="K240" s="478" t="n">
        <f aca="false">(SUMIF($11:$11,J240,$12:$12)-SUMIF($11:$11,$J$24,$12:$12)+100)/100</f>
        <v>1</v>
      </c>
      <c r="L240" s="2782"/>
      <c r="M240" s="478" t="n">
        <f aca="false">(SUMIF($13:$13,L240,$14:$14)-SUMIF($13:$13,$L$24,$14:$14)+100)/100</f>
        <v>1</v>
      </c>
      <c r="N240" s="2782"/>
      <c r="O240" s="478" t="n">
        <f aca="false">(SUMIF($15:$15,N240,$16:$16)-SUMIF($15:$15,$N$24,$16:$16)+100)/100</f>
        <v>1</v>
      </c>
      <c r="P240" s="2782"/>
      <c r="Q240" s="478" t="n">
        <f aca="false">(SUMIF($17:$17,P240,$18:$18)-SUMIF($17:$17,$P$24,$18:$18)+100)/100</f>
        <v>1</v>
      </c>
      <c r="R240" s="2772" t="n">
        <f aca="false">IF(B240="",0,ROUND($R$24*C240*E240*G240*I240*K240*M240*O240*Q240,0))</f>
        <v>0</v>
      </c>
      <c r="S240" s="2771" t="n">
        <f aca="false">ROUND(R240*B240/10000,0)</f>
        <v>0</v>
      </c>
    </row>
    <row r="241" customFormat="false" ht="12.75" hidden="false" customHeight="false" outlineLevel="0" collapsed="false">
      <c r="A241" s="1016"/>
      <c r="B241" s="2781"/>
      <c r="C241" s="478" t="n">
        <f aca="false">IF(B241="",1,(LOOKUP(B241,$3:$3,$4:$4)-LOOKUP($B$24,$3:$3,$4:$4)+100)/100)</f>
        <v>1</v>
      </c>
      <c r="D241" s="2782"/>
      <c r="E241" s="478" t="n">
        <f aca="false">(SUMIF($5:$5,D241,$6:$6)-SUMIF($5:$5,$D$24,$6:$6)+100)/100</f>
        <v>1</v>
      </c>
      <c r="F241" s="2782"/>
      <c r="G241" s="478" t="n">
        <f aca="false">(SUMIF($7:$7,F241,$8:$8)-SUMIF($7:$7,$F$24,$8:$8)+100)/100</f>
        <v>1</v>
      </c>
      <c r="H241" s="2782"/>
      <c r="I241" s="478" t="n">
        <f aca="false">(SUMIF($9:$9,H241,$10:$10)-SUMIF($9:$9,$H$24,$10:$10)+100)/100</f>
        <v>1</v>
      </c>
      <c r="J241" s="2782"/>
      <c r="K241" s="478" t="n">
        <f aca="false">(SUMIF($11:$11,J241,$12:$12)-SUMIF($11:$11,$J$24,$12:$12)+100)/100</f>
        <v>1</v>
      </c>
      <c r="L241" s="2782"/>
      <c r="M241" s="478" t="n">
        <f aca="false">(SUMIF($13:$13,L241,$14:$14)-SUMIF($13:$13,$L$24,$14:$14)+100)/100</f>
        <v>1</v>
      </c>
      <c r="N241" s="2782"/>
      <c r="O241" s="478" t="n">
        <f aca="false">(SUMIF($15:$15,N241,$16:$16)-SUMIF($15:$15,$N$24,$16:$16)+100)/100</f>
        <v>1</v>
      </c>
      <c r="P241" s="2782"/>
      <c r="Q241" s="478" t="n">
        <f aca="false">(SUMIF($17:$17,P241,$18:$18)-SUMIF($17:$17,$P$24,$18:$18)+100)/100</f>
        <v>1</v>
      </c>
      <c r="R241" s="2772" t="n">
        <f aca="false">IF(B241="",0,ROUND($R$24*C241*E241*G241*I241*K241*M241*O241*Q241,0))</f>
        <v>0</v>
      </c>
      <c r="S241" s="2771" t="n">
        <f aca="false">ROUND(R241*B241/10000,0)</f>
        <v>0</v>
      </c>
    </row>
    <row r="242" customFormat="false" ht="12.75" hidden="false" customHeight="false" outlineLevel="0" collapsed="false">
      <c r="A242" s="1016"/>
      <c r="B242" s="2781"/>
      <c r="C242" s="478" t="n">
        <f aca="false">IF(B242="",1,(LOOKUP(B242,$3:$3,$4:$4)-LOOKUP($B$24,$3:$3,$4:$4)+100)/100)</f>
        <v>1</v>
      </c>
      <c r="D242" s="2782"/>
      <c r="E242" s="478" t="n">
        <f aca="false">(SUMIF($5:$5,D242,$6:$6)-SUMIF($5:$5,$D$24,$6:$6)+100)/100</f>
        <v>1</v>
      </c>
      <c r="F242" s="2782"/>
      <c r="G242" s="478" t="n">
        <f aca="false">(SUMIF($7:$7,F242,$8:$8)-SUMIF($7:$7,$F$24,$8:$8)+100)/100</f>
        <v>1</v>
      </c>
      <c r="H242" s="2782"/>
      <c r="I242" s="478" t="n">
        <f aca="false">(SUMIF($9:$9,H242,$10:$10)-SUMIF($9:$9,$H$24,$10:$10)+100)/100</f>
        <v>1</v>
      </c>
      <c r="J242" s="2782"/>
      <c r="K242" s="478" t="n">
        <f aca="false">(SUMIF($11:$11,J242,$12:$12)-SUMIF($11:$11,$J$24,$12:$12)+100)/100</f>
        <v>1</v>
      </c>
      <c r="L242" s="2782"/>
      <c r="M242" s="478" t="n">
        <f aca="false">(SUMIF($13:$13,L242,$14:$14)-SUMIF($13:$13,$L$24,$14:$14)+100)/100</f>
        <v>1</v>
      </c>
      <c r="N242" s="2782"/>
      <c r="O242" s="478" t="n">
        <f aca="false">(SUMIF($15:$15,N242,$16:$16)-SUMIF($15:$15,$N$24,$16:$16)+100)/100</f>
        <v>1</v>
      </c>
      <c r="P242" s="2782"/>
      <c r="Q242" s="478" t="n">
        <f aca="false">(SUMIF($17:$17,P242,$18:$18)-SUMIF($17:$17,$P$24,$18:$18)+100)/100</f>
        <v>1</v>
      </c>
      <c r="R242" s="2772" t="n">
        <f aca="false">IF(B242="",0,ROUND($R$24*C242*E242*G242*I242*K242*M242*O242*Q242,0))</f>
        <v>0</v>
      </c>
      <c r="S242" s="2771" t="n">
        <f aca="false">ROUND(R242*B242/10000,0)</f>
        <v>0</v>
      </c>
    </row>
    <row r="243" customFormat="false" ht="12.75" hidden="false" customHeight="false" outlineLevel="0" collapsed="false">
      <c r="A243" s="1016"/>
      <c r="B243" s="2781"/>
      <c r="C243" s="478" t="n">
        <f aca="false">IF(B243="",1,(LOOKUP(B243,$3:$3,$4:$4)-LOOKUP($B$24,$3:$3,$4:$4)+100)/100)</f>
        <v>1</v>
      </c>
      <c r="D243" s="2782"/>
      <c r="E243" s="478" t="n">
        <f aca="false">(SUMIF($5:$5,D243,$6:$6)-SUMIF($5:$5,$D$24,$6:$6)+100)/100</f>
        <v>1</v>
      </c>
      <c r="F243" s="2782"/>
      <c r="G243" s="478" t="n">
        <f aca="false">(SUMIF($7:$7,F243,$8:$8)-SUMIF($7:$7,$F$24,$8:$8)+100)/100</f>
        <v>1</v>
      </c>
      <c r="H243" s="2782"/>
      <c r="I243" s="478" t="n">
        <f aca="false">(SUMIF($9:$9,H243,$10:$10)-SUMIF($9:$9,$H$24,$10:$10)+100)/100</f>
        <v>1</v>
      </c>
      <c r="J243" s="2782"/>
      <c r="K243" s="478" t="n">
        <f aca="false">(SUMIF($11:$11,J243,$12:$12)-SUMIF($11:$11,$J$24,$12:$12)+100)/100</f>
        <v>1</v>
      </c>
      <c r="L243" s="2782"/>
      <c r="M243" s="478" t="n">
        <f aca="false">(SUMIF($13:$13,L243,$14:$14)-SUMIF($13:$13,$L$24,$14:$14)+100)/100</f>
        <v>1</v>
      </c>
      <c r="N243" s="2782"/>
      <c r="O243" s="478" t="n">
        <f aca="false">(SUMIF($15:$15,N243,$16:$16)-SUMIF($15:$15,$N$24,$16:$16)+100)/100</f>
        <v>1</v>
      </c>
      <c r="P243" s="2782"/>
      <c r="Q243" s="478" t="n">
        <f aca="false">(SUMIF($17:$17,P243,$18:$18)-SUMIF($17:$17,$P$24,$18:$18)+100)/100</f>
        <v>1</v>
      </c>
      <c r="R243" s="2772" t="n">
        <f aca="false">IF(B243="",0,ROUND($R$24*C243*E243*G243*I243*K243*M243*O243*Q243,0))</f>
        <v>0</v>
      </c>
      <c r="S243" s="2771" t="n">
        <f aca="false">ROUND(R243*B243/10000,0)</f>
        <v>0</v>
      </c>
    </row>
    <row r="244" customFormat="false" ht="12.75" hidden="false" customHeight="false" outlineLevel="0" collapsed="false">
      <c r="A244" s="1016"/>
      <c r="B244" s="2781"/>
      <c r="C244" s="478" t="n">
        <f aca="false">IF(B244="",1,(LOOKUP(B244,$3:$3,$4:$4)-LOOKUP($B$24,$3:$3,$4:$4)+100)/100)</f>
        <v>1</v>
      </c>
      <c r="D244" s="2782"/>
      <c r="E244" s="478" t="n">
        <f aca="false">(SUMIF($5:$5,D244,$6:$6)-SUMIF($5:$5,$D$24,$6:$6)+100)/100</f>
        <v>1</v>
      </c>
      <c r="F244" s="2782"/>
      <c r="G244" s="478" t="n">
        <f aca="false">(SUMIF($7:$7,F244,$8:$8)-SUMIF($7:$7,$F$24,$8:$8)+100)/100</f>
        <v>1</v>
      </c>
      <c r="H244" s="2782"/>
      <c r="I244" s="478" t="n">
        <f aca="false">(SUMIF($9:$9,H244,$10:$10)-SUMIF($9:$9,$H$24,$10:$10)+100)/100</f>
        <v>1</v>
      </c>
      <c r="J244" s="2782"/>
      <c r="K244" s="478" t="n">
        <f aca="false">(SUMIF($11:$11,J244,$12:$12)-SUMIF($11:$11,$J$24,$12:$12)+100)/100</f>
        <v>1</v>
      </c>
      <c r="L244" s="2782"/>
      <c r="M244" s="478" t="n">
        <f aca="false">(SUMIF($13:$13,L244,$14:$14)-SUMIF($13:$13,$L$24,$14:$14)+100)/100</f>
        <v>1</v>
      </c>
      <c r="N244" s="2782"/>
      <c r="O244" s="478" t="n">
        <f aca="false">(SUMIF($15:$15,N244,$16:$16)-SUMIF($15:$15,$N$24,$16:$16)+100)/100</f>
        <v>1</v>
      </c>
      <c r="P244" s="2782"/>
      <c r="Q244" s="478" t="n">
        <f aca="false">(SUMIF($17:$17,P244,$18:$18)-SUMIF($17:$17,$P$24,$18:$18)+100)/100</f>
        <v>1</v>
      </c>
      <c r="R244" s="2772" t="n">
        <f aca="false">IF(B244="",0,ROUND($R$24*C244*E244*G244*I244*K244*M244*O244*Q244,0))</f>
        <v>0</v>
      </c>
      <c r="S244" s="2771" t="n">
        <f aca="false">ROUND(R244*B244/10000,0)</f>
        <v>0</v>
      </c>
    </row>
    <row r="245" customFormat="false" ht="12.75" hidden="false" customHeight="false" outlineLevel="0" collapsed="false">
      <c r="A245" s="1016"/>
      <c r="B245" s="2781"/>
      <c r="C245" s="478" t="n">
        <f aca="false">IF(B245="",1,(LOOKUP(B245,$3:$3,$4:$4)-LOOKUP($B$24,$3:$3,$4:$4)+100)/100)</f>
        <v>1</v>
      </c>
      <c r="D245" s="2782"/>
      <c r="E245" s="478" t="n">
        <f aca="false">(SUMIF($5:$5,D245,$6:$6)-SUMIF($5:$5,$D$24,$6:$6)+100)/100</f>
        <v>1</v>
      </c>
      <c r="F245" s="2782"/>
      <c r="G245" s="478" t="n">
        <f aca="false">(SUMIF($7:$7,F245,$8:$8)-SUMIF($7:$7,$F$24,$8:$8)+100)/100</f>
        <v>1</v>
      </c>
      <c r="H245" s="2782"/>
      <c r="I245" s="478" t="n">
        <f aca="false">(SUMIF($9:$9,H245,$10:$10)-SUMIF($9:$9,$H$24,$10:$10)+100)/100</f>
        <v>1</v>
      </c>
      <c r="J245" s="2782"/>
      <c r="K245" s="478" t="n">
        <f aca="false">(SUMIF($11:$11,J245,$12:$12)-SUMIF($11:$11,$J$24,$12:$12)+100)/100</f>
        <v>1</v>
      </c>
      <c r="L245" s="2782"/>
      <c r="M245" s="478" t="n">
        <f aca="false">(SUMIF($13:$13,L245,$14:$14)-SUMIF($13:$13,$L$24,$14:$14)+100)/100</f>
        <v>1</v>
      </c>
      <c r="N245" s="2782"/>
      <c r="O245" s="478" t="n">
        <f aca="false">(SUMIF($15:$15,N245,$16:$16)-SUMIF($15:$15,$N$24,$16:$16)+100)/100</f>
        <v>1</v>
      </c>
      <c r="P245" s="2782"/>
      <c r="Q245" s="478" t="n">
        <f aca="false">(SUMIF($17:$17,P245,$18:$18)-SUMIF($17:$17,$P$24,$18:$18)+100)/100</f>
        <v>1</v>
      </c>
      <c r="R245" s="2772" t="n">
        <f aca="false">IF(B245="",0,ROUND($R$24*C245*E245*G245*I245*K245*M245*O245*Q245,0))</f>
        <v>0</v>
      </c>
      <c r="S245" s="2771" t="n">
        <f aca="false">ROUND(R245*B245/10000,0)</f>
        <v>0</v>
      </c>
    </row>
    <row r="246" customFormat="false" ht="12.75" hidden="false" customHeight="false" outlineLevel="0" collapsed="false">
      <c r="A246" s="1016"/>
      <c r="B246" s="2781"/>
      <c r="C246" s="478" t="n">
        <f aca="false">IF(B246="",1,(LOOKUP(B246,$3:$3,$4:$4)-LOOKUP($B$24,$3:$3,$4:$4)+100)/100)</f>
        <v>1</v>
      </c>
      <c r="D246" s="2782"/>
      <c r="E246" s="478" t="n">
        <f aca="false">(SUMIF($5:$5,D246,$6:$6)-SUMIF($5:$5,$D$24,$6:$6)+100)/100</f>
        <v>1</v>
      </c>
      <c r="F246" s="2782"/>
      <c r="G246" s="478" t="n">
        <f aca="false">(SUMIF($7:$7,F246,$8:$8)-SUMIF($7:$7,$F$24,$8:$8)+100)/100</f>
        <v>1</v>
      </c>
      <c r="H246" s="2782"/>
      <c r="I246" s="478" t="n">
        <f aca="false">(SUMIF($9:$9,H246,$10:$10)-SUMIF($9:$9,$H$24,$10:$10)+100)/100</f>
        <v>1</v>
      </c>
      <c r="J246" s="2782"/>
      <c r="K246" s="478" t="n">
        <f aca="false">(SUMIF($11:$11,J246,$12:$12)-SUMIF($11:$11,$J$24,$12:$12)+100)/100</f>
        <v>1</v>
      </c>
      <c r="L246" s="2782"/>
      <c r="M246" s="478" t="n">
        <f aca="false">(SUMIF($13:$13,L246,$14:$14)-SUMIF($13:$13,$L$24,$14:$14)+100)/100</f>
        <v>1</v>
      </c>
      <c r="N246" s="2782"/>
      <c r="O246" s="478" t="n">
        <f aca="false">(SUMIF($15:$15,N246,$16:$16)-SUMIF($15:$15,$N$24,$16:$16)+100)/100</f>
        <v>1</v>
      </c>
      <c r="P246" s="2782"/>
      <c r="Q246" s="478" t="n">
        <f aca="false">(SUMIF($17:$17,P246,$18:$18)-SUMIF($17:$17,$P$24,$18:$18)+100)/100</f>
        <v>1</v>
      </c>
      <c r="R246" s="2772" t="n">
        <f aca="false">IF(B246="",0,ROUND($R$24*C246*E246*G246*I246*K246*M246*O246*Q246,0))</f>
        <v>0</v>
      </c>
      <c r="S246" s="2771" t="n">
        <f aca="false">ROUND(R246*B246/10000,0)</f>
        <v>0</v>
      </c>
    </row>
    <row r="247" customFormat="false" ht="12.75" hidden="false" customHeight="false" outlineLevel="0" collapsed="false">
      <c r="A247" s="1016"/>
      <c r="B247" s="2781"/>
      <c r="C247" s="478" t="n">
        <f aca="false">IF(B247="",1,(LOOKUP(B247,$3:$3,$4:$4)-LOOKUP($B$24,$3:$3,$4:$4)+100)/100)</f>
        <v>1</v>
      </c>
      <c r="D247" s="2782"/>
      <c r="E247" s="478" t="n">
        <f aca="false">(SUMIF($5:$5,D247,$6:$6)-SUMIF($5:$5,$D$24,$6:$6)+100)/100</f>
        <v>1</v>
      </c>
      <c r="F247" s="2782"/>
      <c r="G247" s="478" t="n">
        <f aca="false">(SUMIF($7:$7,F247,$8:$8)-SUMIF($7:$7,$F$24,$8:$8)+100)/100</f>
        <v>1</v>
      </c>
      <c r="H247" s="2782"/>
      <c r="I247" s="478" t="n">
        <f aca="false">(SUMIF($9:$9,H247,$10:$10)-SUMIF($9:$9,$H$24,$10:$10)+100)/100</f>
        <v>1</v>
      </c>
      <c r="J247" s="2782"/>
      <c r="K247" s="478" t="n">
        <f aca="false">(SUMIF($11:$11,J247,$12:$12)-SUMIF($11:$11,$J$24,$12:$12)+100)/100</f>
        <v>1</v>
      </c>
      <c r="L247" s="2782"/>
      <c r="M247" s="478" t="n">
        <f aca="false">(SUMIF($13:$13,L247,$14:$14)-SUMIF($13:$13,$L$24,$14:$14)+100)/100</f>
        <v>1</v>
      </c>
      <c r="N247" s="2782"/>
      <c r="O247" s="478" t="n">
        <f aca="false">(SUMIF($15:$15,N247,$16:$16)-SUMIF($15:$15,$N$24,$16:$16)+100)/100</f>
        <v>1</v>
      </c>
      <c r="P247" s="2782"/>
      <c r="Q247" s="478" t="n">
        <f aca="false">(SUMIF($17:$17,P247,$18:$18)-SUMIF($17:$17,$P$24,$18:$18)+100)/100</f>
        <v>1</v>
      </c>
      <c r="R247" s="2772" t="n">
        <f aca="false">IF(B247="",0,ROUND($R$24*C247*E247*G247*I247*K247*M247*O247*Q247,0))</f>
        <v>0</v>
      </c>
      <c r="S247" s="2771" t="n">
        <f aca="false">ROUND(R247*B247/10000,0)</f>
        <v>0</v>
      </c>
    </row>
    <row r="248" customFormat="false" ht="12.75" hidden="false" customHeight="false" outlineLevel="0" collapsed="false">
      <c r="A248" s="1016"/>
      <c r="B248" s="2781"/>
      <c r="C248" s="478" t="n">
        <f aca="false">IF(B248="",1,(LOOKUP(B248,$3:$3,$4:$4)-LOOKUP($B$24,$3:$3,$4:$4)+100)/100)</f>
        <v>1</v>
      </c>
      <c r="D248" s="2782"/>
      <c r="E248" s="478" t="n">
        <f aca="false">(SUMIF($5:$5,D248,$6:$6)-SUMIF($5:$5,$D$24,$6:$6)+100)/100</f>
        <v>1</v>
      </c>
      <c r="F248" s="2782"/>
      <c r="G248" s="478" t="n">
        <f aca="false">(SUMIF($7:$7,F248,$8:$8)-SUMIF($7:$7,$F$24,$8:$8)+100)/100</f>
        <v>1</v>
      </c>
      <c r="H248" s="2782"/>
      <c r="I248" s="478" t="n">
        <f aca="false">(SUMIF($9:$9,H248,$10:$10)-SUMIF($9:$9,$H$24,$10:$10)+100)/100</f>
        <v>1</v>
      </c>
      <c r="J248" s="2782"/>
      <c r="K248" s="478" t="n">
        <f aca="false">(SUMIF($11:$11,J248,$12:$12)-SUMIF($11:$11,$J$24,$12:$12)+100)/100</f>
        <v>1</v>
      </c>
      <c r="L248" s="2782"/>
      <c r="M248" s="478" t="n">
        <f aca="false">(SUMIF($13:$13,L248,$14:$14)-SUMIF($13:$13,$L$24,$14:$14)+100)/100</f>
        <v>1</v>
      </c>
      <c r="N248" s="2782"/>
      <c r="O248" s="478" t="n">
        <f aca="false">(SUMIF($15:$15,N248,$16:$16)-SUMIF($15:$15,$N$24,$16:$16)+100)/100</f>
        <v>1</v>
      </c>
      <c r="P248" s="2782"/>
      <c r="Q248" s="478" t="n">
        <f aca="false">(SUMIF($17:$17,P248,$18:$18)-SUMIF($17:$17,$P$24,$18:$18)+100)/100</f>
        <v>1</v>
      </c>
      <c r="R248" s="2772" t="n">
        <f aca="false">IF(B248="",0,ROUND($R$24*C248*E248*G248*I248*K248*M248*O248*Q248,0))</f>
        <v>0</v>
      </c>
      <c r="S248" s="2771" t="n">
        <f aca="false">ROUND(R248*B248/10000,0)</f>
        <v>0</v>
      </c>
    </row>
    <row r="249" customFormat="false" ht="12.75" hidden="false" customHeight="false" outlineLevel="0" collapsed="false">
      <c r="A249" s="1016"/>
      <c r="B249" s="2781"/>
      <c r="C249" s="478" t="n">
        <f aca="false">IF(B249="",1,(LOOKUP(B249,$3:$3,$4:$4)-LOOKUP($B$24,$3:$3,$4:$4)+100)/100)</f>
        <v>1</v>
      </c>
      <c r="D249" s="2782"/>
      <c r="E249" s="478" t="n">
        <f aca="false">(SUMIF($5:$5,D249,$6:$6)-SUMIF($5:$5,$D$24,$6:$6)+100)/100</f>
        <v>1</v>
      </c>
      <c r="F249" s="2782"/>
      <c r="G249" s="478" t="n">
        <f aca="false">(SUMIF($7:$7,F249,$8:$8)-SUMIF($7:$7,$F$24,$8:$8)+100)/100</f>
        <v>1</v>
      </c>
      <c r="H249" s="2782"/>
      <c r="I249" s="478" t="n">
        <f aca="false">(SUMIF($9:$9,H249,$10:$10)-SUMIF($9:$9,$H$24,$10:$10)+100)/100</f>
        <v>1</v>
      </c>
      <c r="J249" s="2782"/>
      <c r="K249" s="478" t="n">
        <f aca="false">(SUMIF($11:$11,J249,$12:$12)-SUMIF($11:$11,$J$24,$12:$12)+100)/100</f>
        <v>1</v>
      </c>
      <c r="L249" s="2782"/>
      <c r="M249" s="478" t="n">
        <f aca="false">(SUMIF($13:$13,L249,$14:$14)-SUMIF($13:$13,$L$24,$14:$14)+100)/100</f>
        <v>1</v>
      </c>
      <c r="N249" s="2782"/>
      <c r="O249" s="478" t="n">
        <f aca="false">(SUMIF($15:$15,N249,$16:$16)-SUMIF($15:$15,$N$24,$16:$16)+100)/100</f>
        <v>1</v>
      </c>
      <c r="P249" s="2782"/>
      <c r="Q249" s="478" t="n">
        <f aca="false">(SUMIF($17:$17,P249,$18:$18)-SUMIF($17:$17,$P$24,$18:$18)+100)/100</f>
        <v>1</v>
      </c>
      <c r="R249" s="2772" t="n">
        <f aca="false">IF(B249="",0,ROUND($R$24*C249*E249*G249*I249*K249*M249*O249*Q249,0))</f>
        <v>0</v>
      </c>
      <c r="S249" s="2771" t="n">
        <f aca="false">ROUND(R249*B249/10000,0)</f>
        <v>0</v>
      </c>
    </row>
    <row r="250" customFormat="false" ht="12.75" hidden="false" customHeight="false" outlineLevel="0" collapsed="false">
      <c r="A250" s="1016"/>
      <c r="B250" s="2781"/>
      <c r="C250" s="478" t="n">
        <f aca="false">IF(B250="",1,(LOOKUP(B250,$3:$3,$4:$4)-LOOKUP($B$24,$3:$3,$4:$4)+100)/100)</f>
        <v>1</v>
      </c>
      <c r="D250" s="2782"/>
      <c r="E250" s="478" t="n">
        <f aca="false">(SUMIF($5:$5,D250,$6:$6)-SUMIF($5:$5,$D$24,$6:$6)+100)/100</f>
        <v>1</v>
      </c>
      <c r="F250" s="2782"/>
      <c r="G250" s="478" t="n">
        <f aca="false">(SUMIF($7:$7,F250,$8:$8)-SUMIF($7:$7,$F$24,$8:$8)+100)/100</f>
        <v>1</v>
      </c>
      <c r="H250" s="2782"/>
      <c r="I250" s="478" t="n">
        <f aca="false">(SUMIF($9:$9,H250,$10:$10)-SUMIF($9:$9,$H$24,$10:$10)+100)/100</f>
        <v>1</v>
      </c>
      <c r="J250" s="2782"/>
      <c r="K250" s="478" t="n">
        <f aca="false">(SUMIF($11:$11,J250,$12:$12)-SUMIF($11:$11,$J$24,$12:$12)+100)/100</f>
        <v>1</v>
      </c>
      <c r="L250" s="2782"/>
      <c r="M250" s="478" t="n">
        <f aca="false">(SUMIF($13:$13,L250,$14:$14)-SUMIF($13:$13,$L$24,$14:$14)+100)/100</f>
        <v>1</v>
      </c>
      <c r="N250" s="2782"/>
      <c r="O250" s="478" t="n">
        <f aca="false">(SUMIF($15:$15,N250,$16:$16)-SUMIF($15:$15,$N$24,$16:$16)+100)/100</f>
        <v>1</v>
      </c>
      <c r="P250" s="2782"/>
      <c r="Q250" s="478" t="n">
        <f aca="false">(SUMIF($17:$17,P250,$18:$18)-SUMIF($17:$17,$P$24,$18:$18)+100)/100</f>
        <v>1</v>
      </c>
      <c r="R250" s="2772" t="n">
        <f aca="false">IF(B250="",0,ROUND($R$24*C250*E250*G250*I250*K250*M250*O250*Q250,0))</f>
        <v>0</v>
      </c>
      <c r="S250" s="2771" t="n">
        <f aca="false">ROUND(R250*B250/10000,0)</f>
        <v>0</v>
      </c>
    </row>
    <row r="251" customFormat="false" ht="12.75" hidden="false" customHeight="false" outlineLevel="0" collapsed="false">
      <c r="A251" s="1016"/>
      <c r="B251" s="2781"/>
      <c r="C251" s="478" t="n">
        <f aca="false">IF(B251="",1,(LOOKUP(B251,$3:$3,$4:$4)-LOOKUP($B$24,$3:$3,$4:$4)+100)/100)</f>
        <v>1</v>
      </c>
      <c r="D251" s="2782"/>
      <c r="E251" s="478" t="n">
        <f aca="false">(SUMIF($5:$5,D251,$6:$6)-SUMIF($5:$5,$D$24,$6:$6)+100)/100</f>
        <v>1</v>
      </c>
      <c r="F251" s="2782"/>
      <c r="G251" s="478" t="n">
        <f aca="false">(SUMIF($7:$7,F251,$8:$8)-SUMIF($7:$7,$F$24,$8:$8)+100)/100</f>
        <v>1</v>
      </c>
      <c r="H251" s="2782"/>
      <c r="I251" s="478" t="n">
        <f aca="false">(SUMIF($9:$9,H251,$10:$10)-SUMIF($9:$9,$H$24,$10:$10)+100)/100</f>
        <v>1</v>
      </c>
      <c r="J251" s="2782"/>
      <c r="K251" s="478" t="n">
        <f aca="false">(SUMIF($11:$11,J251,$12:$12)-SUMIF($11:$11,$J$24,$12:$12)+100)/100</f>
        <v>1</v>
      </c>
      <c r="L251" s="2782"/>
      <c r="M251" s="478" t="n">
        <f aca="false">(SUMIF($13:$13,L251,$14:$14)-SUMIF($13:$13,$L$24,$14:$14)+100)/100</f>
        <v>1</v>
      </c>
      <c r="N251" s="2782"/>
      <c r="O251" s="478" t="n">
        <f aca="false">(SUMIF($15:$15,N251,$16:$16)-SUMIF($15:$15,$N$24,$16:$16)+100)/100</f>
        <v>1</v>
      </c>
      <c r="P251" s="2782"/>
      <c r="Q251" s="478" t="n">
        <f aca="false">(SUMIF($17:$17,P251,$18:$18)-SUMIF($17:$17,$P$24,$18:$18)+100)/100</f>
        <v>1</v>
      </c>
      <c r="R251" s="2772" t="n">
        <f aca="false">IF(B251="",0,ROUND($R$24*C251*E251*G251*I251*K251*M251*O251*Q251,0))</f>
        <v>0</v>
      </c>
      <c r="S251" s="2771" t="n">
        <f aca="false">ROUND(R251*B251/10000,0)</f>
        <v>0</v>
      </c>
    </row>
    <row r="252" customFormat="false" ht="12.75" hidden="false" customHeight="false" outlineLevel="0" collapsed="false">
      <c r="A252" s="1016"/>
      <c r="B252" s="2781"/>
      <c r="C252" s="478" t="n">
        <f aca="false">IF(B252="",1,(LOOKUP(B252,$3:$3,$4:$4)-LOOKUP($B$24,$3:$3,$4:$4)+100)/100)</f>
        <v>1</v>
      </c>
      <c r="D252" s="2782"/>
      <c r="E252" s="478" t="n">
        <f aca="false">(SUMIF($5:$5,D252,$6:$6)-SUMIF($5:$5,$D$24,$6:$6)+100)/100</f>
        <v>1</v>
      </c>
      <c r="F252" s="2782"/>
      <c r="G252" s="478" t="n">
        <f aca="false">(SUMIF($7:$7,F252,$8:$8)-SUMIF($7:$7,$F$24,$8:$8)+100)/100</f>
        <v>1</v>
      </c>
      <c r="H252" s="2782"/>
      <c r="I252" s="478" t="n">
        <f aca="false">(SUMIF($9:$9,H252,$10:$10)-SUMIF($9:$9,$H$24,$10:$10)+100)/100</f>
        <v>1</v>
      </c>
      <c r="J252" s="2782"/>
      <c r="K252" s="478" t="n">
        <f aca="false">(SUMIF($11:$11,J252,$12:$12)-SUMIF($11:$11,$J$24,$12:$12)+100)/100</f>
        <v>1</v>
      </c>
      <c r="L252" s="2782"/>
      <c r="M252" s="478" t="n">
        <f aca="false">(SUMIF($13:$13,L252,$14:$14)-SUMIF($13:$13,$L$24,$14:$14)+100)/100</f>
        <v>1</v>
      </c>
      <c r="N252" s="2782"/>
      <c r="O252" s="478" t="n">
        <f aca="false">(SUMIF($15:$15,N252,$16:$16)-SUMIF($15:$15,$N$24,$16:$16)+100)/100</f>
        <v>1</v>
      </c>
      <c r="P252" s="2782"/>
      <c r="Q252" s="478" t="n">
        <f aca="false">(SUMIF($17:$17,P252,$18:$18)-SUMIF($17:$17,$P$24,$18:$18)+100)/100</f>
        <v>1</v>
      </c>
      <c r="R252" s="2772" t="n">
        <f aca="false">IF(B252="",0,ROUND($R$24*C252*E252*G252*I252*K252*M252*O252*Q252,0))</f>
        <v>0</v>
      </c>
      <c r="S252" s="2771" t="n">
        <f aca="false">ROUND(R252*B252/10000,0)</f>
        <v>0</v>
      </c>
    </row>
    <row r="253" customFormat="false" ht="12.75" hidden="false" customHeight="false" outlineLevel="0" collapsed="false">
      <c r="A253" s="1016"/>
      <c r="B253" s="2781"/>
      <c r="C253" s="478" t="n">
        <f aca="false">IF(B253="",1,(LOOKUP(B253,$3:$3,$4:$4)-LOOKUP($B$24,$3:$3,$4:$4)+100)/100)</f>
        <v>1</v>
      </c>
      <c r="D253" s="2782"/>
      <c r="E253" s="478" t="n">
        <f aca="false">(SUMIF($5:$5,D253,$6:$6)-SUMIF($5:$5,$D$24,$6:$6)+100)/100</f>
        <v>1</v>
      </c>
      <c r="F253" s="2782"/>
      <c r="G253" s="478" t="n">
        <f aca="false">(SUMIF($7:$7,F253,$8:$8)-SUMIF($7:$7,$F$24,$8:$8)+100)/100</f>
        <v>1</v>
      </c>
      <c r="H253" s="2782"/>
      <c r="I253" s="478" t="n">
        <f aca="false">(SUMIF($9:$9,H253,$10:$10)-SUMIF($9:$9,$H$24,$10:$10)+100)/100</f>
        <v>1</v>
      </c>
      <c r="J253" s="2782"/>
      <c r="K253" s="478" t="n">
        <f aca="false">(SUMIF($11:$11,J253,$12:$12)-SUMIF($11:$11,$J$24,$12:$12)+100)/100</f>
        <v>1</v>
      </c>
      <c r="L253" s="2782"/>
      <c r="M253" s="478" t="n">
        <f aca="false">(SUMIF($13:$13,L253,$14:$14)-SUMIF($13:$13,$L$24,$14:$14)+100)/100</f>
        <v>1</v>
      </c>
      <c r="N253" s="2782"/>
      <c r="O253" s="478" t="n">
        <f aca="false">(SUMIF($15:$15,N253,$16:$16)-SUMIF($15:$15,$N$24,$16:$16)+100)/100</f>
        <v>1</v>
      </c>
      <c r="P253" s="2782"/>
      <c r="Q253" s="478" t="n">
        <f aca="false">(SUMIF($17:$17,P253,$18:$18)-SUMIF($17:$17,$P$24,$18:$18)+100)/100</f>
        <v>1</v>
      </c>
      <c r="R253" s="2772" t="n">
        <f aca="false">IF(B253="",0,ROUND($R$24*C253*E253*G253*I253*K253*M253*O253*Q253,0))</f>
        <v>0</v>
      </c>
      <c r="S253" s="2771" t="n">
        <f aca="false">ROUND(R253*B253/10000,0)</f>
        <v>0</v>
      </c>
    </row>
    <row r="254" customFormat="false" ht="12.75" hidden="false" customHeight="false" outlineLevel="0" collapsed="false">
      <c r="A254" s="1016"/>
      <c r="B254" s="2781"/>
      <c r="C254" s="478" t="n">
        <f aca="false">IF(B254="",1,(LOOKUP(B254,$3:$3,$4:$4)-LOOKUP($B$24,$3:$3,$4:$4)+100)/100)</f>
        <v>1</v>
      </c>
      <c r="D254" s="2782"/>
      <c r="E254" s="478" t="n">
        <f aca="false">(SUMIF($5:$5,D254,$6:$6)-SUMIF($5:$5,$D$24,$6:$6)+100)/100</f>
        <v>1</v>
      </c>
      <c r="F254" s="2782"/>
      <c r="G254" s="478" t="n">
        <f aca="false">(SUMIF($7:$7,F254,$8:$8)-SUMIF($7:$7,$F$24,$8:$8)+100)/100</f>
        <v>1</v>
      </c>
      <c r="H254" s="2782"/>
      <c r="I254" s="478" t="n">
        <f aca="false">(SUMIF($9:$9,H254,$10:$10)-SUMIF($9:$9,$H$24,$10:$10)+100)/100</f>
        <v>1</v>
      </c>
      <c r="J254" s="2782"/>
      <c r="K254" s="478" t="n">
        <f aca="false">(SUMIF($11:$11,J254,$12:$12)-SUMIF($11:$11,$J$24,$12:$12)+100)/100</f>
        <v>1</v>
      </c>
      <c r="L254" s="2782"/>
      <c r="M254" s="478" t="n">
        <f aca="false">(SUMIF($13:$13,L254,$14:$14)-SUMIF($13:$13,$L$24,$14:$14)+100)/100</f>
        <v>1</v>
      </c>
      <c r="N254" s="2782"/>
      <c r="O254" s="478" t="n">
        <f aca="false">(SUMIF($15:$15,N254,$16:$16)-SUMIF($15:$15,$N$24,$16:$16)+100)/100</f>
        <v>1</v>
      </c>
      <c r="P254" s="2782"/>
      <c r="Q254" s="478" t="n">
        <f aca="false">(SUMIF($17:$17,P254,$18:$18)-SUMIF($17:$17,$P$24,$18:$18)+100)/100</f>
        <v>1</v>
      </c>
      <c r="R254" s="2772" t="n">
        <f aca="false">IF(B254="",0,ROUND($R$24*C254*E254*G254*I254*K254*M254*O254*Q254,0))</f>
        <v>0</v>
      </c>
      <c r="S254" s="2771" t="n">
        <f aca="false">ROUND(R254*B254/10000,0)</f>
        <v>0</v>
      </c>
    </row>
    <row r="255" customFormat="false" ht="12.75" hidden="false" customHeight="false" outlineLevel="0" collapsed="false">
      <c r="A255" s="1016"/>
      <c r="B255" s="2781"/>
      <c r="C255" s="478" t="n">
        <f aca="false">IF(B255="",1,(LOOKUP(B255,$3:$3,$4:$4)-LOOKUP($B$24,$3:$3,$4:$4)+100)/100)</f>
        <v>1</v>
      </c>
      <c r="D255" s="2782"/>
      <c r="E255" s="478" t="n">
        <f aca="false">(SUMIF($5:$5,D255,$6:$6)-SUMIF($5:$5,$D$24,$6:$6)+100)/100</f>
        <v>1</v>
      </c>
      <c r="F255" s="2782"/>
      <c r="G255" s="478" t="n">
        <f aca="false">(SUMIF($7:$7,F255,$8:$8)-SUMIF($7:$7,$F$24,$8:$8)+100)/100</f>
        <v>1</v>
      </c>
      <c r="H255" s="2782"/>
      <c r="I255" s="478" t="n">
        <f aca="false">(SUMIF($9:$9,H255,$10:$10)-SUMIF($9:$9,$H$24,$10:$10)+100)/100</f>
        <v>1</v>
      </c>
      <c r="J255" s="2782"/>
      <c r="K255" s="478" t="n">
        <f aca="false">(SUMIF($11:$11,J255,$12:$12)-SUMIF($11:$11,$J$24,$12:$12)+100)/100</f>
        <v>1</v>
      </c>
      <c r="L255" s="2782"/>
      <c r="M255" s="478" t="n">
        <f aca="false">(SUMIF($13:$13,L255,$14:$14)-SUMIF($13:$13,$L$24,$14:$14)+100)/100</f>
        <v>1</v>
      </c>
      <c r="N255" s="2782"/>
      <c r="O255" s="478" t="n">
        <f aca="false">(SUMIF($15:$15,N255,$16:$16)-SUMIF($15:$15,$N$24,$16:$16)+100)/100</f>
        <v>1</v>
      </c>
      <c r="P255" s="2782"/>
      <c r="Q255" s="478" t="n">
        <f aca="false">(SUMIF($17:$17,P255,$18:$18)-SUMIF($17:$17,$P$24,$18:$18)+100)/100</f>
        <v>1</v>
      </c>
      <c r="R255" s="2772" t="n">
        <f aca="false">IF(B255="",0,ROUND($R$24*C255*E255*G255*I255*K255*M255*O255*Q255,0))</f>
        <v>0</v>
      </c>
      <c r="S255" s="2771" t="n">
        <f aca="false">ROUND(R255*B255/10000,0)</f>
        <v>0</v>
      </c>
    </row>
    <row r="256" customFormat="false" ht="12.75" hidden="false" customHeight="false" outlineLevel="0" collapsed="false">
      <c r="A256" s="1016"/>
      <c r="B256" s="2781"/>
      <c r="C256" s="478" t="n">
        <f aca="false">IF(B256="",1,(LOOKUP(B256,$3:$3,$4:$4)-LOOKUP($B$24,$3:$3,$4:$4)+100)/100)</f>
        <v>1</v>
      </c>
      <c r="D256" s="2782"/>
      <c r="E256" s="478" t="n">
        <f aca="false">(SUMIF($5:$5,D256,$6:$6)-SUMIF($5:$5,$D$24,$6:$6)+100)/100</f>
        <v>1</v>
      </c>
      <c r="F256" s="2782"/>
      <c r="G256" s="478" t="n">
        <f aca="false">(SUMIF($7:$7,F256,$8:$8)-SUMIF($7:$7,$F$24,$8:$8)+100)/100</f>
        <v>1</v>
      </c>
      <c r="H256" s="2782"/>
      <c r="I256" s="478" t="n">
        <f aca="false">(SUMIF($9:$9,H256,$10:$10)-SUMIF($9:$9,$H$24,$10:$10)+100)/100</f>
        <v>1</v>
      </c>
      <c r="J256" s="2782"/>
      <c r="K256" s="478" t="n">
        <f aca="false">(SUMIF($11:$11,J256,$12:$12)-SUMIF($11:$11,$J$24,$12:$12)+100)/100</f>
        <v>1</v>
      </c>
      <c r="L256" s="2782"/>
      <c r="M256" s="478" t="n">
        <f aca="false">(SUMIF($13:$13,L256,$14:$14)-SUMIF($13:$13,$L$24,$14:$14)+100)/100</f>
        <v>1</v>
      </c>
      <c r="N256" s="2782"/>
      <c r="O256" s="478" t="n">
        <f aca="false">(SUMIF($15:$15,N256,$16:$16)-SUMIF($15:$15,$N$24,$16:$16)+100)/100</f>
        <v>1</v>
      </c>
      <c r="P256" s="2782"/>
      <c r="Q256" s="478" t="n">
        <f aca="false">(SUMIF($17:$17,P256,$18:$18)-SUMIF($17:$17,$P$24,$18:$18)+100)/100</f>
        <v>1</v>
      </c>
      <c r="R256" s="2772" t="n">
        <f aca="false">IF(B256="",0,ROUND($R$24*C256*E256*G256*I256*K256*M256*O256*Q256,0))</f>
        <v>0</v>
      </c>
      <c r="S256" s="2771" t="n">
        <f aca="false">ROUND(R256*B256/10000,0)</f>
        <v>0</v>
      </c>
    </row>
    <row r="257" customFormat="false" ht="12.75" hidden="false" customHeight="false" outlineLevel="0" collapsed="false">
      <c r="A257" s="1016"/>
      <c r="B257" s="2781"/>
      <c r="C257" s="478" t="n">
        <f aca="false">IF(B257="",1,(LOOKUP(B257,$3:$3,$4:$4)-LOOKUP($B$24,$3:$3,$4:$4)+100)/100)</f>
        <v>1</v>
      </c>
      <c r="D257" s="2782"/>
      <c r="E257" s="478" t="n">
        <f aca="false">(SUMIF($5:$5,D257,$6:$6)-SUMIF($5:$5,$D$24,$6:$6)+100)/100</f>
        <v>1</v>
      </c>
      <c r="F257" s="2782"/>
      <c r="G257" s="478" t="n">
        <f aca="false">(SUMIF($7:$7,F257,$8:$8)-SUMIF($7:$7,$F$24,$8:$8)+100)/100</f>
        <v>1</v>
      </c>
      <c r="H257" s="2782"/>
      <c r="I257" s="478" t="n">
        <f aca="false">(SUMIF($9:$9,H257,$10:$10)-SUMIF($9:$9,$H$24,$10:$10)+100)/100</f>
        <v>1</v>
      </c>
      <c r="J257" s="2782"/>
      <c r="K257" s="478" t="n">
        <f aca="false">(SUMIF($11:$11,J257,$12:$12)-SUMIF($11:$11,$J$24,$12:$12)+100)/100</f>
        <v>1</v>
      </c>
      <c r="L257" s="2782"/>
      <c r="M257" s="478" t="n">
        <f aca="false">(SUMIF($13:$13,L257,$14:$14)-SUMIF($13:$13,$L$24,$14:$14)+100)/100</f>
        <v>1</v>
      </c>
      <c r="N257" s="2782"/>
      <c r="O257" s="478" t="n">
        <f aca="false">(SUMIF($15:$15,N257,$16:$16)-SUMIF($15:$15,$N$24,$16:$16)+100)/100</f>
        <v>1</v>
      </c>
      <c r="P257" s="2782"/>
      <c r="Q257" s="478" t="n">
        <f aca="false">(SUMIF($17:$17,P257,$18:$18)-SUMIF($17:$17,$P$24,$18:$18)+100)/100</f>
        <v>1</v>
      </c>
      <c r="R257" s="2772" t="n">
        <f aca="false">IF(B257="",0,ROUND($R$24*C257*E257*G257*I257*K257*M257*O257*Q257,0))</f>
        <v>0</v>
      </c>
      <c r="S257" s="2771" t="n">
        <f aca="false">ROUND(R257*B257/10000,0)</f>
        <v>0</v>
      </c>
    </row>
    <row r="258" customFormat="false" ht="12.75" hidden="false" customHeight="false" outlineLevel="0" collapsed="false">
      <c r="A258" s="1016"/>
      <c r="B258" s="2781"/>
      <c r="C258" s="478" t="n">
        <f aca="false">IF(B258="",1,(LOOKUP(B258,$3:$3,$4:$4)-LOOKUP($B$24,$3:$3,$4:$4)+100)/100)</f>
        <v>1</v>
      </c>
      <c r="D258" s="2782"/>
      <c r="E258" s="478" t="n">
        <f aca="false">(SUMIF($5:$5,D258,$6:$6)-SUMIF($5:$5,$D$24,$6:$6)+100)/100</f>
        <v>1</v>
      </c>
      <c r="F258" s="2782"/>
      <c r="G258" s="478" t="n">
        <f aca="false">(SUMIF($7:$7,F258,$8:$8)-SUMIF($7:$7,$F$24,$8:$8)+100)/100</f>
        <v>1</v>
      </c>
      <c r="H258" s="2782"/>
      <c r="I258" s="478" t="n">
        <f aca="false">(SUMIF($9:$9,H258,$10:$10)-SUMIF($9:$9,$H$24,$10:$10)+100)/100</f>
        <v>1</v>
      </c>
      <c r="J258" s="2782"/>
      <c r="K258" s="478" t="n">
        <f aca="false">(SUMIF($11:$11,J258,$12:$12)-SUMIF($11:$11,$J$24,$12:$12)+100)/100</f>
        <v>1</v>
      </c>
      <c r="L258" s="2782"/>
      <c r="M258" s="478" t="n">
        <f aca="false">(SUMIF($13:$13,L258,$14:$14)-SUMIF($13:$13,$L$24,$14:$14)+100)/100</f>
        <v>1</v>
      </c>
      <c r="N258" s="2782"/>
      <c r="O258" s="478" t="n">
        <f aca="false">(SUMIF($15:$15,N258,$16:$16)-SUMIF($15:$15,$N$24,$16:$16)+100)/100</f>
        <v>1</v>
      </c>
      <c r="P258" s="2782"/>
      <c r="Q258" s="478" t="n">
        <f aca="false">(SUMIF($17:$17,P258,$18:$18)-SUMIF($17:$17,$P$24,$18:$18)+100)/100</f>
        <v>1</v>
      </c>
      <c r="R258" s="2772" t="n">
        <f aca="false">IF(B258="",0,ROUND($R$24*C258*E258*G258*I258*K258*M258*O258*Q258,0))</f>
        <v>0</v>
      </c>
      <c r="S258" s="2771" t="n">
        <f aca="false">ROUND(R258*B258/10000,0)</f>
        <v>0</v>
      </c>
    </row>
    <row r="259" customFormat="false" ht="12.75" hidden="false" customHeight="false" outlineLevel="0" collapsed="false">
      <c r="A259" s="1016"/>
      <c r="B259" s="2781"/>
      <c r="C259" s="478" t="n">
        <f aca="false">IF(B259="",1,(LOOKUP(B259,$3:$3,$4:$4)-LOOKUP($B$24,$3:$3,$4:$4)+100)/100)</f>
        <v>1</v>
      </c>
      <c r="D259" s="2782"/>
      <c r="E259" s="478" t="n">
        <f aca="false">(SUMIF($5:$5,D259,$6:$6)-SUMIF($5:$5,$D$24,$6:$6)+100)/100</f>
        <v>1</v>
      </c>
      <c r="F259" s="2782"/>
      <c r="G259" s="478" t="n">
        <f aca="false">(SUMIF($7:$7,F259,$8:$8)-SUMIF($7:$7,$F$24,$8:$8)+100)/100</f>
        <v>1</v>
      </c>
      <c r="H259" s="2782"/>
      <c r="I259" s="478" t="n">
        <f aca="false">(SUMIF($9:$9,H259,$10:$10)-SUMIF($9:$9,$H$24,$10:$10)+100)/100</f>
        <v>1</v>
      </c>
      <c r="J259" s="2782"/>
      <c r="K259" s="478" t="n">
        <f aca="false">(SUMIF($11:$11,J259,$12:$12)-SUMIF($11:$11,$J$24,$12:$12)+100)/100</f>
        <v>1</v>
      </c>
      <c r="L259" s="2782"/>
      <c r="M259" s="478" t="n">
        <f aca="false">(SUMIF($13:$13,L259,$14:$14)-SUMIF($13:$13,$L$24,$14:$14)+100)/100</f>
        <v>1</v>
      </c>
      <c r="N259" s="2782"/>
      <c r="O259" s="478" t="n">
        <f aca="false">(SUMIF($15:$15,N259,$16:$16)-SUMIF($15:$15,$N$24,$16:$16)+100)/100</f>
        <v>1</v>
      </c>
      <c r="P259" s="2782"/>
      <c r="Q259" s="478" t="n">
        <f aca="false">(SUMIF($17:$17,P259,$18:$18)-SUMIF($17:$17,$P$24,$18:$18)+100)/100</f>
        <v>1</v>
      </c>
      <c r="R259" s="2772" t="n">
        <f aca="false">IF(B259="",0,ROUND($R$24*C259*E259*G259*I259*K259*M259*O259*Q259,0))</f>
        <v>0</v>
      </c>
      <c r="S259" s="2771" t="n">
        <f aca="false">ROUND(R259*B259/10000,0)</f>
        <v>0</v>
      </c>
    </row>
    <row r="260" customFormat="false" ht="12.75" hidden="false" customHeight="false" outlineLevel="0" collapsed="false">
      <c r="A260" s="1016"/>
      <c r="B260" s="2781"/>
      <c r="C260" s="478" t="n">
        <f aca="false">IF(B260="",1,(LOOKUP(B260,$3:$3,$4:$4)-LOOKUP($B$24,$3:$3,$4:$4)+100)/100)</f>
        <v>1</v>
      </c>
      <c r="D260" s="2782"/>
      <c r="E260" s="478" t="n">
        <f aca="false">(SUMIF($5:$5,D260,$6:$6)-SUMIF($5:$5,$D$24,$6:$6)+100)/100</f>
        <v>1</v>
      </c>
      <c r="F260" s="2782"/>
      <c r="G260" s="478" t="n">
        <f aca="false">(SUMIF($7:$7,F260,$8:$8)-SUMIF($7:$7,$F$24,$8:$8)+100)/100</f>
        <v>1</v>
      </c>
      <c r="H260" s="2782"/>
      <c r="I260" s="478" t="n">
        <f aca="false">(SUMIF($9:$9,H260,$10:$10)-SUMIF($9:$9,$H$24,$10:$10)+100)/100</f>
        <v>1</v>
      </c>
      <c r="J260" s="2782"/>
      <c r="K260" s="478" t="n">
        <f aca="false">(SUMIF($11:$11,J260,$12:$12)-SUMIF($11:$11,$J$24,$12:$12)+100)/100</f>
        <v>1</v>
      </c>
      <c r="L260" s="2782"/>
      <c r="M260" s="478" t="n">
        <f aca="false">(SUMIF($13:$13,L260,$14:$14)-SUMIF($13:$13,$L$24,$14:$14)+100)/100</f>
        <v>1</v>
      </c>
      <c r="N260" s="2782"/>
      <c r="O260" s="478" t="n">
        <f aca="false">(SUMIF($15:$15,N260,$16:$16)-SUMIF($15:$15,$N$24,$16:$16)+100)/100</f>
        <v>1</v>
      </c>
      <c r="P260" s="2782"/>
      <c r="Q260" s="478" t="n">
        <f aca="false">(SUMIF($17:$17,P260,$18:$18)-SUMIF($17:$17,$P$24,$18:$18)+100)/100</f>
        <v>1</v>
      </c>
      <c r="R260" s="2772" t="n">
        <f aca="false">IF(B260="",0,ROUND($R$24*C260*E260*G260*I260*K260*M260*O260*Q260,0))</f>
        <v>0</v>
      </c>
      <c r="S260" s="2771" t="n">
        <f aca="false">ROUND(R260*B260/10000,0)</f>
        <v>0</v>
      </c>
    </row>
    <row r="261" customFormat="false" ht="12.75" hidden="false" customHeight="false" outlineLevel="0" collapsed="false">
      <c r="A261" s="1016"/>
      <c r="B261" s="2781"/>
      <c r="C261" s="478" t="n">
        <f aca="false">IF(B261="",1,(LOOKUP(B261,$3:$3,$4:$4)-LOOKUP($B$24,$3:$3,$4:$4)+100)/100)</f>
        <v>1</v>
      </c>
      <c r="D261" s="2782"/>
      <c r="E261" s="478" t="n">
        <f aca="false">(SUMIF($5:$5,D261,$6:$6)-SUMIF($5:$5,$D$24,$6:$6)+100)/100</f>
        <v>1</v>
      </c>
      <c r="F261" s="2782"/>
      <c r="G261" s="478" t="n">
        <f aca="false">(SUMIF($7:$7,F261,$8:$8)-SUMIF($7:$7,$F$24,$8:$8)+100)/100</f>
        <v>1</v>
      </c>
      <c r="H261" s="2782"/>
      <c r="I261" s="478" t="n">
        <f aca="false">(SUMIF($9:$9,H261,$10:$10)-SUMIF($9:$9,$H$24,$10:$10)+100)/100</f>
        <v>1</v>
      </c>
      <c r="J261" s="2782"/>
      <c r="K261" s="478" t="n">
        <f aca="false">(SUMIF($11:$11,J261,$12:$12)-SUMIF($11:$11,$J$24,$12:$12)+100)/100</f>
        <v>1</v>
      </c>
      <c r="L261" s="2782"/>
      <c r="M261" s="478" t="n">
        <f aca="false">(SUMIF($13:$13,L261,$14:$14)-SUMIF($13:$13,$L$24,$14:$14)+100)/100</f>
        <v>1</v>
      </c>
      <c r="N261" s="2782"/>
      <c r="O261" s="478" t="n">
        <f aca="false">(SUMIF($15:$15,N261,$16:$16)-SUMIF($15:$15,$N$24,$16:$16)+100)/100</f>
        <v>1</v>
      </c>
      <c r="P261" s="2782"/>
      <c r="Q261" s="478" t="n">
        <f aca="false">(SUMIF($17:$17,P261,$18:$18)-SUMIF($17:$17,$P$24,$18:$18)+100)/100</f>
        <v>1</v>
      </c>
      <c r="R261" s="2772" t="n">
        <f aca="false">IF(B261="",0,ROUND($R$24*C261*E261*G261*I261*K261*M261*O261*Q261,0))</f>
        <v>0</v>
      </c>
      <c r="S261" s="2771" t="n">
        <f aca="false">ROUND(R261*B261/10000,0)</f>
        <v>0</v>
      </c>
    </row>
    <row r="262" customFormat="false" ht="12.75" hidden="false" customHeight="false" outlineLevel="0" collapsed="false">
      <c r="A262" s="1016"/>
      <c r="B262" s="2781"/>
      <c r="C262" s="478" t="n">
        <f aca="false">IF(B262="",1,(LOOKUP(B262,$3:$3,$4:$4)-LOOKUP($B$24,$3:$3,$4:$4)+100)/100)</f>
        <v>1</v>
      </c>
      <c r="D262" s="2782"/>
      <c r="E262" s="478" t="n">
        <f aca="false">(SUMIF($5:$5,D262,$6:$6)-SUMIF($5:$5,$D$24,$6:$6)+100)/100</f>
        <v>1</v>
      </c>
      <c r="F262" s="2782"/>
      <c r="G262" s="478" t="n">
        <f aca="false">(SUMIF($7:$7,F262,$8:$8)-SUMIF($7:$7,$F$24,$8:$8)+100)/100</f>
        <v>1</v>
      </c>
      <c r="H262" s="2782"/>
      <c r="I262" s="478" t="n">
        <f aca="false">(SUMIF($9:$9,H262,$10:$10)-SUMIF($9:$9,$H$24,$10:$10)+100)/100</f>
        <v>1</v>
      </c>
      <c r="J262" s="2782"/>
      <c r="K262" s="478" t="n">
        <f aca="false">(SUMIF($11:$11,J262,$12:$12)-SUMIF($11:$11,$J$24,$12:$12)+100)/100</f>
        <v>1</v>
      </c>
      <c r="L262" s="2782"/>
      <c r="M262" s="478" t="n">
        <f aca="false">(SUMIF($13:$13,L262,$14:$14)-SUMIF($13:$13,$L$24,$14:$14)+100)/100</f>
        <v>1</v>
      </c>
      <c r="N262" s="2782"/>
      <c r="O262" s="478" t="n">
        <f aca="false">(SUMIF($15:$15,N262,$16:$16)-SUMIF($15:$15,$N$24,$16:$16)+100)/100</f>
        <v>1</v>
      </c>
      <c r="P262" s="2782"/>
      <c r="Q262" s="478" t="n">
        <f aca="false">(SUMIF($17:$17,P262,$18:$18)-SUMIF($17:$17,$P$24,$18:$18)+100)/100</f>
        <v>1</v>
      </c>
      <c r="R262" s="2772" t="n">
        <f aca="false">IF(B262="",0,ROUND($R$24*C262*E262*G262*I262*K262*M262*O262*Q262,0))</f>
        <v>0</v>
      </c>
      <c r="S262" s="2771" t="n">
        <f aca="false">ROUND(R262*B262/10000,0)</f>
        <v>0</v>
      </c>
    </row>
    <row r="263" customFormat="false" ht="12.75" hidden="false" customHeight="false" outlineLevel="0" collapsed="false">
      <c r="A263" s="1016"/>
      <c r="B263" s="2781"/>
      <c r="C263" s="478" t="n">
        <f aca="false">IF(B263="",1,(LOOKUP(B263,$3:$3,$4:$4)-LOOKUP($B$24,$3:$3,$4:$4)+100)/100)</f>
        <v>1</v>
      </c>
      <c r="D263" s="2782"/>
      <c r="E263" s="478" t="n">
        <f aca="false">(SUMIF($5:$5,D263,$6:$6)-SUMIF($5:$5,$D$24,$6:$6)+100)/100</f>
        <v>1</v>
      </c>
      <c r="F263" s="2782"/>
      <c r="G263" s="478" t="n">
        <f aca="false">(SUMIF($7:$7,F263,$8:$8)-SUMIF($7:$7,$F$24,$8:$8)+100)/100</f>
        <v>1</v>
      </c>
      <c r="H263" s="2782"/>
      <c r="I263" s="478" t="n">
        <f aca="false">(SUMIF($9:$9,H263,$10:$10)-SUMIF($9:$9,$H$24,$10:$10)+100)/100</f>
        <v>1</v>
      </c>
      <c r="J263" s="2782"/>
      <c r="K263" s="478" t="n">
        <f aca="false">(SUMIF($11:$11,J263,$12:$12)-SUMIF($11:$11,$J$24,$12:$12)+100)/100</f>
        <v>1</v>
      </c>
      <c r="L263" s="2782"/>
      <c r="M263" s="478" t="n">
        <f aca="false">(SUMIF($13:$13,L263,$14:$14)-SUMIF($13:$13,$L$24,$14:$14)+100)/100</f>
        <v>1</v>
      </c>
      <c r="N263" s="2782"/>
      <c r="O263" s="478" t="n">
        <f aca="false">(SUMIF($15:$15,N263,$16:$16)-SUMIF($15:$15,$N$24,$16:$16)+100)/100</f>
        <v>1</v>
      </c>
      <c r="P263" s="2782"/>
      <c r="Q263" s="478" t="n">
        <f aca="false">(SUMIF($17:$17,P263,$18:$18)-SUMIF($17:$17,$P$24,$18:$18)+100)/100</f>
        <v>1</v>
      </c>
      <c r="R263" s="2772" t="n">
        <f aca="false">IF(B263="",0,ROUND($R$24*C263*E263*G263*I263*K263*M263*O263*Q263,0))</f>
        <v>0</v>
      </c>
      <c r="S263" s="2771" t="n">
        <f aca="false">ROUND(R263*B263/10000,0)</f>
        <v>0</v>
      </c>
    </row>
    <row r="264" customFormat="false" ht="12.75" hidden="false" customHeight="false" outlineLevel="0" collapsed="false">
      <c r="A264" s="1016"/>
      <c r="B264" s="2781"/>
      <c r="C264" s="478" t="n">
        <f aca="false">IF(B264="",1,(LOOKUP(B264,$3:$3,$4:$4)-LOOKUP($B$24,$3:$3,$4:$4)+100)/100)</f>
        <v>1</v>
      </c>
      <c r="D264" s="2782"/>
      <c r="E264" s="478" t="n">
        <f aca="false">(SUMIF($5:$5,D264,$6:$6)-SUMIF($5:$5,$D$24,$6:$6)+100)/100</f>
        <v>1</v>
      </c>
      <c r="F264" s="2782"/>
      <c r="G264" s="478" t="n">
        <f aca="false">(SUMIF($7:$7,F264,$8:$8)-SUMIF($7:$7,$F$24,$8:$8)+100)/100</f>
        <v>1</v>
      </c>
      <c r="H264" s="2782"/>
      <c r="I264" s="478" t="n">
        <f aca="false">(SUMIF($9:$9,H264,$10:$10)-SUMIF($9:$9,$H$24,$10:$10)+100)/100</f>
        <v>1</v>
      </c>
      <c r="J264" s="2782"/>
      <c r="K264" s="478" t="n">
        <f aca="false">(SUMIF($11:$11,J264,$12:$12)-SUMIF($11:$11,$J$24,$12:$12)+100)/100</f>
        <v>1</v>
      </c>
      <c r="L264" s="2782"/>
      <c r="M264" s="478" t="n">
        <f aca="false">(SUMIF($13:$13,L264,$14:$14)-SUMIF($13:$13,$L$24,$14:$14)+100)/100</f>
        <v>1</v>
      </c>
      <c r="N264" s="2782"/>
      <c r="O264" s="478" t="n">
        <f aca="false">(SUMIF($15:$15,N264,$16:$16)-SUMIF($15:$15,$N$24,$16:$16)+100)/100</f>
        <v>1</v>
      </c>
      <c r="P264" s="2782"/>
      <c r="Q264" s="478" t="n">
        <f aca="false">(SUMIF($17:$17,P264,$18:$18)-SUMIF($17:$17,$P$24,$18:$18)+100)/100</f>
        <v>1</v>
      </c>
      <c r="R264" s="2772" t="n">
        <f aca="false">IF(B264="",0,ROUND($R$24*C264*E264*G264*I264*K264*M264*O264*Q264,0))</f>
        <v>0</v>
      </c>
      <c r="S264" s="2771" t="n">
        <f aca="false">ROUND(R264*B264/10000,0)</f>
        <v>0</v>
      </c>
    </row>
    <row r="265" customFormat="false" ht="12.75" hidden="false" customHeight="false" outlineLevel="0" collapsed="false">
      <c r="A265" s="1016"/>
      <c r="B265" s="2781"/>
      <c r="C265" s="478" t="n">
        <f aca="false">IF(B265="",1,(LOOKUP(B265,$3:$3,$4:$4)-LOOKUP($B$24,$3:$3,$4:$4)+100)/100)</f>
        <v>1</v>
      </c>
      <c r="D265" s="2782"/>
      <c r="E265" s="478" t="n">
        <f aca="false">(SUMIF($5:$5,D265,$6:$6)-SUMIF($5:$5,$D$24,$6:$6)+100)/100</f>
        <v>1</v>
      </c>
      <c r="F265" s="2782"/>
      <c r="G265" s="478" t="n">
        <f aca="false">(SUMIF($7:$7,F265,$8:$8)-SUMIF($7:$7,$F$24,$8:$8)+100)/100</f>
        <v>1</v>
      </c>
      <c r="H265" s="2782"/>
      <c r="I265" s="478" t="n">
        <f aca="false">(SUMIF($9:$9,H265,$10:$10)-SUMIF($9:$9,$H$24,$10:$10)+100)/100</f>
        <v>1</v>
      </c>
      <c r="J265" s="2782"/>
      <c r="K265" s="478" t="n">
        <f aca="false">(SUMIF($11:$11,J265,$12:$12)-SUMIF($11:$11,$J$24,$12:$12)+100)/100</f>
        <v>1</v>
      </c>
      <c r="L265" s="2782"/>
      <c r="M265" s="478" t="n">
        <f aca="false">(SUMIF($13:$13,L265,$14:$14)-SUMIF($13:$13,$L$24,$14:$14)+100)/100</f>
        <v>1</v>
      </c>
      <c r="N265" s="2782"/>
      <c r="O265" s="478" t="n">
        <f aca="false">(SUMIF($15:$15,N265,$16:$16)-SUMIF($15:$15,$N$24,$16:$16)+100)/100</f>
        <v>1</v>
      </c>
      <c r="P265" s="2782"/>
      <c r="Q265" s="478" t="n">
        <f aca="false">(SUMIF($17:$17,P265,$18:$18)-SUMIF($17:$17,$P$24,$18:$18)+100)/100</f>
        <v>1</v>
      </c>
      <c r="R265" s="2772" t="n">
        <f aca="false">IF(B265="",0,ROUND($R$24*C265*E265*G265*I265*K265*M265*O265*Q265,0))</f>
        <v>0</v>
      </c>
      <c r="S265" s="2771" t="n">
        <f aca="false">ROUND(R265*B265/10000,0)</f>
        <v>0</v>
      </c>
    </row>
    <row r="266" customFormat="false" ht="12.75" hidden="false" customHeight="false" outlineLevel="0" collapsed="false">
      <c r="A266" s="1016"/>
      <c r="B266" s="2781"/>
      <c r="C266" s="478" t="n">
        <f aca="false">IF(B266="",1,(LOOKUP(B266,$3:$3,$4:$4)-LOOKUP($B$24,$3:$3,$4:$4)+100)/100)</f>
        <v>1</v>
      </c>
      <c r="D266" s="2782"/>
      <c r="E266" s="478" t="n">
        <f aca="false">(SUMIF($5:$5,D266,$6:$6)-SUMIF($5:$5,$D$24,$6:$6)+100)/100</f>
        <v>1</v>
      </c>
      <c r="F266" s="2782"/>
      <c r="G266" s="478" t="n">
        <f aca="false">(SUMIF($7:$7,F266,$8:$8)-SUMIF($7:$7,$F$24,$8:$8)+100)/100</f>
        <v>1</v>
      </c>
      <c r="H266" s="2782"/>
      <c r="I266" s="478" t="n">
        <f aca="false">(SUMIF($9:$9,H266,$10:$10)-SUMIF($9:$9,$H$24,$10:$10)+100)/100</f>
        <v>1</v>
      </c>
      <c r="J266" s="2782"/>
      <c r="K266" s="478" t="n">
        <f aca="false">(SUMIF($11:$11,J266,$12:$12)-SUMIF($11:$11,$J$24,$12:$12)+100)/100</f>
        <v>1</v>
      </c>
      <c r="L266" s="2782"/>
      <c r="M266" s="478" t="n">
        <f aca="false">(SUMIF($13:$13,L266,$14:$14)-SUMIF($13:$13,$L$24,$14:$14)+100)/100</f>
        <v>1</v>
      </c>
      <c r="N266" s="2782"/>
      <c r="O266" s="478" t="n">
        <f aca="false">(SUMIF($15:$15,N266,$16:$16)-SUMIF($15:$15,$N$24,$16:$16)+100)/100</f>
        <v>1</v>
      </c>
      <c r="P266" s="2782"/>
      <c r="Q266" s="478" t="n">
        <f aca="false">(SUMIF($17:$17,P266,$18:$18)-SUMIF($17:$17,$P$24,$18:$18)+100)/100</f>
        <v>1</v>
      </c>
      <c r="R266" s="2772" t="n">
        <f aca="false">IF(B266="",0,ROUND($R$24*C266*E266*G266*I266*K266*M266*O266*Q266,0))</f>
        <v>0</v>
      </c>
      <c r="S266" s="2771" t="n">
        <f aca="false">ROUND(R266*B266/10000,0)</f>
        <v>0</v>
      </c>
    </row>
    <row r="267" customFormat="false" ht="12.75" hidden="false" customHeight="false" outlineLevel="0" collapsed="false">
      <c r="A267" s="1016"/>
      <c r="B267" s="2781"/>
      <c r="C267" s="478" t="n">
        <f aca="false">IF(B267="",1,(LOOKUP(B267,$3:$3,$4:$4)-LOOKUP($B$24,$3:$3,$4:$4)+100)/100)</f>
        <v>1</v>
      </c>
      <c r="D267" s="2782"/>
      <c r="E267" s="478" t="n">
        <f aca="false">(SUMIF($5:$5,D267,$6:$6)-SUMIF($5:$5,$D$24,$6:$6)+100)/100</f>
        <v>1</v>
      </c>
      <c r="F267" s="2782"/>
      <c r="G267" s="478" t="n">
        <f aca="false">(SUMIF($7:$7,F267,$8:$8)-SUMIF($7:$7,$F$24,$8:$8)+100)/100</f>
        <v>1</v>
      </c>
      <c r="H267" s="2782"/>
      <c r="I267" s="478" t="n">
        <f aca="false">(SUMIF($9:$9,H267,$10:$10)-SUMIF($9:$9,$H$24,$10:$10)+100)/100</f>
        <v>1</v>
      </c>
      <c r="J267" s="2782"/>
      <c r="K267" s="478" t="n">
        <f aca="false">(SUMIF($11:$11,J267,$12:$12)-SUMIF($11:$11,$J$24,$12:$12)+100)/100</f>
        <v>1</v>
      </c>
      <c r="L267" s="2782"/>
      <c r="M267" s="478" t="n">
        <f aca="false">(SUMIF($13:$13,L267,$14:$14)-SUMIF($13:$13,$L$24,$14:$14)+100)/100</f>
        <v>1</v>
      </c>
      <c r="N267" s="2782"/>
      <c r="O267" s="478" t="n">
        <f aca="false">(SUMIF($15:$15,N267,$16:$16)-SUMIF($15:$15,$N$24,$16:$16)+100)/100</f>
        <v>1</v>
      </c>
      <c r="P267" s="2782"/>
      <c r="Q267" s="478" t="n">
        <f aca="false">(SUMIF($17:$17,P267,$18:$18)-SUMIF($17:$17,$P$24,$18:$18)+100)/100</f>
        <v>1</v>
      </c>
      <c r="R267" s="2772" t="n">
        <f aca="false">IF(B267="",0,ROUND($R$24*C267*E267*G267*I267*K267*M267*O267*Q267,0))</f>
        <v>0</v>
      </c>
      <c r="S267" s="2771" t="n">
        <f aca="false">ROUND(R267*B267/10000,0)</f>
        <v>0</v>
      </c>
    </row>
    <row r="268" customFormat="false" ht="12.75" hidden="false" customHeight="false" outlineLevel="0" collapsed="false">
      <c r="A268" s="1016"/>
      <c r="B268" s="2781"/>
      <c r="C268" s="478" t="n">
        <f aca="false">IF(B268="",1,(LOOKUP(B268,$3:$3,$4:$4)-LOOKUP($B$24,$3:$3,$4:$4)+100)/100)</f>
        <v>1</v>
      </c>
      <c r="D268" s="2782"/>
      <c r="E268" s="478" t="n">
        <f aca="false">(SUMIF($5:$5,D268,$6:$6)-SUMIF($5:$5,$D$24,$6:$6)+100)/100</f>
        <v>1</v>
      </c>
      <c r="F268" s="2782"/>
      <c r="G268" s="478" t="n">
        <f aca="false">(SUMIF($7:$7,F268,$8:$8)-SUMIF($7:$7,$F$24,$8:$8)+100)/100</f>
        <v>1</v>
      </c>
      <c r="H268" s="2782"/>
      <c r="I268" s="478" t="n">
        <f aca="false">(SUMIF($9:$9,H268,$10:$10)-SUMIF($9:$9,$H$24,$10:$10)+100)/100</f>
        <v>1</v>
      </c>
      <c r="J268" s="2782"/>
      <c r="K268" s="478" t="n">
        <f aca="false">(SUMIF($11:$11,J268,$12:$12)-SUMIF($11:$11,$J$24,$12:$12)+100)/100</f>
        <v>1</v>
      </c>
      <c r="L268" s="2782"/>
      <c r="M268" s="478" t="n">
        <f aca="false">(SUMIF($13:$13,L268,$14:$14)-SUMIF($13:$13,$L$24,$14:$14)+100)/100</f>
        <v>1</v>
      </c>
      <c r="N268" s="2782"/>
      <c r="O268" s="478" t="n">
        <f aca="false">(SUMIF($15:$15,N268,$16:$16)-SUMIF($15:$15,$N$24,$16:$16)+100)/100</f>
        <v>1</v>
      </c>
      <c r="P268" s="2782"/>
      <c r="Q268" s="478" t="n">
        <f aca="false">(SUMIF($17:$17,P268,$18:$18)-SUMIF($17:$17,$P$24,$18:$18)+100)/100</f>
        <v>1</v>
      </c>
      <c r="R268" s="2772" t="n">
        <f aca="false">IF(B268="",0,ROUND($R$24*C268*E268*G268*I268*K268*M268*O268*Q268,0))</f>
        <v>0</v>
      </c>
      <c r="S268" s="2771" t="n">
        <f aca="false">ROUND(R268*B268/10000,0)</f>
        <v>0</v>
      </c>
    </row>
    <row r="269" customFormat="false" ht="12.75" hidden="false" customHeight="false" outlineLevel="0" collapsed="false">
      <c r="A269" s="1016"/>
      <c r="B269" s="2781"/>
      <c r="C269" s="478" t="n">
        <f aca="false">IF(B269="",1,(LOOKUP(B269,$3:$3,$4:$4)-LOOKUP($B$24,$3:$3,$4:$4)+100)/100)</f>
        <v>1</v>
      </c>
      <c r="D269" s="2782"/>
      <c r="E269" s="478" t="n">
        <f aca="false">(SUMIF($5:$5,D269,$6:$6)-SUMIF($5:$5,$D$24,$6:$6)+100)/100</f>
        <v>1</v>
      </c>
      <c r="F269" s="2782"/>
      <c r="G269" s="478" t="n">
        <f aca="false">(SUMIF($7:$7,F269,$8:$8)-SUMIF($7:$7,$F$24,$8:$8)+100)/100</f>
        <v>1</v>
      </c>
      <c r="H269" s="2782"/>
      <c r="I269" s="478" t="n">
        <f aca="false">(SUMIF($9:$9,H269,$10:$10)-SUMIF($9:$9,$H$24,$10:$10)+100)/100</f>
        <v>1</v>
      </c>
      <c r="J269" s="2782"/>
      <c r="K269" s="478" t="n">
        <f aca="false">(SUMIF($11:$11,J269,$12:$12)-SUMIF($11:$11,$J$24,$12:$12)+100)/100</f>
        <v>1</v>
      </c>
      <c r="L269" s="2782"/>
      <c r="M269" s="478" t="n">
        <f aca="false">(SUMIF($13:$13,L269,$14:$14)-SUMIF($13:$13,$L$24,$14:$14)+100)/100</f>
        <v>1</v>
      </c>
      <c r="N269" s="2782"/>
      <c r="O269" s="478" t="n">
        <f aca="false">(SUMIF($15:$15,N269,$16:$16)-SUMIF($15:$15,$N$24,$16:$16)+100)/100</f>
        <v>1</v>
      </c>
      <c r="P269" s="2782"/>
      <c r="Q269" s="478" t="n">
        <f aca="false">(SUMIF($17:$17,P269,$18:$18)-SUMIF($17:$17,$P$24,$18:$18)+100)/100</f>
        <v>1</v>
      </c>
      <c r="R269" s="2772" t="n">
        <f aca="false">IF(B269="",0,ROUND($R$24*C269*E269*G269*I269*K269*M269*O269*Q269,0))</f>
        <v>0</v>
      </c>
      <c r="S269" s="2771" t="n">
        <f aca="false">ROUND(R269*B269/10000,0)</f>
        <v>0</v>
      </c>
    </row>
    <row r="270" customFormat="false" ht="12.75" hidden="false" customHeight="false" outlineLevel="0" collapsed="false">
      <c r="A270" s="1016"/>
      <c r="B270" s="2781"/>
      <c r="C270" s="478" t="n">
        <f aca="false">IF(B270="",1,(LOOKUP(B270,$3:$3,$4:$4)-LOOKUP($B$24,$3:$3,$4:$4)+100)/100)</f>
        <v>1</v>
      </c>
      <c r="D270" s="2782"/>
      <c r="E270" s="478" t="n">
        <f aca="false">(SUMIF($5:$5,D270,$6:$6)-SUMIF($5:$5,$D$24,$6:$6)+100)/100</f>
        <v>1</v>
      </c>
      <c r="F270" s="2782"/>
      <c r="G270" s="478" t="n">
        <f aca="false">(SUMIF($7:$7,F270,$8:$8)-SUMIF($7:$7,$F$24,$8:$8)+100)/100</f>
        <v>1</v>
      </c>
      <c r="H270" s="2782"/>
      <c r="I270" s="478" t="n">
        <f aca="false">(SUMIF($9:$9,H270,$10:$10)-SUMIF($9:$9,$H$24,$10:$10)+100)/100</f>
        <v>1</v>
      </c>
      <c r="J270" s="2782"/>
      <c r="K270" s="478" t="n">
        <f aca="false">(SUMIF($11:$11,J270,$12:$12)-SUMIF($11:$11,$J$24,$12:$12)+100)/100</f>
        <v>1</v>
      </c>
      <c r="L270" s="2782"/>
      <c r="M270" s="478" t="n">
        <f aca="false">(SUMIF($13:$13,L270,$14:$14)-SUMIF($13:$13,$L$24,$14:$14)+100)/100</f>
        <v>1</v>
      </c>
      <c r="N270" s="2782"/>
      <c r="O270" s="478" t="n">
        <f aca="false">(SUMIF($15:$15,N270,$16:$16)-SUMIF($15:$15,$N$24,$16:$16)+100)/100</f>
        <v>1</v>
      </c>
      <c r="P270" s="2782"/>
      <c r="Q270" s="478" t="n">
        <f aca="false">(SUMIF($17:$17,P270,$18:$18)-SUMIF($17:$17,$P$24,$18:$18)+100)/100</f>
        <v>1</v>
      </c>
      <c r="R270" s="2772" t="n">
        <f aca="false">IF(B270="",0,ROUND($R$24*C270*E270*G270*I270*K270*M270*O270*Q270,0))</f>
        <v>0</v>
      </c>
      <c r="S270" s="2771" t="n">
        <f aca="false">ROUND(R270*B270/10000,0)</f>
        <v>0</v>
      </c>
    </row>
    <row r="271" customFormat="false" ht="12.75" hidden="false" customHeight="false" outlineLevel="0" collapsed="false">
      <c r="A271" s="1016"/>
      <c r="B271" s="2781"/>
      <c r="C271" s="478" t="n">
        <f aca="false">IF(B271="",1,(LOOKUP(B271,$3:$3,$4:$4)-LOOKUP($B$24,$3:$3,$4:$4)+100)/100)</f>
        <v>1</v>
      </c>
      <c r="D271" s="2782"/>
      <c r="E271" s="478" t="n">
        <f aca="false">(SUMIF($5:$5,D271,$6:$6)-SUMIF($5:$5,$D$24,$6:$6)+100)/100</f>
        <v>1</v>
      </c>
      <c r="F271" s="2782"/>
      <c r="G271" s="478" t="n">
        <f aca="false">(SUMIF($7:$7,F271,$8:$8)-SUMIF($7:$7,$F$24,$8:$8)+100)/100</f>
        <v>1</v>
      </c>
      <c r="H271" s="2782"/>
      <c r="I271" s="478" t="n">
        <f aca="false">(SUMIF($9:$9,H271,$10:$10)-SUMIF($9:$9,$H$24,$10:$10)+100)/100</f>
        <v>1</v>
      </c>
      <c r="J271" s="2782"/>
      <c r="K271" s="478" t="n">
        <f aca="false">(SUMIF($11:$11,J271,$12:$12)-SUMIF($11:$11,$J$24,$12:$12)+100)/100</f>
        <v>1</v>
      </c>
      <c r="L271" s="2782"/>
      <c r="M271" s="478" t="n">
        <f aca="false">(SUMIF($13:$13,L271,$14:$14)-SUMIF($13:$13,$L$24,$14:$14)+100)/100</f>
        <v>1</v>
      </c>
      <c r="N271" s="2782"/>
      <c r="O271" s="478" t="n">
        <f aca="false">(SUMIF($15:$15,N271,$16:$16)-SUMIF($15:$15,$N$24,$16:$16)+100)/100</f>
        <v>1</v>
      </c>
      <c r="P271" s="2782"/>
      <c r="Q271" s="478" t="n">
        <f aca="false">(SUMIF($17:$17,P271,$18:$18)-SUMIF($17:$17,$P$24,$18:$18)+100)/100</f>
        <v>1</v>
      </c>
      <c r="R271" s="2772" t="n">
        <f aca="false">IF(B271="",0,ROUND($R$24*C271*E271*G271*I271*K271*M271*O271*Q271,0))</f>
        <v>0</v>
      </c>
      <c r="S271" s="2771" t="n">
        <f aca="false">ROUND(R271*B271/10000,0)</f>
        <v>0</v>
      </c>
    </row>
    <row r="272" customFormat="false" ht="12.75" hidden="false" customHeight="false" outlineLevel="0" collapsed="false">
      <c r="A272" s="1016"/>
      <c r="B272" s="2781"/>
      <c r="C272" s="478" t="n">
        <f aca="false">IF(B272="",1,(LOOKUP(B272,$3:$3,$4:$4)-LOOKUP($B$24,$3:$3,$4:$4)+100)/100)</f>
        <v>1</v>
      </c>
      <c r="D272" s="2782"/>
      <c r="E272" s="478" t="n">
        <f aca="false">(SUMIF($5:$5,D272,$6:$6)-SUMIF($5:$5,$D$24,$6:$6)+100)/100</f>
        <v>1</v>
      </c>
      <c r="F272" s="2782"/>
      <c r="G272" s="478" t="n">
        <f aca="false">(SUMIF($7:$7,F272,$8:$8)-SUMIF($7:$7,$F$24,$8:$8)+100)/100</f>
        <v>1</v>
      </c>
      <c r="H272" s="2782"/>
      <c r="I272" s="478" t="n">
        <f aca="false">(SUMIF($9:$9,H272,$10:$10)-SUMIF($9:$9,$H$24,$10:$10)+100)/100</f>
        <v>1</v>
      </c>
      <c r="J272" s="2782"/>
      <c r="K272" s="478" t="n">
        <f aca="false">(SUMIF($11:$11,J272,$12:$12)-SUMIF($11:$11,$J$24,$12:$12)+100)/100</f>
        <v>1</v>
      </c>
      <c r="L272" s="2782"/>
      <c r="M272" s="478" t="n">
        <f aca="false">(SUMIF($13:$13,L272,$14:$14)-SUMIF($13:$13,$L$24,$14:$14)+100)/100</f>
        <v>1</v>
      </c>
      <c r="N272" s="2782"/>
      <c r="O272" s="478" t="n">
        <f aca="false">(SUMIF($15:$15,N272,$16:$16)-SUMIF($15:$15,$N$24,$16:$16)+100)/100</f>
        <v>1</v>
      </c>
      <c r="P272" s="2782"/>
      <c r="Q272" s="478" t="n">
        <f aca="false">(SUMIF($17:$17,P272,$18:$18)-SUMIF($17:$17,$P$24,$18:$18)+100)/100</f>
        <v>1</v>
      </c>
      <c r="R272" s="2772" t="n">
        <f aca="false">IF(B272="",0,ROUND($R$24*C272*E272*G272*I272*K272*M272*O272*Q272,0))</f>
        <v>0</v>
      </c>
      <c r="S272" s="2771" t="n">
        <f aca="false">ROUND(R272*B272/10000,0)</f>
        <v>0</v>
      </c>
    </row>
    <row r="273" customFormat="false" ht="12.75" hidden="false" customHeight="false" outlineLevel="0" collapsed="false">
      <c r="A273" s="1016"/>
      <c r="B273" s="2781"/>
      <c r="C273" s="478" t="n">
        <f aca="false">IF(B273="",1,(LOOKUP(B273,$3:$3,$4:$4)-LOOKUP($B$24,$3:$3,$4:$4)+100)/100)</f>
        <v>1</v>
      </c>
      <c r="D273" s="2782"/>
      <c r="E273" s="478" t="n">
        <f aca="false">(SUMIF($5:$5,D273,$6:$6)-SUMIF($5:$5,$D$24,$6:$6)+100)/100</f>
        <v>1</v>
      </c>
      <c r="F273" s="2782"/>
      <c r="G273" s="478" t="n">
        <f aca="false">(SUMIF($7:$7,F273,$8:$8)-SUMIF($7:$7,$F$24,$8:$8)+100)/100</f>
        <v>1</v>
      </c>
      <c r="H273" s="2782"/>
      <c r="I273" s="478" t="n">
        <f aca="false">(SUMIF($9:$9,H273,$10:$10)-SUMIF($9:$9,$H$24,$10:$10)+100)/100</f>
        <v>1</v>
      </c>
      <c r="J273" s="2782"/>
      <c r="K273" s="478" t="n">
        <f aca="false">(SUMIF($11:$11,J273,$12:$12)-SUMIF($11:$11,$J$24,$12:$12)+100)/100</f>
        <v>1</v>
      </c>
      <c r="L273" s="2782"/>
      <c r="M273" s="478" t="n">
        <f aca="false">(SUMIF($13:$13,L273,$14:$14)-SUMIF($13:$13,$L$24,$14:$14)+100)/100</f>
        <v>1</v>
      </c>
      <c r="N273" s="2782"/>
      <c r="O273" s="478" t="n">
        <f aca="false">(SUMIF($15:$15,N273,$16:$16)-SUMIF($15:$15,$N$24,$16:$16)+100)/100</f>
        <v>1</v>
      </c>
      <c r="P273" s="2782"/>
      <c r="Q273" s="478" t="n">
        <f aca="false">(SUMIF($17:$17,P273,$18:$18)-SUMIF($17:$17,$P$24,$18:$18)+100)/100</f>
        <v>1</v>
      </c>
      <c r="R273" s="2772" t="n">
        <f aca="false">IF(B273="",0,ROUND($R$24*C273*E273*G273*I273*K273*M273*O273*Q273,0))</f>
        <v>0</v>
      </c>
      <c r="S273" s="2771" t="n">
        <f aca="false">ROUND(R273*B273/10000,0)</f>
        <v>0</v>
      </c>
    </row>
    <row r="274" customFormat="false" ht="12.75" hidden="false" customHeight="false" outlineLevel="0" collapsed="false">
      <c r="A274" s="1016"/>
      <c r="B274" s="2781"/>
      <c r="C274" s="478" t="n">
        <f aca="false">IF(B274="",1,(LOOKUP(B274,$3:$3,$4:$4)-LOOKUP($B$24,$3:$3,$4:$4)+100)/100)</f>
        <v>1</v>
      </c>
      <c r="D274" s="2782"/>
      <c r="E274" s="478" t="n">
        <f aca="false">(SUMIF($5:$5,D274,$6:$6)-SUMIF($5:$5,$D$24,$6:$6)+100)/100</f>
        <v>1</v>
      </c>
      <c r="F274" s="2782"/>
      <c r="G274" s="478" t="n">
        <f aca="false">(SUMIF($7:$7,F274,$8:$8)-SUMIF($7:$7,$F$24,$8:$8)+100)/100</f>
        <v>1</v>
      </c>
      <c r="H274" s="2782"/>
      <c r="I274" s="478" t="n">
        <f aca="false">(SUMIF($9:$9,H274,$10:$10)-SUMIF($9:$9,$H$24,$10:$10)+100)/100</f>
        <v>1</v>
      </c>
      <c r="J274" s="2782"/>
      <c r="K274" s="478" t="n">
        <f aca="false">(SUMIF($11:$11,J274,$12:$12)-SUMIF($11:$11,$J$24,$12:$12)+100)/100</f>
        <v>1</v>
      </c>
      <c r="L274" s="2782"/>
      <c r="M274" s="478" t="n">
        <f aca="false">(SUMIF($13:$13,L274,$14:$14)-SUMIF($13:$13,$L$24,$14:$14)+100)/100</f>
        <v>1</v>
      </c>
      <c r="N274" s="2782"/>
      <c r="O274" s="478" t="n">
        <f aca="false">(SUMIF($15:$15,N274,$16:$16)-SUMIF($15:$15,$N$24,$16:$16)+100)/100</f>
        <v>1</v>
      </c>
      <c r="P274" s="2782"/>
      <c r="Q274" s="478" t="n">
        <f aca="false">(SUMIF($17:$17,P274,$18:$18)-SUMIF($17:$17,$P$24,$18:$18)+100)/100</f>
        <v>1</v>
      </c>
      <c r="R274" s="2772" t="n">
        <f aca="false">IF(B274="",0,ROUND($R$24*C274*E274*G274*I274*K274*M274*O274*Q274,0))</f>
        <v>0</v>
      </c>
      <c r="S274" s="2771" t="n">
        <f aca="false">ROUND(R274*B274/10000,0)</f>
        <v>0</v>
      </c>
    </row>
    <row r="275" customFormat="false" ht="12.75" hidden="false" customHeight="false" outlineLevel="0" collapsed="false">
      <c r="A275" s="1016"/>
      <c r="B275" s="2781"/>
      <c r="C275" s="478" t="n">
        <f aca="false">IF(B275="",1,(LOOKUP(B275,$3:$3,$4:$4)-LOOKUP($B$24,$3:$3,$4:$4)+100)/100)</f>
        <v>1</v>
      </c>
      <c r="D275" s="2782"/>
      <c r="E275" s="478" t="n">
        <f aca="false">(SUMIF($5:$5,D275,$6:$6)-SUMIF($5:$5,$D$24,$6:$6)+100)/100</f>
        <v>1</v>
      </c>
      <c r="F275" s="2782"/>
      <c r="G275" s="478" t="n">
        <f aca="false">(SUMIF($7:$7,F275,$8:$8)-SUMIF($7:$7,$F$24,$8:$8)+100)/100</f>
        <v>1</v>
      </c>
      <c r="H275" s="2782"/>
      <c r="I275" s="478" t="n">
        <f aca="false">(SUMIF($9:$9,H275,$10:$10)-SUMIF($9:$9,$H$24,$10:$10)+100)/100</f>
        <v>1</v>
      </c>
      <c r="J275" s="2782"/>
      <c r="K275" s="478" t="n">
        <f aca="false">(SUMIF($11:$11,J275,$12:$12)-SUMIF($11:$11,$J$24,$12:$12)+100)/100</f>
        <v>1</v>
      </c>
      <c r="L275" s="2782"/>
      <c r="M275" s="478" t="n">
        <f aca="false">(SUMIF($13:$13,L275,$14:$14)-SUMIF($13:$13,$L$24,$14:$14)+100)/100</f>
        <v>1</v>
      </c>
      <c r="N275" s="2782"/>
      <c r="O275" s="478" t="n">
        <f aca="false">(SUMIF($15:$15,N275,$16:$16)-SUMIF($15:$15,$N$24,$16:$16)+100)/100</f>
        <v>1</v>
      </c>
      <c r="P275" s="2782"/>
      <c r="Q275" s="478" t="n">
        <f aca="false">(SUMIF($17:$17,P275,$18:$18)-SUMIF($17:$17,$P$24,$18:$18)+100)/100</f>
        <v>1</v>
      </c>
      <c r="R275" s="2772" t="n">
        <f aca="false">IF(B275="",0,ROUND($R$24*C275*E275*G275*I275*K275*M275*O275*Q275,0))</f>
        <v>0</v>
      </c>
      <c r="S275" s="2771" t="n">
        <f aca="false">ROUND(R275*B275/10000,0)</f>
        <v>0</v>
      </c>
    </row>
    <row r="276" customFormat="false" ht="12.75" hidden="false" customHeight="false" outlineLevel="0" collapsed="false">
      <c r="A276" s="1016"/>
      <c r="B276" s="2781"/>
      <c r="C276" s="478" t="n">
        <f aca="false">IF(B276="",1,(LOOKUP(B276,$3:$3,$4:$4)-LOOKUP($B$24,$3:$3,$4:$4)+100)/100)</f>
        <v>1</v>
      </c>
      <c r="D276" s="2782"/>
      <c r="E276" s="478" t="n">
        <f aca="false">(SUMIF($5:$5,D276,$6:$6)-SUMIF($5:$5,$D$24,$6:$6)+100)/100</f>
        <v>1</v>
      </c>
      <c r="F276" s="2782"/>
      <c r="G276" s="478" t="n">
        <f aca="false">(SUMIF($7:$7,F276,$8:$8)-SUMIF($7:$7,$F$24,$8:$8)+100)/100</f>
        <v>1</v>
      </c>
      <c r="H276" s="2782"/>
      <c r="I276" s="478" t="n">
        <f aca="false">(SUMIF($9:$9,H276,$10:$10)-SUMIF($9:$9,$H$24,$10:$10)+100)/100</f>
        <v>1</v>
      </c>
      <c r="J276" s="2782"/>
      <c r="K276" s="478" t="n">
        <f aca="false">(SUMIF($11:$11,J276,$12:$12)-SUMIF($11:$11,$J$24,$12:$12)+100)/100</f>
        <v>1</v>
      </c>
      <c r="L276" s="2782"/>
      <c r="M276" s="478" t="n">
        <f aca="false">(SUMIF($13:$13,L276,$14:$14)-SUMIF($13:$13,$L$24,$14:$14)+100)/100</f>
        <v>1</v>
      </c>
      <c r="N276" s="2782"/>
      <c r="O276" s="478" t="n">
        <f aca="false">(SUMIF($15:$15,N276,$16:$16)-SUMIF($15:$15,$N$24,$16:$16)+100)/100</f>
        <v>1</v>
      </c>
      <c r="P276" s="2782"/>
      <c r="Q276" s="478" t="n">
        <f aca="false">(SUMIF($17:$17,P276,$18:$18)-SUMIF($17:$17,$P$24,$18:$18)+100)/100</f>
        <v>1</v>
      </c>
      <c r="R276" s="2772" t="n">
        <f aca="false">IF(B276="",0,ROUND($R$24*C276*E276*G276*I276*K276*M276*O276*Q276,0))</f>
        <v>0</v>
      </c>
      <c r="S276" s="2771" t="n">
        <f aca="false">ROUND(R276*B276/10000,0)</f>
        <v>0</v>
      </c>
    </row>
    <row r="277" customFormat="false" ht="12.75" hidden="false" customHeight="false" outlineLevel="0" collapsed="false">
      <c r="A277" s="1016"/>
      <c r="B277" s="2781"/>
      <c r="C277" s="478" t="n">
        <f aca="false">IF(B277="",1,(LOOKUP(B277,$3:$3,$4:$4)-LOOKUP($B$24,$3:$3,$4:$4)+100)/100)</f>
        <v>1</v>
      </c>
      <c r="D277" s="2782"/>
      <c r="E277" s="478" t="n">
        <f aca="false">(SUMIF($5:$5,D277,$6:$6)-SUMIF($5:$5,$D$24,$6:$6)+100)/100</f>
        <v>1</v>
      </c>
      <c r="F277" s="2782"/>
      <c r="G277" s="478" t="n">
        <f aca="false">(SUMIF($7:$7,F277,$8:$8)-SUMIF($7:$7,$F$24,$8:$8)+100)/100</f>
        <v>1</v>
      </c>
      <c r="H277" s="2782"/>
      <c r="I277" s="478" t="n">
        <f aca="false">(SUMIF($9:$9,H277,$10:$10)-SUMIF($9:$9,$H$24,$10:$10)+100)/100</f>
        <v>1</v>
      </c>
      <c r="J277" s="2782"/>
      <c r="K277" s="478" t="n">
        <f aca="false">(SUMIF($11:$11,J277,$12:$12)-SUMIF($11:$11,$J$24,$12:$12)+100)/100</f>
        <v>1</v>
      </c>
      <c r="L277" s="2782"/>
      <c r="M277" s="478" t="n">
        <f aca="false">(SUMIF($13:$13,L277,$14:$14)-SUMIF($13:$13,$L$24,$14:$14)+100)/100</f>
        <v>1</v>
      </c>
      <c r="N277" s="2782"/>
      <c r="O277" s="478" t="n">
        <f aca="false">(SUMIF($15:$15,N277,$16:$16)-SUMIF($15:$15,$N$24,$16:$16)+100)/100</f>
        <v>1</v>
      </c>
      <c r="P277" s="2782"/>
      <c r="Q277" s="478" t="n">
        <f aca="false">(SUMIF($17:$17,P277,$18:$18)-SUMIF($17:$17,$P$24,$18:$18)+100)/100</f>
        <v>1</v>
      </c>
      <c r="R277" s="2772" t="n">
        <f aca="false">IF(B277="",0,ROUND($R$24*C277*E277*G277*I277*K277*M277*O277*Q277,0))</f>
        <v>0</v>
      </c>
      <c r="S277" s="2771" t="n">
        <f aca="false">ROUND(R277*B277/10000,0)</f>
        <v>0</v>
      </c>
    </row>
    <row r="278" customFormat="false" ht="12.75" hidden="false" customHeight="false" outlineLevel="0" collapsed="false">
      <c r="A278" s="1016"/>
      <c r="B278" s="2781"/>
      <c r="C278" s="478" t="n">
        <f aca="false">IF(B278="",1,(LOOKUP(B278,$3:$3,$4:$4)-LOOKUP($B$24,$3:$3,$4:$4)+100)/100)</f>
        <v>1</v>
      </c>
      <c r="D278" s="2782"/>
      <c r="E278" s="478" t="n">
        <f aca="false">(SUMIF($5:$5,D278,$6:$6)-SUMIF($5:$5,$D$24,$6:$6)+100)/100</f>
        <v>1</v>
      </c>
      <c r="F278" s="2782"/>
      <c r="G278" s="478" t="n">
        <f aca="false">(SUMIF($7:$7,F278,$8:$8)-SUMIF($7:$7,$F$24,$8:$8)+100)/100</f>
        <v>1</v>
      </c>
      <c r="H278" s="2782"/>
      <c r="I278" s="478" t="n">
        <f aca="false">(SUMIF($9:$9,H278,$10:$10)-SUMIF($9:$9,$H$24,$10:$10)+100)/100</f>
        <v>1</v>
      </c>
      <c r="J278" s="2782"/>
      <c r="K278" s="478" t="n">
        <f aca="false">(SUMIF($11:$11,J278,$12:$12)-SUMIF($11:$11,$J$24,$12:$12)+100)/100</f>
        <v>1</v>
      </c>
      <c r="L278" s="2782"/>
      <c r="M278" s="478" t="n">
        <f aca="false">(SUMIF($13:$13,L278,$14:$14)-SUMIF($13:$13,$L$24,$14:$14)+100)/100</f>
        <v>1</v>
      </c>
      <c r="N278" s="2782"/>
      <c r="O278" s="478" t="n">
        <f aca="false">(SUMIF($15:$15,N278,$16:$16)-SUMIF($15:$15,$N$24,$16:$16)+100)/100</f>
        <v>1</v>
      </c>
      <c r="P278" s="2782"/>
      <c r="Q278" s="478" t="n">
        <f aca="false">(SUMIF($17:$17,P278,$18:$18)-SUMIF($17:$17,$P$24,$18:$18)+100)/100</f>
        <v>1</v>
      </c>
      <c r="R278" s="2772" t="n">
        <f aca="false">IF(B278="",0,ROUND($R$24*C278*E278*G278*I278*K278*M278*O278*Q278,0))</f>
        <v>0</v>
      </c>
      <c r="S278" s="2771" t="n">
        <f aca="false">ROUND(R278*B278/10000,0)</f>
        <v>0</v>
      </c>
    </row>
    <row r="279" customFormat="false" ht="12.75" hidden="false" customHeight="false" outlineLevel="0" collapsed="false">
      <c r="A279" s="1016"/>
      <c r="B279" s="2781"/>
      <c r="C279" s="478" t="n">
        <f aca="false">IF(B279="",1,(LOOKUP(B279,$3:$3,$4:$4)-LOOKUP($B$24,$3:$3,$4:$4)+100)/100)</f>
        <v>1</v>
      </c>
      <c r="D279" s="2782"/>
      <c r="E279" s="478" t="n">
        <f aca="false">(SUMIF($5:$5,D279,$6:$6)-SUMIF($5:$5,$D$24,$6:$6)+100)/100</f>
        <v>1</v>
      </c>
      <c r="F279" s="2782"/>
      <c r="G279" s="478" t="n">
        <f aca="false">(SUMIF($7:$7,F279,$8:$8)-SUMIF($7:$7,$F$24,$8:$8)+100)/100</f>
        <v>1</v>
      </c>
      <c r="H279" s="2782"/>
      <c r="I279" s="478" t="n">
        <f aca="false">(SUMIF($9:$9,H279,$10:$10)-SUMIF($9:$9,$H$24,$10:$10)+100)/100</f>
        <v>1</v>
      </c>
      <c r="J279" s="2782"/>
      <c r="K279" s="478" t="n">
        <f aca="false">(SUMIF($11:$11,J279,$12:$12)-SUMIF($11:$11,$J$24,$12:$12)+100)/100</f>
        <v>1</v>
      </c>
      <c r="L279" s="2782"/>
      <c r="M279" s="478" t="n">
        <f aca="false">(SUMIF($13:$13,L279,$14:$14)-SUMIF($13:$13,$L$24,$14:$14)+100)/100</f>
        <v>1</v>
      </c>
      <c r="N279" s="2782"/>
      <c r="O279" s="478" t="n">
        <f aca="false">(SUMIF($15:$15,N279,$16:$16)-SUMIF($15:$15,$N$24,$16:$16)+100)/100</f>
        <v>1</v>
      </c>
      <c r="P279" s="2782"/>
      <c r="Q279" s="478" t="n">
        <f aca="false">(SUMIF($17:$17,P279,$18:$18)-SUMIF($17:$17,$P$24,$18:$18)+100)/100</f>
        <v>1</v>
      </c>
      <c r="R279" s="2772" t="n">
        <f aca="false">IF(B279="",0,ROUND($R$24*C279*E279*G279*I279*K279*M279*O279*Q279,0))</f>
        <v>0</v>
      </c>
      <c r="S279" s="2771" t="n">
        <f aca="false">ROUND(R279*B279/10000,0)</f>
        <v>0</v>
      </c>
    </row>
    <row r="280" customFormat="false" ht="12.75" hidden="false" customHeight="false" outlineLevel="0" collapsed="false">
      <c r="A280" s="1016"/>
      <c r="B280" s="2781"/>
      <c r="C280" s="478" t="n">
        <f aca="false">IF(B280="",1,(LOOKUP(B280,$3:$3,$4:$4)-LOOKUP($B$24,$3:$3,$4:$4)+100)/100)</f>
        <v>1</v>
      </c>
      <c r="D280" s="2782"/>
      <c r="E280" s="478" t="n">
        <f aca="false">(SUMIF($5:$5,D280,$6:$6)-SUMIF($5:$5,$D$24,$6:$6)+100)/100</f>
        <v>1</v>
      </c>
      <c r="F280" s="2782"/>
      <c r="G280" s="478" t="n">
        <f aca="false">(SUMIF($7:$7,F280,$8:$8)-SUMIF($7:$7,$F$24,$8:$8)+100)/100</f>
        <v>1</v>
      </c>
      <c r="H280" s="2782"/>
      <c r="I280" s="478" t="n">
        <f aca="false">(SUMIF($9:$9,H280,$10:$10)-SUMIF($9:$9,$H$24,$10:$10)+100)/100</f>
        <v>1</v>
      </c>
      <c r="J280" s="2782"/>
      <c r="K280" s="478" t="n">
        <f aca="false">(SUMIF($11:$11,J280,$12:$12)-SUMIF($11:$11,$J$24,$12:$12)+100)/100</f>
        <v>1</v>
      </c>
      <c r="L280" s="2782"/>
      <c r="M280" s="478" t="n">
        <f aca="false">(SUMIF($13:$13,L280,$14:$14)-SUMIF($13:$13,$L$24,$14:$14)+100)/100</f>
        <v>1</v>
      </c>
      <c r="N280" s="2782"/>
      <c r="O280" s="478" t="n">
        <f aca="false">(SUMIF($15:$15,N280,$16:$16)-SUMIF($15:$15,$N$24,$16:$16)+100)/100</f>
        <v>1</v>
      </c>
      <c r="P280" s="2782"/>
      <c r="Q280" s="478" t="n">
        <f aca="false">(SUMIF($17:$17,P280,$18:$18)-SUMIF($17:$17,$P$24,$18:$18)+100)/100</f>
        <v>1</v>
      </c>
      <c r="R280" s="2772" t="n">
        <f aca="false">IF(B280="",0,ROUND($R$24*C280*E280*G280*I280*K280*M280*O280*Q280,0))</f>
        <v>0</v>
      </c>
      <c r="S280" s="2771" t="n">
        <f aca="false">ROUND(R280*B280/10000,0)</f>
        <v>0</v>
      </c>
    </row>
    <row r="281" customFormat="false" ht="12.75" hidden="false" customHeight="false" outlineLevel="0" collapsed="false">
      <c r="A281" s="1016"/>
      <c r="B281" s="2781"/>
      <c r="C281" s="478" t="n">
        <f aca="false">IF(B281="",1,(LOOKUP(B281,$3:$3,$4:$4)-LOOKUP($B$24,$3:$3,$4:$4)+100)/100)</f>
        <v>1</v>
      </c>
      <c r="D281" s="2782"/>
      <c r="E281" s="478" t="n">
        <f aca="false">(SUMIF($5:$5,D281,$6:$6)-SUMIF($5:$5,$D$24,$6:$6)+100)/100</f>
        <v>1</v>
      </c>
      <c r="F281" s="2782"/>
      <c r="G281" s="478" t="n">
        <f aca="false">(SUMIF($7:$7,F281,$8:$8)-SUMIF($7:$7,$F$24,$8:$8)+100)/100</f>
        <v>1</v>
      </c>
      <c r="H281" s="2782"/>
      <c r="I281" s="478" t="n">
        <f aca="false">(SUMIF($9:$9,H281,$10:$10)-SUMIF($9:$9,$H$24,$10:$10)+100)/100</f>
        <v>1</v>
      </c>
      <c r="J281" s="2782"/>
      <c r="K281" s="478" t="n">
        <f aca="false">(SUMIF($11:$11,J281,$12:$12)-SUMIF($11:$11,$J$24,$12:$12)+100)/100</f>
        <v>1</v>
      </c>
      <c r="L281" s="2782"/>
      <c r="M281" s="478" t="n">
        <f aca="false">(SUMIF($13:$13,L281,$14:$14)-SUMIF($13:$13,$L$24,$14:$14)+100)/100</f>
        <v>1</v>
      </c>
      <c r="N281" s="2782"/>
      <c r="O281" s="478" t="n">
        <f aca="false">(SUMIF($15:$15,N281,$16:$16)-SUMIF($15:$15,$N$24,$16:$16)+100)/100</f>
        <v>1</v>
      </c>
      <c r="P281" s="2782"/>
      <c r="Q281" s="478" t="n">
        <f aca="false">(SUMIF($17:$17,P281,$18:$18)-SUMIF($17:$17,$P$24,$18:$18)+100)/100</f>
        <v>1</v>
      </c>
      <c r="R281" s="2772" t="n">
        <f aca="false">IF(B281="",0,ROUND($R$24*C281*E281*G281*I281*K281*M281*O281*Q281,0))</f>
        <v>0</v>
      </c>
      <c r="S281" s="2771" t="n">
        <f aca="false">ROUND(R281*B281/10000,0)</f>
        <v>0</v>
      </c>
    </row>
    <row r="282" customFormat="false" ht="12.75" hidden="false" customHeight="false" outlineLevel="0" collapsed="false">
      <c r="A282" s="1016"/>
      <c r="B282" s="2781"/>
      <c r="C282" s="478" t="n">
        <f aca="false">IF(B282="",1,(LOOKUP(B282,$3:$3,$4:$4)-LOOKUP($B$24,$3:$3,$4:$4)+100)/100)</f>
        <v>1</v>
      </c>
      <c r="D282" s="2782"/>
      <c r="E282" s="478" t="n">
        <f aca="false">(SUMIF($5:$5,D282,$6:$6)-SUMIF($5:$5,$D$24,$6:$6)+100)/100</f>
        <v>1</v>
      </c>
      <c r="F282" s="2782"/>
      <c r="G282" s="478" t="n">
        <f aca="false">(SUMIF($7:$7,F282,$8:$8)-SUMIF($7:$7,$F$24,$8:$8)+100)/100</f>
        <v>1</v>
      </c>
      <c r="H282" s="2782"/>
      <c r="I282" s="478" t="n">
        <f aca="false">(SUMIF($9:$9,H282,$10:$10)-SUMIF($9:$9,$H$24,$10:$10)+100)/100</f>
        <v>1</v>
      </c>
      <c r="J282" s="2782"/>
      <c r="K282" s="478" t="n">
        <f aca="false">(SUMIF($11:$11,J282,$12:$12)-SUMIF($11:$11,$J$24,$12:$12)+100)/100</f>
        <v>1</v>
      </c>
      <c r="L282" s="2782"/>
      <c r="M282" s="478" t="n">
        <f aca="false">(SUMIF($13:$13,L282,$14:$14)-SUMIF($13:$13,$L$24,$14:$14)+100)/100</f>
        <v>1</v>
      </c>
      <c r="N282" s="2782"/>
      <c r="O282" s="478" t="n">
        <f aca="false">(SUMIF($15:$15,N282,$16:$16)-SUMIF($15:$15,$N$24,$16:$16)+100)/100</f>
        <v>1</v>
      </c>
      <c r="P282" s="2782"/>
      <c r="Q282" s="478" t="n">
        <f aca="false">(SUMIF($17:$17,P282,$18:$18)-SUMIF($17:$17,$P$24,$18:$18)+100)/100</f>
        <v>1</v>
      </c>
      <c r="R282" s="2772" t="n">
        <f aca="false">IF(B282="",0,ROUND($R$24*C282*E282*G282*I282*K282*M282*O282*Q282,0))</f>
        <v>0</v>
      </c>
      <c r="S282" s="2771" t="n">
        <f aca="false">ROUND(R282*B282/10000,0)</f>
        <v>0</v>
      </c>
    </row>
    <row r="283" customFormat="false" ht="12.75" hidden="false" customHeight="false" outlineLevel="0" collapsed="false">
      <c r="A283" s="1016"/>
      <c r="B283" s="2781"/>
      <c r="C283" s="478" t="n">
        <f aca="false">IF(B283="",1,(LOOKUP(B283,$3:$3,$4:$4)-LOOKUP($B$24,$3:$3,$4:$4)+100)/100)</f>
        <v>1</v>
      </c>
      <c r="D283" s="2782"/>
      <c r="E283" s="478" t="n">
        <f aca="false">(SUMIF($5:$5,D283,$6:$6)-SUMIF($5:$5,$D$24,$6:$6)+100)/100</f>
        <v>1</v>
      </c>
      <c r="F283" s="2782"/>
      <c r="G283" s="478" t="n">
        <f aca="false">(SUMIF($7:$7,F283,$8:$8)-SUMIF($7:$7,$F$24,$8:$8)+100)/100</f>
        <v>1</v>
      </c>
      <c r="H283" s="2782"/>
      <c r="I283" s="478" t="n">
        <f aca="false">(SUMIF($9:$9,H283,$10:$10)-SUMIF($9:$9,$H$24,$10:$10)+100)/100</f>
        <v>1</v>
      </c>
      <c r="J283" s="2782"/>
      <c r="K283" s="478" t="n">
        <f aca="false">(SUMIF($11:$11,J283,$12:$12)-SUMIF($11:$11,$J$24,$12:$12)+100)/100</f>
        <v>1</v>
      </c>
      <c r="L283" s="2782"/>
      <c r="M283" s="478" t="n">
        <f aca="false">(SUMIF($13:$13,L283,$14:$14)-SUMIF($13:$13,$L$24,$14:$14)+100)/100</f>
        <v>1</v>
      </c>
      <c r="N283" s="2782"/>
      <c r="O283" s="478" t="n">
        <f aca="false">(SUMIF($15:$15,N283,$16:$16)-SUMIF($15:$15,$N$24,$16:$16)+100)/100</f>
        <v>1</v>
      </c>
      <c r="P283" s="2782"/>
      <c r="Q283" s="478" t="n">
        <f aca="false">(SUMIF($17:$17,P283,$18:$18)-SUMIF($17:$17,$P$24,$18:$18)+100)/100</f>
        <v>1</v>
      </c>
      <c r="R283" s="2772" t="n">
        <f aca="false">IF(B283="",0,ROUND($R$24*C283*E283*G283*I283*K283*M283*O283*Q283,0))</f>
        <v>0</v>
      </c>
      <c r="S283" s="2771" t="n">
        <f aca="false">ROUND(R283*B283/10000,0)</f>
        <v>0</v>
      </c>
    </row>
    <row r="284" customFormat="false" ht="12.75" hidden="false" customHeight="false" outlineLevel="0" collapsed="false">
      <c r="A284" s="1016"/>
      <c r="B284" s="2781"/>
      <c r="C284" s="478" t="n">
        <f aca="false">IF(B284="",1,(LOOKUP(B284,$3:$3,$4:$4)-LOOKUP($B$24,$3:$3,$4:$4)+100)/100)</f>
        <v>1</v>
      </c>
      <c r="D284" s="2782"/>
      <c r="E284" s="478" t="n">
        <f aca="false">(SUMIF($5:$5,D284,$6:$6)-SUMIF($5:$5,$D$24,$6:$6)+100)/100</f>
        <v>1</v>
      </c>
      <c r="F284" s="2782"/>
      <c r="G284" s="478" t="n">
        <f aca="false">(SUMIF($7:$7,F284,$8:$8)-SUMIF($7:$7,$F$24,$8:$8)+100)/100</f>
        <v>1</v>
      </c>
      <c r="H284" s="2782"/>
      <c r="I284" s="478" t="n">
        <f aca="false">(SUMIF($9:$9,H284,$10:$10)-SUMIF($9:$9,$H$24,$10:$10)+100)/100</f>
        <v>1</v>
      </c>
      <c r="J284" s="2782"/>
      <c r="K284" s="478" t="n">
        <f aca="false">(SUMIF($11:$11,J284,$12:$12)-SUMIF($11:$11,$J$24,$12:$12)+100)/100</f>
        <v>1</v>
      </c>
      <c r="L284" s="2782"/>
      <c r="M284" s="478" t="n">
        <f aca="false">(SUMIF($13:$13,L284,$14:$14)-SUMIF($13:$13,$L$24,$14:$14)+100)/100</f>
        <v>1</v>
      </c>
      <c r="N284" s="2782"/>
      <c r="O284" s="478" t="n">
        <f aca="false">(SUMIF($15:$15,N284,$16:$16)-SUMIF($15:$15,$N$24,$16:$16)+100)/100</f>
        <v>1</v>
      </c>
      <c r="P284" s="2782"/>
      <c r="Q284" s="478" t="n">
        <f aca="false">(SUMIF($17:$17,P284,$18:$18)-SUMIF($17:$17,$P$24,$18:$18)+100)/100</f>
        <v>1</v>
      </c>
      <c r="R284" s="2772" t="n">
        <f aca="false">IF(B284="",0,ROUND($R$24*C284*E284*G284*I284*K284*M284*O284*Q284,0))</f>
        <v>0</v>
      </c>
      <c r="S284" s="2771" t="n">
        <f aca="false">ROUND(R284*B284/10000,0)</f>
        <v>0</v>
      </c>
    </row>
    <row r="285" customFormat="false" ht="12.75" hidden="false" customHeight="false" outlineLevel="0" collapsed="false">
      <c r="A285" s="1016"/>
      <c r="B285" s="2781"/>
      <c r="C285" s="478" t="n">
        <f aca="false">IF(B285="",1,(LOOKUP(B285,$3:$3,$4:$4)-LOOKUP($B$24,$3:$3,$4:$4)+100)/100)</f>
        <v>1</v>
      </c>
      <c r="D285" s="2782"/>
      <c r="E285" s="478" t="n">
        <f aca="false">(SUMIF($5:$5,D285,$6:$6)-SUMIF($5:$5,$D$24,$6:$6)+100)/100</f>
        <v>1</v>
      </c>
      <c r="F285" s="2782"/>
      <c r="G285" s="478" t="n">
        <f aca="false">(SUMIF($7:$7,F285,$8:$8)-SUMIF($7:$7,$F$24,$8:$8)+100)/100</f>
        <v>1</v>
      </c>
      <c r="H285" s="2782"/>
      <c r="I285" s="478" t="n">
        <f aca="false">(SUMIF($9:$9,H285,$10:$10)-SUMIF($9:$9,$H$24,$10:$10)+100)/100</f>
        <v>1</v>
      </c>
      <c r="J285" s="2782"/>
      <c r="K285" s="478" t="n">
        <f aca="false">(SUMIF($11:$11,J285,$12:$12)-SUMIF($11:$11,$J$24,$12:$12)+100)/100</f>
        <v>1</v>
      </c>
      <c r="L285" s="2782"/>
      <c r="M285" s="478" t="n">
        <f aca="false">(SUMIF($13:$13,L285,$14:$14)-SUMIF($13:$13,$L$24,$14:$14)+100)/100</f>
        <v>1</v>
      </c>
      <c r="N285" s="2782"/>
      <c r="O285" s="478" t="n">
        <f aca="false">(SUMIF($15:$15,N285,$16:$16)-SUMIF($15:$15,$N$24,$16:$16)+100)/100</f>
        <v>1</v>
      </c>
      <c r="P285" s="2782"/>
      <c r="Q285" s="478" t="n">
        <f aca="false">(SUMIF($17:$17,P285,$18:$18)-SUMIF($17:$17,$P$24,$18:$18)+100)/100</f>
        <v>1</v>
      </c>
      <c r="R285" s="2772" t="n">
        <f aca="false">IF(B285="",0,ROUND($R$24*C285*E285*G285*I285*K285*M285*O285*Q285,0))</f>
        <v>0</v>
      </c>
      <c r="S285" s="2771" t="n">
        <f aca="false">ROUND(R285*B285/10000,0)</f>
        <v>0</v>
      </c>
    </row>
    <row r="286" customFormat="false" ht="12.75" hidden="false" customHeight="false" outlineLevel="0" collapsed="false">
      <c r="A286" s="1016"/>
      <c r="B286" s="2781"/>
      <c r="C286" s="478" t="n">
        <f aca="false">IF(B286="",1,(LOOKUP(B286,$3:$3,$4:$4)-LOOKUP($B$24,$3:$3,$4:$4)+100)/100)</f>
        <v>1</v>
      </c>
      <c r="D286" s="2782"/>
      <c r="E286" s="478" t="n">
        <f aca="false">(SUMIF($5:$5,D286,$6:$6)-SUMIF($5:$5,$D$24,$6:$6)+100)/100</f>
        <v>1</v>
      </c>
      <c r="F286" s="2782"/>
      <c r="G286" s="478" t="n">
        <f aca="false">(SUMIF($7:$7,F286,$8:$8)-SUMIF($7:$7,$F$24,$8:$8)+100)/100</f>
        <v>1</v>
      </c>
      <c r="H286" s="2782"/>
      <c r="I286" s="478" t="n">
        <f aca="false">(SUMIF($9:$9,H286,$10:$10)-SUMIF($9:$9,$H$24,$10:$10)+100)/100</f>
        <v>1</v>
      </c>
      <c r="J286" s="2782"/>
      <c r="K286" s="478" t="n">
        <f aca="false">(SUMIF($11:$11,J286,$12:$12)-SUMIF($11:$11,$J$24,$12:$12)+100)/100</f>
        <v>1</v>
      </c>
      <c r="L286" s="2782"/>
      <c r="M286" s="478" t="n">
        <f aca="false">(SUMIF($13:$13,L286,$14:$14)-SUMIF($13:$13,$L$24,$14:$14)+100)/100</f>
        <v>1</v>
      </c>
      <c r="N286" s="2782"/>
      <c r="O286" s="478" t="n">
        <f aca="false">(SUMIF($15:$15,N286,$16:$16)-SUMIF($15:$15,$N$24,$16:$16)+100)/100</f>
        <v>1</v>
      </c>
      <c r="P286" s="2782"/>
      <c r="Q286" s="478" t="n">
        <f aca="false">(SUMIF($17:$17,P286,$18:$18)-SUMIF($17:$17,$P$24,$18:$18)+100)/100</f>
        <v>1</v>
      </c>
      <c r="R286" s="2772" t="n">
        <f aca="false">IF(B286="",0,ROUND($R$24*C286*E286*G286*I286*K286*M286*O286*Q286,0))</f>
        <v>0</v>
      </c>
      <c r="S286" s="2771" t="n">
        <f aca="false">ROUND(R286*B286/10000,0)</f>
        <v>0</v>
      </c>
    </row>
    <row r="287" customFormat="false" ht="12.75" hidden="false" customHeight="false" outlineLevel="0" collapsed="false">
      <c r="A287" s="1016"/>
      <c r="B287" s="2781"/>
      <c r="C287" s="478" t="n">
        <f aca="false">IF(B287="",1,(LOOKUP(B287,$3:$3,$4:$4)-LOOKUP($B$24,$3:$3,$4:$4)+100)/100)</f>
        <v>1</v>
      </c>
      <c r="D287" s="2782"/>
      <c r="E287" s="478" t="n">
        <f aca="false">(SUMIF($5:$5,D287,$6:$6)-SUMIF($5:$5,$D$24,$6:$6)+100)/100</f>
        <v>1</v>
      </c>
      <c r="F287" s="2782"/>
      <c r="G287" s="478" t="n">
        <f aca="false">(SUMIF($7:$7,F287,$8:$8)-SUMIF($7:$7,$F$24,$8:$8)+100)/100</f>
        <v>1</v>
      </c>
      <c r="H287" s="2782"/>
      <c r="I287" s="478" t="n">
        <f aca="false">(SUMIF($9:$9,H287,$10:$10)-SUMIF($9:$9,$H$24,$10:$10)+100)/100</f>
        <v>1</v>
      </c>
      <c r="J287" s="2782"/>
      <c r="K287" s="478" t="n">
        <f aca="false">(SUMIF($11:$11,J287,$12:$12)-SUMIF($11:$11,$J$24,$12:$12)+100)/100</f>
        <v>1</v>
      </c>
      <c r="L287" s="2782"/>
      <c r="M287" s="478" t="n">
        <f aca="false">(SUMIF($13:$13,L287,$14:$14)-SUMIF($13:$13,$L$24,$14:$14)+100)/100</f>
        <v>1</v>
      </c>
      <c r="N287" s="2782"/>
      <c r="O287" s="478" t="n">
        <f aca="false">(SUMIF($15:$15,N287,$16:$16)-SUMIF($15:$15,$N$24,$16:$16)+100)/100</f>
        <v>1</v>
      </c>
      <c r="P287" s="2782"/>
      <c r="Q287" s="478" t="n">
        <f aca="false">(SUMIF($17:$17,P287,$18:$18)-SUMIF($17:$17,$P$24,$18:$18)+100)/100</f>
        <v>1</v>
      </c>
      <c r="R287" s="2772" t="n">
        <f aca="false">IF(B287="",0,ROUND($R$24*C287*E287*G287*I287*K287*M287*O287*Q287,0))</f>
        <v>0</v>
      </c>
      <c r="S287" s="2771" t="n">
        <f aca="false">ROUND(R287*B287/10000,0)</f>
        <v>0</v>
      </c>
    </row>
    <row r="288" customFormat="false" ht="12.75" hidden="false" customHeight="false" outlineLevel="0" collapsed="false">
      <c r="A288" s="1016"/>
      <c r="B288" s="2781"/>
      <c r="C288" s="478" t="n">
        <f aca="false">IF(B288="",1,(LOOKUP(B288,$3:$3,$4:$4)-LOOKUP($B$24,$3:$3,$4:$4)+100)/100)</f>
        <v>1</v>
      </c>
      <c r="D288" s="2782"/>
      <c r="E288" s="478" t="n">
        <f aca="false">(SUMIF($5:$5,D288,$6:$6)-SUMIF($5:$5,$D$24,$6:$6)+100)/100</f>
        <v>1</v>
      </c>
      <c r="F288" s="2782"/>
      <c r="G288" s="478" t="n">
        <f aca="false">(SUMIF($7:$7,F288,$8:$8)-SUMIF($7:$7,$F$24,$8:$8)+100)/100</f>
        <v>1</v>
      </c>
      <c r="H288" s="2782"/>
      <c r="I288" s="478" t="n">
        <f aca="false">(SUMIF($9:$9,H288,$10:$10)-SUMIF($9:$9,$H$24,$10:$10)+100)/100</f>
        <v>1</v>
      </c>
      <c r="J288" s="2782"/>
      <c r="K288" s="478" t="n">
        <f aca="false">(SUMIF($11:$11,J288,$12:$12)-SUMIF($11:$11,$J$24,$12:$12)+100)/100</f>
        <v>1</v>
      </c>
      <c r="L288" s="2782"/>
      <c r="M288" s="478" t="n">
        <f aca="false">(SUMIF($13:$13,L288,$14:$14)-SUMIF($13:$13,$L$24,$14:$14)+100)/100</f>
        <v>1</v>
      </c>
      <c r="N288" s="2782"/>
      <c r="O288" s="478" t="n">
        <f aca="false">(SUMIF($15:$15,N288,$16:$16)-SUMIF($15:$15,$N$24,$16:$16)+100)/100</f>
        <v>1</v>
      </c>
      <c r="P288" s="2782"/>
      <c r="Q288" s="478" t="n">
        <f aca="false">(SUMIF($17:$17,P288,$18:$18)-SUMIF($17:$17,$P$24,$18:$18)+100)/100</f>
        <v>1</v>
      </c>
      <c r="R288" s="2772" t="n">
        <f aca="false">IF(B288="",0,ROUND($R$24*C288*E288*G288*I288*K288*M288*O288*Q288,0))</f>
        <v>0</v>
      </c>
      <c r="S288" s="2771" t="n">
        <f aca="false">ROUND(R288*B288/10000,0)</f>
        <v>0</v>
      </c>
    </row>
    <row r="289" customFormat="false" ht="12.75" hidden="false" customHeight="false" outlineLevel="0" collapsed="false">
      <c r="A289" s="1016"/>
      <c r="B289" s="2781"/>
      <c r="C289" s="478" t="n">
        <f aca="false">IF(B289="",1,(LOOKUP(B289,$3:$3,$4:$4)-LOOKUP($B$24,$3:$3,$4:$4)+100)/100)</f>
        <v>1</v>
      </c>
      <c r="D289" s="2782"/>
      <c r="E289" s="478" t="n">
        <f aca="false">(SUMIF($5:$5,D289,$6:$6)-SUMIF($5:$5,$D$24,$6:$6)+100)/100</f>
        <v>1</v>
      </c>
      <c r="F289" s="2782"/>
      <c r="G289" s="478" t="n">
        <f aca="false">(SUMIF($7:$7,F289,$8:$8)-SUMIF($7:$7,$F$24,$8:$8)+100)/100</f>
        <v>1</v>
      </c>
      <c r="H289" s="2782"/>
      <c r="I289" s="478" t="n">
        <f aca="false">(SUMIF($9:$9,H289,$10:$10)-SUMIF($9:$9,$H$24,$10:$10)+100)/100</f>
        <v>1</v>
      </c>
      <c r="J289" s="2782"/>
      <c r="K289" s="478" t="n">
        <f aca="false">(SUMIF($11:$11,J289,$12:$12)-SUMIF($11:$11,$J$24,$12:$12)+100)/100</f>
        <v>1</v>
      </c>
      <c r="L289" s="2782"/>
      <c r="M289" s="478" t="n">
        <f aca="false">(SUMIF($13:$13,L289,$14:$14)-SUMIF($13:$13,$L$24,$14:$14)+100)/100</f>
        <v>1</v>
      </c>
      <c r="N289" s="2782"/>
      <c r="O289" s="478" t="n">
        <f aca="false">(SUMIF($15:$15,N289,$16:$16)-SUMIF($15:$15,$N$24,$16:$16)+100)/100</f>
        <v>1</v>
      </c>
      <c r="P289" s="2782"/>
      <c r="Q289" s="478" t="n">
        <f aca="false">(SUMIF($17:$17,P289,$18:$18)-SUMIF($17:$17,$P$24,$18:$18)+100)/100</f>
        <v>1</v>
      </c>
      <c r="R289" s="2772" t="n">
        <f aca="false">IF(B289="",0,ROUND($R$24*C289*E289*G289*I289*K289*M289*O289*Q289,0))</f>
        <v>0</v>
      </c>
      <c r="S289" s="2771" t="n">
        <f aca="false">ROUND(R289*B289/10000,0)</f>
        <v>0</v>
      </c>
    </row>
    <row r="290" customFormat="false" ht="12.75" hidden="false" customHeight="false" outlineLevel="0" collapsed="false">
      <c r="A290" s="1016"/>
      <c r="B290" s="2781"/>
      <c r="C290" s="478" t="n">
        <f aca="false">IF(B290="",1,(LOOKUP(B290,$3:$3,$4:$4)-LOOKUP($B$24,$3:$3,$4:$4)+100)/100)</f>
        <v>1</v>
      </c>
      <c r="D290" s="2782"/>
      <c r="E290" s="478" t="n">
        <f aca="false">(SUMIF($5:$5,D290,$6:$6)-SUMIF($5:$5,$D$24,$6:$6)+100)/100</f>
        <v>1</v>
      </c>
      <c r="F290" s="2782"/>
      <c r="G290" s="478" t="n">
        <f aca="false">(SUMIF($7:$7,F290,$8:$8)-SUMIF($7:$7,$F$24,$8:$8)+100)/100</f>
        <v>1</v>
      </c>
      <c r="H290" s="2782"/>
      <c r="I290" s="478" t="n">
        <f aca="false">(SUMIF($9:$9,H290,$10:$10)-SUMIF($9:$9,$H$24,$10:$10)+100)/100</f>
        <v>1</v>
      </c>
      <c r="J290" s="2782"/>
      <c r="K290" s="478" t="n">
        <f aca="false">(SUMIF($11:$11,J290,$12:$12)-SUMIF($11:$11,$J$24,$12:$12)+100)/100</f>
        <v>1</v>
      </c>
      <c r="L290" s="2782"/>
      <c r="M290" s="478" t="n">
        <f aca="false">(SUMIF($13:$13,L290,$14:$14)-SUMIF($13:$13,$L$24,$14:$14)+100)/100</f>
        <v>1</v>
      </c>
      <c r="N290" s="2782"/>
      <c r="O290" s="478" t="n">
        <f aca="false">(SUMIF($15:$15,N290,$16:$16)-SUMIF($15:$15,$N$24,$16:$16)+100)/100</f>
        <v>1</v>
      </c>
      <c r="P290" s="2782"/>
      <c r="Q290" s="478" t="n">
        <f aca="false">(SUMIF($17:$17,P290,$18:$18)-SUMIF($17:$17,$P$24,$18:$18)+100)/100</f>
        <v>1</v>
      </c>
      <c r="R290" s="2772" t="n">
        <f aca="false">IF(B290="",0,ROUND($R$24*C290*E290*G290*I290*K290*M290*O290*Q290,0))</f>
        <v>0</v>
      </c>
      <c r="S290" s="2771" t="n">
        <f aca="false">ROUND(R290*B290/10000,0)</f>
        <v>0</v>
      </c>
    </row>
    <row r="291" customFormat="false" ht="12.75" hidden="false" customHeight="false" outlineLevel="0" collapsed="false">
      <c r="A291" s="1016"/>
      <c r="B291" s="2781"/>
      <c r="C291" s="478" t="n">
        <f aca="false">IF(B291="",1,(LOOKUP(B291,$3:$3,$4:$4)-LOOKUP($B$24,$3:$3,$4:$4)+100)/100)</f>
        <v>1</v>
      </c>
      <c r="D291" s="2782"/>
      <c r="E291" s="478" t="n">
        <f aca="false">(SUMIF($5:$5,D291,$6:$6)-SUMIF($5:$5,$D$24,$6:$6)+100)/100</f>
        <v>1</v>
      </c>
      <c r="F291" s="2782"/>
      <c r="G291" s="478" t="n">
        <f aca="false">(SUMIF($7:$7,F291,$8:$8)-SUMIF($7:$7,$F$24,$8:$8)+100)/100</f>
        <v>1</v>
      </c>
      <c r="H291" s="2782"/>
      <c r="I291" s="478" t="n">
        <f aca="false">(SUMIF($9:$9,H291,$10:$10)-SUMIF($9:$9,$H$24,$10:$10)+100)/100</f>
        <v>1</v>
      </c>
      <c r="J291" s="2782"/>
      <c r="K291" s="478" t="n">
        <f aca="false">(SUMIF($11:$11,J291,$12:$12)-SUMIF($11:$11,$J$24,$12:$12)+100)/100</f>
        <v>1</v>
      </c>
      <c r="L291" s="2782"/>
      <c r="M291" s="478" t="n">
        <f aca="false">(SUMIF($13:$13,L291,$14:$14)-SUMIF($13:$13,$L$24,$14:$14)+100)/100</f>
        <v>1</v>
      </c>
      <c r="N291" s="2782"/>
      <c r="O291" s="478" t="n">
        <f aca="false">(SUMIF($15:$15,N291,$16:$16)-SUMIF($15:$15,$N$24,$16:$16)+100)/100</f>
        <v>1</v>
      </c>
      <c r="P291" s="2782"/>
      <c r="Q291" s="478" t="n">
        <f aca="false">(SUMIF($17:$17,P291,$18:$18)-SUMIF($17:$17,$P$24,$18:$18)+100)/100</f>
        <v>1</v>
      </c>
      <c r="R291" s="2772" t="n">
        <f aca="false">IF(B291="",0,ROUND($R$24*C291*E291*G291*I291*K291*M291*O291*Q291,0))</f>
        <v>0</v>
      </c>
      <c r="S291" s="2771" t="n">
        <f aca="false">ROUND(R291*B291/10000,0)</f>
        <v>0</v>
      </c>
    </row>
    <row r="292" customFormat="false" ht="12.75" hidden="false" customHeight="false" outlineLevel="0" collapsed="false">
      <c r="A292" s="1016"/>
      <c r="B292" s="2781"/>
      <c r="C292" s="478" t="n">
        <f aca="false">IF(B292="",1,(LOOKUP(B292,$3:$3,$4:$4)-LOOKUP($B$24,$3:$3,$4:$4)+100)/100)</f>
        <v>1</v>
      </c>
      <c r="D292" s="2782"/>
      <c r="E292" s="478" t="n">
        <f aca="false">(SUMIF($5:$5,D292,$6:$6)-SUMIF($5:$5,$D$24,$6:$6)+100)/100</f>
        <v>1</v>
      </c>
      <c r="F292" s="2782"/>
      <c r="G292" s="478" t="n">
        <f aca="false">(SUMIF($7:$7,F292,$8:$8)-SUMIF($7:$7,$F$24,$8:$8)+100)/100</f>
        <v>1</v>
      </c>
      <c r="H292" s="2782"/>
      <c r="I292" s="478" t="n">
        <f aca="false">(SUMIF($9:$9,H292,$10:$10)-SUMIF($9:$9,$H$24,$10:$10)+100)/100</f>
        <v>1</v>
      </c>
      <c r="J292" s="2782"/>
      <c r="K292" s="478" t="n">
        <f aca="false">(SUMIF($11:$11,J292,$12:$12)-SUMIF($11:$11,$J$24,$12:$12)+100)/100</f>
        <v>1</v>
      </c>
      <c r="L292" s="2782"/>
      <c r="M292" s="478" t="n">
        <f aca="false">(SUMIF($13:$13,L292,$14:$14)-SUMIF($13:$13,$L$24,$14:$14)+100)/100</f>
        <v>1</v>
      </c>
      <c r="N292" s="2782"/>
      <c r="O292" s="478" t="n">
        <f aca="false">(SUMIF($15:$15,N292,$16:$16)-SUMIF($15:$15,$N$24,$16:$16)+100)/100</f>
        <v>1</v>
      </c>
      <c r="P292" s="2782"/>
      <c r="Q292" s="478" t="n">
        <f aca="false">(SUMIF($17:$17,P292,$18:$18)-SUMIF($17:$17,$P$24,$18:$18)+100)/100</f>
        <v>1</v>
      </c>
      <c r="R292" s="2772" t="n">
        <f aca="false">IF(B292="",0,ROUND($R$24*C292*E292*G292*I292*K292*M292*O292*Q292,0))</f>
        <v>0</v>
      </c>
      <c r="S292" s="2771" t="n">
        <f aca="false">ROUND(R292*B292/10000,0)</f>
        <v>0</v>
      </c>
    </row>
    <row r="293" customFormat="false" ht="12.75" hidden="false" customHeight="false" outlineLevel="0" collapsed="false">
      <c r="A293" s="1016"/>
      <c r="B293" s="2781"/>
      <c r="C293" s="478" t="n">
        <f aca="false">IF(B293="",1,(LOOKUP(B293,$3:$3,$4:$4)-LOOKUP($B$24,$3:$3,$4:$4)+100)/100)</f>
        <v>1</v>
      </c>
      <c r="D293" s="2782"/>
      <c r="E293" s="478" t="n">
        <f aca="false">(SUMIF($5:$5,D293,$6:$6)-SUMIF($5:$5,$D$24,$6:$6)+100)/100</f>
        <v>1</v>
      </c>
      <c r="F293" s="2782"/>
      <c r="G293" s="478" t="n">
        <f aca="false">(SUMIF($7:$7,F293,$8:$8)-SUMIF($7:$7,$F$24,$8:$8)+100)/100</f>
        <v>1</v>
      </c>
      <c r="H293" s="2782"/>
      <c r="I293" s="478" t="n">
        <f aca="false">(SUMIF($9:$9,H293,$10:$10)-SUMIF($9:$9,$H$24,$10:$10)+100)/100</f>
        <v>1</v>
      </c>
      <c r="J293" s="2782"/>
      <c r="K293" s="478" t="n">
        <f aca="false">(SUMIF($11:$11,J293,$12:$12)-SUMIF($11:$11,$J$24,$12:$12)+100)/100</f>
        <v>1</v>
      </c>
      <c r="L293" s="2782"/>
      <c r="M293" s="478" t="n">
        <f aca="false">(SUMIF($13:$13,L293,$14:$14)-SUMIF($13:$13,$L$24,$14:$14)+100)/100</f>
        <v>1</v>
      </c>
      <c r="N293" s="2782"/>
      <c r="O293" s="478" t="n">
        <f aca="false">(SUMIF($15:$15,N293,$16:$16)-SUMIF($15:$15,$N$24,$16:$16)+100)/100</f>
        <v>1</v>
      </c>
      <c r="P293" s="2782"/>
      <c r="Q293" s="478" t="n">
        <f aca="false">(SUMIF($17:$17,P293,$18:$18)-SUMIF($17:$17,$P$24,$18:$18)+100)/100</f>
        <v>1</v>
      </c>
      <c r="R293" s="2772" t="n">
        <f aca="false">IF(B293="",0,ROUND($R$24*C293*E293*G293*I293*K293*M293*O293*Q293,0))</f>
        <v>0</v>
      </c>
      <c r="S293" s="2771" t="n">
        <f aca="false">ROUND(R293*B293/10000,0)</f>
        <v>0</v>
      </c>
    </row>
    <row r="294" customFormat="false" ht="12.75" hidden="false" customHeight="false" outlineLevel="0" collapsed="false">
      <c r="A294" s="1016"/>
      <c r="B294" s="2781"/>
      <c r="C294" s="478" t="n">
        <f aca="false">IF(B294="",1,(LOOKUP(B294,$3:$3,$4:$4)-LOOKUP($B$24,$3:$3,$4:$4)+100)/100)</f>
        <v>1</v>
      </c>
      <c r="D294" s="2782"/>
      <c r="E294" s="478" t="n">
        <f aca="false">(SUMIF($5:$5,D294,$6:$6)-SUMIF($5:$5,$D$24,$6:$6)+100)/100</f>
        <v>1</v>
      </c>
      <c r="F294" s="2782"/>
      <c r="G294" s="478" t="n">
        <f aca="false">(SUMIF($7:$7,F294,$8:$8)-SUMIF($7:$7,$F$24,$8:$8)+100)/100</f>
        <v>1</v>
      </c>
      <c r="H294" s="2782"/>
      <c r="I294" s="478" t="n">
        <f aca="false">(SUMIF($9:$9,H294,$10:$10)-SUMIF($9:$9,$H$24,$10:$10)+100)/100</f>
        <v>1</v>
      </c>
      <c r="J294" s="2782"/>
      <c r="K294" s="478" t="n">
        <f aca="false">(SUMIF($11:$11,J294,$12:$12)-SUMIF($11:$11,$J$24,$12:$12)+100)/100</f>
        <v>1</v>
      </c>
      <c r="L294" s="2782"/>
      <c r="M294" s="478" t="n">
        <f aca="false">(SUMIF($13:$13,L294,$14:$14)-SUMIF($13:$13,$L$24,$14:$14)+100)/100</f>
        <v>1</v>
      </c>
      <c r="N294" s="2782"/>
      <c r="O294" s="478" t="n">
        <f aca="false">(SUMIF($15:$15,N294,$16:$16)-SUMIF($15:$15,$N$24,$16:$16)+100)/100</f>
        <v>1</v>
      </c>
      <c r="P294" s="2782"/>
      <c r="Q294" s="478" t="n">
        <f aca="false">(SUMIF($17:$17,P294,$18:$18)-SUMIF($17:$17,$P$24,$18:$18)+100)/100</f>
        <v>1</v>
      </c>
      <c r="R294" s="2772" t="n">
        <f aca="false">IF(B294="",0,ROUND($R$24*C294*E294*G294*I294*K294*M294*O294*Q294,0))</f>
        <v>0</v>
      </c>
      <c r="S294" s="2771" t="n">
        <f aca="false">ROUND(R294*B294/10000,0)</f>
        <v>0</v>
      </c>
    </row>
    <row r="295" customFormat="false" ht="12.75" hidden="false" customHeight="false" outlineLevel="0" collapsed="false">
      <c r="A295" s="1016"/>
      <c r="B295" s="2781"/>
      <c r="C295" s="478" t="n">
        <f aca="false">IF(B295="",1,(LOOKUP(B295,$3:$3,$4:$4)-LOOKUP($B$24,$3:$3,$4:$4)+100)/100)</f>
        <v>1</v>
      </c>
      <c r="D295" s="2782"/>
      <c r="E295" s="478" t="n">
        <f aca="false">(SUMIF($5:$5,D295,$6:$6)-SUMIF($5:$5,$D$24,$6:$6)+100)/100</f>
        <v>1</v>
      </c>
      <c r="F295" s="2782"/>
      <c r="G295" s="478" t="n">
        <f aca="false">(SUMIF($7:$7,F295,$8:$8)-SUMIF($7:$7,$F$24,$8:$8)+100)/100</f>
        <v>1</v>
      </c>
      <c r="H295" s="2782"/>
      <c r="I295" s="478" t="n">
        <f aca="false">(SUMIF($9:$9,H295,$10:$10)-SUMIF($9:$9,$H$24,$10:$10)+100)/100</f>
        <v>1</v>
      </c>
      <c r="J295" s="2782"/>
      <c r="K295" s="478" t="n">
        <f aca="false">(SUMIF($11:$11,J295,$12:$12)-SUMIF($11:$11,$J$24,$12:$12)+100)/100</f>
        <v>1</v>
      </c>
      <c r="L295" s="2782"/>
      <c r="M295" s="478" t="n">
        <f aca="false">(SUMIF($13:$13,L295,$14:$14)-SUMIF($13:$13,$L$24,$14:$14)+100)/100</f>
        <v>1</v>
      </c>
      <c r="N295" s="2782"/>
      <c r="O295" s="478" t="n">
        <f aca="false">(SUMIF($15:$15,N295,$16:$16)-SUMIF($15:$15,$N$24,$16:$16)+100)/100</f>
        <v>1</v>
      </c>
      <c r="P295" s="2782"/>
      <c r="Q295" s="478" t="n">
        <f aca="false">(SUMIF($17:$17,P295,$18:$18)-SUMIF($17:$17,$P$24,$18:$18)+100)/100</f>
        <v>1</v>
      </c>
      <c r="R295" s="2772" t="n">
        <f aca="false">IF(B295="",0,ROUND($R$24*C295*E295*G295*I295*K295*M295*O295*Q295,0))</f>
        <v>0</v>
      </c>
      <c r="S295" s="2771" t="n">
        <f aca="false">ROUND(R295*B295/10000,0)</f>
        <v>0</v>
      </c>
    </row>
    <row r="296" customFormat="false" ht="12.75" hidden="false" customHeight="false" outlineLevel="0" collapsed="false">
      <c r="A296" s="1016"/>
      <c r="B296" s="2781"/>
      <c r="C296" s="478" t="n">
        <f aca="false">IF(B296="",1,(LOOKUP(B296,$3:$3,$4:$4)-LOOKUP($B$24,$3:$3,$4:$4)+100)/100)</f>
        <v>1</v>
      </c>
      <c r="D296" s="2782"/>
      <c r="E296" s="478" t="n">
        <f aca="false">(SUMIF($5:$5,D296,$6:$6)-SUMIF($5:$5,$D$24,$6:$6)+100)/100</f>
        <v>1</v>
      </c>
      <c r="F296" s="2782"/>
      <c r="G296" s="478" t="n">
        <f aca="false">(SUMIF($7:$7,F296,$8:$8)-SUMIF($7:$7,$F$24,$8:$8)+100)/100</f>
        <v>1</v>
      </c>
      <c r="H296" s="2782"/>
      <c r="I296" s="478" t="n">
        <f aca="false">(SUMIF($9:$9,H296,$10:$10)-SUMIF($9:$9,$H$24,$10:$10)+100)/100</f>
        <v>1</v>
      </c>
      <c r="J296" s="2782"/>
      <c r="K296" s="478" t="n">
        <f aca="false">(SUMIF($11:$11,J296,$12:$12)-SUMIF($11:$11,$J$24,$12:$12)+100)/100</f>
        <v>1</v>
      </c>
      <c r="L296" s="2782"/>
      <c r="M296" s="478" t="n">
        <f aca="false">(SUMIF($13:$13,L296,$14:$14)-SUMIF($13:$13,$L$24,$14:$14)+100)/100</f>
        <v>1</v>
      </c>
      <c r="N296" s="2782"/>
      <c r="O296" s="478" t="n">
        <f aca="false">(SUMIF($15:$15,N296,$16:$16)-SUMIF($15:$15,$N$24,$16:$16)+100)/100</f>
        <v>1</v>
      </c>
      <c r="P296" s="2782"/>
      <c r="Q296" s="478" t="n">
        <f aca="false">(SUMIF($17:$17,P296,$18:$18)-SUMIF($17:$17,$P$24,$18:$18)+100)/100</f>
        <v>1</v>
      </c>
      <c r="R296" s="2772" t="n">
        <f aca="false">IF(B296="",0,ROUND($R$24*C296*E296*G296*I296*K296*M296*O296*Q296,0))</f>
        <v>0</v>
      </c>
      <c r="S296" s="2771" t="n">
        <f aca="false">ROUND(R296*B296/10000,0)</f>
        <v>0</v>
      </c>
    </row>
    <row r="297" customFormat="false" ht="12.75" hidden="false" customHeight="false" outlineLevel="0" collapsed="false">
      <c r="A297" s="1016"/>
      <c r="B297" s="2781"/>
      <c r="C297" s="478" t="n">
        <f aca="false">IF(B297="",1,(LOOKUP(B297,$3:$3,$4:$4)-LOOKUP($B$24,$3:$3,$4:$4)+100)/100)</f>
        <v>1</v>
      </c>
      <c r="D297" s="2782"/>
      <c r="E297" s="478" t="n">
        <f aca="false">(SUMIF($5:$5,D297,$6:$6)-SUMIF($5:$5,$D$24,$6:$6)+100)/100</f>
        <v>1</v>
      </c>
      <c r="F297" s="2782"/>
      <c r="G297" s="478" t="n">
        <f aca="false">(SUMIF($7:$7,F297,$8:$8)-SUMIF($7:$7,$F$24,$8:$8)+100)/100</f>
        <v>1</v>
      </c>
      <c r="H297" s="2782"/>
      <c r="I297" s="478" t="n">
        <f aca="false">(SUMIF($9:$9,H297,$10:$10)-SUMIF($9:$9,$H$24,$10:$10)+100)/100</f>
        <v>1</v>
      </c>
      <c r="J297" s="2782"/>
      <c r="K297" s="478" t="n">
        <f aca="false">(SUMIF($11:$11,J297,$12:$12)-SUMIF($11:$11,$J$24,$12:$12)+100)/100</f>
        <v>1</v>
      </c>
      <c r="L297" s="2782"/>
      <c r="M297" s="478" t="n">
        <f aca="false">(SUMIF($13:$13,L297,$14:$14)-SUMIF($13:$13,$L$24,$14:$14)+100)/100</f>
        <v>1</v>
      </c>
      <c r="N297" s="2782"/>
      <c r="O297" s="478" t="n">
        <f aca="false">(SUMIF($15:$15,N297,$16:$16)-SUMIF($15:$15,$N$24,$16:$16)+100)/100</f>
        <v>1</v>
      </c>
      <c r="P297" s="2782"/>
      <c r="Q297" s="478" t="n">
        <f aca="false">(SUMIF($17:$17,P297,$18:$18)-SUMIF($17:$17,$P$24,$18:$18)+100)/100</f>
        <v>1</v>
      </c>
      <c r="R297" s="2772" t="n">
        <f aca="false">IF(B297="",0,ROUND($R$24*C297*E297*G297*I297*K297*M297*O297*Q297,0))</f>
        <v>0</v>
      </c>
      <c r="S297" s="2771" t="n">
        <f aca="false">ROUND(R297*B297/10000,0)</f>
        <v>0</v>
      </c>
    </row>
    <row r="298" customFormat="false" ht="12.75" hidden="false" customHeight="false" outlineLevel="0" collapsed="false">
      <c r="A298" s="1016"/>
      <c r="B298" s="2781"/>
      <c r="C298" s="478" t="n">
        <f aca="false">IF(B298="",1,(LOOKUP(B298,$3:$3,$4:$4)-LOOKUP($B$24,$3:$3,$4:$4)+100)/100)</f>
        <v>1</v>
      </c>
      <c r="D298" s="2782"/>
      <c r="E298" s="478" t="n">
        <f aca="false">(SUMIF($5:$5,D298,$6:$6)-SUMIF($5:$5,$D$24,$6:$6)+100)/100</f>
        <v>1</v>
      </c>
      <c r="F298" s="2782"/>
      <c r="G298" s="478" t="n">
        <f aca="false">(SUMIF($7:$7,F298,$8:$8)-SUMIF($7:$7,$F$24,$8:$8)+100)/100</f>
        <v>1</v>
      </c>
      <c r="H298" s="2782"/>
      <c r="I298" s="478" t="n">
        <f aca="false">(SUMIF($9:$9,H298,$10:$10)-SUMIF($9:$9,$H$24,$10:$10)+100)/100</f>
        <v>1</v>
      </c>
      <c r="J298" s="2782"/>
      <c r="K298" s="478" t="n">
        <f aca="false">(SUMIF($11:$11,J298,$12:$12)-SUMIF($11:$11,$J$24,$12:$12)+100)/100</f>
        <v>1</v>
      </c>
      <c r="L298" s="2782"/>
      <c r="M298" s="478" t="n">
        <f aca="false">(SUMIF($13:$13,L298,$14:$14)-SUMIF($13:$13,$L$24,$14:$14)+100)/100</f>
        <v>1</v>
      </c>
      <c r="N298" s="2782"/>
      <c r="O298" s="478" t="n">
        <f aca="false">(SUMIF($15:$15,N298,$16:$16)-SUMIF($15:$15,$N$24,$16:$16)+100)/100</f>
        <v>1</v>
      </c>
      <c r="P298" s="2782"/>
      <c r="Q298" s="478" t="n">
        <f aca="false">(SUMIF($17:$17,P298,$18:$18)-SUMIF($17:$17,$P$24,$18:$18)+100)/100</f>
        <v>1</v>
      </c>
      <c r="R298" s="2772" t="n">
        <f aca="false">IF(B298="",0,ROUND($R$24*C298*E298*G298*I298*K298*M298*O298*Q298,0))</f>
        <v>0</v>
      </c>
      <c r="S298" s="2771" t="n">
        <f aca="false">ROUND(R298*B298/10000,0)</f>
        <v>0</v>
      </c>
    </row>
    <row r="299" customFormat="false" ht="12.75" hidden="false" customHeight="false" outlineLevel="0" collapsed="false">
      <c r="A299" s="1016"/>
      <c r="B299" s="2781"/>
      <c r="C299" s="478" t="n">
        <f aca="false">IF(B299="",1,(LOOKUP(B299,$3:$3,$4:$4)-LOOKUP($B$24,$3:$3,$4:$4)+100)/100)</f>
        <v>1</v>
      </c>
      <c r="D299" s="2782"/>
      <c r="E299" s="478" t="n">
        <f aca="false">(SUMIF($5:$5,D299,$6:$6)-SUMIF($5:$5,$D$24,$6:$6)+100)/100</f>
        <v>1</v>
      </c>
      <c r="F299" s="2782"/>
      <c r="G299" s="478" t="n">
        <f aca="false">(SUMIF($7:$7,F299,$8:$8)-SUMIF($7:$7,$F$24,$8:$8)+100)/100</f>
        <v>1</v>
      </c>
      <c r="H299" s="2782"/>
      <c r="I299" s="478" t="n">
        <f aca="false">(SUMIF($9:$9,H299,$10:$10)-SUMIF($9:$9,$H$24,$10:$10)+100)/100</f>
        <v>1</v>
      </c>
      <c r="J299" s="2782"/>
      <c r="K299" s="478" t="n">
        <f aca="false">(SUMIF($11:$11,J299,$12:$12)-SUMIF($11:$11,$J$24,$12:$12)+100)/100</f>
        <v>1</v>
      </c>
      <c r="L299" s="2782"/>
      <c r="M299" s="478" t="n">
        <f aca="false">(SUMIF($13:$13,L299,$14:$14)-SUMIF($13:$13,$L$24,$14:$14)+100)/100</f>
        <v>1</v>
      </c>
      <c r="N299" s="2782"/>
      <c r="O299" s="478" t="n">
        <f aca="false">(SUMIF($15:$15,N299,$16:$16)-SUMIF($15:$15,$N$24,$16:$16)+100)/100</f>
        <v>1</v>
      </c>
      <c r="P299" s="2782"/>
      <c r="Q299" s="478" t="n">
        <f aca="false">(SUMIF($17:$17,P299,$18:$18)-SUMIF($17:$17,$P$24,$18:$18)+100)/100</f>
        <v>1</v>
      </c>
      <c r="R299" s="2772" t="n">
        <f aca="false">IF(B299="",0,ROUND($R$24*C299*E299*G299*I299*K299*M299*O299*Q299,0))</f>
        <v>0</v>
      </c>
      <c r="S299" s="2771" t="n">
        <f aca="false">ROUND(R299*B299/10000,0)</f>
        <v>0</v>
      </c>
    </row>
    <row r="300" customFormat="false" ht="12.75" hidden="false" customHeight="false" outlineLevel="0" collapsed="false">
      <c r="A300" s="1016"/>
      <c r="B300" s="2781"/>
      <c r="C300" s="478" t="n">
        <f aca="false">IF(B300="",1,(LOOKUP(B300,$3:$3,$4:$4)-LOOKUP($B$24,$3:$3,$4:$4)+100)/100)</f>
        <v>1</v>
      </c>
      <c r="D300" s="2782"/>
      <c r="E300" s="478" t="n">
        <f aca="false">(SUMIF($5:$5,D300,$6:$6)-SUMIF($5:$5,$D$24,$6:$6)+100)/100</f>
        <v>1</v>
      </c>
      <c r="F300" s="2782"/>
      <c r="G300" s="478" t="n">
        <f aca="false">(SUMIF($7:$7,F300,$8:$8)-SUMIF($7:$7,$F$24,$8:$8)+100)/100</f>
        <v>1</v>
      </c>
      <c r="H300" s="2782"/>
      <c r="I300" s="478" t="n">
        <f aca="false">(SUMIF($9:$9,H300,$10:$10)-SUMIF($9:$9,$H$24,$10:$10)+100)/100</f>
        <v>1</v>
      </c>
      <c r="J300" s="2782"/>
      <c r="K300" s="478" t="n">
        <f aca="false">(SUMIF($11:$11,J300,$12:$12)-SUMIF($11:$11,$J$24,$12:$12)+100)/100</f>
        <v>1</v>
      </c>
      <c r="L300" s="2782"/>
      <c r="M300" s="478" t="n">
        <f aca="false">(SUMIF($13:$13,L300,$14:$14)-SUMIF($13:$13,$L$24,$14:$14)+100)/100</f>
        <v>1</v>
      </c>
      <c r="N300" s="2782"/>
      <c r="O300" s="478" t="n">
        <f aca="false">(SUMIF($15:$15,N300,$16:$16)-SUMIF($15:$15,$N$24,$16:$16)+100)/100</f>
        <v>1</v>
      </c>
      <c r="P300" s="2782"/>
      <c r="Q300" s="478" t="n">
        <f aca="false">(SUMIF($17:$17,P300,$18:$18)-SUMIF($17:$17,$P$24,$18:$18)+100)/100</f>
        <v>1</v>
      </c>
      <c r="R300" s="2772" t="n">
        <f aca="false">IF(B300="",0,ROUND($R$24*C300*E300*G300*I300*K300*M300*O300*Q300,0))</f>
        <v>0</v>
      </c>
      <c r="S300" s="2771" t="n">
        <f aca="false">ROUND(R300*B300/10000,0)</f>
        <v>0</v>
      </c>
    </row>
    <row r="301" customFormat="false" ht="12.75" hidden="false" customHeight="false" outlineLevel="0" collapsed="false">
      <c r="A301" s="1016"/>
      <c r="B301" s="2781"/>
      <c r="C301" s="478" t="n">
        <f aca="false">IF(B301="",1,(LOOKUP(B301,$3:$3,$4:$4)-LOOKUP($B$24,$3:$3,$4:$4)+100)/100)</f>
        <v>1</v>
      </c>
      <c r="D301" s="2782"/>
      <c r="E301" s="478" t="n">
        <f aca="false">(SUMIF($5:$5,D301,$6:$6)-SUMIF($5:$5,$D$24,$6:$6)+100)/100</f>
        <v>1</v>
      </c>
      <c r="F301" s="2782"/>
      <c r="G301" s="478" t="n">
        <f aca="false">(SUMIF($7:$7,F301,$8:$8)-SUMIF($7:$7,$F$24,$8:$8)+100)/100</f>
        <v>1</v>
      </c>
      <c r="H301" s="2782"/>
      <c r="I301" s="478" t="n">
        <f aca="false">(SUMIF($9:$9,H301,$10:$10)-SUMIF($9:$9,$H$24,$10:$10)+100)/100</f>
        <v>1</v>
      </c>
      <c r="J301" s="2782"/>
      <c r="K301" s="478" t="n">
        <f aca="false">(SUMIF($11:$11,J301,$12:$12)-SUMIF($11:$11,$J$24,$12:$12)+100)/100</f>
        <v>1</v>
      </c>
      <c r="L301" s="2782"/>
      <c r="M301" s="478" t="n">
        <f aca="false">(SUMIF($13:$13,L301,$14:$14)-SUMIF($13:$13,$L$24,$14:$14)+100)/100</f>
        <v>1</v>
      </c>
      <c r="N301" s="2782"/>
      <c r="O301" s="478" t="n">
        <f aca="false">(SUMIF($15:$15,N301,$16:$16)-SUMIF($15:$15,$N$24,$16:$16)+100)/100</f>
        <v>1</v>
      </c>
      <c r="P301" s="2782"/>
      <c r="Q301" s="478" t="n">
        <f aca="false">(SUMIF($17:$17,P301,$18:$18)-SUMIF($17:$17,$P$24,$18:$18)+100)/100</f>
        <v>1</v>
      </c>
      <c r="R301" s="2772" t="n">
        <f aca="false">IF(B301="",0,ROUND($R$24*C301*E301*G301*I301*K301*M301*O301*Q301,0))</f>
        <v>0</v>
      </c>
      <c r="S301" s="2771" t="n">
        <f aca="false">ROUND(R301*B301/10000,0)</f>
        <v>0</v>
      </c>
    </row>
    <row r="302" customFormat="false" ht="12.75" hidden="false" customHeight="false" outlineLevel="0" collapsed="false">
      <c r="A302" s="1016"/>
      <c r="B302" s="2781"/>
      <c r="C302" s="478" t="n">
        <f aca="false">IF(B302="",1,(LOOKUP(B302,$3:$3,$4:$4)-LOOKUP($B$24,$3:$3,$4:$4)+100)/100)</f>
        <v>1</v>
      </c>
      <c r="D302" s="2782"/>
      <c r="E302" s="478" t="n">
        <f aca="false">(SUMIF($5:$5,D302,$6:$6)-SUMIF($5:$5,$D$24,$6:$6)+100)/100</f>
        <v>1</v>
      </c>
      <c r="F302" s="2782"/>
      <c r="G302" s="478" t="n">
        <f aca="false">(SUMIF($7:$7,F302,$8:$8)-SUMIF($7:$7,$F$24,$8:$8)+100)/100</f>
        <v>1</v>
      </c>
      <c r="H302" s="2782"/>
      <c r="I302" s="478" t="n">
        <f aca="false">(SUMIF($9:$9,H302,$10:$10)-SUMIF($9:$9,$H$24,$10:$10)+100)/100</f>
        <v>1</v>
      </c>
      <c r="J302" s="2782"/>
      <c r="K302" s="478" t="n">
        <f aca="false">(SUMIF($11:$11,J302,$12:$12)-SUMIF($11:$11,$J$24,$12:$12)+100)/100</f>
        <v>1</v>
      </c>
      <c r="L302" s="2782"/>
      <c r="M302" s="478" t="n">
        <f aca="false">(SUMIF($13:$13,L302,$14:$14)-SUMIF($13:$13,$L$24,$14:$14)+100)/100</f>
        <v>1</v>
      </c>
      <c r="N302" s="2782"/>
      <c r="O302" s="478" t="n">
        <f aca="false">(SUMIF($15:$15,N302,$16:$16)-SUMIF($15:$15,$N$24,$16:$16)+100)/100</f>
        <v>1</v>
      </c>
      <c r="P302" s="2782"/>
      <c r="Q302" s="478" t="n">
        <f aca="false">(SUMIF($17:$17,P302,$18:$18)-SUMIF($17:$17,$P$24,$18:$18)+100)/100</f>
        <v>1</v>
      </c>
      <c r="R302" s="2772" t="n">
        <f aca="false">IF(B302="",0,ROUND($R$24*C302*E302*G302*I302*K302*M302*O302*Q302,0))</f>
        <v>0</v>
      </c>
      <c r="S302" s="2771" t="n">
        <f aca="false">ROUND(R302*B302/10000,0)</f>
        <v>0</v>
      </c>
    </row>
    <row r="303" customFormat="false" ht="12.75" hidden="false" customHeight="false" outlineLevel="0" collapsed="false">
      <c r="A303" s="1016"/>
      <c r="B303" s="2781"/>
      <c r="C303" s="478" t="n">
        <f aca="false">IF(B303="",1,(LOOKUP(B303,$3:$3,$4:$4)-LOOKUP($B$24,$3:$3,$4:$4)+100)/100)</f>
        <v>1</v>
      </c>
      <c r="D303" s="2782"/>
      <c r="E303" s="478" t="n">
        <f aca="false">(SUMIF($5:$5,D303,$6:$6)-SUMIF($5:$5,$D$24,$6:$6)+100)/100</f>
        <v>1</v>
      </c>
      <c r="F303" s="2782"/>
      <c r="G303" s="478" t="n">
        <f aca="false">(SUMIF($7:$7,F303,$8:$8)-SUMIF($7:$7,$F$24,$8:$8)+100)/100</f>
        <v>1</v>
      </c>
      <c r="H303" s="2782"/>
      <c r="I303" s="478" t="n">
        <f aca="false">(SUMIF($9:$9,H303,$10:$10)-SUMIF($9:$9,$H$24,$10:$10)+100)/100</f>
        <v>1</v>
      </c>
      <c r="J303" s="2782"/>
      <c r="K303" s="478" t="n">
        <f aca="false">(SUMIF($11:$11,J303,$12:$12)-SUMIF($11:$11,$J$24,$12:$12)+100)/100</f>
        <v>1</v>
      </c>
      <c r="L303" s="2782"/>
      <c r="M303" s="478" t="n">
        <f aca="false">(SUMIF($13:$13,L303,$14:$14)-SUMIF($13:$13,$L$24,$14:$14)+100)/100</f>
        <v>1</v>
      </c>
      <c r="N303" s="2782"/>
      <c r="O303" s="478" t="n">
        <f aca="false">(SUMIF($15:$15,N303,$16:$16)-SUMIF($15:$15,$N$24,$16:$16)+100)/100</f>
        <v>1</v>
      </c>
      <c r="P303" s="2782"/>
      <c r="Q303" s="478" t="n">
        <f aca="false">(SUMIF($17:$17,P303,$18:$18)-SUMIF($17:$17,$P$24,$18:$18)+100)/100</f>
        <v>1</v>
      </c>
      <c r="R303" s="2772" t="n">
        <f aca="false">IF(B303="",0,ROUND($R$24*C303*E303*G303*I303*K303*M303*O303*Q303,0))</f>
        <v>0</v>
      </c>
      <c r="S303" s="2771" t="n">
        <f aca="false">ROUND(R303*B303/10000,0)</f>
        <v>0</v>
      </c>
    </row>
    <row r="304" customFormat="false" ht="12.75" hidden="false" customHeight="false" outlineLevel="0" collapsed="false">
      <c r="A304" s="1016"/>
      <c r="B304" s="2781"/>
      <c r="C304" s="478" t="n">
        <f aca="false">IF(B304="",1,(LOOKUP(B304,$3:$3,$4:$4)-LOOKUP($B$24,$3:$3,$4:$4)+100)/100)</f>
        <v>1</v>
      </c>
      <c r="D304" s="2782"/>
      <c r="E304" s="478" t="n">
        <f aca="false">(SUMIF($5:$5,D304,$6:$6)-SUMIF($5:$5,$D$24,$6:$6)+100)/100</f>
        <v>1</v>
      </c>
      <c r="F304" s="2782"/>
      <c r="G304" s="478" t="n">
        <f aca="false">(SUMIF($7:$7,F304,$8:$8)-SUMIF($7:$7,$F$24,$8:$8)+100)/100</f>
        <v>1</v>
      </c>
      <c r="H304" s="2782"/>
      <c r="I304" s="478" t="n">
        <f aca="false">(SUMIF($9:$9,H304,$10:$10)-SUMIF($9:$9,$H$24,$10:$10)+100)/100</f>
        <v>1</v>
      </c>
      <c r="J304" s="2782"/>
      <c r="K304" s="478" t="n">
        <f aca="false">(SUMIF($11:$11,J304,$12:$12)-SUMIF($11:$11,$J$24,$12:$12)+100)/100</f>
        <v>1</v>
      </c>
      <c r="L304" s="2782"/>
      <c r="M304" s="478" t="n">
        <f aca="false">(SUMIF($13:$13,L304,$14:$14)-SUMIF($13:$13,$L$24,$14:$14)+100)/100</f>
        <v>1</v>
      </c>
      <c r="N304" s="2782"/>
      <c r="O304" s="478" t="n">
        <f aca="false">(SUMIF($15:$15,N304,$16:$16)-SUMIF($15:$15,$N$24,$16:$16)+100)/100</f>
        <v>1</v>
      </c>
      <c r="P304" s="2782"/>
      <c r="Q304" s="478" t="n">
        <f aca="false">(SUMIF($17:$17,P304,$18:$18)-SUMIF($17:$17,$P$24,$18:$18)+100)/100</f>
        <v>1</v>
      </c>
      <c r="R304" s="2772" t="n">
        <f aca="false">IF(B304="",0,ROUND($R$24*C304*E304*G304*I304*K304*M304*O304*Q304,0))</f>
        <v>0</v>
      </c>
      <c r="S304" s="2771" t="n">
        <f aca="false">ROUND(R304*B304/10000,0)</f>
        <v>0</v>
      </c>
    </row>
    <row r="305" customFormat="false" ht="12.75" hidden="false" customHeight="false" outlineLevel="0" collapsed="false">
      <c r="A305" s="1016"/>
      <c r="B305" s="2781"/>
      <c r="C305" s="478" t="n">
        <f aca="false">IF(B305="",1,(LOOKUP(B305,$3:$3,$4:$4)-LOOKUP($B$24,$3:$3,$4:$4)+100)/100)</f>
        <v>1</v>
      </c>
      <c r="D305" s="2782"/>
      <c r="E305" s="478" t="n">
        <f aca="false">(SUMIF($5:$5,D305,$6:$6)-SUMIF($5:$5,$D$24,$6:$6)+100)/100</f>
        <v>1</v>
      </c>
      <c r="F305" s="2782"/>
      <c r="G305" s="478" t="n">
        <f aca="false">(SUMIF($7:$7,F305,$8:$8)-SUMIF($7:$7,$F$24,$8:$8)+100)/100</f>
        <v>1</v>
      </c>
      <c r="H305" s="2782"/>
      <c r="I305" s="478" t="n">
        <f aca="false">(SUMIF($9:$9,H305,$10:$10)-SUMIF($9:$9,$H$24,$10:$10)+100)/100</f>
        <v>1</v>
      </c>
      <c r="J305" s="2782"/>
      <c r="K305" s="478" t="n">
        <f aca="false">(SUMIF($11:$11,J305,$12:$12)-SUMIF($11:$11,$J$24,$12:$12)+100)/100</f>
        <v>1</v>
      </c>
      <c r="L305" s="2782"/>
      <c r="M305" s="478" t="n">
        <f aca="false">(SUMIF($13:$13,L305,$14:$14)-SUMIF($13:$13,$L$24,$14:$14)+100)/100</f>
        <v>1</v>
      </c>
      <c r="N305" s="2782"/>
      <c r="O305" s="478" t="n">
        <f aca="false">(SUMIF($15:$15,N305,$16:$16)-SUMIF($15:$15,$N$24,$16:$16)+100)/100</f>
        <v>1</v>
      </c>
      <c r="P305" s="2782"/>
      <c r="Q305" s="478" t="n">
        <f aca="false">(SUMIF($17:$17,P305,$18:$18)-SUMIF($17:$17,$P$24,$18:$18)+100)/100</f>
        <v>1</v>
      </c>
      <c r="R305" s="2772" t="n">
        <f aca="false">IF(B305="",0,ROUND($R$24*C305*E305*G305*I305*K305*M305*O305*Q305,0))</f>
        <v>0</v>
      </c>
      <c r="S305" s="2771" t="n">
        <f aca="false">ROUND(R305*B305/10000,0)</f>
        <v>0</v>
      </c>
    </row>
    <row r="306" customFormat="false" ht="12.75" hidden="false" customHeight="false" outlineLevel="0" collapsed="false">
      <c r="A306" s="1016"/>
      <c r="B306" s="2781"/>
      <c r="C306" s="478" t="n">
        <f aca="false">IF(B306="",1,(LOOKUP(B306,$3:$3,$4:$4)-LOOKUP($B$24,$3:$3,$4:$4)+100)/100)</f>
        <v>1</v>
      </c>
      <c r="D306" s="2782"/>
      <c r="E306" s="478" t="n">
        <f aca="false">(SUMIF($5:$5,D306,$6:$6)-SUMIF($5:$5,$D$24,$6:$6)+100)/100</f>
        <v>1</v>
      </c>
      <c r="F306" s="2782"/>
      <c r="G306" s="478" t="n">
        <f aca="false">(SUMIF($7:$7,F306,$8:$8)-SUMIF($7:$7,$F$24,$8:$8)+100)/100</f>
        <v>1</v>
      </c>
      <c r="H306" s="2782"/>
      <c r="I306" s="478" t="n">
        <f aca="false">(SUMIF($9:$9,H306,$10:$10)-SUMIF($9:$9,$H$24,$10:$10)+100)/100</f>
        <v>1</v>
      </c>
      <c r="J306" s="2782"/>
      <c r="K306" s="478" t="n">
        <f aca="false">(SUMIF($11:$11,J306,$12:$12)-SUMIF($11:$11,$J$24,$12:$12)+100)/100</f>
        <v>1</v>
      </c>
      <c r="L306" s="2782"/>
      <c r="M306" s="478" t="n">
        <f aca="false">(SUMIF($13:$13,L306,$14:$14)-SUMIF($13:$13,$L$24,$14:$14)+100)/100</f>
        <v>1</v>
      </c>
      <c r="N306" s="2782"/>
      <c r="O306" s="478" t="n">
        <f aca="false">(SUMIF($15:$15,N306,$16:$16)-SUMIF($15:$15,$N$24,$16:$16)+100)/100</f>
        <v>1</v>
      </c>
      <c r="P306" s="2782"/>
      <c r="Q306" s="478" t="n">
        <f aca="false">(SUMIF($17:$17,P306,$18:$18)-SUMIF($17:$17,$P$24,$18:$18)+100)/100</f>
        <v>1</v>
      </c>
      <c r="R306" s="2772" t="n">
        <f aca="false">IF(B306="",0,ROUND($R$24*C306*E306*G306*I306*K306*M306*O306*Q306,0))</f>
        <v>0</v>
      </c>
      <c r="S306" s="2771" t="n">
        <f aca="false">ROUND(R306*B306/10000,0)</f>
        <v>0</v>
      </c>
    </row>
    <row r="307" customFormat="false" ht="12.75" hidden="false" customHeight="false" outlineLevel="0" collapsed="false">
      <c r="A307" s="1016"/>
      <c r="B307" s="2781"/>
      <c r="C307" s="478" t="n">
        <f aca="false">IF(B307="",1,(LOOKUP(B307,$3:$3,$4:$4)-LOOKUP($B$24,$3:$3,$4:$4)+100)/100)</f>
        <v>1</v>
      </c>
      <c r="D307" s="2782"/>
      <c r="E307" s="478" t="n">
        <f aca="false">(SUMIF($5:$5,D307,$6:$6)-SUMIF($5:$5,$D$24,$6:$6)+100)/100</f>
        <v>1</v>
      </c>
      <c r="F307" s="2782"/>
      <c r="G307" s="478" t="n">
        <f aca="false">(SUMIF($7:$7,F307,$8:$8)-SUMIF($7:$7,$F$24,$8:$8)+100)/100</f>
        <v>1</v>
      </c>
      <c r="H307" s="2782"/>
      <c r="I307" s="478" t="n">
        <f aca="false">(SUMIF($9:$9,H307,$10:$10)-SUMIF($9:$9,$H$24,$10:$10)+100)/100</f>
        <v>1</v>
      </c>
      <c r="J307" s="2782"/>
      <c r="K307" s="478" t="n">
        <f aca="false">(SUMIF($11:$11,J307,$12:$12)-SUMIF($11:$11,$J$24,$12:$12)+100)/100</f>
        <v>1</v>
      </c>
      <c r="L307" s="2782"/>
      <c r="M307" s="478" t="n">
        <f aca="false">(SUMIF($13:$13,L307,$14:$14)-SUMIF($13:$13,$L$24,$14:$14)+100)/100</f>
        <v>1</v>
      </c>
      <c r="N307" s="2782"/>
      <c r="O307" s="478" t="n">
        <f aca="false">(SUMIF($15:$15,N307,$16:$16)-SUMIF($15:$15,$N$24,$16:$16)+100)/100</f>
        <v>1</v>
      </c>
      <c r="P307" s="2782"/>
      <c r="Q307" s="478" t="n">
        <f aca="false">(SUMIF($17:$17,P307,$18:$18)-SUMIF($17:$17,$P$24,$18:$18)+100)/100</f>
        <v>1</v>
      </c>
      <c r="R307" s="2772" t="n">
        <f aca="false">IF(B307="",0,ROUND($R$24*C307*E307*G307*I307*K307*M307*O307*Q307,0))</f>
        <v>0</v>
      </c>
      <c r="S307" s="2771" t="n">
        <f aca="false">ROUND(R307*B307/10000,0)</f>
        <v>0</v>
      </c>
    </row>
    <row r="308" customFormat="false" ht="12.75" hidden="false" customHeight="false" outlineLevel="0" collapsed="false">
      <c r="A308" s="1016"/>
      <c r="B308" s="2781"/>
      <c r="C308" s="478" t="n">
        <f aca="false">IF(B308="",1,(LOOKUP(B308,$3:$3,$4:$4)-LOOKUP($B$24,$3:$3,$4:$4)+100)/100)</f>
        <v>1</v>
      </c>
      <c r="D308" s="2782"/>
      <c r="E308" s="478" t="n">
        <f aca="false">(SUMIF($5:$5,D308,$6:$6)-SUMIF($5:$5,$D$24,$6:$6)+100)/100</f>
        <v>1</v>
      </c>
      <c r="F308" s="2782"/>
      <c r="G308" s="478" t="n">
        <f aca="false">(SUMIF($7:$7,F308,$8:$8)-SUMIF($7:$7,$F$24,$8:$8)+100)/100</f>
        <v>1</v>
      </c>
      <c r="H308" s="2782"/>
      <c r="I308" s="478" t="n">
        <f aca="false">(SUMIF($9:$9,H308,$10:$10)-SUMIF($9:$9,$H$24,$10:$10)+100)/100</f>
        <v>1</v>
      </c>
      <c r="J308" s="2782"/>
      <c r="K308" s="478" t="n">
        <f aca="false">(SUMIF($11:$11,J308,$12:$12)-SUMIF($11:$11,$J$24,$12:$12)+100)/100</f>
        <v>1</v>
      </c>
      <c r="L308" s="2782"/>
      <c r="M308" s="478" t="n">
        <f aca="false">(SUMIF($13:$13,L308,$14:$14)-SUMIF($13:$13,$L$24,$14:$14)+100)/100</f>
        <v>1</v>
      </c>
      <c r="N308" s="2782"/>
      <c r="O308" s="478" t="n">
        <f aca="false">(SUMIF($15:$15,N308,$16:$16)-SUMIF($15:$15,$N$24,$16:$16)+100)/100</f>
        <v>1</v>
      </c>
      <c r="P308" s="2782"/>
      <c r="Q308" s="478" t="n">
        <f aca="false">(SUMIF($17:$17,P308,$18:$18)-SUMIF($17:$17,$P$24,$18:$18)+100)/100</f>
        <v>1</v>
      </c>
      <c r="R308" s="2772" t="n">
        <f aca="false">IF(B308="",0,ROUND($R$24*C308*E308*G308*I308*K308*M308*O308*Q308,0))</f>
        <v>0</v>
      </c>
      <c r="S308" s="2771" t="n">
        <f aca="false">ROUND(R308*B308/10000,0)</f>
        <v>0</v>
      </c>
    </row>
    <row r="309" customFormat="false" ht="12.75" hidden="false" customHeight="false" outlineLevel="0" collapsed="false">
      <c r="A309" s="1016"/>
      <c r="B309" s="2781"/>
      <c r="C309" s="478" t="n">
        <f aca="false">IF(B309="",1,(LOOKUP(B309,$3:$3,$4:$4)-LOOKUP($B$24,$3:$3,$4:$4)+100)/100)</f>
        <v>1</v>
      </c>
      <c r="D309" s="2782"/>
      <c r="E309" s="478" t="n">
        <f aca="false">(SUMIF($5:$5,D309,$6:$6)-SUMIF($5:$5,$D$24,$6:$6)+100)/100</f>
        <v>1</v>
      </c>
      <c r="F309" s="2782"/>
      <c r="G309" s="478" t="n">
        <f aca="false">(SUMIF($7:$7,F309,$8:$8)-SUMIF($7:$7,$F$24,$8:$8)+100)/100</f>
        <v>1</v>
      </c>
      <c r="H309" s="2782"/>
      <c r="I309" s="478" t="n">
        <f aca="false">(SUMIF($9:$9,H309,$10:$10)-SUMIF($9:$9,$H$24,$10:$10)+100)/100</f>
        <v>1</v>
      </c>
      <c r="J309" s="2782"/>
      <c r="K309" s="478" t="n">
        <f aca="false">(SUMIF($11:$11,J309,$12:$12)-SUMIF($11:$11,$J$24,$12:$12)+100)/100</f>
        <v>1</v>
      </c>
      <c r="L309" s="2782"/>
      <c r="M309" s="478" t="n">
        <f aca="false">(SUMIF($13:$13,L309,$14:$14)-SUMIF($13:$13,$L$24,$14:$14)+100)/100</f>
        <v>1</v>
      </c>
      <c r="N309" s="2782"/>
      <c r="O309" s="478" t="n">
        <f aca="false">(SUMIF($15:$15,N309,$16:$16)-SUMIF($15:$15,$N$24,$16:$16)+100)/100</f>
        <v>1</v>
      </c>
      <c r="P309" s="2782"/>
      <c r="Q309" s="478" t="n">
        <f aca="false">(SUMIF($17:$17,P309,$18:$18)-SUMIF($17:$17,$P$24,$18:$18)+100)/100</f>
        <v>1</v>
      </c>
      <c r="R309" s="2772" t="n">
        <f aca="false">IF(B309="",0,ROUND($R$24*C309*E309*G309*I309*K309*M309*O309*Q309,0))</f>
        <v>0</v>
      </c>
      <c r="S309" s="2771" t="n">
        <f aca="false">ROUND(R309*B309/10000,0)</f>
        <v>0</v>
      </c>
    </row>
    <row r="310" customFormat="false" ht="12.75" hidden="false" customHeight="false" outlineLevel="0" collapsed="false">
      <c r="A310" s="1016"/>
      <c r="B310" s="2781"/>
      <c r="C310" s="478" t="n">
        <f aca="false">IF(B310="",1,(LOOKUP(B310,$3:$3,$4:$4)-LOOKUP($B$24,$3:$3,$4:$4)+100)/100)</f>
        <v>1</v>
      </c>
      <c r="D310" s="2782"/>
      <c r="E310" s="478" t="n">
        <f aca="false">(SUMIF($5:$5,D310,$6:$6)-SUMIF($5:$5,$D$24,$6:$6)+100)/100</f>
        <v>1</v>
      </c>
      <c r="F310" s="2782"/>
      <c r="G310" s="478" t="n">
        <f aca="false">(SUMIF($7:$7,F310,$8:$8)-SUMIF($7:$7,$F$24,$8:$8)+100)/100</f>
        <v>1</v>
      </c>
      <c r="H310" s="2782"/>
      <c r="I310" s="478" t="n">
        <f aca="false">(SUMIF($9:$9,H310,$10:$10)-SUMIF($9:$9,$H$24,$10:$10)+100)/100</f>
        <v>1</v>
      </c>
      <c r="J310" s="2782"/>
      <c r="K310" s="478" t="n">
        <f aca="false">(SUMIF($11:$11,J310,$12:$12)-SUMIF($11:$11,$J$24,$12:$12)+100)/100</f>
        <v>1</v>
      </c>
      <c r="L310" s="2782"/>
      <c r="M310" s="478" t="n">
        <f aca="false">(SUMIF($13:$13,L310,$14:$14)-SUMIF($13:$13,$L$24,$14:$14)+100)/100</f>
        <v>1</v>
      </c>
      <c r="N310" s="2782"/>
      <c r="O310" s="478" t="n">
        <f aca="false">(SUMIF($15:$15,N310,$16:$16)-SUMIF($15:$15,$N$24,$16:$16)+100)/100</f>
        <v>1</v>
      </c>
      <c r="P310" s="2782"/>
      <c r="Q310" s="478" t="n">
        <f aca="false">(SUMIF($17:$17,P310,$18:$18)-SUMIF($17:$17,$P$24,$18:$18)+100)/100</f>
        <v>1</v>
      </c>
      <c r="R310" s="2772" t="n">
        <f aca="false">IF(B310="",0,ROUND($R$24*C310*E310*G310*I310*K310*M310*O310*Q310,0))</f>
        <v>0</v>
      </c>
      <c r="S310" s="2771" t="n">
        <f aca="false">ROUND(R310*B310/10000,0)</f>
        <v>0</v>
      </c>
    </row>
    <row r="311" customFormat="false" ht="12.75" hidden="false" customHeight="false" outlineLevel="0" collapsed="false">
      <c r="A311" s="1016"/>
      <c r="B311" s="2781"/>
      <c r="C311" s="478" t="n">
        <f aca="false">IF(B311="",1,(LOOKUP(B311,$3:$3,$4:$4)-LOOKUP($B$24,$3:$3,$4:$4)+100)/100)</f>
        <v>1</v>
      </c>
      <c r="D311" s="2782"/>
      <c r="E311" s="478" t="n">
        <f aca="false">(SUMIF($5:$5,D311,$6:$6)-SUMIF($5:$5,$D$24,$6:$6)+100)/100</f>
        <v>1</v>
      </c>
      <c r="F311" s="2782"/>
      <c r="G311" s="478" t="n">
        <f aca="false">(SUMIF($7:$7,F311,$8:$8)-SUMIF($7:$7,$F$24,$8:$8)+100)/100</f>
        <v>1</v>
      </c>
      <c r="H311" s="2782"/>
      <c r="I311" s="478" t="n">
        <f aca="false">(SUMIF($9:$9,H311,$10:$10)-SUMIF($9:$9,$H$24,$10:$10)+100)/100</f>
        <v>1</v>
      </c>
      <c r="J311" s="2782"/>
      <c r="K311" s="478" t="n">
        <f aca="false">(SUMIF($11:$11,J311,$12:$12)-SUMIF($11:$11,$J$24,$12:$12)+100)/100</f>
        <v>1</v>
      </c>
      <c r="L311" s="2782"/>
      <c r="M311" s="478" t="n">
        <f aca="false">(SUMIF($13:$13,L311,$14:$14)-SUMIF($13:$13,$L$24,$14:$14)+100)/100</f>
        <v>1</v>
      </c>
      <c r="N311" s="2782"/>
      <c r="O311" s="478" t="n">
        <f aca="false">(SUMIF($15:$15,N311,$16:$16)-SUMIF($15:$15,$N$24,$16:$16)+100)/100</f>
        <v>1</v>
      </c>
      <c r="P311" s="2782"/>
      <c r="Q311" s="478" t="n">
        <f aca="false">(SUMIF($17:$17,P311,$18:$18)-SUMIF($17:$17,$P$24,$18:$18)+100)/100</f>
        <v>1</v>
      </c>
      <c r="R311" s="2772" t="n">
        <f aca="false">IF(B311="",0,ROUND($R$24*C311*E311*G311*I311*K311*M311*O311*Q311,0))</f>
        <v>0</v>
      </c>
      <c r="S311" s="2771" t="n">
        <f aca="false">ROUND(R311*B311/10000,0)</f>
        <v>0</v>
      </c>
    </row>
    <row r="312" customFormat="false" ht="12.75" hidden="false" customHeight="false" outlineLevel="0" collapsed="false">
      <c r="A312" s="1016"/>
      <c r="B312" s="2781"/>
      <c r="C312" s="478" t="n">
        <f aca="false">IF(B312="",1,(LOOKUP(B312,$3:$3,$4:$4)-LOOKUP($B$24,$3:$3,$4:$4)+100)/100)</f>
        <v>1</v>
      </c>
      <c r="D312" s="2782"/>
      <c r="E312" s="478" t="n">
        <f aca="false">(SUMIF($5:$5,D312,$6:$6)-SUMIF($5:$5,$D$24,$6:$6)+100)/100</f>
        <v>1</v>
      </c>
      <c r="F312" s="2782"/>
      <c r="G312" s="478" t="n">
        <f aca="false">(SUMIF($7:$7,F312,$8:$8)-SUMIF($7:$7,$F$24,$8:$8)+100)/100</f>
        <v>1</v>
      </c>
      <c r="H312" s="2782"/>
      <c r="I312" s="478" t="n">
        <f aca="false">(SUMIF($9:$9,H312,$10:$10)-SUMIF($9:$9,$H$24,$10:$10)+100)/100</f>
        <v>1</v>
      </c>
      <c r="J312" s="2782"/>
      <c r="K312" s="478" t="n">
        <f aca="false">(SUMIF($11:$11,J312,$12:$12)-SUMIF($11:$11,$J$24,$12:$12)+100)/100</f>
        <v>1</v>
      </c>
      <c r="L312" s="2782"/>
      <c r="M312" s="478" t="n">
        <f aca="false">(SUMIF($13:$13,L312,$14:$14)-SUMIF($13:$13,$L$24,$14:$14)+100)/100</f>
        <v>1</v>
      </c>
      <c r="N312" s="2782"/>
      <c r="O312" s="478" t="n">
        <f aca="false">(SUMIF($15:$15,N312,$16:$16)-SUMIF($15:$15,$N$24,$16:$16)+100)/100</f>
        <v>1</v>
      </c>
      <c r="P312" s="2782"/>
      <c r="Q312" s="478" t="n">
        <f aca="false">(SUMIF($17:$17,P312,$18:$18)-SUMIF($17:$17,$P$24,$18:$18)+100)/100</f>
        <v>1</v>
      </c>
      <c r="R312" s="2772" t="n">
        <f aca="false">IF(B312="",0,ROUND($R$24*C312*E312*G312*I312*K312*M312*O312*Q312,0))</f>
        <v>0</v>
      </c>
      <c r="S312" s="2771" t="n">
        <f aca="false">ROUND(R312*B312/10000,0)</f>
        <v>0</v>
      </c>
    </row>
    <row r="313" customFormat="false" ht="12.75" hidden="false" customHeight="false" outlineLevel="0" collapsed="false">
      <c r="A313" s="1016"/>
      <c r="B313" s="2781"/>
      <c r="C313" s="478" t="n">
        <f aca="false">IF(B313="",1,(LOOKUP(B313,$3:$3,$4:$4)-LOOKUP($B$24,$3:$3,$4:$4)+100)/100)</f>
        <v>1</v>
      </c>
      <c r="D313" s="2782"/>
      <c r="E313" s="478" t="n">
        <f aca="false">(SUMIF($5:$5,D313,$6:$6)-SUMIF($5:$5,$D$24,$6:$6)+100)/100</f>
        <v>1</v>
      </c>
      <c r="F313" s="2782"/>
      <c r="G313" s="478" t="n">
        <f aca="false">(SUMIF($7:$7,F313,$8:$8)-SUMIF($7:$7,$F$24,$8:$8)+100)/100</f>
        <v>1</v>
      </c>
      <c r="H313" s="2782"/>
      <c r="I313" s="478" t="n">
        <f aca="false">(SUMIF($9:$9,H313,$10:$10)-SUMIF($9:$9,$H$24,$10:$10)+100)/100</f>
        <v>1</v>
      </c>
      <c r="J313" s="2782"/>
      <c r="K313" s="478" t="n">
        <f aca="false">(SUMIF($11:$11,J313,$12:$12)-SUMIF($11:$11,$J$24,$12:$12)+100)/100</f>
        <v>1</v>
      </c>
      <c r="L313" s="2782"/>
      <c r="M313" s="478" t="n">
        <f aca="false">(SUMIF($13:$13,L313,$14:$14)-SUMIF($13:$13,$L$24,$14:$14)+100)/100</f>
        <v>1</v>
      </c>
      <c r="N313" s="2782"/>
      <c r="O313" s="478" t="n">
        <f aca="false">(SUMIF($15:$15,N313,$16:$16)-SUMIF($15:$15,$N$24,$16:$16)+100)/100</f>
        <v>1</v>
      </c>
      <c r="P313" s="2782"/>
      <c r="Q313" s="478" t="n">
        <f aca="false">(SUMIF($17:$17,P313,$18:$18)-SUMIF($17:$17,$P$24,$18:$18)+100)/100</f>
        <v>1</v>
      </c>
      <c r="R313" s="2772" t="n">
        <f aca="false">IF(B313="",0,ROUND($R$24*C313*E313*G313*I313*K313*M313*O313*Q313,0))</f>
        <v>0</v>
      </c>
      <c r="S313" s="2771" t="n">
        <f aca="false">ROUND(R313*B313/10000,0)</f>
        <v>0</v>
      </c>
    </row>
    <row r="314" customFormat="false" ht="12.75" hidden="false" customHeight="false" outlineLevel="0" collapsed="false">
      <c r="A314" s="1016"/>
      <c r="B314" s="2781"/>
      <c r="C314" s="478" t="n">
        <f aca="false">IF(B314="",1,(LOOKUP(B314,$3:$3,$4:$4)-LOOKUP($B$24,$3:$3,$4:$4)+100)/100)</f>
        <v>1</v>
      </c>
      <c r="D314" s="2782"/>
      <c r="E314" s="478" t="n">
        <f aca="false">(SUMIF($5:$5,D314,$6:$6)-SUMIF($5:$5,$D$24,$6:$6)+100)/100</f>
        <v>1</v>
      </c>
      <c r="F314" s="2782"/>
      <c r="G314" s="478" t="n">
        <f aca="false">(SUMIF($7:$7,F314,$8:$8)-SUMIF($7:$7,$F$24,$8:$8)+100)/100</f>
        <v>1</v>
      </c>
      <c r="H314" s="2782"/>
      <c r="I314" s="478" t="n">
        <f aca="false">(SUMIF($9:$9,H314,$10:$10)-SUMIF($9:$9,$H$24,$10:$10)+100)/100</f>
        <v>1</v>
      </c>
      <c r="J314" s="2782"/>
      <c r="K314" s="478" t="n">
        <f aca="false">(SUMIF($11:$11,J314,$12:$12)-SUMIF($11:$11,$J$24,$12:$12)+100)/100</f>
        <v>1</v>
      </c>
      <c r="L314" s="2782"/>
      <c r="M314" s="478" t="n">
        <f aca="false">(SUMIF($13:$13,L314,$14:$14)-SUMIF($13:$13,$L$24,$14:$14)+100)/100</f>
        <v>1</v>
      </c>
      <c r="N314" s="2782"/>
      <c r="O314" s="478" t="n">
        <f aca="false">(SUMIF($15:$15,N314,$16:$16)-SUMIF($15:$15,$N$24,$16:$16)+100)/100</f>
        <v>1</v>
      </c>
      <c r="P314" s="2782"/>
      <c r="Q314" s="478" t="n">
        <f aca="false">(SUMIF($17:$17,P314,$18:$18)-SUMIF($17:$17,$P$24,$18:$18)+100)/100</f>
        <v>1</v>
      </c>
      <c r="R314" s="2772" t="n">
        <f aca="false">IF(B314="",0,ROUND($R$24*C314*E314*G314*I314*K314*M314*O314*Q314,0))</f>
        <v>0</v>
      </c>
      <c r="S314" s="2771" t="n">
        <f aca="false">ROUND(R314*B314/10000,0)</f>
        <v>0</v>
      </c>
    </row>
    <row r="315" customFormat="false" ht="12.75" hidden="false" customHeight="false" outlineLevel="0" collapsed="false">
      <c r="A315" s="1016"/>
      <c r="B315" s="2781"/>
      <c r="C315" s="478" t="n">
        <f aca="false">IF(B315="",1,(LOOKUP(B315,$3:$3,$4:$4)-LOOKUP($B$24,$3:$3,$4:$4)+100)/100)</f>
        <v>1</v>
      </c>
      <c r="D315" s="2782"/>
      <c r="E315" s="478" t="n">
        <f aca="false">(SUMIF($5:$5,D315,$6:$6)-SUMIF($5:$5,$D$24,$6:$6)+100)/100</f>
        <v>1</v>
      </c>
      <c r="F315" s="2782"/>
      <c r="G315" s="478" t="n">
        <f aca="false">(SUMIF($7:$7,F315,$8:$8)-SUMIF($7:$7,$F$24,$8:$8)+100)/100</f>
        <v>1</v>
      </c>
      <c r="H315" s="2782"/>
      <c r="I315" s="478" t="n">
        <f aca="false">(SUMIF($9:$9,H315,$10:$10)-SUMIF($9:$9,$H$24,$10:$10)+100)/100</f>
        <v>1</v>
      </c>
      <c r="J315" s="2782"/>
      <c r="K315" s="478" t="n">
        <f aca="false">(SUMIF($11:$11,J315,$12:$12)-SUMIF($11:$11,$J$24,$12:$12)+100)/100</f>
        <v>1</v>
      </c>
      <c r="L315" s="2782"/>
      <c r="M315" s="478" t="n">
        <f aca="false">(SUMIF($13:$13,L315,$14:$14)-SUMIF($13:$13,$L$24,$14:$14)+100)/100</f>
        <v>1</v>
      </c>
      <c r="N315" s="2782"/>
      <c r="O315" s="478" t="n">
        <f aca="false">(SUMIF($15:$15,N315,$16:$16)-SUMIF($15:$15,$N$24,$16:$16)+100)/100</f>
        <v>1</v>
      </c>
      <c r="P315" s="2782"/>
      <c r="Q315" s="478" t="n">
        <f aca="false">(SUMIF($17:$17,P315,$18:$18)-SUMIF($17:$17,$P$24,$18:$18)+100)/100</f>
        <v>1</v>
      </c>
      <c r="R315" s="2772" t="n">
        <f aca="false">IF(B315="",0,ROUND($R$24*C315*E315*G315*I315*K315*M315*O315*Q315,0))</f>
        <v>0</v>
      </c>
      <c r="S315" s="2771" t="n">
        <f aca="false">ROUND(R315*B315/10000,0)</f>
        <v>0</v>
      </c>
    </row>
    <row r="316" customFormat="false" ht="12.75" hidden="false" customHeight="false" outlineLevel="0" collapsed="false">
      <c r="A316" s="1016"/>
      <c r="B316" s="2781"/>
      <c r="C316" s="478" t="n">
        <f aca="false">IF(B316="",1,(LOOKUP(B316,$3:$3,$4:$4)-LOOKUP($B$24,$3:$3,$4:$4)+100)/100)</f>
        <v>1</v>
      </c>
      <c r="D316" s="2782"/>
      <c r="E316" s="478" t="n">
        <f aca="false">(SUMIF($5:$5,D316,$6:$6)-SUMIF($5:$5,$D$24,$6:$6)+100)/100</f>
        <v>1</v>
      </c>
      <c r="F316" s="2782"/>
      <c r="G316" s="478" t="n">
        <f aca="false">(SUMIF($7:$7,F316,$8:$8)-SUMIF($7:$7,$F$24,$8:$8)+100)/100</f>
        <v>1</v>
      </c>
      <c r="H316" s="2782"/>
      <c r="I316" s="478" t="n">
        <f aca="false">(SUMIF($9:$9,H316,$10:$10)-SUMIF($9:$9,$H$24,$10:$10)+100)/100</f>
        <v>1</v>
      </c>
      <c r="J316" s="2782"/>
      <c r="K316" s="478" t="n">
        <f aca="false">(SUMIF($11:$11,J316,$12:$12)-SUMIF($11:$11,$J$24,$12:$12)+100)/100</f>
        <v>1</v>
      </c>
      <c r="L316" s="2782"/>
      <c r="M316" s="478" t="n">
        <f aca="false">(SUMIF($13:$13,L316,$14:$14)-SUMIF($13:$13,$L$24,$14:$14)+100)/100</f>
        <v>1</v>
      </c>
      <c r="N316" s="2782"/>
      <c r="O316" s="478" t="n">
        <f aca="false">(SUMIF($15:$15,N316,$16:$16)-SUMIF($15:$15,$N$24,$16:$16)+100)/100</f>
        <v>1</v>
      </c>
      <c r="P316" s="2782"/>
      <c r="Q316" s="478" t="n">
        <f aca="false">(SUMIF($17:$17,P316,$18:$18)-SUMIF($17:$17,$P$24,$18:$18)+100)/100</f>
        <v>1</v>
      </c>
      <c r="R316" s="2772" t="n">
        <f aca="false">IF(B316="",0,ROUND($R$24*C316*E316*G316*I316*K316*M316*O316*Q316,0))</f>
        <v>0</v>
      </c>
      <c r="S316" s="2771" t="n">
        <f aca="false">ROUND(R316*B316/10000,0)</f>
        <v>0</v>
      </c>
    </row>
    <row r="317" customFormat="false" ht="12.75" hidden="false" customHeight="false" outlineLevel="0" collapsed="false">
      <c r="A317" s="1016"/>
      <c r="B317" s="2781"/>
      <c r="C317" s="478" t="n">
        <f aca="false">IF(B317="",1,(LOOKUP(B317,$3:$3,$4:$4)-LOOKUP($B$24,$3:$3,$4:$4)+100)/100)</f>
        <v>1</v>
      </c>
      <c r="D317" s="2782"/>
      <c r="E317" s="478" t="n">
        <f aca="false">(SUMIF($5:$5,D317,$6:$6)-SUMIF($5:$5,$D$24,$6:$6)+100)/100</f>
        <v>1</v>
      </c>
      <c r="F317" s="2782"/>
      <c r="G317" s="478" t="n">
        <f aca="false">(SUMIF($7:$7,F317,$8:$8)-SUMIF($7:$7,$F$24,$8:$8)+100)/100</f>
        <v>1</v>
      </c>
      <c r="H317" s="2782"/>
      <c r="I317" s="478" t="n">
        <f aca="false">(SUMIF($9:$9,H317,$10:$10)-SUMIF($9:$9,$H$24,$10:$10)+100)/100</f>
        <v>1</v>
      </c>
      <c r="J317" s="2782"/>
      <c r="K317" s="478" t="n">
        <f aca="false">(SUMIF($11:$11,J317,$12:$12)-SUMIF($11:$11,$J$24,$12:$12)+100)/100</f>
        <v>1</v>
      </c>
      <c r="L317" s="2782"/>
      <c r="M317" s="478" t="n">
        <f aca="false">(SUMIF($13:$13,L317,$14:$14)-SUMIF($13:$13,$L$24,$14:$14)+100)/100</f>
        <v>1</v>
      </c>
      <c r="N317" s="2782"/>
      <c r="O317" s="478" t="n">
        <f aca="false">(SUMIF($15:$15,N317,$16:$16)-SUMIF($15:$15,$N$24,$16:$16)+100)/100</f>
        <v>1</v>
      </c>
      <c r="P317" s="2782"/>
      <c r="Q317" s="478" t="n">
        <f aca="false">(SUMIF($17:$17,P317,$18:$18)-SUMIF($17:$17,$P$24,$18:$18)+100)/100</f>
        <v>1</v>
      </c>
      <c r="R317" s="2772" t="n">
        <f aca="false">IF(B317="",0,ROUND($R$24*C317*E317*G317*I317*K317*M317*O317*Q317,0))</f>
        <v>0</v>
      </c>
      <c r="S317" s="2771" t="n">
        <f aca="false">ROUND(R317*B317/10000,0)</f>
        <v>0</v>
      </c>
    </row>
    <row r="318" customFormat="false" ht="12.75" hidden="false" customHeight="false" outlineLevel="0" collapsed="false">
      <c r="A318" s="1016"/>
      <c r="B318" s="2781"/>
      <c r="C318" s="478" t="n">
        <f aca="false">IF(B318="",1,(LOOKUP(B318,$3:$3,$4:$4)-LOOKUP($B$24,$3:$3,$4:$4)+100)/100)</f>
        <v>1</v>
      </c>
      <c r="D318" s="2782"/>
      <c r="E318" s="478" t="n">
        <f aca="false">(SUMIF($5:$5,D318,$6:$6)-SUMIF($5:$5,$D$24,$6:$6)+100)/100</f>
        <v>1</v>
      </c>
      <c r="F318" s="2782"/>
      <c r="G318" s="478" t="n">
        <f aca="false">(SUMIF($7:$7,F318,$8:$8)-SUMIF($7:$7,$F$24,$8:$8)+100)/100</f>
        <v>1</v>
      </c>
      <c r="H318" s="2782"/>
      <c r="I318" s="478" t="n">
        <f aca="false">(SUMIF($9:$9,H318,$10:$10)-SUMIF($9:$9,$H$24,$10:$10)+100)/100</f>
        <v>1</v>
      </c>
      <c r="J318" s="2782"/>
      <c r="K318" s="478" t="n">
        <f aca="false">(SUMIF($11:$11,J318,$12:$12)-SUMIF($11:$11,$J$24,$12:$12)+100)/100</f>
        <v>1</v>
      </c>
      <c r="L318" s="2782"/>
      <c r="M318" s="478" t="n">
        <f aca="false">(SUMIF($13:$13,L318,$14:$14)-SUMIF($13:$13,$L$24,$14:$14)+100)/100</f>
        <v>1</v>
      </c>
      <c r="N318" s="2782"/>
      <c r="O318" s="478" t="n">
        <f aca="false">(SUMIF($15:$15,N318,$16:$16)-SUMIF($15:$15,$N$24,$16:$16)+100)/100</f>
        <v>1</v>
      </c>
      <c r="P318" s="2782"/>
      <c r="Q318" s="478" t="n">
        <f aca="false">(SUMIF($17:$17,P318,$18:$18)-SUMIF($17:$17,$P$24,$18:$18)+100)/100</f>
        <v>1</v>
      </c>
      <c r="R318" s="2772" t="n">
        <f aca="false">IF(B318="",0,ROUND($R$24*C318*E318*G318*I318*K318*M318*O318*Q318,0))</f>
        <v>0</v>
      </c>
      <c r="S318" s="2771" t="n">
        <f aca="false">ROUND(R318*B318/10000,0)</f>
        <v>0</v>
      </c>
    </row>
    <row r="319" customFormat="false" ht="12.75" hidden="false" customHeight="false" outlineLevel="0" collapsed="false">
      <c r="A319" s="1016"/>
      <c r="B319" s="2781"/>
      <c r="C319" s="478" t="n">
        <f aca="false">IF(B319="",1,(LOOKUP(B319,$3:$3,$4:$4)-LOOKUP($B$24,$3:$3,$4:$4)+100)/100)</f>
        <v>1</v>
      </c>
      <c r="D319" s="2782"/>
      <c r="E319" s="478" t="n">
        <f aca="false">(SUMIF($5:$5,D319,$6:$6)-SUMIF($5:$5,$D$24,$6:$6)+100)/100</f>
        <v>1</v>
      </c>
      <c r="F319" s="2782"/>
      <c r="G319" s="478" t="n">
        <f aca="false">(SUMIF($7:$7,F319,$8:$8)-SUMIF($7:$7,$F$24,$8:$8)+100)/100</f>
        <v>1</v>
      </c>
      <c r="H319" s="2782"/>
      <c r="I319" s="478" t="n">
        <f aca="false">(SUMIF($9:$9,H319,$10:$10)-SUMIF($9:$9,$H$24,$10:$10)+100)/100</f>
        <v>1</v>
      </c>
      <c r="J319" s="2782"/>
      <c r="K319" s="478" t="n">
        <f aca="false">(SUMIF($11:$11,J319,$12:$12)-SUMIF($11:$11,$J$24,$12:$12)+100)/100</f>
        <v>1</v>
      </c>
      <c r="L319" s="2782"/>
      <c r="M319" s="478" t="n">
        <f aca="false">(SUMIF($13:$13,L319,$14:$14)-SUMIF($13:$13,$L$24,$14:$14)+100)/100</f>
        <v>1</v>
      </c>
      <c r="N319" s="2782"/>
      <c r="O319" s="478" t="n">
        <f aca="false">(SUMIF($15:$15,N319,$16:$16)-SUMIF($15:$15,$N$24,$16:$16)+100)/100</f>
        <v>1</v>
      </c>
      <c r="P319" s="2782"/>
      <c r="Q319" s="478" t="n">
        <f aca="false">(SUMIF($17:$17,P319,$18:$18)-SUMIF($17:$17,$P$24,$18:$18)+100)/100</f>
        <v>1</v>
      </c>
      <c r="R319" s="2772" t="n">
        <f aca="false">IF(B319="",0,ROUND($R$24*C319*E319*G319*I319*K319*M319*O319*Q319,0))</f>
        <v>0</v>
      </c>
      <c r="S319" s="2771" t="n">
        <f aca="false">ROUND(R319*B319/10000,0)</f>
        <v>0</v>
      </c>
    </row>
    <row r="320" customFormat="false" ht="12.75" hidden="false" customHeight="false" outlineLevel="0" collapsed="false">
      <c r="A320" s="1016"/>
      <c r="B320" s="2781"/>
      <c r="C320" s="478" t="n">
        <f aca="false">IF(B320="",1,(LOOKUP(B320,$3:$3,$4:$4)-LOOKUP($B$24,$3:$3,$4:$4)+100)/100)</f>
        <v>1</v>
      </c>
      <c r="D320" s="2782"/>
      <c r="E320" s="478" t="n">
        <f aca="false">(SUMIF($5:$5,D320,$6:$6)-SUMIF($5:$5,$D$24,$6:$6)+100)/100</f>
        <v>1</v>
      </c>
      <c r="F320" s="2782"/>
      <c r="G320" s="478" t="n">
        <f aca="false">(SUMIF($7:$7,F320,$8:$8)-SUMIF($7:$7,$F$24,$8:$8)+100)/100</f>
        <v>1</v>
      </c>
      <c r="H320" s="2782"/>
      <c r="I320" s="478" t="n">
        <f aca="false">(SUMIF($9:$9,H320,$10:$10)-SUMIF($9:$9,$H$24,$10:$10)+100)/100</f>
        <v>1</v>
      </c>
      <c r="J320" s="2782"/>
      <c r="K320" s="478" t="n">
        <f aca="false">(SUMIF($11:$11,J320,$12:$12)-SUMIF($11:$11,$J$24,$12:$12)+100)/100</f>
        <v>1</v>
      </c>
      <c r="L320" s="2782"/>
      <c r="M320" s="478" t="n">
        <f aca="false">(SUMIF($13:$13,L320,$14:$14)-SUMIF($13:$13,$L$24,$14:$14)+100)/100</f>
        <v>1</v>
      </c>
      <c r="N320" s="2782"/>
      <c r="O320" s="478" t="n">
        <f aca="false">(SUMIF($15:$15,N320,$16:$16)-SUMIF($15:$15,$N$24,$16:$16)+100)/100</f>
        <v>1</v>
      </c>
      <c r="P320" s="2782"/>
      <c r="Q320" s="478" t="n">
        <f aca="false">(SUMIF($17:$17,P320,$18:$18)-SUMIF($17:$17,$P$24,$18:$18)+100)/100</f>
        <v>1</v>
      </c>
      <c r="R320" s="2772" t="n">
        <f aca="false">IF(B320="",0,ROUND($R$24*C320*E320*G320*I320*K320*M320*O320*Q320,0))</f>
        <v>0</v>
      </c>
      <c r="S320" s="2771" t="n">
        <f aca="false">ROUND(R320*B320/10000,0)</f>
        <v>0</v>
      </c>
    </row>
    <row r="321" customFormat="false" ht="12.75" hidden="false" customHeight="false" outlineLevel="0" collapsed="false">
      <c r="A321" s="1016"/>
      <c r="B321" s="2781"/>
      <c r="C321" s="478" t="n">
        <f aca="false">IF(B321="",1,(LOOKUP(B321,$3:$3,$4:$4)-LOOKUP($B$24,$3:$3,$4:$4)+100)/100)</f>
        <v>1</v>
      </c>
      <c r="D321" s="2782"/>
      <c r="E321" s="478" t="n">
        <f aca="false">(SUMIF($5:$5,D321,$6:$6)-SUMIF($5:$5,$D$24,$6:$6)+100)/100</f>
        <v>1</v>
      </c>
      <c r="F321" s="2782"/>
      <c r="G321" s="478" t="n">
        <f aca="false">(SUMIF($7:$7,F321,$8:$8)-SUMIF($7:$7,$F$24,$8:$8)+100)/100</f>
        <v>1</v>
      </c>
      <c r="H321" s="2782"/>
      <c r="I321" s="478" t="n">
        <f aca="false">(SUMIF($9:$9,H321,$10:$10)-SUMIF($9:$9,$H$24,$10:$10)+100)/100</f>
        <v>1</v>
      </c>
      <c r="J321" s="2782"/>
      <c r="K321" s="478" t="n">
        <f aca="false">(SUMIF($11:$11,J321,$12:$12)-SUMIF($11:$11,$J$24,$12:$12)+100)/100</f>
        <v>1</v>
      </c>
      <c r="L321" s="2782"/>
      <c r="M321" s="478" t="n">
        <f aca="false">(SUMIF($13:$13,L321,$14:$14)-SUMIF($13:$13,$L$24,$14:$14)+100)/100</f>
        <v>1</v>
      </c>
      <c r="N321" s="2782"/>
      <c r="O321" s="478" t="n">
        <f aca="false">(SUMIF($15:$15,N321,$16:$16)-SUMIF($15:$15,$N$24,$16:$16)+100)/100</f>
        <v>1</v>
      </c>
      <c r="P321" s="2782"/>
      <c r="Q321" s="478" t="n">
        <f aca="false">(SUMIF($17:$17,P321,$18:$18)-SUMIF($17:$17,$P$24,$18:$18)+100)/100</f>
        <v>1</v>
      </c>
      <c r="R321" s="2772" t="n">
        <f aca="false">IF(B321="",0,ROUND($R$24*C321*E321*G321*I321*K321*M321*O321*Q321,0))</f>
        <v>0</v>
      </c>
      <c r="S321" s="2771" t="n">
        <f aca="false">ROUND(R321*B321/10000,0)</f>
        <v>0</v>
      </c>
    </row>
    <row r="322" customFormat="false" ht="12.75" hidden="false" customHeight="false" outlineLevel="0" collapsed="false">
      <c r="A322" s="1016"/>
      <c r="B322" s="2781"/>
      <c r="C322" s="478" t="n">
        <f aca="false">IF(B322="",1,(LOOKUP(B322,$3:$3,$4:$4)-LOOKUP($B$24,$3:$3,$4:$4)+100)/100)</f>
        <v>1</v>
      </c>
      <c r="D322" s="2782"/>
      <c r="E322" s="478" t="n">
        <f aca="false">(SUMIF($5:$5,D322,$6:$6)-SUMIF($5:$5,$D$24,$6:$6)+100)/100</f>
        <v>1</v>
      </c>
      <c r="F322" s="2782"/>
      <c r="G322" s="478" t="n">
        <f aca="false">(SUMIF($7:$7,F322,$8:$8)-SUMIF($7:$7,$F$24,$8:$8)+100)/100</f>
        <v>1</v>
      </c>
      <c r="H322" s="2782"/>
      <c r="I322" s="478" t="n">
        <f aca="false">(SUMIF($9:$9,H322,$10:$10)-SUMIF($9:$9,$H$24,$10:$10)+100)/100</f>
        <v>1</v>
      </c>
      <c r="J322" s="2782"/>
      <c r="K322" s="478" t="n">
        <f aca="false">(SUMIF($11:$11,J322,$12:$12)-SUMIF($11:$11,$J$24,$12:$12)+100)/100</f>
        <v>1</v>
      </c>
      <c r="L322" s="2782"/>
      <c r="M322" s="478" t="n">
        <f aca="false">(SUMIF($13:$13,L322,$14:$14)-SUMIF($13:$13,$L$24,$14:$14)+100)/100</f>
        <v>1</v>
      </c>
      <c r="N322" s="2782"/>
      <c r="O322" s="478" t="n">
        <f aca="false">(SUMIF($15:$15,N322,$16:$16)-SUMIF($15:$15,$N$24,$16:$16)+100)/100</f>
        <v>1</v>
      </c>
      <c r="P322" s="2782"/>
      <c r="Q322" s="478" t="n">
        <f aca="false">(SUMIF($17:$17,P322,$18:$18)-SUMIF($17:$17,$P$24,$18:$18)+100)/100</f>
        <v>1</v>
      </c>
      <c r="R322" s="2772" t="n">
        <f aca="false">IF(B322="",0,ROUND($R$24*C322*E322*G322*I322*K322*M322*O322*Q322,0))</f>
        <v>0</v>
      </c>
      <c r="S322" s="2771" t="n">
        <f aca="false">ROUND(R322*B322/10000,0)</f>
        <v>0</v>
      </c>
    </row>
    <row r="323" customFormat="false" ht="12.75" hidden="false" customHeight="false" outlineLevel="0" collapsed="false">
      <c r="A323" s="1016"/>
      <c r="B323" s="2781"/>
      <c r="C323" s="478" t="n">
        <f aca="false">IF(B323="",1,(LOOKUP(B323,$3:$3,$4:$4)-LOOKUP($B$24,$3:$3,$4:$4)+100)/100)</f>
        <v>1</v>
      </c>
      <c r="D323" s="2782"/>
      <c r="E323" s="478" t="n">
        <f aca="false">(SUMIF($5:$5,D323,$6:$6)-SUMIF($5:$5,$D$24,$6:$6)+100)/100</f>
        <v>1</v>
      </c>
      <c r="F323" s="2782"/>
      <c r="G323" s="478" t="n">
        <f aca="false">(SUMIF($7:$7,F323,$8:$8)-SUMIF($7:$7,$F$24,$8:$8)+100)/100</f>
        <v>1</v>
      </c>
      <c r="H323" s="2782"/>
      <c r="I323" s="478" t="n">
        <f aca="false">(SUMIF($9:$9,H323,$10:$10)-SUMIF($9:$9,$H$24,$10:$10)+100)/100</f>
        <v>1</v>
      </c>
      <c r="J323" s="2782"/>
      <c r="K323" s="478" t="n">
        <f aca="false">(SUMIF($11:$11,J323,$12:$12)-SUMIF($11:$11,$J$24,$12:$12)+100)/100</f>
        <v>1</v>
      </c>
      <c r="L323" s="2782"/>
      <c r="M323" s="478" t="n">
        <f aca="false">(SUMIF($13:$13,L323,$14:$14)-SUMIF($13:$13,$L$24,$14:$14)+100)/100</f>
        <v>1</v>
      </c>
      <c r="N323" s="2782"/>
      <c r="O323" s="478" t="n">
        <f aca="false">(SUMIF($15:$15,N323,$16:$16)-SUMIF($15:$15,$N$24,$16:$16)+100)/100</f>
        <v>1</v>
      </c>
      <c r="P323" s="2782"/>
      <c r="Q323" s="478" t="n">
        <f aca="false">(SUMIF($17:$17,P323,$18:$18)-SUMIF($17:$17,$P$24,$18:$18)+100)/100</f>
        <v>1</v>
      </c>
      <c r="R323" s="2772" t="n">
        <f aca="false">IF(B323="",0,ROUND($R$24*C323*E323*G323*I323*K323*M323*O323*Q323,0))</f>
        <v>0</v>
      </c>
      <c r="S323" s="2771" t="n">
        <f aca="false">ROUND(R323*B323/10000,0)</f>
        <v>0</v>
      </c>
    </row>
    <row r="324" customFormat="false" ht="12.75" hidden="false" customHeight="false" outlineLevel="0" collapsed="false">
      <c r="A324" s="1016"/>
      <c r="B324" s="2781"/>
      <c r="C324" s="478" t="n">
        <f aca="false">IF(B324="",1,(LOOKUP(B324,$3:$3,$4:$4)-LOOKUP($B$24,$3:$3,$4:$4)+100)/100)</f>
        <v>1</v>
      </c>
      <c r="D324" s="2782"/>
      <c r="E324" s="478" t="n">
        <f aca="false">(SUMIF($5:$5,D324,$6:$6)-SUMIF($5:$5,$D$24,$6:$6)+100)/100</f>
        <v>1</v>
      </c>
      <c r="F324" s="2782"/>
      <c r="G324" s="478" t="n">
        <f aca="false">(SUMIF($7:$7,F324,$8:$8)-SUMIF($7:$7,$F$24,$8:$8)+100)/100</f>
        <v>1</v>
      </c>
      <c r="H324" s="2782"/>
      <c r="I324" s="478" t="n">
        <f aca="false">(SUMIF($9:$9,H324,$10:$10)-SUMIF($9:$9,$H$24,$10:$10)+100)/100</f>
        <v>1</v>
      </c>
      <c r="J324" s="2782"/>
      <c r="K324" s="478" t="n">
        <f aca="false">(SUMIF($11:$11,J324,$12:$12)-SUMIF($11:$11,$J$24,$12:$12)+100)/100</f>
        <v>1</v>
      </c>
      <c r="L324" s="2782"/>
      <c r="M324" s="478" t="n">
        <f aca="false">(SUMIF($13:$13,L324,$14:$14)-SUMIF($13:$13,$L$24,$14:$14)+100)/100</f>
        <v>1</v>
      </c>
      <c r="N324" s="2782"/>
      <c r="O324" s="478" t="n">
        <f aca="false">(SUMIF($15:$15,N324,$16:$16)-SUMIF($15:$15,$N$24,$16:$16)+100)/100</f>
        <v>1</v>
      </c>
      <c r="P324" s="2782"/>
      <c r="Q324" s="478" t="n">
        <f aca="false">(SUMIF($17:$17,P324,$18:$18)-SUMIF($17:$17,$P$24,$18:$18)+100)/100</f>
        <v>1</v>
      </c>
      <c r="R324" s="2772" t="n">
        <f aca="false">IF(B324="",0,ROUND($R$24*C324*E324*G324*I324*K324*M324*O324*Q324,0))</f>
        <v>0</v>
      </c>
      <c r="S324" s="2771" t="n">
        <f aca="false">ROUND(R324*B324/10000,0)</f>
        <v>0</v>
      </c>
    </row>
    <row r="325" customFormat="false" ht="12.75" hidden="false" customHeight="false" outlineLevel="0" collapsed="false">
      <c r="A325" s="1016"/>
      <c r="B325" s="2781"/>
      <c r="C325" s="478" t="n">
        <f aca="false">IF(B325="",1,(LOOKUP(B325,$3:$3,$4:$4)-LOOKUP($B$24,$3:$3,$4:$4)+100)/100)</f>
        <v>1</v>
      </c>
      <c r="D325" s="2782"/>
      <c r="E325" s="478" t="n">
        <f aca="false">(SUMIF($5:$5,D325,$6:$6)-SUMIF($5:$5,$D$24,$6:$6)+100)/100</f>
        <v>1</v>
      </c>
      <c r="F325" s="2782"/>
      <c r="G325" s="478" t="n">
        <f aca="false">(SUMIF($7:$7,F325,$8:$8)-SUMIF($7:$7,$F$24,$8:$8)+100)/100</f>
        <v>1</v>
      </c>
      <c r="H325" s="2782"/>
      <c r="I325" s="478" t="n">
        <f aca="false">(SUMIF($9:$9,H325,$10:$10)-SUMIF($9:$9,$H$24,$10:$10)+100)/100</f>
        <v>1</v>
      </c>
      <c r="J325" s="2782"/>
      <c r="K325" s="478" t="n">
        <f aca="false">(SUMIF($11:$11,J325,$12:$12)-SUMIF($11:$11,$J$24,$12:$12)+100)/100</f>
        <v>1</v>
      </c>
      <c r="L325" s="2782"/>
      <c r="M325" s="478" t="n">
        <f aca="false">(SUMIF($13:$13,L325,$14:$14)-SUMIF($13:$13,$L$24,$14:$14)+100)/100</f>
        <v>1</v>
      </c>
      <c r="N325" s="2782"/>
      <c r="O325" s="478" t="n">
        <f aca="false">(SUMIF($15:$15,N325,$16:$16)-SUMIF($15:$15,$N$24,$16:$16)+100)/100</f>
        <v>1</v>
      </c>
      <c r="P325" s="2782"/>
      <c r="Q325" s="478" t="n">
        <f aca="false">(SUMIF($17:$17,P325,$18:$18)-SUMIF($17:$17,$P$24,$18:$18)+100)/100</f>
        <v>1</v>
      </c>
      <c r="R325" s="2772" t="n">
        <f aca="false">IF(B325="",0,ROUND($R$24*C325*E325*G325*I325*K325*M325*O325*Q325,0))</f>
        <v>0</v>
      </c>
      <c r="S325" s="2771" t="n">
        <f aca="false">ROUND(R325*B325/10000,0)</f>
        <v>0</v>
      </c>
    </row>
    <row r="326" customFormat="false" ht="12.75" hidden="false" customHeight="false" outlineLevel="0" collapsed="false">
      <c r="A326" s="1016"/>
      <c r="B326" s="2781"/>
      <c r="C326" s="478" t="n">
        <f aca="false">IF(B326="",1,(LOOKUP(B326,$3:$3,$4:$4)-LOOKUP($B$24,$3:$3,$4:$4)+100)/100)</f>
        <v>1</v>
      </c>
      <c r="D326" s="2782"/>
      <c r="E326" s="478" t="n">
        <f aca="false">(SUMIF($5:$5,D326,$6:$6)-SUMIF($5:$5,$D$24,$6:$6)+100)/100</f>
        <v>1</v>
      </c>
      <c r="F326" s="2782"/>
      <c r="G326" s="478" t="n">
        <f aca="false">(SUMIF($7:$7,F326,$8:$8)-SUMIF($7:$7,$F$24,$8:$8)+100)/100</f>
        <v>1</v>
      </c>
      <c r="H326" s="2782"/>
      <c r="I326" s="478" t="n">
        <f aca="false">(SUMIF($9:$9,H326,$10:$10)-SUMIF($9:$9,$H$24,$10:$10)+100)/100</f>
        <v>1</v>
      </c>
      <c r="J326" s="2782"/>
      <c r="K326" s="478" t="n">
        <f aca="false">(SUMIF($11:$11,J326,$12:$12)-SUMIF($11:$11,$J$24,$12:$12)+100)/100</f>
        <v>1</v>
      </c>
      <c r="L326" s="2782"/>
      <c r="M326" s="478" t="n">
        <f aca="false">(SUMIF($13:$13,L326,$14:$14)-SUMIF($13:$13,$L$24,$14:$14)+100)/100</f>
        <v>1</v>
      </c>
      <c r="N326" s="2782"/>
      <c r="O326" s="478" t="n">
        <f aca="false">(SUMIF($15:$15,N326,$16:$16)-SUMIF($15:$15,$N$24,$16:$16)+100)/100</f>
        <v>1</v>
      </c>
      <c r="P326" s="2782"/>
      <c r="Q326" s="478" t="n">
        <f aca="false">(SUMIF($17:$17,P326,$18:$18)-SUMIF($17:$17,$P$24,$18:$18)+100)/100</f>
        <v>1</v>
      </c>
      <c r="R326" s="2772" t="n">
        <f aca="false">IF(B326="",0,ROUND($R$24*C326*E326*G326*I326*K326*M326*O326*Q326,0))</f>
        <v>0</v>
      </c>
      <c r="S326" s="2771" t="n">
        <f aca="false">ROUND(R326*B326/10000,0)</f>
        <v>0</v>
      </c>
    </row>
    <row r="327" customFormat="false" ht="12.75" hidden="false" customHeight="false" outlineLevel="0" collapsed="false">
      <c r="A327" s="1016"/>
      <c r="B327" s="2781"/>
      <c r="C327" s="478" t="n">
        <f aca="false">IF(B327="",1,(LOOKUP(B327,$3:$3,$4:$4)-LOOKUP($B$24,$3:$3,$4:$4)+100)/100)</f>
        <v>1</v>
      </c>
      <c r="D327" s="2782"/>
      <c r="E327" s="478" t="n">
        <f aca="false">(SUMIF($5:$5,D327,$6:$6)-SUMIF($5:$5,$D$24,$6:$6)+100)/100</f>
        <v>1</v>
      </c>
      <c r="F327" s="2782"/>
      <c r="G327" s="478" t="n">
        <f aca="false">(SUMIF($7:$7,F327,$8:$8)-SUMIF($7:$7,$F$24,$8:$8)+100)/100</f>
        <v>1</v>
      </c>
      <c r="H327" s="2782"/>
      <c r="I327" s="478" t="n">
        <f aca="false">(SUMIF($9:$9,H327,$10:$10)-SUMIF($9:$9,$H$24,$10:$10)+100)/100</f>
        <v>1</v>
      </c>
      <c r="J327" s="2782"/>
      <c r="K327" s="478" t="n">
        <f aca="false">(SUMIF($11:$11,J327,$12:$12)-SUMIF($11:$11,$J$24,$12:$12)+100)/100</f>
        <v>1</v>
      </c>
      <c r="L327" s="2782"/>
      <c r="M327" s="478" t="n">
        <f aca="false">(SUMIF($13:$13,L327,$14:$14)-SUMIF($13:$13,$L$24,$14:$14)+100)/100</f>
        <v>1</v>
      </c>
      <c r="N327" s="2782"/>
      <c r="O327" s="478" t="n">
        <f aca="false">(SUMIF($15:$15,N327,$16:$16)-SUMIF($15:$15,$N$24,$16:$16)+100)/100</f>
        <v>1</v>
      </c>
      <c r="P327" s="2782"/>
      <c r="Q327" s="478" t="n">
        <f aca="false">(SUMIF($17:$17,P327,$18:$18)-SUMIF($17:$17,$P$24,$18:$18)+100)/100</f>
        <v>1</v>
      </c>
      <c r="R327" s="2772" t="n">
        <f aca="false">IF(B327="",0,ROUND($R$24*C327*E327*G327*I327*K327*M327*O327*Q327,0))</f>
        <v>0</v>
      </c>
      <c r="S327" s="2771" t="n">
        <f aca="false">ROUND(R327*B327/10000,0)</f>
        <v>0</v>
      </c>
    </row>
    <row r="328" customFormat="false" ht="12.75" hidden="false" customHeight="false" outlineLevel="0" collapsed="false">
      <c r="A328" s="1016"/>
      <c r="B328" s="2781"/>
      <c r="C328" s="478" t="n">
        <f aca="false">IF(B328="",1,(LOOKUP(B328,$3:$3,$4:$4)-LOOKUP($B$24,$3:$3,$4:$4)+100)/100)</f>
        <v>1</v>
      </c>
      <c r="D328" s="2782"/>
      <c r="E328" s="478" t="n">
        <f aca="false">(SUMIF($5:$5,D328,$6:$6)-SUMIF($5:$5,$D$24,$6:$6)+100)/100</f>
        <v>1</v>
      </c>
      <c r="F328" s="2782"/>
      <c r="G328" s="478" t="n">
        <f aca="false">(SUMIF($7:$7,F328,$8:$8)-SUMIF($7:$7,$F$24,$8:$8)+100)/100</f>
        <v>1</v>
      </c>
      <c r="H328" s="2782"/>
      <c r="I328" s="478" t="n">
        <f aca="false">(SUMIF($9:$9,H328,$10:$10)-SUMIF($9:$9,$H$24,$10:$10)+100)/100</f>
        <v>1</v>
      </c>
      <c r="J328" s="2782"/>
      <c r="K328" s="478" t="n">
        <f aca="false">(SUMIF($11:$11,J328,$12:$12)-SUMIF($11:$11,$J$24,$12:$12)+100)/100</f>
        <v>1</v>
      </c>
      <c r="L328" s="2782"/>
      <c r="M328" s="478" t="n">
        <f aca="false">(SUMIF($13:$13,L328,$14:$14)-SUMIF($13:$13,$L$24,$14:$14)+100)/100</f>
        <v>1</v>
      </c>
      <c r="N328" s="2782"/>
      <c r="O328" s="478" t="n">
        <f aca="false">(SUMIF($15:$15,N328,$16:$16)-SUMIF($15:$15,$N$24,$16:$16)+100)/100</f>
        <v>1</v>
      </c>
      <c r="P328" s="2782"/>
      <c r="Q328" s="478" t="n">
        <f aca="false">(SUMIF($17:$17,P328,$18:$18)-SUMIF($17:$17,$P$24,$18:$18)+100)/100</f>
        <v>1</v>
      </c>
      <c r="R328" s="2772" t="n">
        <f aca="false">IF(B328="",0,ROUND($R$24*C328*E328*G328*I328*K328*M328*O328*Q328,0))</f>
        <v>0</v>
      </c>
      <c r="S328" s="2771" t="n">
        <f aca="false">ROUND(R328*B328/10000,0)</f>
        <v>0</v>
      </c>
    </row>
    <row r="329" customFormat="false" ht="12.75" hidden="false" customHeight="false" outlineLevel="0" collapsed="false">
      <c r="A329" s="1016"/>
      <c r="B329" s="2781"/>
      <c r="C329" s="478" t="n">
        <f aca="false">IF(B329="",1,(LOOKUP(B329,$3:$3,$4:$4)-LOOKUP($B$24,$3:$3,$4:$4)+100)/100)</f>
        <v>1</v>
      </c>
      <c r="D329" s="2782"/>
      <c r="E329" s="478" t="n">
        <f aca="false">(SUMIF($5:$5,D329,$6:$6)-SUMIF($5:$5,$D$24,$6:$6)+100)/100</f>
        <v>1</v>
      </c>
      <c r="F329" s="2782"/>
      <c r="G329" s="478" t="n">
        <f aca="false">(SUMIF($7:$7,F329,$8:$8)-SUMIF($7:$7,$F$24,$8:$8)+100)/100</f>
        <v>1</v>
      </c>
      <c r="H329" s="2782"/>
      <c r="I329" s="478" t="n">
        <f aca="false">(SUMIF($9:$9,H329,$10:$10)-SUMIF($9:$9,$H$24,$10:$10)+100)/100</f>
        <v>1</v>
      </c>
      <c r="J329" s="2782"/>
      <c r="K329" s="478" t="n">
        <f aca="false">(SUMIF($11:$11,J329,$12:$12)-SUMIF($11:$11,$J$24,$12:$12)+100)/100</f>
        <v>1</v>
      </c>
      <c r="L329" s="2782"/>
      <c r="M329" s="478" t="n">
        <f aca="false">(SUMIF($13:$13,L329,$14:$14)-SUMIF($13:$13,$L$24,$14:$14)+100)/100</f>
        <v>1</v>
      </c>
      <c r="N329" s="2782"/>
      <c r="O329" s="478" t="n">
        <f aca="false">(SUMIF($15:$15,N329,$16:$16)-SUMIF($15:$15,$N$24,$16:$16)+100)/100</f>
        <v>1</v>
      </c>
      <c r="P329" s="2782"/>
      <c r="Q329" s="478" t="n">
        <f aca="false">(SUMIF($17:$17,P329,$18:$18)-SUMIF($17:$17,$P$24,$18:$18)+100)/100</f>
        <v>1</v>
      </c>
      <c r="R329" s="2772" t="n">
        <f aca="false">IF(B329="",0,ROUND($R$24*C329*E329*G329*I329*K329*M329*O329*Q329,0))</f>
        <v>0</v>
      </c>
      <c r="S329" s="2771" t="n">
        <f aca="false">ROUND(R329*B329/10000,0)</f>
        <v>0</v>
      </c>
    </row>
    <row r="330" customFormat="false" ht="12.75" hidden="false" customHeight="false" outlineLevel="0" collapsed="false">
      <c r="A330" s="1016"/>
      <c r="B330" s="2781"/>
      <c r="C330" s="478" t="n">
        <f aca="false">IF(B330="",1,(LOOKUP(B330,$3:$3,$4:$4)-LOOKUP($B$24,$3:$3,$4:$4)+100)/100)</f>
        <v>1</v>
      </c>
      <c r="D330" s="2782"/>
      <c r="E330" s="478" t="n">
        <f aca="false">(SUMIF($5:$5,D330,$6:$6)-SUMIF($5:$5,$D$24,$6:$6)+100)/100</f>
        <v>1</v>
      </c>
      <c r="F330" s="2782"/>
      <c r="G330" s="478" t="n">
        <f aca="false">(SUMIF($7:$7,F330,$8:$8)-SUMIF($7:$7,$F$24,$8:$8)+100)/100</f>
        <v>1</v>
      </c>
      <c r="H330" s="2782"/>
      <c r="I330" s="478" t="n">
        <f aca="false">(SUMIF($9:$9,H330,$10:$10)-SUMIF($9:$9,$H$24,$10:$10)+100)/100</f>
        <v>1</v>
      </c>
      <c r="J330" s="2782"/>
      <c r="K330" s="478" t="n">
        <f aca="false">(SUMIF($11:$11,J330,$12:$12)-SUMIF($11:$11,$J$24,$12:$12)+100)/100</f>
        <v>1</v>
      </c>
      <c r="L330" s="2782"/>
      <c r="M330" s="478" t="n">
        <f aca="false">(SUMIF($13:$13,L330,$14:$14)-SUMIF($13:$13,$L$24,$14:$14)+100)/100</f>
        <v>1</v>
      </c>
      <c r="N330" s="2782"/>
      <c r="O330" s="478" t="n">
        <f aca="false">(SUMIF($15:$15,N330,$16:$16)-SUMIF($15:$15,$N$24,$16:$16)+100)/100</f>
        <v>1</v>
      </c>
      <c r="P330" s="2782"/>
      <c r="Q330" s="478" t="n">
        <f aca="false">(SUMIF($17:$17,P330,$18:$18)-SUMIF($17:$17,$P$24,$18:$18)+100)/100</f>
        <v>1</v>
      </c>
      <c r="R330" s="2772" t="n">
        <f aca="false">IF(B330="",0,ROUND($R$24*C330*E330*G330*I330*K330*M330*O330*Q330,0))</f>
        <v>0</v>
      </c>
      <c r="S330" s="2771" t="n">
        <f aca="false">ROUND(R330*B330/10000,0)</f>
        <v>0</v>
      </c>
    </row>
    <row r="331" customFormat="false" ht="12.75" hidden="false" customHeight="false" outlineLevel="0" collapsed="false">
      <c r="A331" s="1016"/>
      <c r="B331" s="2781"/>
      <c r="C331" s="478" t="n">
        <f aca="false">IF(B331="",1,(LOOKUP(B331,$3:$3,$4:$4)-LOOKUP($B$24,$3:$3,$4:$4)+100)/100)</f>
        <v>1</v>
      </c>
      <c r="D331" s="2782"/>
      <c r="E331" s="478" t="n">
        <f aca="false">(SUMIF($5:$5,D331,$6:$6)-SUMIF($5:$5,$D$24,$6:$6)+100)/100</f>
        <v>1</v>
      </c>
      <c r="F331" s="2782"/>
      <c r="G331" s="478" t="n">
        <f aca="false">(SUMIF($7:$7,F331,$8:$8)-SUMIF($7:$7,$F$24,$8:$8)+100)/100</f>
        <v>1</v>
      </c>
      <c r="H331" s="2782"/>
      <c r="I331" s="478" t="n">
        <f aca="false">(SUMIF($9:$9,H331,$10:$10)-SUMIF($9:$9,$H$24,$10:$10)+100)/100</f>
        <v>1</v>
      </c>
      <c r="J331" s="2782"/>
      <c r="K331" s="478" t="n">
        <f aca="false">(SUMIF($11:$11,J331,$12:$12)-SUMIF($11:$11,$J$24,$12:$12)+100)/100</f>
        <v>1</v>
      </c>
      <c r="L331" s="2782"/>
      <c r="M331" s="478" t="n">
        <f aca="false">(SUMIF($13:$13,L331,$14:$14)-SUMIF($13:$13,$L$24,$14:$14)+100)/100</f>
        <v>1</v>
      </c>
      <c r="N331" s="2782"/>
      <c r="O331" s="478" t="n">
        <f aca="false">(SUMIF($15:$15,N331,$16:$16)-SUMIF($15:$15,$N$24,$16:$16)+100)/100</f>
        <v>1</v>
      </c>
      <c r="P331" s="2782"/>
      <c r="Q331" s="478" t="n">
        <f aca="false">(SUMIF($17:$17,P331,$18:$18)-SUMIF($17:$17,$P$24,$18:$18)+100)/100</f>
        <v>1</v>
      </c>
      <c r="R331" s="2772" t="n">
        <f aca="false">IF(B331="",0,ROUND($R$24*C331*E331*G331*I331*K331*M331*O331*Q331,0))</f>
        <v>0</v>
      </c>
      <c r="S331" s="2771" t="n">
        <f aca="false">ROUND(R331*B331/10000,0)</f>
        <v>0</v>
      </c>
    </row>
    <row r="332" customFormat="false" ht="12.75" hidden="false" customHeight="false" outlineLevel="0" collapsed="false">
      <c r="A332" s="1016"/>
      <c r="B332" s="2781"/>
      <c r="C332" s="478" t="n">
        <f aca="false">IF(B332="",1,(LOOKUP(B332,$3:$3,$4:$4)-LOOKUP($B$24,$3:$3,$4:$4)+100)/100)</f>
        <v>1</v>
      </c>
      <c r="D332" s="2782"/>
      <c r="E332" s="478" t="n">
        <f aca="false">(SUMIF($5:$5,D332,$6:$6)-SUMIF($5:$5,$D$24,$6:$6)+100)/100</f>
        <v>1</v>
      </c>
      <c r="F332" s="2782"/>
      <c r="G332" s="478" t="n">
        <f aca="false">(SUMIF($7:$7,F332,$8:$8)-SUMIF($7:$7,$F$24,$8:$8)+100)/100</f>
        <v>1</v>
      </c>
      <c r="H332" s="2782"/>
      <c r="I332" s="478" t="n">
        <f aca="false">(SUMIF($9:$9,H332,$10:$10)-SUMIF($9:$9,$H$24,$10:$10)+100)/100</f>
        <v>1</v>
      </c>
      <c r="J332" s="2782"/>
      <c r="K332" s="478" t="n">
        <f aca="false">(SUMIF($11:$11,J332,$12:$12)-SUMIF($11:$11,$J$24,$12:$12)+100)/100</f>
        <v>1</v>
      </c>
      <c r="L332" s="2782"/>
      <c r="M332" s="478" t="n">
        <f aca="false">(SUMIF($13:$13,L332,$14:$14)-SUMIF($13:$13,$L$24,$14:$14)+100)/100</f>
        <v>1</v>
      </c>
      <c r="N332" s="2782"/>
      <c r="O332" s="478" t="n">
        <f aca="false">(SUMIF($15:$15,N332,$16:$16)-SUMIF($15:$15,$N$24,$16:$16)+100)/100</f>
        <v>1</v>
      </c>
      <c r="P332" s="2782"/>
      <c r="Q332" s="478" t="n">
        <f aca="false">(SUMIF($17:$17,P332,$18:$18)-SUMIF($17:$17,$P$24,$18:$18)+100)/100</f>
        <v>1</v>
      </c>
      <c r="R332" s="2772" t="n">
        <f aca="false">IF(B332="",0,ROUND($R$24*C332*E332*G332*I332*K332*M332*O332*Q332,0))</f>
        <v>0</v>
      </c>
      <c r="S332" s="2771" t="n">
        <f aca="false">ROUND(R332*B332/10000,0)</f>
        <v>0</v>
      </c>
    </row>
    <row r="333" customFormat="false" ht="12.75" hidden="false" customHeight="false" outlineLevel="0" collapsed="false">
      <c r="A333" s="1016"/>
      <c r="B333" s="2781"/>
      <c r="C333" s="478" t="n">
        <f aca="false">IF(B333="",1,(LOOKUP(B333,$3:$3,$4:$4)-LOOKUP($B$24,$3:$3,$4:$4)+100)/100)</f>
        <v>1</v>
      </c>
      <c r="D333" s="2782"/>
      <c r="E333" s="478" t="n">
        <f aca="false">(SUMIF($5:$5,D333,$6:$6)-SUMIF($5:$5,$D$24,$6:$6)+100)/100</f>
        <v>1</v>
      </c>
      <c r="F333" s="2782"/>
      <c r="G333" s="478" t="n">
        <f aca="false">(SUMIF($7:$7,F333,$8:$8)-SUMIF($7:$7,$F$24,$8:$8)+100)/100</f>
        <v>1</v>
      </c>
      <c r="H333" s="2782"/>
      <c r="I333" s="478" t="n">
        <f aca="false">(SUMIF($9:$9,H333,$10:$10)-SUMIF($9:$9,$H$24,$10:$10)+100)/100</f>
        <v>1</v>
      </c>
      <c r="J333" s="2782"/>
      <c r="K333" s="478" t="n">
        <f aca="false">(SUMIF($11:$11,J333,$12:$12)-SUMIF($11:$11,$J$24,$12:$12)+100)/100</f>
        <v>1</v>
      </c>
      <c r="L333" s="2782"/>
      <c r="M333" s="478" t="n">
        <f aca="false">(SUMIF($13:$13,L333,$14:$14)-SUMIF($13:$13,$L$24,$14:$14)+100)/100</f>
        <v>1</v>
      </c>
      <c r="N333" s="2782"/>
      <c r="O333" s="478" t="n">
        <f aca="false">(SUMIF($15:$15,N333,$16:$16)-SUMIF($15:$15,$N$24,$16:$16)+100)/100</f>
        <v>1</v>
      </c>
      <c r="P333" s="2782"/>
      <c r="Q333" s="478" t="n">
        <f aca="false">(SUMIF($17:$17,P333,$18:$18)-SUMIF($17:$17,$P$24,$18:$18)+100)/100</f>
        <v>1</v>
      </c>
      <c r="R333" s="2772" t="n">
        <f aca="false">IF(B333="",0,ROUND($R$24*C333*E333*G333*I333*K333*M333*O333*Q333,0))</f>
        <v>0</v>
      </c>
      <c r="S333" s="2771" t="n">
        <f aca="false">ROUND(R333*B333/10000,0)</f>
        <v>0</v>
      </c>
    </row>
    <row r="334" customFormat="false" ht="12.75" hidden="false" customHeight="false" outlineLevel="0" collapsed="false">
      <c r="A334" s="1016"/>
      <c r="B334" s="2781"/>
      <c r="C334" s="478" t="n">
        <f aca="false">IF(B334="",1,(LOOKUP(B334,$3:$3,$4:$4)-LOOKUP($B$24,$3:$3,$4:$4)+100)/100)</f>
        <v>1</v>
      </c>
      <c r="D334" s="2782"/>
      <c r="E334" s="478" t="n">
        <f aca="false">(SUMIF($5:$5,D334,$6:$6)-SUMIF($5:$5,$D$24,$6:$6)+100)/100</f>
        <v>1</v>
      </c>
      <c r="F334" s="2782"/>
      <c r="G334" s="478" t="n">
        <f aca="false">(SUMIF($7:$7,F334,$8:$8)-SUMIF($7:$7,$F$24,$8:$8)+100)/100</f>
        <v>1</v>
      </c>
      <c r="H334" s="2782"/>
      <c r="I334" s="478" t="n">
        <f aca="false">(SUMIF($9:$9,H334,$10:$10)-SUMIF($9:$9,$H$24,$10:$10)+100)/100</f>
        <v>1</v>
      </c>
      <c r="J334" s="2782"/>
      <c r="K334" s="478" t="n">
        <f aca="false">(SUMIF($11:$11,J334,$12:$12)-SUMIF($11:$11,$J$24,$12:$12)+100)/100</f>
        <v>1</v>
      </c>
      <c r="L334" s="2782"/>
      <c r="M334" s="478" t="n">
        <f aca="false">(SUMIF($13:$13,L334,$14:$14)-SUMIF($13:$13,$L$24,$14:$14)+100)/100</f>
        <v>1</v>
      </c>
      <c r="N334" s="2782"/>
      <c r="O334" s="478" t="n">
        <f aca="false">(SUMIF($15:$15,N334,$16:$16)-SUMIF($15:$15,$N$24,$16:$16)+100)/100</f>
        <v>1</v>
      </c>
      <c r="P334" s="2782"/>
      <c r="Q334" s="478" t="n">
        <f aca="false">(SUMIF($17:$17,P334,$18:$18)-SUMIF($17:$17,$P$24,$18:$18)+100)/100</f>
        <v>1</v>
      </c>
      <c r="R334" s="2772" t="n">
        <f aca="false">IF(B334="",0,ROUND($R$24*C334*E334*G334*I334*K334*M334*O334*Q334,0))</f>
        <v>0</v>
      </c>
      <c r="S334" s="2771" t="n">
        <f aca="false">ROUND(R334*B334/10000,0)</f>
        <v>0</v>
      </c>
    </row>
    <row r="335" customFormat="false" ht="12.75" hidden="false" customHeight="false" outlineLevel="0" collapsed="false">
      <c r="A335" s="1016"/>
      <c r="B335" s="2781"/>
      <c r="C335" s="478" t="n">
        <f aca="false">IF(B335="",1,(LOOKUP(B335,$3:$3,$4:$4)-LOOKUP($B$24,$3:$3,$4:$4)+100)/100)</f>
        <v>1</v>
      </c>
      <c r="D335" s="2782"/>
      <c r="E335" s="478" t="n">
        <f aca="false">(SUMIF($5:$5,D335,$6:$6)-SUMIF($5:$5,$D$24,$6:$6)+100)/100</f>
        <v>1</v>
      </c>
      <c r="F335" s="2782"/>
      <c r="G335" s="478" t="n">
        <f aca="false">(SUMIF($7:$7,F335,$8:$8)-SUMIF($7:$7,$F$24,$8:$8)+100)/100</f>
        <v>1</v>
      </c>
      <c r="H335" s="2782"/>
      <c r="I335" s="478" t="n">
        <f aca="false">(SUMIF($9:$9,H335,$10:$10)-SUMIF($9:$9,$H$24,$10:$10)+100)/100</f>
        <v>1</v>
      </c>
      <c r="J335" s="2782"/>
      <c r="K335" s="478" t="n">
        <f aca="false">(SUMIF($11:$11,J335,$12:$12)-SUMIF($11:$11,$J$24,$12:$12)+100)/100</f>
        <v>1</v>
      </c>
      <c r="L335" s="2782"/>
      <c r="M335" s="478" t="n">
        <f aca="false">(SUMIF($13:$13,L335,$14:$14)-SUMIF($13:$13,$L$24,$14:$14)+100)/100</f>
        <v>1</v>
      </c>
      <c r="N335" s="2782"/>
      <c r="O335" s="478" t="n">
        <f aca="false">(SUMIF($15:$15,N335,$16:$16)-SUMIF($15:$15,$N$24,$16:$16)+100)/100</f>
        <v>1</v>
      </c>
      <c r="P335" s="2782"/>
      <c r="Q335" s="478" t="n">
        <f aca="false">(SUMIF($17:$17,P335,$18:$18)-SUMIF($17:$17,$P$24,$18:$18)+100)/100</f>
        <v>1</v>
      </c>
      <c r="R335" s="2772" t="n">
        <f aca="false">IF(B335="",0,ROUND($R$24*C335*E335*G335*I335*K335*M335*O335*Q335,0))</f>
        <v>0</v>
      </c>
      <c r="S335" s="2771" t="n">
        <f aca="false">ROUND(R335*B335/10000,0)</f>
        <v>0</v>
      </c>
    </row>
    <row r="336" customFormat="false" ht="12.75" hidden="false" customHeight="false" outlineLevel="0" collapsed="false">
      <c r="A336" s="1016"/>
      <c r="B336" s="2781"/>
      <c r="C336" s="478" t="n">
        <f aca="false">IF(B336="",1,(LOOKUP(B336,$3:$3,$4:$4)-LOOKUP($B$24,$3:$3,$4:$4)+100)/100)</f>
        <v>1</v>
      </c>
      <c r="D336" s="2782"/>
      <c r="E336" s="478" t="n">
        <f aca="false">(SUMIF($5:$5,D336,$6:$6)-SUMIF($5:$5,$D$24,$6:$6)+100)/100</f>
        <v>1</v>
      </c>
      <c r="F336" s="2782"/>
      <c r="G336" s="478" t="n">
        <f aca="false">(SUMIF($7:$7,F336,$8:$8)-SUMIF($7:$7,$F$24,$8:$8)+100)/100</f>
        <v>1</v>
      </c>
      <c r="H336" s="2782"/>
      <c r="I336" s="478" t="n">
        <f aca="false">(SUMIF($9:$9,H336,$10:$10)-SUMIF($9:$9,$H$24,$10:$10)+100)/100</f>
        <v>1</v>
      </c>
      <c r="J336" s="2782"/>
      <c r="K336" s="478" t="n">
        <f aca="false">(SUMIF($11:$11,J336,$12:$12)-SUMIF($11:$11,$J$24,$12:$12)+100)/100</f>
        <v>1</v>
      </c>
      <c r="L336" s="2782"/>
      <c r="M336" s="478" t="n">
        <f aca="false">(SUMIF($13:$13,L336,$14:$14)-SUMIF($13:$13,$L$24,$14:$14)+100)/100</f>
        <v>1</v>
      </c>
      <c r="N336" s="2782"/>
      <c r="O336" s="478" t="n">
        <f aca="false">(SUMIF($15:$15,N336,$16:$16)-SUMIF($15:$15,$N$24,$16:$16)+100)/100</f>
        <v>1</v>
      </c>
      <c r="P336" s="2782"/>
      <c r="Q336" s="478" t="n">
        <f aca="false">(SUMIF($17:$17,P336,$18:$18)-SUMIF($17:$17,$P$24,$18:$18)+100)/100</f>
        <v>1</v>
      </c>
      <c r="R336" s="2772" t="n">
        <f aca="false">IF(B336="",0,ROUND($R$24*C336*E336*G336*I336*K336*M336*O336*Q336,0))</f>
        <v>0</v>
      </c>
      <c r="S336" s="2771" t="n">
        <f aca="false">ROUND(R336*B336/10000,0)</f>
        <v>0</v>
      </c>
    </row>
    <row r="337" customFormat="false" ht="12.75" hidden="false" customHeight="false" outlineLevel="0" collapsed="false">
      <c r="A337" s="1016"/>
      <c r="B337" s="2781"/>
      <c r="C337" s="478" t="n">
        <f aca="false">IF(B337="",1,(LOOKUP(B337,$3:$3,$4:$4)-LOOKUP($B$24,$3:$3,$4:$4)+100)/100)</f>
        <v>1</v>
      </c>
      <c r="D337" s="2782"/>
      <c r="E337" s="478" t="n">
        <f aca="false">(SUMIF($5:$5,D337,$6:$6)-SUMIF($5:$5,$D$24,$6:$6)+100)/100</f>
        <v>1</v>
      </c>
      <c r="F337" s="2782"/>
      <c r="G337" s="478" t="n">
        <f aca="false">(SUMIF($7:$7,F337,$8:$8)-SUMIF($7:$7,$F$24,$8:$8)+100)/100</f>
        <v>1</v>
      </c>
      <c r="H337" s="2782"/>
      <c r="I337" s="478" t="n">
        <f aca="false">(SUMIF($9:$9,H337,$10:$10)-SUMIF($9:$9,$H$24,$10:$10)+100)/100</f>
        <v>1</v>
      </c>
      <c r="J337" s="2782"/>
      <c r="K337" s="478" t="n">
        <f aca="false">(SUMIF($11:$11,J337,$12:$12)-SUMIF($11:$11,$J$24,$12:$12)+100)/100</f>
        <v>1</v>
      </c>
      <c r="L337" s="2782"/>
      <c r="M337" s="478" t="n">
        <f aca="false">(SUMIF($13:$13,L337,$14:$14)-SUMIF($13:$13,$L$24,$14:$14)+100)/100</f>
        <v>1</v>
      </c>
      <c r="N337" s="2782"/>
      <c r="O337" s="478" t="n">
        <f aca="false">(SUMIF($15:$15,N337,$16:$16)-SUMIF($15:$15,$N$24,$16:$16)+100)/100</f>
        <v>1</v>
      </c>
      <c r="P337" s="2782"/>
      <c r="Q337" s="478" t="n">
        <f aca="false">(SUMIF($17:$17,P337,$18:$18)-SUMIF($17:$17,$P$24,$18:$18)+100)/100</f>
        <v>1</v>
      </c>
      <c r="R337" s="2772" t="n">
        <f aca="false">IF(B337="",0,ROUND($R$24*C337*E337*G337*I337*K337*M337*O337*Q337,0))</f>
        <v>0</v>
      </c>
      <c r="S337" s="2771" t="n">
        <f aca="false">ROUND(R337*B337/10000,0)</f>
        <v>0</v>
      </c>
    </row>
    <row r="338" customFormat="false" ht="12.75" hidden="false" customHeight="false" outlineLevel="0" collapsed="false">
      <c r="A338" s="1016"/>
      <c r="B338" s="2781"/>
      <c r="C338" s="478" t="n">
        <f aca="false">IF(B338="",1,(LOOKUP(B338,$3:$3,$4:$4)-LOOKUP($B$24,$3:$3,$4:$4)+100)/100)</f>
        <v>1</v>
      </c>
      <c r="D338" s="2782"/>
      <c r="E338" s="478" t="n">
        <f aca="false">(SUMIF($5:$5,D338,$6:$6)-SUMIF($5:$5,$D$24,$6:$6)+100)/100</f>
        <v>1</v>
      </c>
      <c r="F338" s="2782"/>
      <c r="G338" s="478" t="n">
        <f aca="false">(SUMIF($7:$7,F338,$8:$8)-SUMIF($7:$7,$F$24,$8:$8)+100)/100</f>
        <v>1</v>
      </c>
      <c r="H338" s="2782"/>
      <c r="I338" s="478" t="n">
        <f aca="false">(SUMIF($9:$9,H338,$10:$10)-SUMIF($9:$9,$H$24,$10:$10)+100)/100</f>
        <v>1</v>
      </c>
      <c r="J338" s="2782"/>
      <c r="K338" s="478" t="n">
        <f aca="false">(SUMIF($11:$11,J338,$12:$12)-SUMIF($11:$11,$J$24,$12:$12)+100)/100</f>
        <v>1</v>
      </c>
      <c r="L338" s="2782"/>
      <c r="M338" s="478" t="n">
        <f aca="false">(SUMIF($13:$13,L338,$14:$14)-SUMIF($13:$13,$L$24,$14:$14)+100)/100</f>
        <v>1</v>
      </c>
      <c r="N338" s="2782"/>
      <c r="O338" s="478" t="n">
        <f aca="false">(SUMIF($15:$15,N338,$16:$16)-SUMIF($15:$15,$N$24,$16:$16)+100)/100</f>
        <v>1</v>
      </c>
      <c r="P338" s="2782"/>
      <c r="Q338" s="478" t="n">
        <f aca="false">(SUMIF($17:$17,P338,$18:$18)-SUMIF($17:$17,$P$24,$18:$18)+100)/100</f>
        <v>1</v>
      </c>
      <c r="R338" s="2772" t="n">
        <f aca="false">IF(B338="",0,ROUND($R$24*C338*E338*G338*I338*K338*M338*O338*Q338,0))</f>
        <v>0</v>
      </c>
      <c r="S338" s="2771" t="n">
        <f aca="false">ROUND(R338*B338/10000,0)</f>
        <v>0</v>
      </c>
    </row>
    <row r="339" customFormat="false" ht="12.75" hidden="false" customHeight="false" outlineLevel="0" collapsed="false">
      <c r="A339" s="1016"/>
      <c r="B339" s="2781"/>
      <c r="C339" s="478" t="n">
        <f aca="false">IF(B339="",1,(LOOKUP(B339,$3:$3,$4:$4)-LOOKUP($B$24,$3:$3,$4:$4)+100)/100)</f>
        <v>1</v>
      </c>
      <c r="D339" s="2782"/>
      <c r="E339" s="478" t="n">
        <f aca="false">(SUMIF($5:$5,D339,$6:$6)-SUMIF($5:$5,$D$24,$6:$6)+100)/100</f>
        <v>1</v>
      </c>
      <c r="F339" s="2782"/>
      <c r="G339" s="478" t="n">
        <f aca="false">(SUMIF($7:$7,F339,$8:$8)-SUMIF($7:$7,$F$24,$8:$8)+100)/100</f>
        <v>1</v>
      </c>
      <c r="H339" s="2782"/>
      <c r="I339" s="478" t="n">
        <f aca="false">(SUMIF($9:$9,H339,$10:$10)-SUMIF($9:$9,$H$24,$10:$10)+100)/100</f>
        <v>1</v>
      </c>
      <c r="J339" s="2782"/>
      <c r="K339" s="478" t="n">
        <f aca="false">(SUMIF($11:$11,J339,$12:$12)-SUMIF($11:$11,$J$24,$12:$12)+100)/100</f>
        <v>1</v>
      </c>
      <c r="L339" s="2782"/>
      <c r="M339" s="478" t="n">
        <f aca="false">(SUMIF($13:$13,L339,$14:$14)-SUMIF($13:$13,$L$24,$14:$14)+100)/100</f>
        <v>1</v>
      </c>
      <c r="N339" s="2782"/>
      <c r="O339" s="478" t="n">
        <f aca="false">(SUMIF($15:$15,N339,$16:$16)-SUMIF($15:$15,$N$24,$16:$16)+100)/100</f>
        <v>1</v>
      </c>
      <c r="P339" s="2782"/>
      <c r="Q339" s="478" t="n">
        <f aca="false">(SUMIF($17:$17,P339,$18:$18)-SUMIF($17:$17,$P$24,$18:$18)+100)/100</f>
        <v>1</v>
      </c>
      <c r="R339" s="2772" t="n">
        <f aca="false">IF(B339="",0,ROUND($R$24*C339*E339*G339*I339*K339*M339*O339*Q339,0))</f>
        <v>0</v>
      </c>
      <c r="S339" s="2771" t="n">
        <f aca="false">ROUND(R339*B339/10000,0)</f>
        <v>0</v>
      </c>
    </row>
    <row r="340" customFormat="false" ht="12.75" hidden="false" customHeight="false" outlineLevel="0" collapsed="false">
      <c r="A340" s="1016"/>
      <c r="B340" s="2781"/>
      <c r="C340" s="478" t="n">
        <f aca="false">IF(B340="",1,(LOOKUP(B340,$3:$3,$4:$4)-LOOKUP($B$24,$3:$3,$4:$4)+100)/100)</f>
        <v>1</v>
      </c>
      <c r="D340" s="2782"/>
      <c r="E340" s="478" t="n">
        <f aca="false">(SUMIF($5:$5,D340,$6:$6)-SUMIF($5:$5,$D$24,$6:$6)+100)/100</f>
        <v>1</v>
      </c>
      <c r="F340" s="2782"/>
      <c r="G340" s="478" t="n">
        <f aca="false">(SUMIF($7:$7,F340,$8:$8)-SUMIF($7:$7,$F$24,$8:$8)+100)/100</f>
        <v>1</v>
      </c>
      <c r="H340" s="2782"/>
      <c r="I340" s="478" t="n">
        <f aca="false">(SUMIF($9:$9,H340,$10:$10)-SUMIF($9:$9,$H$24,$10:$10)+100)/100</f>
        <v>1</v>
      </c>
      <c r="J340" s="2782"/>
      <c r="K340" s="478" t="n">
        <f aca="false">(SUMIF($11:$11,J340,$12:$12)-SUMIF($11:$11,$J$24,$12:$12)+100)/100</f>
        <v>1</v>
      </c>
      <c r="L340" s="2782"/>
      <c r="M340" s="478" t="n">
        <f aca="false">(SUMIF($13:$13,L340,$14:$14)-SUMIF($13:$13,$L$24,$14:$14)+100)/100</f>
        <v>1</v>
      </c>
      <c r="N340" s="2782"/>
      <c r="O340" s="478" t="n">
        <f aca="false">(SUMIF($15:$15,N340,$16:$16)-SUMIF($15:$15,$N$24,$16:$16)+100)/100</f>
        <v>1</v>
      </c>
      <c r="P340" s="2782"/>
      <c r="Q340" s="478" t="n">
        <f aca="false">(SUMIF($17:$17,P340,$18:$18)-SUMIF($17:$17,$P$24,$18:$18)+100)/100</f>
        <v>1</v>
      </c>
      <c r="R340" s="2772" t="n">
        <f aca="false">IF(B340="",0,ROUND($R$24*C340*E340*G340*I340*K340*M340*O340*Q340,0))</f>
        <v>0</v>
      </c>
      <c r="S340" s="2771" t="n">
        <f aca="false">ROUND(R340*B340/10000,0)</f>
        <v>0</v>
      </c>
    </row>
    <row r="341" customFormat="false" ht="12.75" hidden="false" customHeight="false" outlineLevel="0" collapsed="false">
      <c r="A341" s="1016"/>
      <c r="B341" s="2781"/>
      <c r="C341" s="478" t="n">
        <f aca="false">IF(B341="",1,(LOOKUP(B341,$3:$3,$4:$4)-LOOKUP($B$24,$3:$3,$4:$4)+100)/100)</f>
        <v>1</v>
      </c>
      <c r="D341" s="2782"/>
      <c r="E341" s="478" t="n">
        <f aca="false">(SUMIF($5:$5,D341,$6:$6)-SUMIF($5:$5,$D$24,$6:$6)+100)/100</f>
        <v>1</v>
      </c>
      <c r="F341" s="2782"/>
      <c r="G341" s="478" t="n">
        <f aca="false">(SUMIF($7:$7,F341,$8:$8)-SUMIF($7:$7,$F$24,$8:$8)+100)/100</f>
        <v>1</v>
      </c>
      <c r="H341" s="2782"/>
      <c r="I341" s="478" t="n">
        <f aca="false">(SUMIF($9:$9,H341,$10:$10)-SUMIF($9:$9,$H$24,$10:$10)+100)/100</f>
        <v>1</v>
      </c>
      <c r="J341" s="2782"/>
      <c r="K341" s="478" t="n">
        <f aca="false">(SUMIF($11:$11,J341,$12:$12)-SUMIF($11:$11,$J$24,$12:$12)+100)/100</f>
        <v>1</v>
      </c>
      <c r="L341" s="2782"/>
      <c r="M341" s="478" t="n">
        <f aca="false">(SUMIF($13:$13,L341,$14:$14)-SUMIF($13:$13,$L$24,$14:$14)+100)/100</f>
        <v>1</v>
      </c>
      <c r="N341" s="2782"/>
      <c r="O341" s="478" t="n">
        <f aca="false">(SUMIF($15:$15,N341,$16:$16)-SUMIF($15:$15,$N$24,$16:$16)+100)/100</f>
        <v>1</v>
      </c>
      <c r="P341" s="2782"/>
      <c r="Q341" s="478" t="n">
        <f aca="false">(SUMIF($17:$17,P341,$18:$18)-SUMIF($17:$17,$P$24,$18:$18)+100)/100</f>
        <v>1</v>
      </c>
      <c r="R341" s="2772" t="n">
        <f aca="false">IF(B341="",0,ROUND($R$24*C341*E341*G341*I341*K341*M341*O341*Q341,0))</f>
        <v>0</v>
      </c>
      <c r="S341" s="2771" t="n">
        <f aca="false">ROUND(R341*B341/10000,0)</f>
        <v>0</v>
      </c>
    </row>
    <row r="342" customFormat="false" ht="12.75" hidden="false" customHeight="false" outlineLevel="0" collapsed="false">
      <c r="A342" s="1016"/>
      <c r="B342" s="2781"/>
      <c r="C342" s="478" t="n">
        <f aca="false">IF(B342="",1,(LOOKUP(B342,$3:$3,$4:$4)-LOOKUP($B$24,$3:$3,$4:$4)+100)/100)</f>
        <v>1</v>
      </c>
      <c r="D342" s="2782"/>
      <c r="E342" s="478" t="n">
        <f aca="false">(SUMIF($5:$5,D342,$6:$6)-SUMIF($5:$5,$D$24,$6:$6)+100)/100</f>
        <v>1</v>
      </c>
      <c r="F342" s="2782"/>
      <c r="G342" s="478" t="n">
        <f aca="false">(SUMIF($7:$7,F342,$8:$8)-SUMIF($7:$7,$F$24,$8:$8)+100)/100</f>
        <v>1</v>
      </c>
      <c r="H342" s="2782"/>
      <c r="I342" s="478" t="n">
        <f aca="false">(SUMIF($9:$9,H342,$10:$10)-SUMIF($9:$9,$H$24,$10:$10)+100)/100</f>
        <v>1</v>
      </c>
      <c r="J342" s="2782"/>
      <c r="K342" s="478" t="n">
        <f aca="false">(SUMIF($11:$11,J342,$12:$12)-SUMIF($11:$11,$J$24,$12:$12)+100)/100</f>
        <v>1</v>
      </c>
      <c r="L342" s="2782"/>
      <c r="M342" s="478" t="n">
        <f aca="false">(SUMIF($13:$13,L342,$14:$14)-SUMIF($13:$13,$L$24,$14:$14)+100)/100</f>
        <v>1</v>
      </c>
      <c r="N342" s="2782"/>
      <c r="O342" s="478" t="n">
        <f aca="false">(SUMIF($15:$15,N342,$16:$16)-SUMIF($15:$15,$N$24,$16:$16)+100)/100</f>
        <v>1</v>
      </c>
      <c r="P342" s="2782"/>
      <c r="Q342" s="478" t="n">
        <f aca="false">(SUMIF($17:$17,P342,$18:$18)-SUMIF($17:$17,$P$24,$18:$18)+100)/100</f>
        <v>1</v>
      </c>
      <c r="R342" s="2772" t="n">
        <f aca="false">IF(B342="",0,ROUND($R$24*C342*E342*G342*I342*K342*M342*O342*Q342,0))</f>
        <v>0</v>
      </c>
      <c r="S342" s="2771" t="n">
        <f aca="false">ROUND(R342*B342/10000,0)</f>
        <v>0</v>
      </c>
    </row>
    <row r="343" customFormat="false" ht="12.75" hidden="false" customHeight="false" outlineLevel="0" collapsed="false">
      <c r="A343" s="1016"/>
      <c r="B343" s="2781"/>
      <c r="C343" s="478" t="n">
        <f aca="false">IF(B343="",1,(LOOKUP(B343,$3:$3,$4:$4)-LOOKUP($B$24,$3:$3,$4:$4)+100)/100)</f>
        <v>1</v>
      </c>
      <c r="D343" s="2782"/>
      <c r="E343" s="478" t="n">
        <f aca="false">(SUMIF($5:$5,D343,$6:$6)-SUMIF($5:$5,$D$24,$6:$6)+100)/100</f>
        <v>1</v>
      </c>
      <c r="F343" s="2782"/>
      <c r="G343" s="478" t="n">
        <f aca="false">(SUMIF($7:$7,F343,$8:$8)-SUMIF($7:$7,$F$24,$8:$8)+100)/100</f>
        <v>1</v>
      </c>
      <c r="H343" s="2782"/>
      <c r="I343" s="478" t="n">
        <f aca="false">(SUMIF($9:$9,H343,$10:$10)-SUMIF($9:$9,$H$24,$10:$10)+100)/100</f>
        <v>1</v>
      </c>
      <c r="J343" s="2782"/>
      <c r="K343" s="478" t="n">
        <f aca="false">(SUMIF($11:$11,J343,$12:$12)-SUMIF($11:$11,$J$24,$12:$12)+100)/100</f>
        <v>1</v>
      </c>
      <c r="L343" s="2782"/>
      <c r="M343" s="478" t="n">
        <f aca="false">(SUMIF($13:$13,L343,$14:$14)-SUMIF($13:$13,$L$24,$14:$14)+100)/100</f>
        <v>1</v>
      </c>
      <c r="N343" s="2782"/>
      <c r="O343" s="478" t="n">
        <f aca="false">(SUMIF($15:$15,N343,$16:$16)-SUMIF($15:$15,$N$24,$16:$16)+100)/100</f>
        <v>1</v>
      </c>
      <c r="P343" s="2782"/>
      <c r="Q343" s="478" t="n">
        <f aca="false">(SUMIF($17:$17,P343,$18:$18)-SUMIF($17:$17,$P$24,$18:$18)+100)/100</f>
        <v>1</v>
      </c>
      <c r="R343" s="2772" t="n">
        <f aca="false">IF(B343="",0,ROUND($R$24*C343*E343*G343*I343*K343*M343*O343*Q343,0))</f>
        <v>0</v>
      </c>
      <c r="S343" s="2771" t="n">
        <f aca="false">ROUND(R343*B343/10000,0)</f>
        <v>0</v>
      </c>
    </row>
    <row r="344" customFormat="false" ht="12.75" hidden="false" customHeight="false" outlineLevel="0" collapsed="false">
      <c r="A344" s="1016"/>
      <c r="B344" s="2781"/>
      <c r="C344" s="478" t="n">
        <f aca="false">IF(B344="",1,(LOOKUP(B344,$3:$3,$4:$4)-LOOKUP($B$24,$3:$3,$4:$4)+100)/100)</f>
        <v>1</v>
      </c>
      <c r="D344" s="2782"/>
      <c r="E344" s="478" t="n">
        <f aca="false">(SUMIF($5:$5,D344,$6:$6)-SUMIF($5:$5,$D$24,$6:$6)+100)/100</f>
        <v>1</v>
      </c>
      <c r="F344" s="2782"/>
      <c r="G344" s="478" t="n">
        <f aca="false">(SUMIF($7:$7,F344,$8:$8)-SUMIF($7:$7,$F$24,$8:$8)+100)/100</f>
        <v>1</v>
      </c>
      <c r="H344" s="2782"/>
      <c r="I344" s="478" t="n">
        <f aca="false">(SUMIF($9:$9,H344,$10:$10)-SUMIF($9:$9,$H$24,$10:$10)+100)/100</f>
        <v>1</v>
      </c>
      <c r="J344" s="2782"/>
      <c r="K344" s="478" t="n">
        <f aca="false">(SUMIF($11:$11,J344,$12:$12)-SUMIF($11:$11,$J$24,$12:$12)+100)/100</f>
        <v>1</v>
      </c>
      <c r="L344" s="2782"/>
      <c r="M344" s="478" t="n">
        <f aca="false">(SUMIF($13:$13,L344,$14:$14)-SUMIF($13:$13,$L$24,$14:$14)+100)/100</f>
        <v>1</v>
      </c>
      <c r="N344" s="2782"/>
      <c r="O344" s="478" t="n">
        <f aca="false">(SUMIF($15:$15,N344,$16:$16)-SUMIF($15:$15,$N$24,$16:$16)+100)/100</f>
        <v>1</v>
      </c>
      <c r="P344" s="2782"/>
      <c r="Q344" s="478" t="n">
        <f aca="false">(SUMIF($17:$17,P344,$18:$18)-SUMIF($17:$17,$P$24,$18:$18)+100)/100</f>
        <v>1</v>
      </c>
      <c r="R344" s="2772" t="n">
        <f aca="false">IF(B344="",0,ROUND($R$24*C344*E344*G344*I344*K344*M344*O344*Q344,0))</f>
        <v>0</v>
      </c>
      <c r="S344" s="2771" t="n">
        <f aca="false">ROUND(R344*B344/10000,0)</f>
        <v>0</v>
      </c>
    </row>
    <row r="345" customFormat="false" ht="12.75" hidden="false" customHeight="false" outlineLevel="0" collapsed="false">
      <c r="A345" s="1016"/>
      <c r="B345" s="2781"/>
      <c r="C345" s="478" t="n">
        <f aca="false">IF(B345="",1,(LOOKUP(B345,$3:$3,$4:$4)-LOOKUP($B$24,$3:$3,$4:$4)+100)/100)</f>
        <v>1</v>
      </c>
      <c r="D345" s="2782"/>
      <c r="E345" s="478" t="n">
        <f aca="false">(SUMIF($5:$5,D345,$6:$6)-SUMIF($5:$5,$D$24,$6:$6)+100)/100</f>
        <v>1</v>
      </c>
      <c r="F345" s="2782"/>
      <c r="G345" s="478" t="n">
        <f aca="false">(SUMIF($7:$7,F345,$8:$8)-SUMIF($7:$7,$F$24,$8:$8)+100)/100</f>
        <v>1</v>
      </c>
      <c r="H345" s="2782"/>
      <c r="I345" s="478" t="n">
        <f aca="false">(SUMIF($9:$9,H345,$10:$10)-SUMIF($9:$9,$H$24,$10:$10)+100)/100</f>
        <v>1</v>
      </c>
      <c r="J345" s="2782"/>
      <c r="K345" s="478" t="n">
        <f aca="false">(SUMIF($11:$11,J345,$12:$12)-SUMIF($11:$11,$J$24,$12:$12)+100)/100</f>
        <v>1</v>
      </c>
      <c r="L345" s="2782"/>
      <c r="M345" s="478" t="n">
        <f aca="false">(SUMIF($13:$13,L345,$14:$14)-SUMIF($13:$13,$L$24,$14:$14)+100)/100</f>
        <v>1</v>
      </c>
      <c r="N345" s="2782"/>
      <c r="O345" s="478" t="n">
        <f aca="false">(SUMIF($15:$15,N345,$16:$16)-SUMIF($15:$15,$N$24,$16:$16)+100)/100</f>
        <v>1</v>
      </c>
      <c r="P345" s="2782"/>
      <c r="Q345" s="478" t="n">
        <f aca="false">(SUMIF($17:$17,P345,$18:$18)-SUMIF($17:$17,$P$24,$18:$18)+100)/100</f>
        <v>1</v>
      </c>
      <c r="R345" s="2772" t="n">
        <f aca="false">IF(B345="",0,ROUND($R$24*C345*E345*G345*I345*K345*M345*O345*Q345,0))</f>
        <v>0</v>
      </c>
      <c r="S345" s="2771" t="n">
        <f aca="false">ROUND(R345*B345/10000,0)</f>
        <v>0</v>
      </c>
    </row>
    <row r="346" customFormat="false" ht="12.75" hidden="false" customHeight="false" outlineLevel="0" collapsed="false">
      <c r="A346" s="1016"/>
      <c r="B346" s="2781"/>
      <c r="C346" s="478" t="n">
        <f aca="false">IF(B346="",1,(LOOKUP(B346,$3:$3,$4:$4)-LOOKUP($B$24,$3:$3,$4:$4)+100)/100)</f>
        <v>1</v>
      </c>
      <c r="D346" s="2782"/>
      <c r="E346" s="478" t="n">
        <f aca="false">(SUMIF($5:$5,D346,$6:$6)-SUMIF($5:$5,$D$24,$6:$6)+100)/100</f>
        <v>1</v>
      </c>
      <c r="F346" s="2782"/>
      <c r="G346" s="478" t="n">
        <f aca="false">(SUMIF($7:$7,F346,$8:$8)-SUMIF($7:$7,$F$24,$8:$8)+100)/100</f>
        <v>1</v>
      </c>
      <c r="H346" s="2782"/>
      <c r="I346" s="478" t="n">
        <f aca="false">(SUMIF($9:$9,H346,$10:$10)-SUMIF($9:$9,$H$24,$10:$10)+100)/100</f>
        <v>1</v>
      </c>
      <c r="J346" s="2782"/>
      <c r="K346" s="478" t="n">
        <f aca="false">(SUMIF($11:$11,J346,$12:$12)-SUMIF($11:$11,$J$24,$12:$12)+100)/100</f>
        <v>1</v>
      </c>
      <c r="L346" s="2782"/>
      <c r="M346" s="478" t="n">
        <f aca="false">(SUMIF($13:$13,L346,$14:$14)-SUMIF($13:$13,$L$24,$14:$14)+100)/100</f>
        <v>1</v>
      </c>
      <c r="N346" s="2782"/>
      <c r="O346" s="478" t="n">
        <f aca="false">(SUMIF($15:$15,N346,$16:$16)-SUMIF($15:$15,$N$24,$16:$16)+100)/100</f>
        <v>1</v>
      </c>
      <c r="P346" s="2782"/>
      <c r="Q346" s="478" t="n">
        <f aca="false">(SUMIF($17:$17,P346,$18:$18)-SUMIF($17:$17,$P$24,$18:$18)+100)/100</f>
        <v>1</v>
      </c>
      <c r="R346" s="2772" t="n">
        <f aca="false">IF(B346="",0,ROUND($R$24*C346*E346*G346*I346*K346*M346*O346*Q346,0))</f>
        <v>0</v>
      </c>
      <c r="S346" s="2771" t="n">
        <f aca="false">ROUND(R346*B346/10000,0)</f>
        <v>0</v>
      </c>
    </row>
    <row r="347" customFormat="false" ht="12.75" hidden="false" customHeight="false" outlineLevel="0" collapsed="false">
      <c r="A347" s="1016"/>
      <c r="B347" s="2781"/>
      <c r="C347" s="478" t="n">
        <f aca="false">IF(B347="",1,(LOOKUP(B347,$3:$3,$4:$4)-LOOKUP($B$24,$3:$3,$4:$4)+100)/100)</f>
        <v>1</v>
      </c>
      <c r="D347" s="2782"/>
      <c r="E347" s="478" t="n">
        <f aca="false">(SUMIF($5:$5,D347,$6:$6)-SUMIF($5:$5,$D$24,$6:$6)+100)/100</f>
        <v>1</v>
      </c>
      <c r="F347" s="2782"/>
      <c r="G347" s="478" t="n">
        <f aca="false">(SUMIF($7:$7,F347,$8:$8)-SUMIF($7:$7,$F$24,$8:$8)+100)/100</f>
        <v>1</v>
      </c>
      <c r="H347" s="2782"/>
      <c r="I347" s="478" t="n">
        <f aca="false">(SUMIF($9:$9,H347,$10:$10)-SUMIF($9:$9,$H$24,$10:$10)+100)/100</f>
        <v>1</v>
      </c>
      <c r="J347" s="2782"/>
      <c r="K347" s="478" t="n">
        <f aca="false">(SUMIF($11:$11,J347,$12:$12)-SUMIF($11:$11,$J$24,$12:$12)+100)/100</f>
        <v>1</v>
      </c>
      <c r="L347" s="2782"/>
      <c r="M347" s="478" t="n">
        <f aca="false">(SUMIF($13:$13,L347,$14:$14)-SUMIF($13:$13,$L$24,$14:$14)+100)/100</f>
        <v>1</v>
      </c>
      <c r="N347" s="2782"/>
      <c r="O347" s="478" t="n">
        <f aca="false">(SUMIF($15:$15,N347,$16:$16)-SUMIF($15:$15,$N$24,$16:$16)+100)/100</f>
        <v>1</v>
      </c>
      <c r="P347" s="2782"/>
      <c r="Q347" s="478" t="n">
        <f aca="false">(SUMIF($17:$17,P347,$18:$18)-SUMIF($17:$17,$P$24,$18:$18)+100)/100</f>
        <v>1</v>
      </c>
      <c r="R347" s="2772" t="n">
        <f aca="false">IF(B347="",0,ROUND($R$24*C347*E347*G347*I347*K347*M347*O347*Q347,0))</f>
        <v>0</v>
      </c>
      <c r="S347" s="2771" t="n">
        <f aca="false">ROUND(R347*B347/10000,0)</f>
        <v>0</v>
      </c>
    </row>
    <row r="348" customFormat="false" ht="12.75" hidden="false" customHeight="false" outlineLevel="0" collapsed="false">
      <c r="A348" s="1016"/>
      <c r="B348" s="2781"/>
      <c r="C348" s="478" t="n">
        <f aca="false">IF(B348="",1,(LOOKUP(B348,$3:$3,$4:$4)-LOOKUP($B$24,$3:$3,$4:$4)+100)/100)</f>
        <v>1</v>
      </c>
      <c r="D348" s="2782"/>
      <c r="E348" s="478" t="n">
        <f aca="false">(SUMIF($5:$5,D348,$6:$6)-SUMIF($5:$5,$D$24,$6:$6)+100)/100</f>
        <v>1</v>
      </c>
      <c r="F348" s="2782"/>
      <c r="G348" s="478" t="n">
        <f aca="false">(SUMIF($7:$7,F348,$8:$8)-SUMIF($7:$7,$F$24,$8:$8)+100)/100</f>
        <v>1</v>
      </c>
      <c r="H348" s="2782"/>
      <c r="I348" s="478" t="n">
        <f aca="false">(SUMIF($9:$9,H348,$10:$10)-SUMIF($9:$9,$H$24,$10:$10)+100)/100</f>
        <v>1</v>
      </c>
      <c r="J348" s="2782"/>
      <c r="K348" s="478" t="n">
        <f aca="false">(SUMIF($11:$11,J348,$12:$12)-SUMIF($11:$11,$J$24,$12:$12)+100)/100</f>
        <v>1</v>
      </c>
      <c r="L348" s="2782"/>
      <c r="M348" s="478" t="n">
        <f aca="false">(SUMIF($13:$13,L348,$14:$14)-SUMIF($13:$13,$L$24,$14:$14)+100)/100</f>
        <v>1</v>
      </c>
      <c r="N348" s="2782"/>
      <c r="O348" s="478" t="n">
        <f aca="false">(SUMIF($15:$15,N348,$16:$16)-SUMIF($15:$15,$N$24,$16:$16)+100)/100</f>
        <v>1</v>
      </c>
      <c r="P348" s="2782"/>
      <c r="Q348" s="478" t="n">
        <f aca="false">(SUMIF($17:$17,P348,$18:$18)-SUMIF($17:$17,$P$24,$18:$18)+100)/100</f>
        <v>1</v>
      </c>
      <c r="R348" s="2772" t="n">
        <f aca="false">IF(B348="",0,ROUND($R$24*C348*E348*G348*I348*K348*M348*O348*Q348,0))</f>
        <v>0</v>
      </c>
      <c r="S348" s="2771" t="n">
        <f aca="false">ROUND(R348*B348/10000,0)</f>
        <v>0</v>
      </c>
    </row>
    <row r="349" customFormat="false" ht="12.75" hidden="false" customHeight="false" outlineLevel="0" collapsed="false">
      <c r="A349" s="1016"/>
      <c r="B349" s="2781"/>
      <c r="C349" s="478" t="n">
        <f aca="false">IF(B349="",1,(LOOKUP(B349,$3:$3,$4:$4)-LOOKUP($B$24,$3:$3,$4:$4)+100)/100)</f>
        <v>1</v>
      </c>
      <c r="D349" s="2782"/>
      <c r="E349" s="478" t="n">
        <f aca="false">(SUMIF($5:$5,D349,$6:$6)-SUMIF($5:$5,$D$24,$6:$6)+100)/100</f>
        <v>1</v>
      </c>
      <c r="F349" s="2782"/>
      <c r="G349" s="478" t="n">
        <f aca="false">(SUMIF($7:$7,F349,$8:$8)-SUMIF($7:$7,$F$24,$8:$8)+100)/100</f>
        <v>1</v>
      </c>
      <c r="H349" s="2782"/>
      <c r="I349" s="478" t="n">
        <f aca="false">(SUMIF($9:$9,H349,$10:$10)-SUMIF($9:$9,$H$24,$10:$10)+100)/100</f>
        <v>1</v>
      </c>
      <c r="J349" s="2782"/>
      <c r="K349" s="478" t="n">
        <f aca="false">(SUMIF($11:$11,J349,$12:$12)-SUMIF($11:$11,$J$24,$12:$12)+100)/100</f>
        <v>1</v>
      </c>
      <c r="L349" s="2782"/>
      <c r="M349" s="478" t="n">
        <f aca="false">(SUMIF($13:$13,L349,$14:$14)-SUMIF($13:$13,$L$24,$14:$14)+100)/100</f>
        <v>1</v>
      </c>
      <c r="N349" s="2782"/>
      <c r="O349" s="478" t="n">
        <f aca="false">(SUMIF($15:$15,N349,$16:$16)-SUMIF($15:$15,$N$24,$16:$16)+100)/100</f>
        <v>1</v>
      </c>
      <c r="P349" s="2782"/>
      <c r="Q349" s="478" t="n">
        <f aca="false">(SUMIF($17:$17,P349,$18:$18)-SUMIF($17:$17,$P$24,$18:$18)+100)/100</f>
        <v>1</v>
      </c>
      <c r="R349" s="2772" t="n">
        <f aca="false">IF(B349="",0,ROUND($R$24*C349*E349*G349*I349*K349*M349*O349*Q349,0))</f>
        <v>0</v>
      </c>
      <c r="S349" s="2771" t="n">
        <f aca="false">ROUND(R349*B349/10000,0)</f>
        <v>0</v>
      </c>
    </row>
    <row r="350" customFormat="false" ht="12.75" hidden="false" customHeight="false" outlineLevel="0" collapsed="false">
      <c r="A350" s="1016"/>
      <c r="B350" s="2781"/>
      <c r="C350" s="478" t="n">
        <f aca="false">IF(B350="",1,(LOOKUP(B350,$3:$3,$4:$4)-LOOKUP($B$24,$3:$3,$4:$4)+100)/100)</f>
        <v>1</v>
      </c>
      <c r="D350" s="2782"/>
      <c r="E350" s="478" t="n">
        <f aca="false">(SUMIF($5:$5,D350,$6:$6)-SUMIF($5:$5,$D$24,$6:$6)+100)/100</f>
        <v>1</v>
      </c>
      <c r="F350" s="2782"/>
      <c r="G350" s="478" t="n">
        <f aca="false">(SUMIF($7:$7,F350,$8:$8)-SUMIF($7:$7,$F$24,$8:$8)+100)/100</f>
        <v>1</v>
      </c>
      <c r="H350" s="2782"/>
      <c r="I350" s="478" t="n">
        <f aca="false">(SUMIF($9:$9,H350,$10:$10)-SUMIF($9:$9,$H$24,$10:$10)+100)/100</f>
        <v>1</v>
      </c>
      <c r="J350" s="2782"/>
      <c r="K350" s="478" t="n">
        <f aca="false">(SUMIF($11:$11,J350,$12:$12)-SUMIF($11:$11,$J$24,$12:$12)+100)/100</f>
        <v>1</v>
      </c>
      <c r="L350" s="2782"/>
      <c r="M350" s="478" t="n">
        <f aca="false">(SUMIF($13:$13,L350,$14:$14)-SUMIF($13:$13,$L$24,$14:$14)+100)/100</f>
        <v>1</v>
      </c>
      <c r="N350" s="2782"/>
      <c r="O350" s="478" t="n">
        <f aca="false">(SUMIF($15:$15,N350,$16:$16)-SUMIF($15:$15,$N$24,$16:$16)+100)/100</f>
        <v>1</v>
      </c>
      <c r="P350" s="2782"/>
      <c r="Q350" s="478" t="n">
        <f aca="false">(SUMIF($17:$17,P350,$18:$18)-SUMIF($17:$17,$P$24,$18:$18)+100)/100</f>
        <v>1</v>
      </c>
      <c r="R350" s="2772" t="n">
        <f aca="false">IF(B350="",0,ROUND($R$24*C350*E350*G350*I350*K350*M350*O350*Q350,0))</f>
        <v>0</v>
      </c>
      <c r="S350" s="2771" t="n">
        <f aca="false">ROUND(R350*B350/10000,0)</f>
        <v>0</v>
      </c>
    </row>
    <row r="351" customFormat="false" ht="12.75" hidden="false" customHeight="false" outlineLevel="0" collapsed="false">
      <c r="A351" s="1016"/>
      <c r="B351" s="2781"/>
      <c r="C351" s="478" t="n">
        <f aca="false">IF(B351="",1,(LOOKUP(B351,$3:$3,$4:$4)-LOOKUP($B$24,$3:$3,$4:$4)+100)/100)</f>
        <v>1</v>
      </c>
      <c r="D351" s="2782"/>
      <c r="E351" s="478" t="n">
        <f aca="false">(SUMIF($5:$5,D351,$6:$6)-SUMIF($5:$5,$D$24,$6:$6)+100)/100</f>
        <v>1</v>
      </c>
      <c r="F351" s="2782"/>
      <c r="G351" s="478" t="n">
        <f aca="false">(SUMIF($7:$7,F351,$8:$8)-SUMIF($7:$7,$F$24,$8:$8)+100)/100</f>
        <v>1</v>
      </c>
      <c r="H351" s="2782"/>
      <c r="I351" s="478" t="n">
        <f aca="false">(SUMIF($9:$9,H351,$10:$10)-SUMIF($9:$9,$H$24,$10:$10)+100)/100</f>
        <v>1</v>
      </c>
      <c r="J351" s="2782"/>
      <c r="K351" s="478" t="n">
        <f aca="false">(SUMIF($11:$11,J351,$12:$12)-SUMIF($11:$11,$J$24,$12:$12)+100)/100</f>
        <v>1</v>
      </c>
      <c r="L351" s="2782"/>
      <c r="M351" s="478" t="n">
        <f aca="false">(SUMIF($13:$13,L351,$14:$14)-SUMIF($13:$13,$L$24,$14:$14)+100)/100</f>
        <v>1</v>
      </c>
      <c r="N351" s="2782"/>
      <c r="O351" s="478" t="n">
        <f aca="false">(SUMIF($15:$15,N351,$16:$16)-SUMIF($15:$15,$N$24,$16:$16)+100)/100</f>
        <v>1</v>
      </c>
      <c r="P351" s="2782"/>
      <c r="Q351" s="478" t="n">
        <f aca="false">(SUMIF($17:$17,P351,$18:$18)-SUMIF($17:$17,$P$24,$18:$18)+100)/100</f>
        <v>1</v>
      </c>
      <c r="R351" s="2772" t="n">
        <f aca="false">IF(B351="",0,ROUND($R$24*C351*E351*G351*I351*K351*M351*O351*Q351,0))</f>
        <v>0</v>
      </c>
      <c r="S351" s="2771" t="n">
        <f aca="false">ROUND(R351*B351/10000,0)</f>
        <v>0</v>
      </c>
    </row>
    <row r="352" customFormat="false" ht="12.75" hidden="false" customHeight="false" outlineLevel="0" collapsed="false">
      <c r="A352" s="1016"/>
      <c r="B352" s="2781"/>
      <c r="C352" s="478" t="n">
        <f aca="false">IF(B352="",1,(LOOKUP(B352,$3:$3,$4:$4)-LOOKUP($B$24,$3:$3,$4:$4)+100)/100)</f>
        <v>1</v>
      </c>
      <c r="D352" s="2782"/>
      <c r="E352" s="478" t="n">
        <f aca="false">(SUMIF($5:$5,D352,$6:$6)-SUMIF($5:$5,$D$24,$6:$6)+100)/100</f>
        <v>1</v>
      </c>
      <c r="F352" s="2782"/>
      <c r="G352" s="478" t="n">
        <f aca="false">(SUMIF($7:$7,F352,$8:$8)-SUMIF($7:$7,$F$24,$8:$8)+100)/100</f>
        <v>1</v>
      </c>
      <c r="H352" s="2782"/>
      <c r="I352" s="478" t="n">
        <f aca="false">(SUMIF($9:$9,H352,$10:$10)-SUMIF($9:$9,$H$24,$10:$10)+100)/100</f>
        <v>1</v>
      </c>
      <c r="J352" s="2782"/>
      <c r="K352" s="478" t="n">
        <f aca="false">(SUMIF($11:$11,J352,$12:$12)-SUMIF($11:$11,$J$24,$12:$12)+100)/100</f>
        <v>1</v>
      </c>
      <c r="L352" s="2782"/>
      <c r="M352" s="478" t="n">
        <f aca="false">(SUMIF($13:$13,L352,$14:$14)-SUMIF($13:$13,$L$24,$14:$14)+100)/100</f>
        <v>1</v>
      </c>
      <c r="N352" s="2782"/>
      <c r="O352" s="478" t="n">
        <f aca="false">(SUMIF($15:$15,N352,$16:$16)-SUMIF($15:$15,$N$24,$16:$16)+100)/100</f>
        <v>1</v>
      </c>
      <c r="P352" s="2782"/>
      <c r="Q352" s="478" t="n">
        <f aca="false">(SUMIF($17:$17,P352,$18:$18)-SUMIF($17:$17,$P$24,$18:$18)+100)/100</f>
        <v>1</v>
      </c>
      <c r="R352" s="2772" t="n">
        <f aca="false">IF(B352="",0,ROUND($R$24*C352*E352*G352*I352*K352*M352*O352*Q352,0))</f>
        <v>0</v>
      </c>
      <c r="S352" s="2771" t="n">
        <f aca="false">ROUND(R352*B352/10000,0)</f>
        <v>0</v>
      </c>
    </row>
    <row r="353" customFormat="false" ht="12.75" hidden="false" customHeight="false" outlineLevel="0" collapsed="false">
      <c r="A353" s="1016"/>
      <c r="B353" s="2781"/>
      <c r="C353" s="478" t="n">
        <f aca="false">IF(B353="",1,(LOOKUP(B353,$3:$3,$4:$4)-LOOKUP($B$24,$3:$3,$4:$4)+100)/100)</f>
        <v>1</v>
      </c>
      <c r="D353" s="2782"/>
      <c r="E353" s="478" t="n">
        <f aca="false">(SUMIF($5:$5,D353,$6:$6)-SUMIF($5:$5,$D$24,$6:$6)+100)/100</f>
        <v>1</v>
      </c>
      <c r="F353" s="2782"/>
      <c r="G353" s="478" t="n">
        <f aca="false">(SUMIF($7:$7,F353,$8:$8)-SUMIF($7:$7,$F$24,$8:$8)+100)/100</f>
        <v>1</v>
      </c>
      <c r="H353" s="2782"/>
      <c r="I353" s="478" t="n">
        <f aca="false">(SUMIF($9:$9,H353,$10:$10)-SUMIF($9:$9,$H$24,$10:$10)+100)/100</f>
        <v>1</v>
      </c>
      <c r="J353" s="2782"/>
      <c r="K353" s="478" t="n">
        <f aca="false">(SUMIF($11:$11,J353,$12:$12)-SUMIF($11:$11,$J$24,$12:$12)+100)/100</f>
        <v>1</v>
      </c>
      <c r="L353" s="2782"/>
      <c r="M353" s="478" t="n">
        <f aca="false">(SUMIF($13:$13,L353,$14:$14)-SUMIF($13:$13,$L$24,$14:$14)+100)/100</f>
        <v>1</v>
      </c>
      <c r="N353" s="2782"/>
      <c r="O353" s="478" t="n">
        <f aca="false">(SUMIF($15:$15,N353,$16:$16)-SUMIF($15:$15,$N$24,$16:$16)+100)/100</f>
        <v>1</v>
      </c>
      <c r="P353" s="2782"/>
      <c r="Q353" s="478" t="n">
        <f aca="false">(SUMIF($17:$17,P353,$18:$18)-SUMIF($17:$17,$P$24,$18:$18)+100)/100</f>
        <v>1</v>
      </c>
      <c r="R353" s="2772" t="n">
        <f aca="false">IF(B353="",0,ROUND($R$24*C353*E353*G353*I353*K353*M353*O353*Q353,0))</f>
        <v>0</v>
      </c>
      <c r="S353" s="2771" t="n">
        <f aca="false">ROUND(R353*B353/10000,0)</f>
        <v>0</v>
      </c>
    </row>
    <row r="354" customFormat="false" ht="12.75" hidden="false" customHeight="false" outlineLevel="0" collapsed="false">
      <c r="A354" s="1016"/>
      <c r="B354" s="2781"/>
      <c r="C354" s="478" t="n">
        <f aca="false">IF(B354="",1,(LOOKUP(B354,$3:$3,$4:$4)-LOOKUP($B$24,$3:$3,$4:$4)+100)/100)</f>
        <v>1</v>
      </c>
      <c r="D354" s="2782"/>
      <c r="E354" s="478" t="n">
        <f aca="false">(SUMIF($5:$5,D354,$6:$6)-SUMIF($5:$5,$D$24,$6:$6)+100)/100</f>
        <v>1</v>
      </c>
      <c r="F354" s="2782"/>
      <c r="G354" s="478" t="n">
        <f aca="false">(SUMIF($7:$7,F354,$8:$8)-SUMIF($7:$7,$F$24,$8:$8)+100)/100</f>
        <v>1</v>
      </c>
      <c r="H354" s="2782"/>
      <c r="I354" s="478" t="n">
        <f aca="false">(SUMIF($9:$9,H354,$10:$10)-SUMIF($9:$9,$H$24,$10:$10)+100)/100</f>
        <v>1</v>
      </c>
      <c r="J354" s="2782"/>
      <c r="K354" s="478" t="n">
        <f aca="false">(SUMIF($11:$11,J354,$12:$12)-SUMIF($11:$11,$J$24,$12:$12)+100)/100</f>
        <v>1</v>
      </c>
      <c r="L354" s="2782"/>
      <c r="M354" s="478" t="n">
        <f aca="false">(SUMIF($13:$13,L354,$14:$14)-SUMIF($13:$13,$L$24,$14:$14)+100)/100</f>
        <v>1</v>
      </c>
      <c r="N354" s="2782"/>
      <c r="O354" s="478" t="n">
        <f aca="false">(SUMIF($15:$15,N354,$16:$16)-SUMIF($15:$15,$N$24,$16:$16)+100)/100</f>
        <v>1</v>
      </c>
      <c r="P354" s="2782"/>
      <c r="Q354" s="478" t="n">
        <f aca="false">(SUMIF($17:$17,P354,$18:$18)-SUMIF($17:$17,$P$24,$18:$18)+100)/100</f>
        <v>1</v>
      </c>
      <c r="R354" s="2772" t="n">
        <f aca="false">IF(B354="",0,ROUND($R$24*C354*E354*G354*I354*K354*M354*O354*Q354,0))</f>
        <v>0</v>
      </c>
      <c r="S354" s="2771" t="n">
        <f aca="false">ROUND(R354*B354/10000,0)</f>
        <v>0</v>
      </c>
    </row>
    <row r="355" customFormat="false" ht="12.75" hidden="false" customHeight="false" outlineLevel="0" collapsed="false">
      <c r="A355" s="1016"/>
      <c r="B355" s="2781"/>
      <c r="C355" s="478" t="n">
        <f aca="false">IF(B355="",1,(LOOKUP(B355,$3:$3,$4:$4)-LOOKUP($B$24,$3:$3,$4:$4)+100)/100)</f>
        <v>1</v>
      </c>
      <c r="D355" s="2782"/>
      <c r="E355" s="478" t="n">
        <f aca="false">(SUMIF($5:$5,D355,$6:$6)-SUMIF($5:$5,$D$24,$6:$6)+100)/100</f>
        <v>1</v>
      </c>
      <c r="F355" s="2782"/>
      <c r="G355" s="478" t="n">
        <f aca="false">(SUMIF($7:$7,F355,$8:$8)-SUMIF($7:$7,$F$24,$8:$8)+100)/100</f>
        <v>1</v>
      </c>
      <c r="H355" s="2782"/>
      <c r="I355" s="478" t="n">
        <f aca="false">(SUMIF($9:$9,H355,$10:$10)-SUMIF($9:$9,$H$24,$10:$10)+100)/100</f>
        <v>1</v>
      </c>
      <c r="J355" s="2782"/>
      <c r="K355" s="478" t="n">
        <f aca="false">(SUMIF($11:$11,J355,$12:$12)-SUMIF($11:$11,$J$24,$12:$12)+100)/100</f>
        <v>1</v>
      </c>
      <c r="L355" s="2782"/>
      <c r="M355" s="478" t="n">
        <f aca="false">(SUMIF($13:$13,L355,$14:$14)-SUMIF($13:$13,$L$24,$14:$14)+100)/100</f>
        <v>1</v>
      </c>
      <c r="N355" s="2782"/>
      <c r="O355" s="478" t="n">
        <f aca="false">(SUMIF($15:$15,N355,$16:$16)-SUMIF($15:$15,$N$24,$16:$16)+100)/100</f>
        <v>1</v>
      </c>
      <c r="P355" s="2782"/>
      <c r="Q355" s="478" t="n">
        <f aca="false">(SUMIF($17:$17,P355,$18:$18)-SUMIF($17:$17,$P$24,$18:$18)+100)/100</f>
        <v>1</v>
      </c>
      <c r="R355" s="2772" t="n">
        <f aca="false">IF(B355="",0,ROUND($R$24*C355*E355*G355*I355*K355*M355*O355*Q355,0))</f>
        <v>0</v>
      </c>
      <c r="S355" s="2771" t="n">
        <f aca="false">ROUND(R355*B355/10000,0)</f>
        <v>0</v>
      </c>
    </row>
    <row r="356" customFormat="false" ht="12.75" hidden="false" customHeight="false" outlineLevel="0" collapsed="false">
      <c r="A356" s="1016"/>
      <c r="B356" s="2781"/>
      <c r="C356" s="478" t="n">
        <f aca="false">IF(B356="",1,(LOOKUP(B356,$3:$3,$4:$4)-LOOKUP($B$24,$3:$3,$4:$4)+100)/100)</f>
        <v>1</v>
      </c>
      <c r="D356" s="2782"/>
      <c r="E356" s="478" t="n">
        <f aca="false">(SUMIF($5:$5,D356,$6:$6)-SUMIF($5:$5,$D$24,$6:$6)+100)/100</f>
        <v>1</v>
      </c>
      <c r="F356" s="2782"/>
      <c r="G356" s="478" t="n">
        <f aca="false">(SUMIF($7:$7,F356,$8:$8)-SUMIF($7:$7,$F$24,$8:$8)+100)/100</f>
        <v>1</v>
      </c>
      <c r="H356" s="2782"/>
      <c r="I356" s="478" t="n">
        <f aca="false">(SUMIF($9:$9,H356,$10:$10)-SUMIF($9:$9,$H$24,$10:$10)+100)/100</f>
        <v>1</v>
      </c>
      <c r="J356" s="2782"/>
      <c r="K356" s="478" t="n">
        <f aca="false">(SUMIF($11:$11,J356,$12:$12)-SUMIF($11:$11,$J$24,$12:$12)+100)/100</f>
        <v>1</v>
      </c>
      <c r="L356" s="2782"/>
      <c r="M356" s="478" t="n">
        <f aca="false">(SUMIF($13:$13,L356,$14:$14)-SUMIF($13:$13,$L$24,$14:$14)+100)/100</f>
        <v>1</v>
      </c>
      <c r="N356" s="2782"/>
      <c r="O356" s="478" t="n">
        <f aca="false">(SUMIF($15:$15,N356,$16:$16)-SUMIF($15:$15,$N$24,$16:$16)+100)/100</f>
        <v>1</v>
      </c>
      <c r="P356" s="2782"/>
      <c r="Q356" s="478" t="n">
        <f aca="false">(SUMIF($17:$17,P356,$18:$18)-SUMIF($17:$17,$P$24,$18:$18)+100)/100</f>
        <v>1</v>
      </c>
      <c r="R356" s="2772" t="n">
        <f aca="false">IF(B356="",0,ROUND($R$24*C356*E356*G356*I356*K356*M356*O356*Q356,0))</f>
        <v>0</v>
      </c>
      <c r="S356" s="2771" t="n">
        <f aca="false">ROUND(R356*B356/10000,0)</f>
        <v>0</v>
      </c>
    </row>
    <row r="357" customFormat="false" ht="12.75" hidden="false" customHeight="false" outlineLevel="0" collapsed="false">
      <c r="A357" s="1016"/>
      <c r="B357" s="2781"/>
      <c r="C357" s="478" t="n">
        <f aca="false">IF(B357="",1,(LOOKUP(B357,$3:$3,$4:$4)-LOOKUP($B$24,$3:$3,$4:$4)+100)/100)</f>
        <v>1</v>
      </c>
      <c r="D357" s="2782"/>
      <c r="E357" s="478" t="n">
        <f aca="false">(SUMIF($5:$5,D357,$6:$6)-SUMIF($5:$5,$D$24,$6:$6)+100)/100</f>
        <v>1</v>
      </c>
      <c r="F357" s="2782"/>
      <c r="G357" s="478" t="n">
        <f aca="false">(SUMIF($7:$7,F357,$8:$8)-SUMIF($7:$7,$F$24,$8:$8)+100)/100</f>
        <v>1</v>
      </c>
      <c r="H357" s="2782"/>
      <c r="I357" s="478" t="n">
        <f aca="false">(SUMIF($9:$9,H357,$10:$10)-SUMIF($9:$9,$H$24,$10:$10)+100)/100</f>
        <v>1</v>
      </c>
      <c r="J357" s="2782"/>
      <c r="K357" s="478" t="n">
        <f aca="false">(SUMIF($11:$11,J357,$12:$12)-SUMIF($11:$11,$J$24,$12:$12)+100)/100</f>
        <v>1</v>
      </c>
      <c r="L357" s="2782"/>
      <c r="M357" s="478" t="n">
        <f aca="false">(SUMIF($13:$13,L357,$14:$14)-SUMIF($13:$13,$L$24,$14:$14)+100)/100</f>
        <v>1</v>
      </c>
      <c r="N357" s="2782"/>
      <c r="O357" s="478" t="n">
        <f aca="false">(SUMIF($15:$15,N357,$16:$16)-SUMIF($15:$15,$N$24,$16:$16)+100)/100</f>
        <v>1</v>
      </c>
      <c r="P357" s="2782"/>
      <c r="Q357" s="478" t="n">
        <f aca="false">(SUMIF($17:$17,P357,$18:$18)-SUMIF($17:$17,$P$24,$18:$18)+100)/100</f>
        <v>1</v>
      </c>
      <c r="R357" s="2772" t="n">
        <f aca="false">IF(B357="",0,ROUND($R$24*C357*E357*G357*I357*K357*M357*O357*Q357,0))</f>
        <v>0</v>
      </c>
      <c r="S357" s="2771" t="n">
        <f aca="false">ROUND(R357*B357/10000,0)</f>
        <v>0</v>
      </c>
    </row>
    <row r="358" customFormat="false" ht="12.75" hidden="false" customHeight="false" outlineLevel="0" collapsed="false">
      <c r="A358" s="1016"/>
      <c r="B358" s="2781"/>
      <c r="C358" s="478" t="n">
        <f aca="false">IF(B358="",1,(LOOKUP(B358,$3:$3,$4:$4)-LOOKUP($B$24,$3:$3,$4:$4)+100)/100)</f>
        <v>1</v>
      </c>
      <c r="D358" s="2782"/>
      <c r="E358" s="478" t="n">
        <f aca="false">(SUMIF($5:$5,D358,$6:$6)-SUMIF($5:$5,$D$24,$6:$6)+100)/100</f>
        <v>1</v>
      </c>
      <c r="F358" s="2782"/>
      <c r="G358" s="478" t="n">
        <f aca="false">(SUMIF($7:$7,F358,$8:$8)-SUMIF($7:$7,$F$24,$8:$8)+100)/100</f>
        <v>1</v>
      </c>
      <c r="H358" s="2782"/>
      <c r="I358" s="478" t="n">
        <f aca="false">(SUMIF($9:$9,H358,$10:$10)-SUMIF($9:$9,$H$24,$10:$10)+100)/100</f>
        <v>1</v>
      </c>
      <c r="J358" s="2782"/>
      <c r="K358" s="478" t="n">
        <f aca="false">(SUMIF($11:$11,J358,$12:$12)-SUMIF($11:$11,$J$24,$12:$12)+100)/100</f>
        <v>1</v>
      </c>
      <c r="L358" s="2782"/>
      <c r="M358" s="478" t="n">
        <f aca="false">(SUMIF($13:$13,L358,$14:$14)-SUMIF($13:$13,$L$24,$14:$14)+100)/100</f>
        <v>1</v>
      </c>
      <c r="N358" s="2782"/>
      <c r="O358" s="478" t="n">
        <f aca="false">(SUMIF($15:$15,N358,$16:$16)-SUMIF($15:$15,$N$24,$16:$16)+100)/100</f>
        <v>1</v>
      </c>
      <c r="P358" s="2782"/>
      <c r="Q358" s="478" t="n">
        <f aca="false">(SUMIF($17:$17,P358,$18:$18)-SUMIF($17:$17,$P$24,$18:$18)+100)/100</f>
        <v>1</v>
      </c>
      <c r="R358" s="2772" t="n">
        <f aca="false">IF(B358="",0,ROUND($R$24*C358*E358*G358*I358*K358*M358*O358*Q358,0))</f>
        <v>0</v>
      </c>
      <c r="S358" s="2771" t="n">
        <f aca="false">ROUND(R358*B358/10000,0)</f>
        <v>0</v>
      </c>
    </row>
    <row r="359" customFormat="false" ht="12.75" hidden="false" customHeight="false" outlineLevel="0" collapsed="false">
      <c r="A359" s="1016"/>
      <c r="B359" s="2781"/>
      <c r="C359" s="478" t="n">
        <f aca="false">IF(B359="",1,(LOOKUP(B359,$3:$3,$4:$4)-LOOKUP($B$24,$3:$3,$4:$4)+100)/100)</f>
        <v>1</v>
      </c>
      <c r="D359" s="2782"/>
      <c r="E359" s="478" t="n">
        <f aca="false">(SUMIF($5:$5,D359,$6:$6)-SUMIF($5:$5,$D$24,$6:$6)+100)/100</f>
        <v>1</v>
      </c>
      <c r="F359" s="2782"/>
      <c r="G359" s="478" t="n">
        <f aca="false">(SUMIF($7:$7,F359,$8:$8)-SUMIF($7:$7,$F$24,$8:$8)+100)/100</f>
        <v>1</v>
      </c>
      <c r="H359" s="2782"/>
      <c r="I359" s="478" t="n">
        <f aca="false">(SUMIF($9:$9,H359,$10:$10)-SUMIF($9:$9,$H$24,$10:$10)+100)/100</f>
        <v>1</v>
      </c>
      <c r="J359" s="2782"/>
      <c r="K359" s="478" t="n">
        <f aca="false">(SUMIF($11:$11,J359,$12:$12)-SUMIF($11:$11,$J$24,$12:$12)+100)/100</f>
        <v>1</v>
      </c>
      <c r="L359" s="2782"/>
      <c r="M359" s="478" t="n">
        <f aca="false">(SUMIF($13:$13,L359,$14:$14)-SUMIF($13:$13,$L$24,$14:$14)+100)/100</f>
        <v>1</v>
      </c>
      <c r="N359" s="2782"/>
      <c r="O359" s="478" t="n">
        <f aca="false">(SUMIF($15:$15,N359,$16:$16)-SUMIF($15:$15,$N$24,$16:$16)+100)/100</f>
        <v>1</v>
      </c>
      <c r="P359" s="2782"/>
      <c r="Q359" s="478" t="n">
        <f aca="false">(SUMIF($17:$17,P359,$18:$18)-SUMIF($17:$17,$P$24,$18:$18)+100)/100</f>
        <v>1</v>
      </c>
      <c r="R359" s="2772" t="n">
        <f aca="false">IF(B359="",0,ROUND($R$24*C359*E359*G359*I359*K359*M359*O359*Q359,0))</f>
        <v>0</v>
      </c>
      <c r="S359" s="2771" t="n">
        <f aca="false">ROUND(R359*B359/10000,0)</f>
        <v>0</v>
      </c>
    </row>
    <row r="360" customFormat="false" ht="12.75" hidden="false" customHeight="false" outlineLevel="0" collapsed="false">
      <c r="A360" s="1016"/>
      <c r="B360" s="2781"/>
      <c r="C360" s="478" t="n">
        <f aca="false">IF(B360="",1,(LOOKUP(B360,$3:$3,$4:$4)-LOOKUP($B$24,$3:$3,$4:$4)+100)/100)</f>
        <v>1</v>
      </c>
      <c r="D360" s="2782"/>
      <c r="E360" s="478" t="n">
        <f aca="false">(SUMIF($5:$5,D360,$6:$6)-SUMIF($5:$5,$D$24,$6:$6)+100)/100</f>
        <v>1</v>
      </c>
      <c r="F360" s="2782"/>
      <c r="G360" s="478" t="n">
        <f aca="false">(SUMIF($7:$7,F360,$8:$8)-SUMIF($7:$7,$F$24,$8:$8)+100)/100</f>
        <v>1</v>
      </c>
      <c r="H360" s="2782"/>
      <c r="I360" s="478" t="n">
        <f aca="false">(SUMIF($9:$9,H360,$10:$10)-SUMIF($9:$9,$H$24,$10:$10)+100)/100</f>
        <v>1</v>
      </c>
      <c r="J360" s="2782"/>
      <c r="K360" s="478" t="n">
        <f aca="false">(SUMIF($11:$11,J360,$12:$12)-SUMIF($11:$11,$J$24,$12:$12)+100)/100</f>
        <v>1</v>
      </c>
      <c r="L360" s="2782"/>
      <c r="M360" s="478" t="n">
        <f aca="false">(SUMIF($13:$13,L360,$14:$14)-SUMIF($13:$13,$L$24,$14:$14)+100)/100</f>
        <v>1</v>
      </c>
      <c r="N360" s="2782"/>
      <c r="O360" s="478" t="n">
        <f aca="false">(SUMIF($15:$15,N360,$16:$16)-SUMIF($15:$15,$N$24,$16:$16)+100)/100</f>
        <v>1</v>
      </c>
      <c r="P360" s="2782"/>
      <c r="Q360" s="478" t="n">
        <f aca="false">(SUMIF($17:$17,P360,$18:$18)-SUMIF($17:$17,$P$24,$18:$18)+100)/100</f>
        <v>1</v>
      </c>
      <c r="R360" s="2772" t="n">
        <f aca="false">IF(B360="",0,ROUND($R$24*C360*E360*G360*I360*K360*M360*O360*Q360,0))</f>
        <v>0</v>
      </c>
      <c r="S360" s="2771" t="n">
        <f aca="false">ROUND(R360*B360/10000,0)</f>
        <v>0</v>
      </c>
    </row>
    <row r="361" customFormat="false" ht="12.75" hidden="false" customHeight="false" outlineLevel="0" collapsed="false">
      <c r="A361" s="1016"/>
      <c r="B361" s="2781"/>
      <c r="C361" s="478" t="n">
        <f aca="false">IF(B361="",1,(LOOKUP(B361,$3:$3,$4:$4)-LOOKUP($B$24,$3:$3,$4:$4)+100)/100)</f>
        <v>1</v>
      </c>
      <c r="D361" s="2782"/>
      <c r="E361" s="478" t="n">
        <f aca="false">(SUMIF($5:$5,D361,$6:$6)-SUMIF($5:$5,$D$24,$6:$6)+100)/100</f>
        <v>1</v>
      </c>
      <c r="F361" s="2782"/>
      <c r="G361" s="478" t="n">
        <f aca="false">(SUMIF($7:$7,F361,$8:$8)-SUMIF($7:$7,$F$24,$8:$8)+100)/100</f>
        <v>1</v>
      </c>
      <c r="H361" s="2782"/>
      <c r="I361" s="478" t="n">
        <f aca="false">(SUMIF($9:$9,H361,$10:$10)-SUMIF($9:$9,$H$24,$10:$10)+100)/100</f>
        <v>1</v>
      </c>
      <c r="J361" s="2782"/>
      <c r="K361" s="478" t="n">
        <f aca="false">(SUMIF($11:$11,J361,$12:$12)-SUMIF($11:$11,$J$24,$12:$12)+100)/100</f>
        <v>1</v>
      </c>
      <c r="L361" s="2782"/>
      <c r="M361" s="478" t="n">
        <f aca="false">(SUMIF($13:$13,L361,$14:$14)-SUMIF($13:$13,$L$24,$14:$14)+100)/100</f>
        <v>1</v>
      </c>
      <c r="N361" s="2782"/>
      <c r="O361" s="478" t="n">
        <f aca="false">(SUMIF($15:$15,N361,$16:$16)-SUMIF($15:$15,$N$24,$16:$16)+100)/100</f>
        <v>1</v>
      </c>
      <c r="P361" s="2782"/>
      <c r="Q361" s="478" t="n">
        <f aca="false">(SUMIF($17:$17,P361,$18:$18)-SUMIF($17:$17,$P$24,$18:$18)+100)/100</f>
        <v>1</v>
      </c>
      <c r="R361" s="2772" t="n">
        <f aca="false">IF(B361="",0,ROUND($R$24*C361*E361*G361*I361*K361*M361*O361*Q361,0))</f>
        <v>0</v>
      </c>
      <c r="S361" s="2771" t="n">
        <f aca="false">ROUND(R361*B361/10000,0)</f>
        <v>0</v>
      </c>
    </row>
    <row r="362" customFormat="false" ht="12.75" hidden="false" customHeight="false" outlineLevel="0" collapsed="false">
      <c r="A362" s="1016"/>
      <c r="B362" s="2781"/>
      <c r="C362" s="478" t="n">
        <f aca="false">IF(B362="",1,(LOOKUP(B362,$3:$3,$4:$4)-LOOKUP($B$24,$3:$3,$4:$4)+100)/100)</f>
        <v>1</v>
      </c>
      <c r="D362" s="2782"/>
      <c r="E362" s="478" t="n">
        <f aca="false">(SUMIF($5:$5,D362,$6:$6)-SUMIF($5:$5,$D$24,$6:$6)+100)/100</f>
        <v>1</v>
      </c>
      <c r="F362" s="2782"/>
      <c r="G362" s="478" t="n">
        <f aca="false">(SUMIF($7:$7,F362,$8:$8)-SUMIF($7:$7,$F$24,$8:$8)+100)/100</f>
        <v>1</v>
      </c>
      <c r="H362" s="2782"/>
      <c r="I362" s="478" t="n">
        <f aca="false">(SUMIF($9:$9,H362,$10:$10)-SUMIF($9:$9,$H$24,$10:$10)+100)/100</f>
        <v>1</v>
      </c>
      <c r="J362" s="2782"/>
      <c r="K362" s="478" t="n">
        <f aca="false">(SUMIF($11:$11,J362,$12:$12)-SUMIF($11:$11,$J$24,$12:$12)+100)/100</f>
        <v>1</v>
      </c>
      <c r="L362" s="2782"/>
      <c r="M362" s="478" t="n">
        <f aca="false">(SUMIF($13:$13,L362,$14:$14)-SUMIF($13:$13,$L$24,$14:$14)+100)/100</f>
        <v>1</v>
      </c>
      <c r="N362" s="2782"/>
      <c r="O362" s="478" t="n">
        <f aca="false">(SUMIF($15:$15,N362,$16:$16)-SUMIF($15:$15,$N$24,$16:$16)+100)/100</f>
        <v>1</v>
      </c>
      <c r="P362" s="2782"/>
      <c r="Q362" s="478" t="n">
        <f aca="false">(SUMIF($17:$17,P362,$18:$18)-SUMIF($17:$17,$P$24,$18:$18)+100)/100</f>
        <v>1</v>
      </c>
      <c r="R362" s="2772" t="n">
        <f aca="false">IF(B362="",0,ROUND($R$24*C362*E362*G362*I362*K362*M362*O362*Q362,0))</f>
        <v>0</v>
      </c>
      <c r="S362" s="2771" t="n">
        <f aca="false">ROUND(R362*B362/10000,0)</f>
        <v>0</v>
      </c>
    </row>
    <row r="363" customFormat="false" ht="12.75" hidden="false" customHeight="false" outlineLevel="0" collapsed="false">
      <c r="A363" s="1016"/>
      <c r="B363" s="2781"/>
      <c r="C363" s="478" t="n">
        <f aca="false">IF(B363="",1,(LOOKUP(B363,$3:$3,$4:$4)-LOOKUP($B$24,$3:$3,$4:$4)+100)/100)</f>
        <v>1</v>
      </c>
      <c r="D363" s="2782"/>
      <c r="E363" s="478" t="n">
        <f aca="false">(SUMIF($5:$5,D363,$6:$6)-SUMIF($5:$5,$D$24,$6:$6)+100)/100</f>
        <v>1</v>
      </c>
      <c r="F363" s="2782"/>
      <c r="G363" s="478" t="n">
        <f aca="false">(SUMIF($7:$7,F363,$8:$8)-SUMIF($7:$7,$F$24,$8:$8)+100)/100</f>
        <v>1</v>
      </c>
      <c r="H363" s="2782"/>
      <c r="I363" s="478" t="n">
        <f aca="false">(SUMIF($9:$9,H363,$10:$10)-SUMIF($9:$9,$H$24,$10:$10)+100)/100</f>
        <v>1</v>
      </c>
      <c r="J363" s="2782"/>
      <c r="K363" s="478" t="n">
        <f aca="false">(SUMIF($11:$11,J363,$12:$12)-SUMIF($11:$11,$J$24,$12:$12)+100)/100</f>
        <v>1</v>
      </c>
      <c r="L363" s="2782"/>
      <c r="M363" s="478" t="n">
        <f aca="false">(SUMIF($13:$13,L363,$14:$14)-SUMIF($13:$13,$L$24,$14:$14)+100)/100</f>
        <v>1</v>
      </c>
      <c r="N363" s="2782"/>
      <c r="O363" s="478" t="n">
        <f aca="false">(SUMIF($15:$15,N363,$16:$16)-SUMIF($15:$15,$N$24,$16:$16)+100)/100</f>
        <v>1</v>
      </c>
      <c r="P363" s="2782"/>
      <c r="Q363" s="478" t="n">
        <f aca="false">(SUMIF($17:$17,P363,$18:$18)-SUMIF($17:$17,$P$24,$18:$18)+100)/100</f>
        <v>1</v>
      </c>
      <c r="R363" s="2772" t="n">
        <f aca="false">IF(B363="",0,ROUND($R$24*C363*E363*G363*I363*K363*M363*O363*Q363,0))</f>
        <v>0</v>
      </c>
      <c r="S363" s="2771" t="n">
        <f aca="false">ROUND(R363*B363/10000,0)</f>
        <v>0</v>
      </c>
    </row>
    <row r="364" customFormat="false" ht="12.75" hidden="false" customHeight="false" outlineLevel="0" collapsed="false">
      <c r="A364" s="1016"/>
      <c r="B364" s="2781"/>
      <c r="C364" s="478" t="n">
        <f aca="false">IF(B364="",1,(LOOKUP(B364,$3:$3,$4:$4)-LOOKUP($B$24,$3:$3,$4:$4)+100)/100)</f>
        <v>1</v>
      </c>
      <c r="D364" s="2782"/>
      <c r="E364" s="478" t="n">
        <f aca="false">(SUMIF($5:$5,D364,$6:$6)-SUMIF($5:$5,$D$24,$6:$6)+100)/100</f>
        <v>1</v>
      </c>
      <c r="F364" s="2782"/>
      <c r="G364" s="478" t="n">
        <f aca="false">(SUMIF($7:$7,F364,$8:$8)-SUMIF($7:$7,$F$24,$8:$8)+100)/100</f>
        <v>1</v>
      </c>
      <c r="H364" s="2782"/>
      <c r="I364" s="478" t="n">
        <f aca="false">(SUMIF($9:$9,H364,$10:$10)-SUMIF($9:$9,$H$24,$10:$10)+100)/100</f>
        <v>1</v>
      </c>
      <c r="J364" s="2782"/>
      <c r="K364" s="478" t="n">
        <f aca="false">(SUMIF($11:$11,J364,$12:$12)-SUMIF($11:$11,$J$24,$12:$12)+100)/100</f>
        <v>1</v>
      </c>
      <c r="L364" s="2782"/>
      <c r="M364" s="478" t="n">
        <f aca="false">(SUMIF($13:$13,L364,$14:$14)-SUMIF($13:$13,$L$24,$14:$14)+100)/100</f>
        <v>1</v>
      </c>
      <c r="N364" s="2782"/>
      <c r="O364" s="478" t="n">
        <f aca="false">(SUMIF($15:$15,N364,$16:$16)-SUMIF($15:$15,$N$24,$16:$16)+100)/100</f>
        <v>1</v>
      </c>
      <c r="P364" s="2782"/>
      <c r="Q364" s="478" t="n">
        <f aca="false">(SUMIF($17:$17,P364,$18:$18)-SUMIF($17:$17,$P$24,$18:$18)+100)/100</f>
        <v>1</v>
      </c>
      <c r="R364" s="2772" t="n">
        <f aca="false">IF(B364="",0,ROUND($R$24*C364*E364*G364*I364*K364*M364*O364*Q364,0))</f>
        <v>0</v>
      </c>
      <c r="S364" s="2771" t="n">
        <f aca="false">ROUND(R364*B364/10000,0)</f>
        <v>0</v>
      </c>
    </row>
    <row r="365" customFormat="false" ht="12.75" hidden="false" customHeight="false" outlineLevel="0" collapsed="false">
      <c r="A365" s="1016"/>
      <c r="B365" s="2781"/>
      <c r="C365" s="478" t="n">
        <f aca="false">IF(B365="",1,(LOOKUP(B365,$3:$3,$4:$4)-LOOKUP($B$24,$3:$3,$4:$4)+100)/100)</f>
        <v>1</v>
      </c>
      <c r="D365" s="2782"/>
      <c r="E365" s="478" t="n">
        <f aca="false">(SUMIF($5:$5,D365,$6:$6)-SUMIF($5:$5,$D$24,$6:$6)+100)/100</f>
        <v>1</v>
      </c>
      <c r="F365" s="2782"/>
      <c r="G365" s="478" t="n">
        <f aca="false">(SUMIF($7:$7,F365,$8:$8)-SUMIF($7:$7,$F$24,$8:$8)+100)/100</f>
        <v>1</v>
      </c>
      <c r="H365" s="2782"/>
      <c r="I365" s="478" t="n">
        <f aca="false">(SUMIF($9:$9,H365,$10:$10)-SUMIF($9:$9,$H$24,$10:$10)+100)/100</f>
        <v>1</v>
      </c>
      <c r="J365" s="2782"/>
      <c r="K365" s="478" t="n">
        <f aca="false">(SUMIF($11:$11,J365,$12:$12)-SUMIF($11:$11,$J$24,$12:$12)+100)/100</f>
        <v>1</v>
      </c>
      <c r="L365" s="2782"/>
      <c r="M365" s="478" t="n">
        <f aca="false">(SUMIF($13:$13,L365,$14:$14)-SUMIF($13:$13,$L$24,$14:$14)+100)/100</f>
        <v>1</v>
      </c>
      <c r="N365" s="2782"/>
      <c r="O365" s="478" t="n">
        <f aca="false">(SUMIF($15:$15,N365,$16:$16)-SUMIF($15:$15,$N$24,$16:$16)+100)/100</f>
        <v>1</v>
      </c>
      <c r="P365" s="2782"/>
      <c r="Q365" s="478" t="n">
        <f aca="false">(SUMIF($17:$17,P365,$18:$18)-SUMIF($17:$17,$P$24,$18:$18)+100)/100</f>
        <v>1</v>
      </c>
      <c r="R365" s="2772" t="n">
        <f aca="false">IF(B365="",0,ROUND($R$24*C365*E365*G365*I365*K365*M365*O365*Q365,0))</f>
        <v>0</v>
      </c>
      <c r="S365" s="2771" t="n">
        <f aca="false">ROUND(R365*B365/10000,0)</f>
        <v>0</v>
      </c>
    </row>
    <row r="366" customFormat="false" ht="12.75" hidden="false" customHeight="false" outlineLevel="0" collapsed="false">
      <c r="A366" s="1016"/>
      <c r="B366" s="2781"/>
      <c r="C366" s="478" t="n">
        <f aca="false">IF(B366="",1,(LOOKUP(B366,$3:$3,$4:$4)-LOOKUP($B$24,$3:$3,$4:$4)+100)/100)</f>
        <v>1</v>
      </c>
      <c r="D366" s="2782"/>
      <c r="E366" s="478" t="n">
        <f aca="false">(SUMIF($5:$5,D366,$6:$6)-SUMIF($5:$5,$D$24,$6:$6)+100)/100</f>
        <v>1</v>
      </c>
      <c r="F366" s="2782"/>
      <c r="G366" s="478" t="n">
        <f aca="false">(SUMIF($7:$7,F366,$8:$8)-SUMIF($7:$7,$F$24,$8:$8)+100)/100</f>
        <v>1</v>
      </c>
      <c r="H366" s="2782"/>
      <c r="I366" s="478" t="n">
        <f aca="false">(SUMIF($9:$9,H366,$10:$10)-SUMIF($9:$9,$H$24,$10:$10)+100)/100</f>
        <v>1</v>
      </c>
      <c r="J366" s="2782"/>
      <c r="K366" s="478" t="n">
        <f aca="false">(SUMIF($11:$11,J366,$12:$12)-SUMIF($11:$11,$J$24,$12:$12)+100)/100</f>
        <v>1</v>
      </c>
      <c r="L366" s="2782"/>
      <c r="M366" s="478" t="n">
        <f aca="false">(SUMIF($13:$13,L366,$14:$14)-SUMIF($13:$13,$L$24,$14:$14)+100)/100</f>
        <v>1</v>
      </c>
      <c r="N366" s="2782"/>
      <c r="O366" s="478" t="n">
        <f aca="false">(SUMIF($15:$15,N366,$16:$16)-SUMIF($15:$15,$N$24,$16:$16)+100)/100</f>
        <v>1</v>
      </c>
      <c r="P366" s="2782"/>
      <c r="Q366" s="478" t="n">
        <f aca="false">(SUMIF($17:$17,P366,$18:$18)-SUMIF($17:$17,$P$24,$18:$18)+100)/100</f>
        <v>1</v>
      </c>
      <c r="R366" s="2772" t="n">
        <f aca="false">IF(B366="",0,ROUND($R$24*C366*E366*G366*I366*K366*M366*O366*Q366,0))</f>
        <v>0</v>
      </c>
      <c r="S366" s="2771" t="n">
        <f aca="false">ROUND(R366*B366/10000,0)</f>
        <v>0</v>
      </c>
    </row>
    <row r="367" customFormat="false" ht="12.75" hidden="false" customHeight="false" outlineLevel="0" collapsed="false">
      <c r="A367" s="1016"/>
      <c r="B367" s="2781"/>
      <c r="C367" s="478" t="n">
        <f aca="false">IF(B367="",1,(LOOKUP(B367,$3:$3,$4:$4)-LOOKUP($B$24,$3:$3,$4:$4)+100)/100)</f>
        <v>1</v>
      </c>
      <c r="D367" s="2782"/>
      <c r="E367" s="478" t="n">
        <f aca="false">(SUMIF($5:$5,D367,$6:$6)-SUMIF($5:$5,$D$24,$6:$6)+100)/100</f>
        <v>1</v>
      </c>
      <c r="F367" s="2782"/>
      <c r="G367" s="478" t="n">
        <f aca="false">(SUMIF($7:$7,F367,$8:$8)-SUMIF($7:$7,$F$24,$8:$8)+100)/100</f>
        <v>1</v>
      </c>
      <c r="H367" s="2782"/>
      <c r="I367" s="478" t="n">
        <f aca="false">(SUMIF($9:$9,H367,$10:$10)-SUMIF($9:$9,$H$24,$10:$10)+100)/100</f>
        <v>1</v>
      </c>
      <c r="J367" s="2782"/>
      <c r="K367" s="478" t="n">
        <f aca="false">(SUMIF($11:$11,J367,$12:$12)-SUMIF($11:$11,$J$24,$12:$12)+100)/100</f>
        <v>1</v>
      </c>
      <c r="L367" s="2782"/>
      <c r="M367" s="478" t="n">
        <f aca="false">(SUMIF($13:$13,L367,$14:$14)-SUMIF($13:$13,$L$24,$14:$14)+100)/100</f>
        <v>1</v>
      </c>
      <c r="N367" s="2782"/>
      <c r="O367" s="478" t="n">
        <f aca="false">(SUMIF($15:$15,N367,$16:$16)-SUMIF($15:$15,$N$24,$16:$16)+100)/100</f>
        <v>1</v>
      </c>
      <c r="P367" s="2782"/>
      <c r="Q367" s="478" t="n">
        <f aca="false">(SUMIF($17:$17,P367,$18:$18)-SUMIF($17:$17,$P$24,$18:$18)+100)/100</f>
        <v>1</v>
      </c>
      <c r="R367" s="2772" t="n">
        <f aca="false">IF(B367="",0,ROUND($R$24*C367*E367*G367*I367*K367*M367*O367*Q367,0))</f>
        <v>0</v>
      </c>
      <c r="S367" s="2771" t="n">
        <f aca="false">ROUND(R367*B367/10000,0)</f>
        <v>0</v>
      </c>
    </row>
    <row r="368" customFormat="false" ht="12.75" hidden="false" customHeight="false" outlineLevel="0" collapsed="false">
      <c r="A368" s="1016"/>
      <c r="B368" s="2781"/>
      <c r="C368" s="478" t="n">
        <f aca="false">IF(B368="",1,(LOOKUP(B368,$3:$3,$4:$4)-LOOKUP($B$24,$3:$3,$4:$4)+100)/100)</f>
        <v>1</v>
      </c>
      <c r="D368" s="2782"/>
      <c r="E368" s="478" t="n">
        <f aca="false">(SUMIF($5:$5,D368,$6:$6)-SUMIF($5:$5,$D$24,$6:$6)+100)/100</f>
        <v>1</v>
      </c>
      <c r="F368" s="2782"/>
      <c r="G368" s="478" t="n">
        <f aca="false">(SUMIF($7:$7,F368,$8:$8)-SUMIF($7:$7,$F$24,$8:$8)+100)/100</f>
        <v>1</v>
      </c>
      <c r="H368" s="2782"/>
      <c r="I368" s="478" t="n">
        <f aca="false">(SUMIF($9:$9,H368,$10:$10)-SUMIF($9:$9,$H$24,$10:$10)+100)/100</f>
        <v>1</v>
      </c>
      <c r="J368" s="2782"/>
      <c r="K368" s="478" t="n">
        <f aca="false">(SUMIF($11:$11,J368,$12:$12)-SUMIF($11:$11,$J$24,$12:$12)+100)/100</f>
        <v>1</v>
      </c>
      <c r="L368" s="2782"/>
      <c r="M368" s="478" t="n">
        <f aca="false">(SUMIF($13:$13,L368,$14:$14)-SUMIF($13:$13,$L$24,$14:$14)+100)/100</f>
        <v>1</v>
      </c>
      <c r="N368" s="2782"/>
      <c r="O368" s="478" t="n">
        <f aca="false">(SUMIF($15:$15,N368,$16:$16)-SUMIF($15:$15,$N$24,$16:$16)+100)/100</f>
        <v>1</v>
      </c>
      <c r="P368" s="2782"/>
      <c r="Q368" s="478" t="n">
        <f aca="false">(SUMIF($17:$17,P368,$18:$18)-SUMIF($17:$17,$P$24,$18:$18)+100)/100</f>
        <v>1</v>
      </c>
      <c r="R368" s="2772" t="n">
        <f aca="false">IF(B368="",0,ROUND($R$24*C368*E368*G368*I368*K368*M368*O368*Q368,0))</f>
        <v>0</v>
      </c>
      <c r="S368" s="2771" t="n">
        <f aca="false">ROUND(R368*B368/10000,0)</f>
        <v>0</v>
      </c>
    </row>
    <row r="369" customFormat="false" ht="12.75" hidden="false" customHeight="false" outlineLevel="0" collapsed="false">
      <c r="A369" s="1016"/>
      <c r="B369" s="2781"/>
      <c r="C369" s="478" t="n">
        <f aca="false">IF(B369="",1,(LOOKUP(B369,$3:$3,$4:$4)-LOOKUP($B$24,$3:$3,$4:$4)+100)/100)</f>
        <v>1</v>
      </c>
      <c r="D369" s="2782"/>
      <c r="E369" s="478" t="n">
        <f aca="false">(SUMIF($5:$5,D369,$6:$6)-SUMIF($5:$5,$D$24,$6:$6)+100)/100</f>
        <v>1</v>
      </c>
      <c r="F369" s="2782"/>
      <c r="G369" s="478" t="n">
        <f aca="false">(SUMIF($7:$7,F369,$8:$8)-SUMIF($7:$7,$F$24,$8:$8)+100)/100</f>
        <v>1</v>
      </c>
      <c r="H369" s="2782"/>
      <c r="I369" s="478" t="n">
        <f aca="false">(SUMIF($9:$9,H369,$10:$10)-SUMIF($9:$9,$H$24,$10:$10)+100)/100</f>
        <v>1</v>
      </c>
      <c r="J369" s="2782"/>
      <c r="K369" s="478" t="n">
        <f aca="false">(SUMIF($11:$11,J369,$12:$12)-SUMIF($11:$11,$J$24,$12:$12)+100)/100</f>
        <v>1</v>
      </c>
      <c r="L369" s="2782"/>
      <c r="M369" s="478" t="n">
        <f aca="false">(SUMIF($13:$13,L369,$14:$14)-SUMIF($13:$13,$L$24,$14:$14)+100)/100</f>
        <v>1</v>
      </c>
      <c r="N369" s="2782"/>
      <c r="O369" s="478" t="n">
        <f aca="false">(SUMIF($15:$15,N369,$16:$16)-SUMIF($15:$15,$N$24,$16:$16)+100)/100</f>
        <v>1</v>
      </c>
      <c r="P369" s="2782"/>
      <c r="Q369" s="478" t="n">
        <f aca="false">(SUMIF($17:$17,P369,$18:$18)-SUMIF($17:$17,$P$24,$18:$18)+100)/100</f>
        <v>1</v>
      </c>
      <c r="R369" s="2772" t="n">
        <f aca="false">IF(B369="",0,ROUND($R$24*C369*E369*G369*I369*K369*M369*O369*Q369,0))</f>
        <v>0</v>
      </c>
      <c r="S369" s="2771" t="n">
        <f aca="false">ROUND(R369*B369/10000,0)</f>
        <v>0</v>
      </c>
    </row>
    <row r="370" customFormat="false" ht="12.75" hidden="false" customHeight="false" outlineLevel="0" collapsed="false">
      <c r="A370" s="1016"/>
      <c r="B370" s="2781"/>
      <c r="C370" s="478" t="n">
        <f aca="false">IF(B370="",1,(LOOKUP(B370,$3:$3,$4:$4)-LOOKUP($B$24,$3:$3,$4:$4)+100)/100)</f>
        <v>1</v>
      </c>
      <c r="D370" s="2782"/>
      <c r="E370" s="478" t="n">
        <f aca="false">(SUMIF($5:$5,D370,$6:$6)-SUMIF($5:$5,$D$24,$6:$6)+100)/100</f>
        <v>1</v>
      </c>
      <c r="F370" s="2782"/>
      <c r="G370" s="478" t="n">
        <f aca="false">(SUMIF($7:$7,F370,$8:$8)-SUMIF($7:$7,$F$24,$8:$8)+100)/100</f>
        <v>1</v>
      </c>
      <c r="H370" s="2782"/>
      <c r="I370" s="478" t="n">
        <f aca="false">(SUMIF($9:$9,H370,$10:$10)-SUMIF($9:$9,$H$24,$10:$10)+100)/100</f>
        <v>1</v>
      </c>
      <c r="J370" s="2782"/>
      <c r="K370" s="478" t="n">
        <f aca="false">(SUMIF($11:$11,J370,$12:$12)-SUMIF($11:$11,$J$24,$12:$12)+100)/100</f>
        <v>1</v>
      </c>
      <c r="L370" s="2782"/>
      <c r="M370" s="478" t="n">
        <f aca="false">(SUMIF($13:$13,L370,$14:$14)-SUMIF($13:$13,$L$24,$14:$14)+100)/100</f>
        <v>1</v>
      </c>
      <c r="N370" s="2782"/>
      <c r="O370" s="478" t="n">
        <f aca="false">(SUMIF($15:$15,N370,$16:$16)-SUMIF($15:$15,$N$24,$16:$16)+100)/100</f>
        <v>1</v>
      </c>
      <c r="P370" s="2782"/>
      <c r="Q370" s="478" t="n">
        <f aca="false">(SUMIF($17:$17,P370,$18:$18)-SUMIF($17:$17,$P$24,$18:$18)+100)/100</f>
        <v>1</v>
      </c>
      <c r="R370" s="2772" t="n">
        <f aca="false">IF(B370="",0,ROUND($R$24*C370*E370*G370*I370*K370*M370*O370*Q370,0))</f>
        <v>0</v>
      </c>
      <c r="S370" s="2771" t="n">
        <f aca="false">ROUND(R370*B370/10000,0)</f>
        <v>0</v>
      </c>
    </row>
    <row r="371" customFormat="false" ht="12.75" hidden="false" customHeight="false" outlineLevel="0" collapsed="false">
      <c r="A371" s="1016"/>
      <c r="B371" s="2781"/>
      <c r="C371" s="478" t="n">
        <f aca="false">IF(B371="",1,(LOOKUP(B371,$3:$3,$4:$4)-LOOKUP($B$24,$3:$3,$4:$4)+100)/100)</f>
        <v>1</v>
      </c>
      <c r="D371" s="2782"/>
      <c r="E371" s="478" t="n">
        <f aca="false">(SUMIF($5:$5,D371,$6:$6)-SUMIF($5:$5,$D$24,$6:$6)+100)/100</f>
        <v>1</v>
      </c>
      <c r="F371" s="2782"/>
      <c r="G371" s="478" t="n">
        <f aca="false">(SUMIF($7:$7,F371,$8:$8)-SUMIF($7:$7,$F$24,$8:$8)+100)/100</f>
        <v>1</v>
      </c>
      <c r="H371" s="2782"/>
      <c r="I371" s="478" t="n">
        <f aca="false">(SUMIF($9:$9,H371,$10:$10)-SUMIF($9:$9,$H$24,$10:$10)+100)/100</f>
        <v>1</v>
      </c>
      <c r="J371" s="2782"/>
      <c r="K371" s="478" t="n">
        <f aca="false">(SUMIF($11:$11,J371,$12:$12)-SUMIF($11:$11,$J$24,$12:$12)+100)/100</f>
        <v>1</v>
      </c>
      <c r="L371" s="2782"/>
      <c r="M371" s="478" t="n">
        <f aca="false">(SUMIF($13:$13,L371,$14:$14)-SUMIF($13:$13,$L$24,$14:$14)+100)/100</f>
        <v>1</v>
      </c>
      <c r="N371" s="2782"/>
      <c r="O371" s="478" t="n">
        <f aca="false">(SUMIF($15:$15,N371,$16:$16)-SUMIF($15:$15,$N$24,$16:$16)+100)/100</f>
        <v>1</v>
      </c>
      <c r="P371" s="2782"/>
      <c r="Q371" s="478" t="n">
        <f aca="false">(SUMIF($17:$17,P371,$18:$18)-SUMIF($17:$17,$P$24,$18:$18)+100)/100</f>
        <v>1</v>
      </c>
      <c r="R371" s="2772" t="n">
        <f aca="false">IF(B371="",0,ROUND($R$24*C371*E371*G371*I371*K371*M371*O371*Q371,0))</f>
        <v>0</v>
      </c>
      <c r="S371" s="2771" t="n">
        <f aca="false">ROUND(R371*B371/10000,0)</f>
        <v>0</v>
      </c>
    </row>
    <row r="372" customFormat="false" ht="12.75" hidden="false" customHeight="false" outlineLevel="0" collapsed="false">
      <c r="A372" s="1016"/>
      <c r="B372" s="2781"/>
      <c r="C372" s="478" t="n">
        <f aca="false">IF(B372="",1,(LOOKUP(B372,$3:$3,$4:$4)-LOOKUP($B$24,$3:$3,$4:$4)+100)/100)</f>
        <v>1</v>
      </c>
      <c r="D372" s="2782"/>
      <c r="E372" s="478" t="n">
        <f aca="false">(SUMIF($5:$5,D372,$6:$6)-SUMIF($5:$5,$D$24,$6:$6)+100)/100</f>
        <v>1</v>
      </c>
      <c r="F372" s="2782"/>
      <c r="G372" s="478" t="n">
        <f aca="false">(SUMIF($7:$7,F372,$8:$8)-SUMIF($7:$7,$F$24,$8:$8)+100)/100</f>
        <v>1</v>
      </c>
      <c r="H372" s="2782"/>
      <c r="I372" s="478" t="n">
        <f aca="false">(SUMIF($9:$9,H372,$10:$10)-SUMIF($9:$9,$H$24,$10:$10)+100)/100</f>
        <v>1</v>
      </c>
      <c r="J372" s="2782"/>
      <c r="K372" s="478" t="n">
        <f aca="false">(SUMIF($11:$11,J372,$12:$12)-SUMIF($11:$11,$J$24,$12:$12)+100)/100</f>
        <v>1</v>
      </c>
      <c r="L372" s="2782"/>
      <c r="M372" s="478" t="n">
        <f aca="false">(SUMIF($13:$13,L372,$14:$14)-SUMIF($13:$13,$L$24,$14:$14)+100)/100</f>
        <v>1</v>
      </c>
      <c r="N372" s="2782"/>
      <c r="O372" s="478" t="n">
        <f aca="false">(SUMIF($15:$15,N372,$16:$16)-SUMIF($15:$15,$N$24,$16:$16)+100)/100</f>
        <v>1</v>
      </c>
      <c r="P372" s="2782"/>
      <c r="Q372" s="478" t="n">
        <f aca="false">(SUMIF($17:$17,P372,$18:$18)-SUMIF($17:$17,$P$24,$18:$18)+100)/100</f>
        <v>1</v>
      </c>
      <c r="R372" s="2772" t="n">
        <f aca="false">IF(B372="",0,ROUND($R$24*C372*E372*G372*I372*K372*M372*O372*Q372,0))</f>
        <v>0</v>
      </c>
      <c r="S372" s="2771" t="n">
        <f aca="false">ROUND(R372*B372/10000,0)</f>
        <v>0</v>
      </c>
    </row>
    <row r="373" customFormat="false" ht="12.75" hidden="false" customHeight="false" outlineLevel="0" collapsed="false">
      <c r="A373" s="1016"/>
      <c r="B373" s="2781"/>
      <c r="C373" s="478" t="n">
        <f aca="false">IF(B373="",1,(LOOKUP(B373,$3:$3,$4:$4)-LOOKUP($B$24,$3:$3,$4:$4)+100)/100)</f>
        <v>1</v>
      </c>
      <c r="D373" s="2782"/>
      <c r="E373" s="478" t="n">
        <f aca="false">(SUMIF($5:$5,D373,$6:$6)-SUMIF($5:$5,$D$24,$6:$6)+100)/100</f>
        <v>1</v>
      </c>
      <c r="F373" s="2782"/>
      <c r="G373" s="478" t="n">
        <f aca="false">(SUMIF($7:$7,F373,$8:$8)-SUMIF($7:$7,$F$24,$8:$8)+100)/100</f>
        <v>1</v>
      </c>
      <c r="H373" s="2782"/>
      <c r="I373" s="478" t="n">
        <f aca="false">(SUMIF($9:$9,H373,$10:$10)-SUMIF($9:$9,$H$24,$10:$10)+100)/100</f>
        <v>1</v>
      </c>
      <c r="J373" s="2782"/>
      <c r="K373" s="478" t="n">
        <f aca="false">(SUMIF($11:$11,J373,$12:$12)-SUMIF($11:$11,$J$24,$12:$12)+100)/100</f>
        <v>1</v>
      </c>
      <c r="L373" s="2782"/>
      <c r="M373" s="478" t="n">
        <f aca="false">(SUMIF($13:$13,L373,$14:$14)-SUMIF($13:$13,$L$24,$14:$14)+100)/100</f>
        <v>1</v>
      </c>
      <c r="N373" s="2782"/>
      <c r="O373" s="478" t="n">
        <f aca="false">(SUMIF($15:$15,N373,$16:$16)-SUMIF($15:$15,$N$24,$16:$16)+100)/100</f>
        <v>1</v>
      </c>
      <c r="P373" s="2782"/>
      <c r="Q373" s="478" t="n">
        <f aca="false">(SUMIF($17:$17,P373,$18:$18)-SUMIF($17:$17,$P$24,$18:$18)+100)/100</f>
        <v>1</v>
      </c>
      <c r="R373" s="2772" t="n">
        <f aca="false">IF(B373="",0,ROUND($R$24*C373*E373*G373*I373*K373*M373*O373*Q373,0))</f>
        <v>0</v>
      </c>
      <c r="S373" s="2771" t="n">
        <f aca="false">ROUND(R373*B373/10000,0)</f>
        <v>0</v>
      </c>
    </row>
    <row r="374" customFormat="false" ht="12.75" hidden="false" customHeight="false" outlineLevel="0" collapsed="false">
      <c r="A374" s="1016"/>
      <c r="B374" s="2781"/>
      <c r="C374" s="478" t="n">
        <f aca="false">IF(B374="",1,(LOOKUP(B374,$3:$3,$4:$4)-LOOKUP($B$24,$3:$3,$4:$4)+100)/100)</f>
        <v>1</v>
      </c>
      <c r="D374" s="2782"/>
      <c r="E374" s="478" t="n">
        <f aca="false">(SUMIF($5:$5,D374,$6:$6)-SUMIF($5:$5,$D$24,$6:$6)+100)/100</f>
        <v>1</v>
      </c>
      <c r="F374" s="2782"/>
      <c r="G374" s="478" t="n">
        <f aca="false">(SUMIF($7:$7,F374,$8:$8)-SUMIF($7:$7,$F$24,$8:$8)+100)/100</f>
        <v>1</v>
      </c>
      <c r="H374" s="2782"/>
      <c r="I374" s="478" t="n">
        <f aca="false">(SUMIF($9:$9,H374,$10:$10)-SUMIF($9:$9,$H$24,$10:$10)+100)/100</f>
        <v>1</v>
      </c>
      <c r="J374" s="2782"/>
      <c r="K374" s="478" t="n">
        <f aca="false">(SUMIF($11:$11,J374,$12:$12)-SUMIF($11:$11,$J$24,$12:$12)+100)/100</f>
        <v>1</v>
      </c>
      <c r="L374" s="2782"/>
      <c r="M374" s="478" t="n">
        <f aca="false">(SUMIF($13:$13,L374,$14:$14)-SUMIF($13:$13,$L$24,$14:$14)+100)/100</f>
        <v>1</v>
      </c>
      <c r="N374" s="2782"/>
      <c r="O374" s="478" t="n">
        <f aca="false">(SUMIF($15:$15,N374,$16:$16)-SUMIF($15:$15,$N$24,$16:$16)+100)/100</f>
        <v>1</v>
      </c>
      <c r="P374" s="2782"/>
      <c r="Q374" s="478" t="n">
        <f aca="false">(SUMIF($17:$17,P374,$18:$18)-SUMIF($17:$17,$P$24,$18:$18)+100)/100</f>
        <v>1</v>
      </c>
      <c r="R374" s="2772" t="n">
        <f aca="false">IF(B374="",0,ROUND($R$24*C374*E374*G374*I374*K374*M374*O374*Q374,0))</f>
        <v>0</v>
      </c>
      <c r="S374" s="2771" t="n">
        <f aca="false">ROUND(R374*B374/10000,0)</f>
        <v>0</v>
      </c>
    </row>
    <row r="375" customFormat="false" ht="12.75" hidden="false" customHeight="false" outlineLevel="0" collapsed="false">
      <c r="A375" s="1016"/>
      <c r="B375" s="2781"/>
      <c r="C375" s="478" t="n">
        <f aca="false">IF(B375="",1,(LOOKUP(B375,$3:$3,$4:$4)-LOOKUP($B$24,$3:$3,$4:$4)+100)/100)</f>
        <v>1</v>
      </c>
      <c r="D375" s="2782"/>
      <c r="E375" s="478" t="n">
        <f aca="false">(SUMIF($5:$5,D375,$6:$6)-SUMIF($5:$5,$D$24,$6:$6)+100)/100</f>
        <v>1</v>
      </c>
      <c r="F375" s="2782"/>
      <c r="G375" s="478" t="n">
        <f aca="false">(SUMIF($7:$7,F375,$8:$8)-SUMIF($7:$7,$F$24,$8:$8)+100)/100</f>
        <v>1</v>
      </c>
      <c r="H375" s="2782"/>
      <c r="I375" s="478" t="n">
        <f aca="false">(SUMIF($9:$9,H375,$10:$10)-SUMIF($9:$9,$H$24,$10:$10)+100)/100</f>
        <v>1</v>
      </c>
      <c r="J375" s="2782"/>
      <c r="K375" s="478" t="n">
        <f aca="false">(SUMIF($11:$11,J375,$12:$12)-SUMIF($11:$11,$J$24,$12:$12)+100)/100</f>
        <v>1</v>
      </c>
      <c r="L375" s="2782"/>
      <c r="M375" s="478" t="n">
        <f aca="false">(SUMIF($13:$13,L375,$14:$14)-SUMIF($13:$13,$L$24,$14:$14)+100)/100</f>
        <v>1</v>
      </c>
      <c r="N375" s="2782"/>
      <c r="O375" s="478" t="n">
        <f aca="false">(SUMIF($15:$15,N375,$16:$16)-SUMIF($15:$15,$N$24,$16:$16)+100)/100</f>
        <v>1</v>
      </c>
      <c r="P375" s="2782"/>
      <c r="Q375" s="478" t="n">
        <f aca="false">(SUMIF($17:$17,P375,$18:$18)-SUMIF($17:$17,$P$24,$18:$18)+100)/100</f>
        <v>1</v>
      </c>
      <c r="R375" s="2772" t="n">
        <f aca="false">IF(B375="",0,ROUND($R$24*C375*E375*G375*I375*K375*M375*O375*Q375,0))</f>
        <v>0</v>
      </c>
      <c r="S375" s="2771" t="n">
        <f aca="false">ROUND(R375*B375/10000,0)</f>
        <v>0</v>
      </c>
    </row>
    <row r="376" customFormat="false" ht="12.75" hidden="false" customHeight="false" outlineLevel="0" collapsed="false">
      <c r="A376" s="1016"/>
      <c r="B376" s="2781"/>
      <c r="C376" s="478" t="n">
        <f aca="false">IF(B376="",1,(LOOKUP(B376,$3:$3,$4:$4)-LOOKUP($B$24,$3:$3,$4:$4)+100)/100)</f>
        <v>1</v>
      </c>
      <c r="D376" s="2782"/>
      <c r="E376" s="478" t="n">
        <f aca="false">(SUMIF($5:$5,D376,$6:$6)-SUMIF($5:$5,$D$24,$6:$6)+100)/100</f>
        <v>1</v>
      </c>
      <c r="F376" s="2782"/>
      <c r="G376" s="478" t="n">
        <f aca="false">(SUMIF($7:$7,F376,$8:$8)-SUMIF($7:$7,$F$24,$8:$8)+100)/100</f>
        <v>1</v>
      </c>
      <c r="H376" s="2782"/>
      <c r="I376" s="478" t="n">
        <f aca="false">(SUMIF($9:$9,H376,$10:$10)-SUMIF($9:$9,$H$24,$10:$10)+100)/100</f>
        <v>1</v>
      </c>
      <c r="J376" s="2782"/>
      <c r="K376" s="478" t="n">
        <f aca="false">(SUMIF($11:$11,J376,$12:$12)-SUMIF($11:$11,$J$24,$12:$12)+100)/100</f>
        <v>1</v>
      </c>
      <c r="L376" s="2782"/>
      <c r="M376" s="478" t="n">
        <f aca="false">(SUMIF($13:$13,L376,$14:$14)-SUMIF($13:$13,$L$24,$14:$14)+100)/100</f>
        <v>1</v>
      </c>
      <c r="N376" s="2782"/>
      <c r="O376" s="478" t="n">
        <f aca="false">(SUMIF($15:$15,N376,$16:$16)-SUMIF($15:$15,$N$24,$16:$16)+100)/100</f>
        <v>1</v>
      </c>
      <c r="P376" s="2782"/>
      <c r="Q376" s="478" t="n">
        <f aca="false">(SUMIF($17:$17,P376,$18:$18)-SUMIF($17:$17,$P$24,$18:$18)+100)/100</f>
        <v>1</v>
      </c>
      <c r="R376" s="2772" t="n">
        <f aca="false">IF(B376="",0,ROUND($R$24*C376*E376*G376*I376*K376*M376*O376*Q376,0))</f>
        <v>0</v>
      </c>
      <c r="S376" s="2771" t="n">
        <f aca="false">ROUND(R376*B376/10000,0)</f>
        <v>0</v>
      </c>
    </row>
    <row r="377" customFormat="false" ht="12.75" hidden="false" customHeight="false" outlineLevel="0" collapsed="false">
      <c r="A377" s="1016"/>
      <c r="B377" s="2781"/>
      <c r="C377" s="478" t="n">
        <f aca="false">IF(B377="",1,(LOOKUP(B377,$3:$3,$4:$4)-LOOKUP($B$24,$3:$3,$4:$4)+100)/100)</f>
        <v>1</v>
      </c>
      <c r="D377" s="2782"/>
      <c r="E377" s="478" t="n">
        <f aca="false">(SUMIF($5:$5,D377,$6:$6)-SUMIF($5:$5,$D$24,$6:$6)+100)/100</f>
        <v>1</v>
      </c>
      <c r="F377" s="2782"/>
      <c r="G377" s="478" t="n">
        <f aca="false">(SUMIF($7:$7,F377,$8:$8)-SUMIF($7:$7,$F$24,$8:$8)+100)/100</f>
        <v>1</v>
      </c>
      <c r="H377" s="2782"/>
      <c r="I377" s="478" t="n">
        <f aca="false">(SUMIF($9:$9,H377,$10:$10)-SUMIF($9:$9,$H$24,$10:$10)+100)/100</f>
        <v>1</v>
      </c>
      <c r="J377" s="2782"/>
      <c r="K377" s="478" t="n">
        <f aca="false">(SUMIF($11:$11,J377,$12:$12)-SUMIF($11:$11,$J$24,$12:$12)+100)/100</f>
        <v>1</v>
      </c>
      <c r="L377" s="2782"/>
      <c r="M377" s="478" t="n">
        <f aca="false">(SUMIF($13:$13,L377,$14:$14)-SUMIF($13:$13,$L$24,$14:$14)+100)/100</f>
        <v>1</v>
      </c>
      <c r="N377" s="2782"/>
      <c r="O377" s="478" t="n">
        <f aca="false">(SUMIF($15:$15,N377,$16:$16)-SUMIF($15:$15,$N$24,$16:$16)+100)/100</f>
        <v>1</v>
      </c>
      <c r="P377" s="2782"/>
      <c r="Q377" s="478" t="n">
        <f aca="false">(SUMIF($17:$17,P377,$18:$18)-SUMIF($17:$17,$P$24,$18:$18)+100)/100</f>
        <v>1</v>
      </c>
      <c r="R377" s="2772" t="n">
        <f aca="false">IF(B377="",0,ROUND($R$24*C377*E377*G377*I377*K377*M377*O377*Q377,0))</f>
        <v>0</v>
      </c>
      <c r="S377" s="2771" t="n">
        <f aca="false">ROUND(R377*B377/10000,0)</f>
        <v>0</v>
      </c>
    </row>
    <row r="378" customFormat="false" ht="12.75" hidden="false" customHeight="false" outlineLevel="0" collapsed="false">
      <c r="A378" s="1016"/>
      <c r="B378" s="2781"/>
      <c r="C378" s="478" t="n">
        <f aca="false">IF(B378="",1,(LOOKUP(B378,$3:$3,$4:$4)-LOOKUP($B$24,$3:$3,$4:$4)+100)/100)</f>
        <v>1</v>
      </c>
      <c r="D378" s="2782"/>
      <c r="E378" s="478" t="n">
        <f aca="false">(SUMIF($5:$5,D378,$6:$6)-SUMIF($5:$5,$D$24,$6:$6)+100)/100</f>
        <v>1</v>
      </c>
      <c r="F378" s="2782"/>
      <c r="G378" s="478" t="n">
        <f aca="false">(SUMIF($7:$7,F378,$8:$8)-SUMIF($7:$7,$F$24,$8:$8)+100)/100</f>
        <v>1</v>
      </c>
      <c r="H378" s="2782"/>
      <c r="I378" s="478" t="n">
        <f aca="false">(SUMIF($9:$9,H378,$10:$10)-SUMIF($9:$9,$H$24,$10:$10)+100)/100</f>
        <v>1</v>
      </c>
      <c r="J378" s="2782"/>
      <c r="K378" s="478" t="n">
        <f aca="false">(SUMIF($11:$11,J378,$12:$12)-SUMIF($11:$11,$J$24,$12:$12)+100)/100</f>
        <v>1</v>
      </c>
      <c r="L378" s="2782"/>
      <c r="M378" s="478" t="n">
        <f aca="false">(SUMIF($13:$13,L378,$14:$14)-SUMIF($13:$13,$L$24,$14:$14)+100)/100</f>
        <v>1</v>
      </c>
      <c r="N378" s="2782"/>
      <c r="O378" s="478" t="n">
        <f aca="false">(SUMIF($15:$15,N378,$16:$16)-SUMIF($15:$15,$N$24,$16:$16)+100)/100</f>
        <v>1</v>
      </c>
      <c r="P378" s="2782"/>
      <c r="Q378" s="478" t="n">
        <f aca="false">(SUMIF($17:$17,P378,$18:$18)-SUMIF($17:$17,$P$24,$18:$18)+100)/100</f>
        <v>1</v>
      </c>
      <c r="R378" s="2772" t="n">
        <f aca="false">IF(B378="",0,ROUND($R$24*C378*E378*G378*I378*K378*M378*O378*Q378,0))</f>
        <v>0</v>
      </c>
      <c r="S378" s="2771" t="n">
        <f aca="false">ROUND(R378*B378/10000,0)</f>
        <v>0</v>
      </c>
    </row>
    <row r="379" customFormat="false" ht="12.75" hidden="false" customHeight="false" outlineLevel="0" collapsed="false">
      <c r="A379" s="1016"/>
      <c r="B379" s="2781"/>
      <c r="C379" s="478" t="n">
        <f aca="false">IF(B379="",1,(LOOKUP(B379,$3:$3,$4:$4)-LOOKUP($B$24,$3:$3,$4:$4)+100)/100)</f>
        <v>1</v>
      </c>
      <c r="D379" s="2782"/>
      <c r="E379" s="478" t="n">
        <f aca="false">(SUMIF($5:$5,D379,$6:$6)-SUMIF($5:$5,$D$24,$6:$6)+100)/100</f>
        <v>1</v>
      </c>
      <c r="F379" s="2782"/>
      <c r="G379" s="478" t="n">
        <f aca="false">(SUMIF($7:$7,F379,$8:$8)-SUMIF($7:$7,$F$24,$8:$8)+100)/100</f>
        <v>1</v>
      </c>
      <c r="H379" s="2782"/>
      <c r="I379" s="478" t="n">
        <f aca="false">(SUMIF($9:$9,H379,$10:$10)-SUMIF($9:$9,$H$24,$10:$10)+100)/100</f>
        <v>1</v>
      </c>
      <c r="J379" s="2782"/>
      <c r="K379" s="478" t="n">
        <f aca="false">(SUMIF($11:$11,J379,$12:$12)-SUMIF($11:$11,$J$24,$12:$12)+100)/100</f>
        <v>1</v>
      </c>
      <c r="L379" s="2782"/>
      <c r="M379" s="478" t="n">
        <f aca="false">(SUMIF($13:$13,L379,$14:$14)-SUMIF($13:$13,$L$24,$14:$14)+100)/100</f>
        <v>1</v>
      </c>
      <c r="N379" s="2782"/>
      <c r="O379" s="478" t="n">
        <f aca="false">(SUMIF($15:$15,N379,$16:$16)-SUMIF($15:$15,$N$24,$16:$16)+100)/100</f>
        <v>1</v>
      </c>
      <c r="P379" s="2782"/>
      <c r="Q379" s="478" t="n">
        <f aca="false">(SUMIF($17:$17,P379,$18:$18)-SUMIF($17:$17,$P$24,$18:$18)+100)/100</f>
        <v>1</v>
      </c>
      <c r="R379" s="2772" t="n">
        <f aca="false">IF(B379="",0,ROUND($R$24*C379*E379*G379*I379*K379*M379*O379*Q379,0))</f>
        <v>0</v>
      </c>
      <c r="S379" s="2771" t="n">
        <f aca="false">ROUND(R379*B379/10000,0)</f>
        <v>0</v>
      </c>
    </row>
    <row r="380" customFormat="false" ht="12.75" hidden="false" customHeight="false" outlineLevel="0" collapsed="false">
      <c r="A380" s="1016"/>
      <c r="B380" s="2781"/>
      <c r="C380" s="478" t="n">
        <f aca="false">IF(B380="",1,(LOOKUP(B380,$3:$3,$4:$4)-LOOKUP($B$24,$3:$3,$4:$4)+100)/100)</f>
        <v>1</v>
      </c>
      <c r="D380" s="2782"/>
      <c r="E380" s="478" t="n">
        <f aca="false">(SUMIF($5:$5,D380,$6:$6)-SUMIF($5:$5,$D$24,$6:$6)+100)/100</f>
        <v>1</v>
      </c>
      <c r="F380" s="2782"/>
      <c r="G380" s="478" t="n">
        <f aca="false">(SUMIF($7:$7,F380,$8:$8)-SUMIF($7:$7,$F$24,$8:$8)+100)/100</f>
        <v>1</v>
      </c>
      <c r="H380" s="2782"/>
      <c r="I380" s="478" t="n">
        <f aca="false">(SUMIF($9:$9,H380,$10:$10)-SUMIF($9:$9,$H$24,$10:$10)+100)/100</f>
        <v>1</v>
      </c>
      <c r="J380" s="2782"/>
      <c r="K380" s="478" t="n">
        <f aca="false">(SUMIF($11:$11,J380,$12:$12)-SUMIF($11:$11,$J$24,$12:$12)+100)/100</f>
        <v>1</v>
      </c>
      <c r="L380" s="2782"/>
      <c r="M380" s="478" t="n">
        <f aca="false">(SUMIF($13:$13,L380,$14:$14)-SUMIF($13:$13,$L$24,$14:$14)+100)/100</f>
        <v>1</v>
      </c>
      <c r="N380" s="2782"/>
      <c r="O380" s="478" t="n">
        <f aca="false">(SUMIF($15:$15,N380,$16:$16)-SUMIF($15:$15,$N$24,$16:$16)+100)/100</f>
        <v>1</v>
      </c>
      <c r="P380" s="2782"/>
      <c r="Q380" s="478" t="n">
        <f aca="false">(SUMIF($17:$17,P380,$18:$18)-SUMIF($17:$17,$P$24,$18:$18)+100)/100</f>
        <v>1</v>
      </c>
      <c r="R380" s="2772" t="n">
        <f aca="false">IF(B380="",0,ROUND($R$24*C380*E380*G380*I380*K380*M380*O380*Q380,0))</f>
        <v>0</v>
      </c>
      <c r="S380" s="2771" t="n">
        <f aca="false">ROUND(R380*B380/10000,0)</f>
        <v>0</v>
      </c>
    </row>
    <row r="381" customFormat="false" ht="12.75" hidden="false" customHeight="false" outlineLevel="0" collapsed="false">
      <c r="A381" s="1016"/>
      <c r="B381" s="2781"/>
      <c r="C381" s="478" t="n">
        <f aca="false">IF(B381="",1,(LOOKUP(B381,$3:$3,$4:$4)-LOOKUP($B$24,$3:$3,$4:$4)+100)/100)</f>
        <v>1</v>
      </c>
      <c r="D381" s="2782"/>
      <c r="E381" s="478" t="n">
        <f aca="false">(SUMIF($5:$5,D381,$6:$6)-SUMIF($5:$5,$D$24,$6:$6)+100)/100</f>
        <v>1</v>
      </c>
      <c r="F381" s="2782"/>
      <c r="G381" s="478" t="n">
        <f aca="false">(SUMIF($7:$7,F381,$8:$8)-SUMIF($7:$7,$F$24,$8:$8)+100)/100</f>
        <v>1</v>
      </c>
      <c r="H381" s="2782"/>
      <c r="I381" s="478" t="n">
        <f aca="false">(SUMIF($9:$9,H381,$10:$10)-SUMIF($9:$9,$H$24,$10:$10)+100)/100</f>
        <v>1</v>
      </c>
      <c r="J381" s="2782"/>
      <c r="K381" s="478" t="n">
        <f aca="false">(SUMIF($11:$11,J381,$12:$12)-SUMIF($11:$11,$J$24,$12:$12)+100)/100</f>
        <v>1</v>
      </c>
      <c r="L381" s="2782"/>
      <c r="M381" s="478" t="n">
        <f aca="false">(SUMIF($13:$13,L381,$14:$14)-SUMIF($13:$13,$L$24,$14:$14)+100)/100</f>
        <v>1</v>
      </c>
      <c r="N381" s="2782"/>
      <c r="O381" s="478" t="n">
        <f aca="false">(SUMIF($15:$15,N381,$16:$16)-SUMIF($15:$15,$N$24,$16:$16)+100)/100</f>
        <v>1</v>
      </c>
      <c r="P381" s="2782"/>
      <c r="Q381" s="478" t="n">
        <f aca="false">(SUMIF($17:$17,P381,$18:$18)-SUMIF($17:$17,$P$24,$18:$18)+100)/100</f>
        <v>1</v>
      </c>
      <c r="R381" s="2772" t="n">
        <f aca="false">IF(B381="",0,ROUND($R$24*C381*E381*G381*I381*K381*M381*O381*Q381,0))</f>
        <v>0</v>
      </c>
      <c r="S381" s="2771" t="n">
        <f aca="false">ROUND(R381*B381/10000,0)</f>
        <v>0</v>
      </c>
    </row>
    <row r="382" customFormat="false" ht="12.75" hidden="false" customHeight="false" outlineLevel="0" collapsed="false">
      <c r="A382" s="1016"/>
      <c r="B382" s="2781"/>
      <c r="C382" s="478" t="n">
        <f aca="false">IF(B382="",1,(LOOKUP(B382,$3:$3,$4:$4)-LOOKUP($B$24,$3:$3,$4:$4)+100)/100)</f>
        <v>1</v>
      </c>
      <c r="D382" s="2782"/>
      <c r="E382" s="478" t="n">
        <f aca="false">(SUMIF($5:$5,D382,$6:$6)-SUMIF($5:$5,$D$24,$6:$6)+100)/100</f>
        <v>1</v>
      </c>
      <c r="F382" s="2782"/>
      <c r="G382" s="478" t="n">
        <f aca="false">(SUMIF($7:$7,F382,$8:$8)-SUMIF($7:$7,$F$24,$8:$8)+100)/100</f>
        <v>1</v>
      </c>
      <c r="H382" s="2782"/>
      <c r="I382" s="478" t="n">
        <f aca="false">(SUMIF($9:$9,H382,$10:$10)-SUMIF($9:$9,$H$24,$10:$10)+100)/100</f>
        <v>1</v>
      </c>
      <c r="J382" s="2782"/>
      <c r="K382" s="478" t="n">
        <f aca="false">(SUMIF($11:$11,J382,$12:$12)-SUMIF($11:$11,$J$24,$12:$12)+100)/100</f>
        <v>1</v>
      </c>
      <c r="L382" s="2782"/>
      <c r="M382" s="478" t="n">
        <f aca="false">(SUMIF($13:$13,L382,$14:$14)-SUMIF($13:$13,$L$24,$14:$14)+100)/100</f>
        <v>1</v>
      </c>
      <c r="N382" s="2782"/>
      <c r="O382" s="478" t="n">
        <f aca="false">(SUMIF($15:$15,N382,$16:$16)-SUMIF($15:$15,$N$24,$16:$16)+100)/100</f>
        <v>1</v>
      </c>
      <c r="P382" s="2782"/>
      <c r="Q382" s="478" t="n">
        <f aca="false">(SUMIF($17:$17,P382,$18:$18)-SUMIF($17:$17,$P$24,$18:$18)+100)/100</f>
        <v>1</v>
      </c>
      <c r="R382" s="2772" t="n">
        <f aca="false">IF(B382="",0,ROUND($R$24*C382*E382*G382*I382*K382*M382*O382*Q382,0))</f>
        <v>0</v>
      </c>
      <c r="S382" s="2771" t="n">
        <f aca="false">ROUND(R382*B382/10000,0)</f>
        <v>0</v>
      </c>
    </row>
    <row r="383" customFormat="false" ht="12.75" hidden="false" customHeight="false" outlineLevel="0" collapsed="false">
      <c r="A383" s="1016"/>
      <c r="B383" s="2781"/>
      <c r="C383" s="478" t="n">
        <f aca="false">IF(B383="",1,(LOOKUP(B383,$3:$3,$4:$4)-LOOKUP($B$24,$3:$3,$4:$4)+100)/100)</f>
        <v>1</v>
      </c>
      <c r="D383" s="2782"/>
      <c r="E383" s="478" t="n">
        <f aca="false">(SUMIF($5:$5,D383,$6:$6)-SUMIF($5:$5,$D$24,$6:$6)+100)/100</f>
        <v>1</v>
      </c>
      <c r="F383" s="2782"/>
      <c r="G383" s="478" t="n">
        <f aca="false">(SUMIF($7:$7,F383,$8:$8)-SUMIF($7:$7,$F$24,$8:$8)+100)/100</f>
        <v>1</v>
      </c>
      <c r="H383" s="2782"/>
      <c r="I383" s="478" t="n">
        <f aca="false">(SUMIF($9:$9,H383,$10:$10)-SUMIF($9:$9,$H$24,$10:$10)+100)/100</f>
        <v>1</v>
      </c>
      <c r="J383" s="2782"/>
      <c r="K383" s="478" t="n">
        <f aca="false">(SUMIF($11:$11,J383,$12:$12)-SUMIF($11:$11,$J$24,$12:$12)+100)/100</f>
        <v>1</v>
      </c>
      <c r="L383" s="2782"/>
      <c r="M383" s="478" t="n">
        <f aca="false">(SUMIF($13:$13,L383,$14:$14)-SUMIF($13:$13,$L$24,$14:$14)+100)/100</f>
        <v>1</v>
      </c>
      <c r="N383" s="2782"/>
      <c r="O383" s="478" t="n">
        <f aca="false">(SUMIF($15:$15,N383,$16:$16)-SUMIF($15:$15,$N$24,$16:$16)+100)/100</f>
        <v>1</v>
      </c>
      <c r="P383" s="2782"/>
      <c r="Q383" s="478" t="n">
        <f aca="false">(SUMIF($17:$17,P383,$18:$18)-SUMIF($17:$17,$P$24,$18:$18)+100)/100</f>
        <v>1</v>
      </c>
      <c r="R383" s="2772" t="n">
        <f aca="false">IF(B383="",0,ROUND($R$24*C383*E383*G383*I383*K383*M383*O383*Q383,0))</f>
        <v>0</v>
      </c>
      <c r="S383" s="2771" t="n">
        <f aca="false">ROUND(R383*B383/10000,0)</f>
        <v>0</v>
      </c>
    </row>
    <row r="384" customFormat="false" ht="12.75" hidden="false" customHeight="false" outlineLevel="0" collapsed="false">
      <c r="A384" s="1016"/>
      <c r="B384" s="2781"/>
      <c r="C384" s="478" t="n">
        <f aca="false">IF(B384="",1,(LOOKUP(B384,$3:$3,$4:$4)-LOOKUP($B$24,$3:$3,$4:$4)+100)/100)</f>
        <v>1</v>
      </c>
      <c r="D384" s="2782"/>
      <c r="E384" s="478" t="n">
        <f aca="false">(SUMIF($5:$5,D384,$6:$6)-SUMIF($5:$5,$D$24,$6:$6)+100)/100</f>
        <v>1</v>
      </c>
      <c r="F384" s="2782"/>
      <c r="G384" s="478" t="n">
        <f aca="false">(SUMIF($7:$7,F384,$8:$8)-SUMIF($7:$7,$F$24,$8:$8)+100)/100</f>
        <v>1</v>
      </c>
      <c r="H384" s="2782"/>
      <c r="I384" s="478" t="n">
        <f aca="false">(SUMIF($9:$9,H384,$10:$10)-SUMIF($9:$9,$H$24,$10:$10)+100)/100</f>
        <v>1</v>
      </c>
      <c r="J384" s="2782"/>
      <c r="K384" s="478" t="n">
        <f aca="false">(SUMIF($11:$11,J384,$12:$12)-SUMIF($11:$11,$J$24,$12:$12)+100)/100</f>
        <v>1</v>
      </c>
      <c r="L384" s="2782"/>
      <c r="M384" s="478" t="n">
        <f aca="false">(SUMIF($13:$13,L384,$14:$14)-SUMIF($13:$13,$L$24,$14:$14)+100)/100</f>
        <v>1</v>
      </c>
      <c r="N384" s="2782"/>
      <c r="O384" s="478" t="n">
        <f aca="false">(SUMIF($15:$15,N384,$16:$16)-SUMIF($15:$15,$N$24,$16:$16)+100)/100</f>
        <v>1</v>
      </c>
      <c r="P384" s="2782"/>
      <c r="Q384" s="478" t="n">
        <f aca="false">(SUMIF($17:$17,P384,$18:$18)-SUMIF($17:$17,$P$24,$18:$18)+100)/100</f>
        <v>1</v>
      </c>
      <c r="R384" s="2772" t="n">
        <f aca="false">IF(B384="",0,ROUND($R$24*C384*E384*G384*I384*K384*M384*O384*Q384,0))</f>
        <v>0</v>
      </c>
      <c r="S384" s="2771" t="n">
        <f aca="false">ROUND(R384*B384/10000,0)</f>
        <v>0</v>
      </c>
    </row>
    <row r="385" customFormat="false" ht="12.75" hidden="false" customHeight="false" outlineLevel="0" collapsed="false">
      <c r="A385" s="1016"/>
      <c r="B385" s="2781"/>
      <c r="C385" s="478" t="n">
        <f aca="false">IF(B385="",1,(LOOKUP(B385,$3:$3,$4:$4)-LOOKUP($B$24,$3:$3,$4:$4)+100)/100)</f>
        <v>1</v>
      </c>
      <c r="D385" s="2782"/>
      <c r="E385" s="478" t="n">
        <f aca="false">(SUMIF($5:$5,D385,$6:$6)-SUMIF($5:$5,$D$24,$6:$6)+100)/100</f>
        <v>1</v>
      </c>
      <c r="F385" s="2782"/>
      <c r="G385" s="478" t="n">
        <f aca="false">(SUMIF($7:$7,F385,$8:$8)-SUMIF($7:$7,$F$24,$8:$8)+100)/100</f>
        <v>1</v>
      </c>
      <c r="H385" s="2782"/>
      <c r="I385" s="478" t="n">
        <f aca="false">(SUMIF($9:$9,H385,$10:$10)-SUMIF($9:$9,$H$24,$10:$10)+100)/100</f>
        <v>1</v>
      </c>
      <c r="J385" s="2782"/>
      <c r="K385" s="478" t="n">
        <f aca="false">(SUMIF($11:$11,J385,$12:$12)-SUMIF($11:$11,$J$24,$12:$12)+100)/100</f>
        <v>1</v>
      </c>
      <c r="L385" s="2782"/>
      <c r="M385" s="478" t="n">
        <f aca="false">(SUMIF($13:$13,L385,$14:$14)-SUMIF($13:$13,$L$24,$14:$14)+100)/100</f>
        <v>1</v>
      </c>
      <c r="N385" s="2782"/>
      <c r="O385" s="478" t="n">
        <f aca="false">(SUMIF($15:$15,N385,$16:$16)-SUMIF($15:$15,$N$24,$16:$16)+100)/100</f>
        <v>1</v>
      </c>
      <c r="P385" s="2782"/>
      <c r="Q385" s="478" t="n">
        <f aca="false">(SUMIF($17:$17,P385,$18:$18)-SUMIF($17:$17,$P$24,$18:$18)+100)/100</f>
        <v>1</v>
      </c>
      <c r="R385" s="2772" t="n">
        <f aca="false">IF(B385="",0,ROUND($R$24*C385*E385*G385*I385*K385*M385*O385*Q385,0))</f>
        <v>0</v>
      </c>
      <c r="S385" s="2771" t="n">
        <f aca="false">ROUND(R385*B385/10000,0)</f>
        <v>0</v>
      </c>
    </row>
    <row r="386" customFormat="false" ht="12.75" hidden="false" customHeight="false" outlineLevel="0" collapsed="false">
      <c r="A386" s="1016"/>
      <c r="B386" s="2781"/>
      <c r="C386" s="478" t="n">
        <f aca="false">IF(B386="",1,(LOOKUP(B386,$3:$3,$4:$4)-LOOKUP($B$24,$3:$3,$4:$4)+100)/100)</f>
        <v>1</v>
      </c>
      <c r="D386" s="2782"/>
      <c r="E386" s="478" t="n">
        <f aca="false">(SUMIF($5:$5,D386,$6:$6)-SUMIF($5:$5,$D$24,$6:$6)+100)/100</f>
        <v>1</v>
      </c>
      <c r="F386" s="2782"/>
      <c r="G386" s="478" t="n">
        <f aca="false">(SUMIF($7:$7,F386,$8:$8)-SUMIF($7:$7,$F$24,$8:$8)+100)/100</f>
        <v>1</v>
      </c>
      <c r="H386" s="2782"/>
      <c r="I386" s="478" t="n">
        <f aca="false">(SUMIF($9:$9,H386,$10:$10)-SUMIF($9:$9,$H$24,$10:$10)+100)/100</f>
        <v>1</v>
      </c>
      <c r="J386" s="2782"/>
      <c r="K386" s="478" t="n">
        <f aca="false">(SUMIF($11:$11,J386,$12:$12)-SUMIF($11:$11,$J$24,$12:$12)+100)/100</f>
        <v>1</v>
      </c>
      <c r="L386" s="2782"/>
      <c r="M386" s="478" t="n">
        <f aca="false">(SUMIF($13:$13,L386,$14:$14)-SUMIF($13:$13,$L$24,$14:$14)+100)/100</f>
        <v>1</v>
      </c>
      <c r="N386" s="2782"/>
      <c r="O386" s="478" t="n">
        <f aca="false">(SUMIF($15:$15,N386,$16:$16)-SUMIF($15:$15,$N$24,$16:$16)+100)/100</f>
        <v>1</v>
      </c>
      <c r="P386" s="2782"/>
      <c r="Q386" s="478" t="n">
        <f aca="false">(SUMIF($17:$17,P386,$18:$18)-SUMIF($17:$17,$P$24,$18:$18)+100)/100</f>
        <v>1</v>
      </c>
      <c r="R386" s="2772" t="n">
        <f aca="false">IF(B386="",0,ROUND($R$24*C386*E386*G386*I386*K386*M386*O386*Q386,0))</f>
        <v>0</v>
      </c>
      <c r="S386" s="2771" t="n">
        <f aca="false">ROUND(R386*B386/10000,0)</f>
        <v>0</v>
      </c>
    </row>
    <row r="387" customFormat="false" ht="12.75" hidden="false" customHeight="false" outlineLevel="0" collapsed="false">
      <c r="A387" s="1016"/>
      <c r="B387" s="2781"/>
      <c r="C387" s="478" t="n">
        <f aca="false">IF(B387="",1,(LOOKUP(B387,$3:$3,$4:$4)-LOOKUP($B$24,$3:$3,$4:$4)+100)/100)</f>
        <v>1</v>
      </c>
      <c r="D387" s="2782"/>
      <c r="E387" s="478" t="n">
        <f aca="false">(SUMIF($5:$5,D387,$6:$6)-SUMIF($5:$5,$D$24,$6:$6)+100)/100</f>
        <v>1</v>
      </c>
      <c r="F387" s="2782"/>
      <c r="G387" s="478" t="n">
        <f aca="false">(SUMIF($7:$7,F387,$8:$8)-SUMIF($7:$7,$F$24,$8:$8)+100)/100</f>
        <v>1</v>
      </c>
      <c r="H387" s="2782"/>
      <c r="I387" s="478" t="n">
        <f aca="false">(SUMIF($9:$9,H387,$10:$10)-SUMIF($9:$9,$H$24,$10:$10)+100)/100</f>
        <v>1</v>
      </c>
      <c r="J387" s="2782"/>
      <c r="K387" s="478" t="n">
        <f aca="false">(SUMIF($11:$11,J387,$12:$12)-SUMIF($11:$11,$J$24,$12:$12)+100)/100</f>
        <v>1</v>
      </c>
      <c r="L387" s="2782"/>
      <c r="M387" s="478" t="n">
        <f aca="false">(SUMIF($13:$13,L387,$14:$14)-SUMIF($13:$13,$L$24,$14:$14)+100)/100</f>
        <v>1</v>
      </c>
      <c r="N387" s="2782"/>
      <c r="O387" s="478" t="n">
        <f aca="false">(SUMIF($15:$15,N387,$16:$16)-SUMIF($15:$15,$N$24,$16:$16)+100)/100</f>
        <v>1</v>
      </c>
      <c r="P387" s="2782"/>
      <c r="Q387" s="478" t="n">
        <f aca="false">(SUMIF($17:$17,P387,$18:$18)-SUMIF($17:$17,$P$24,$18:$18)+100)/100</f>
        <v>1</v>
      </c>
      <c r="R387" s="2772" t="n">
        <f aca="false">IF(B387="",0,ROUND($R$24*C387*E387*G387*I387*K387*M387*O387*Q387,0))</f>
        <v>0</v>
      </c>
      <c r="S387" s="2771" t="n">
        <f aca="false">ROUND(R387*B387/10000,0)</f>
        <v>0</v>
      </c>
    </row>
    <row r="388" customFormat="false" ht="12.75" hidden="false" customHeight="false" outlineLevel="0" collapsed="false">
      <c r="A388" s="1016"/>
      <c r="B388" s="2781"/>
      <c r="C388" s="478" t="n">
        <f aca="false">IF(B388="",1,(LOOKUP(B388,$3:$3,$4:$4)-LOOKUP($B$24,$3:$3,$4:$4)+100)/100)</f>
        <v>1</v>
      </c>
      <c r="D388" s="2782"/>
      <c r="E388" s="478" t="n">
        <f aca="false">(SUMIF($5:$5,D388,$6:$6)-SUMIF($5:$5,$D$24,$6:$6)+100)/100</f>
        <v>1</v>
      </c>
      <c r="F388" s="2782"/>
      <c r="G388" s="478" t="n">
        <f aca="false">(SUMIF($7:$7,F388,$8:$8)-SUMIF($7:$7,$F$24,$8:$8)+100)/100</f>
        <v>1</v>
      </c>
      <c r="H388" s="2782"/>
      <c r="I388" s="478" t="n">
        <f aca="false">(SUMIF($9:$9,H388,$10:$10)-SUMIF($9:$9,$H$24,$10:$10)+100)/100</f>
        <v>1</v>
      </c>
      <c r="J388" s="2782"/>
      <c r="K388" s="478" t="n">
        <f aca="false">(SUMIF($11:$11,J388,$12:$12)-SUMIF($11:$11,$J$24,$12:$12)+100)/100</f>
        <v>1</v>
      </c>
      <c r="L388" s="2782"/>
      <c r="M388" s="478" t="n">
        <f aca="false">(SUMIF($13:$13,L388,$14:$14)-SUMIF($13:$13,$L$24,$14:$14)+100)/100</f>
        <v>1</v>
      </c>
      <c r="N388" s="2782"/>
      <c r="O388" s="478" t="n">
        <f aca="false">(SUMIF($15:$15,N388,$16:$16)-SUMIF($15:$15,$N$24,$16:$16)+100)/100</f>
        <v>1</v>
      </c>
      <c r="P388" s="2782"/>
      <c r="Q388" s="478" t="n">
        <f aca="false">(SUMIF($17:$17,P388,$18:$18)-SUMIF($17:$17,$P$24,$18:$18)+100)/100</f>
        <v>1</v>
      </c>
      <c r="R388" s="2772" t="n">
        <f aca="false">IF(B388="",0,ROUND($R$24*C388*E388*G388*I388*K388*M388*O388*Q388,0))</f>
        <v>0</v>
      </c>
      <c r="S388" s="2771" t="n">
        <f aca="false">ROUND(R388*B388/10000,0)</f>
        <v>0</v>
      </c>
    </row>
    <row r="389" customFormat="false" ht="12.75" hidden="false" customHeight="false" outlineLevel="0" collapsed="false">
      <c r="A389" s="1016"/>
      <c r="B389" s="2781"/>
      <c r="C389" s="478" t="n">
        <f aca="false">IF(B389="",1,(LOOKUP(B389,$3:$3,$4:$4)-LOOKUP($B$24,$3:$3,$4:$4)+100)/100)</f>
        <v>1</v>
      </c>
      <c r="D389" s="2782"/>
      <c r="E389" s="478" t="n">
        <f aca="false">(SUMIF($5:$5,D389,$6:$6)-SUMIF($5:$5,$D$24,$6:$6)+100)/100</f>
        <v>1</v>
      </c>
      <c r="F389" s="2782"/>
      <c r="G389" s="478" t="n">
        <f aca="false">(SUMIF($7:$7,F389,$8:$8)-SUMIF($7:$7,$F$24,$8:$8)+100)/100</f>
        <v>1</v>
      </c>
      <c r="H389" s="2782"/>
      <c r="I389" s="478" t="n">
        <f aca="false">(SUMIF($9:$9,H389,$10:$10)-SUMIF($9:$9,$H$24,$10:$10)+100)/100</f>
        <v>1</v>
      </c>
      <c r="J389" s="2782"/>
      <c r="K389" s="478" t="n">
        <f aca="false">(SUMIF($11:$11,J389,$12:$12)-SUMIF($11:$11,$J$24,$12:$12)+100)/100</f>
        <v>1</v>
      </c>
      <c r="L389" s="2782"/>
      <c r="M389" s="478" t="n">
        <f aca="false">(SUMIF($13:$13,L389,$14:$14)-SUMIF($13:$13,$L$24,$14:$14)+100)/100</f>
        <v>1</v>
      </c>
      <c r="N389" s="2782"/>
      <c r="O389" s="478" t="n">
        <f aca="false">(SUMIF($15:$15,N389,$16:$16)-SUMIF($15:$15,$N$24,$16:$16)+100)/100</f>
        <v>1</v>
      </c>
      <c r="P389" s="2782"/>
      <c r="Q389" s="478" t="n">
        <f aca="false">(SUMIF($17:$17,P389,$18:$18)-SUMIF($17:$17,$P$24,$18:$18)+100)/100</f>
        <v>1</v>
      </c>
      <c r="R389" s="2772" t="n">
        <f aca="false">IF(B389="",0,ROUND($R$24*C389*E389*G389*I389*K389*M389*O389*Q389,0))</f>
        <v>0</v>
      </c>
      <c r="S389" s="2771" t="n">
        <f aca="false">ROUND(R389*B389/10000,0)</f>
        <v>0</v>
      </c>
    </row>
    <row r="390" customFormat="false" ht="12.75" hidden="false" customHeight="false" outlineLevel="0" collapsed="false">
      <c r="A390" s="1016"/>
      <c r="B390" s="2781"/>
      <c r="C390" s="478" t="n">
        <f aca="false">IF(B390="",1,(LOOKUP(B390,$3:$3,$4:$4)-LOOKUP($B$24,$3:$3,$4:$4)+100)/100)</f>
        <v>1</v>
      </c>
      <c r="D390" s="2782"/>
      <c r="E390" s="478" t="n">
        <f aca="false">(SUMIF($5:$5,D390,$6:$6)-SUMIF($5:$5,$D$24,$6:$6)+100)/100</f>
        <v>1</v>
      </c>
      <c r="F390" s="2782"/>
      <c r="G390" s="478" t="n">
        <f aca="false">(SUMIF($7:$7,F390,$8:$8)-SUMIF($7:$7,$F$24,$8:$8)+100)/100</f>
        <v>1</v>
      </c>
      <c r="H390" s="2782"/>
      <c r="I390" s="478" t="n">
        <f aca="false">(SUMIF($9:$9,H390,$10:$10)-SUMIF($9:$9,$H$24,$10:$10)+100)/100</f>
        <v>1</v>
      </c>
      <c r="J390" s="2782"/>
      <c r="K390" s="478" t="n">
        <f aca="false">(SUMIF($11:$11,J390,$12:$12)-SUMIF($11:$11,$J$24,$12:$12)+100)/100</f>
        <v>1</v>
      </c>
      <c r="L390" s="2782"/>
      <c r="M390" s="478" t="n">
        <f aca="false">(SUMIF($13:$13,L390,$14:$14)-SUMIF($13:$13,$L$24,$14:$14)+100)/100</f>
        <v>1</v>
      </c>
      <c r="N390" s="2782"/>
      <c r="O390" s="478" t="n">
        <f aca="false">(SUMIF($15:$15,N390,$16:$16)-SUMIF($15:$15,$N$24,$16:$16)+100)/100</f>
        <v>1</v>
      </c>
      <c r="P390" s="2782"/>
      <c r="Q390" s="478" t="n">
        <f aca="false">(SUMIF($17:$17,P390,$18:$18)-SUMIF($17:$17,$P$24,$18:$18)+100)/100</f>
        <v>1</v>
      </c>
      <c r="R390" s="2772" t="n">
        <f aca="false">IF(B390="",0,ROUND($R$24*C390*E390*G390*I390*K390*M390*O390*Q390,0))</f>
        <v>0</v>
      </c>
      <c r="S390" s="2771" t="n">
        <f aca="false">ROUND(R390*B390/10000,0)</f>
        <v>0</v>
      </c>
    </row>
    <row r="391" customFormat="false" ht="12.75" hidden="false" customHeight="false" outlineLevel="0" collapsed="false">
      <c r="A391" s="1016"/>
      <c r="B391" s="2781"/>
      <c r="C391" s="478" t="n">
        <f aca="false">IF(B391="",1,(LOOKUP(B391,$3:$3,$4:$4)-LOOKUP($B$24,$3:$3,$4:$4)+100)/100)</f>
        <v>1</v>
      </c>
      <c r="D391" s="2782"/>
      <c r="E391" s="478" t="n">
        <f aca="false">(SUMIF($5:$5,D391,$6:$6)-SUMIF($5:$5,$D$24,$6:$6)+100)/100</f>
        <v>1</v>
      </c>
      <c r="F391" s="2782"/>
      <c r="G391" s="478" t="n">
        <f aca="false">(SUMIF($7:$7,F391,$8:$8)-SUMIF($7:$7,$F$24,$8:$8)+100)/100</f>
        <v>1</v>
      </c>
      <c r="H391" s="2782"/>
      <c r="I391" s="478" t="n">
        <f aca="false">(SUMIF($9:$9,H391,$10:$10)-SUMIF($9:$9,$H$24,$10:$10)+100)/100</f>
        <v>1</v>
      </c>
      <c r="J391" s="2782"/>
      <c r="K391" s="478" t="n">
        <f aca="false">(SUMIF($11:$11,J391,$12:$12)-SUMIF($11:$11,$J$24,$12:$12)+100)/100</f>
        <v>1</v>
      </c>
      <c r="L391" s="2782"/>
      <c r="M391" s="478" t="n">
        <f aca="false">(SUMIF($13:$13,L391,$14:$14)-SUMIF($13:$13,$L$24,$14:$14)+100)/100</f>
        <v>1</v>
      </c>
      <c r="N391" s="2782"/>
      <c r="O391" s="478" t="n">
        <f aca="false">(SUMIF($15:$15,N391,$16:$16)-SUMIF($15:$15,$N$24,$16:$16)+100)/100</f>
        <v>1</v>
      </c>
      <c r="P391" s="2782"/>
      <c r="Q391" s="478" t="n">
        <f aca="false">(SUMIF($17:$17,P391,$18:$18)-SUMIF($17:$17,$P$24,$18:$18)+100)/100</f>
        <v>1</v>
      </c>
      <c r="R391" s="2772" t="n">
        <f aca="false">IF(B391="",0,ROUND($R$24*C391*E391*G391*I391*K391*M391*O391*Q391,0))</f>
        <v>0</v>
      </c>
      <c r="S391" s="2771" t="n">
        <f aca="false">ROUND(R391*B391/10000,0)</f>
        <v>0</v>
      </c>
    </row>
    <row r="392" customFormat="false" ht="12.75" hidden="false" customHeight="false" outlineLevel="0" collapsed="false">
      <c r="A392" s="1016"/>
      <c r="B392" s="2781"/>
      <c r="C392" s="478" t="n">
        <f aca="false">IF(B392="",1,(LOOKUP(B392,$3:$3,$4:$4)-LOOKUP($B$24,$3:$3,$4:$4)+100)/100)</f>
        <v>1</v>
      </c>
      <c r="D392" s="2782"/>
      <c r="E392" s="478" t="n">
        <f aca="false">(SUMIF($5:$5,D392,$6:$6)-SUMIF($5:$5,$D$24,$6:$6)+100)/100</f>
        <v>1</v>
      </c>
      <c r="F392" s="2782"/>
      <c r="G392" s="478" t="n">
        <f aca="false">(SUMIF($7:$7,F392,$8:$8)-SUMIF($7:$7,$F$24,$8:$8)+100)/100</f>
        <v>1</v>
      </c>
      <c r="H392" s="2782"/>
      <c r="I392" s="478" t="n">
        <f aca="false">(SUMIF($9:$9,H392,$10:$10)-SUMIF($9:$9,$H$24,$10:$10)+100)/100</f>
        <v>1</v>
      </c>
      <c r="J392" s="2782"/>
      <c r="K392" s="478" t="n">
        <f aca="false">(SUMIF($11:$11,J392,$12:$12)-SUMIF($11:$11,$J$24,$12:$12)+100)/100</f>
        <v>1</v>
      </c>
      <c r="L392" s="2782"/>
      <c r="M392" s="478" t="n">
        <f aca="false">(SUMIF($13:$13,L392,$14:$14)-SUMIF($13:$13,$L$24,$14:$14)+100)/100</f>
        <v>1</v>
      </c>
      <c r="N392" s="2782"/>
      <c r="O392" s="478" t="n">
        <f aca="false">(SUMIF($15:$15,N392,$16:$16)-SUMIF($15:$15,$N$24,$16:$16)+100)/100</f>
        <v>1</v>
      </c>
      <c r="P392" s="2782"/>
      <c r="Q392" s="478" t="n">
        <f aca="false">(SUMIF($17:$17,P392,$18:$18)-SUMIF($17:$17,$P$24,$18:$18)+100)/100</f>
        <v>1</v>
      </c>
      <c r="R392" s="2772" t="n">
        <f aca="false">IF(B392="",0,ROUND($R$24*C392*E392*G392*I392*K392*M392*O392*Q392,0))</f>
        <v>0</v>
      </c>
      <c r="S392" s="2771" t="n">
        <f aca="false">ROUND(R392*B392/10000,0)</f>
        <v>0</v>
      </c>
    </row>
    <row r="393" customFormat="false" ht="12.75" hidden="false" customHeight="false" outlineLevel="0" collapsed="false">
      <c r="A393" s="1016"/>
      <c r="B393" s="2781"/>
      <c r="C393" s="478" t="n">
        <f aca="false">IF(B393="",1,(LOOKUP(B393,$3:$3,$4:$4)-LOOKUP($B$24,$3:$3,$4:$4)+100)/100)</f>
        <v>1</v>
      </c>
      <c r="D393" s="2782"/>
      <c r="E393" s="478" t="n">
        <f aca="false">(SUMIF($5:$5,D393,$6:$6)-SUMIF($5:$5,$D$24,$6:$6)+100)/100</f>
        <v>1</v>
      </c>
      <c r="F393" s="2782"/>
      <c r="G393" s="478" t="n">
        <f aca="false">(SUMIF($7:$7,F393,$8:$8)-SUMIF($7:$7,$F$24,$8:$8)+100)/100</f>
        <v>1</v>
      </c>
      <c r="H393" s="2782"/>
      <c r="I393" s="478" t="n">
        <f aca="false">(SUMIF($9:$9,H393,$10:$10)-SUMIF($9:$9,$H$24,$10:$10)+100)/100</f>
        <v>1</v>
      </c>
      <c r="J393" s="2782"/>
      <c r="K393" s="478" t="n">
        <f aca="false">(SUMIF($11:$11,J393,$12:$12)-SUMIF($11:$11,$J$24,$12:$12)+100)/100</f>
        <v>1</v>
      </c>
      <c r="L393" s="2782"/>
      <c r="M393" s="478" t="n">
        <f aca="false">(SUMIF($13:$13,L393,$14:$14)-SUMIF($13:$13,$L$24,$14:$14)+100)/100</f>
        <v>1</v>
      </c>
      <c r="N393" s="2782"/>
      <c r="O393" s="478" t="n">
        <f aca="false">(SUMIF($15:$15,N393,$16:$16)-SUMIF($15:$15,$N$24,$16:$16)+100)/100</f>
        <v>1</v>
      </c>
      <c r="P393" s="2782"/>
      <c r="Q393" s="478" t="n">
        <f aca="false">(SUMIF($17:$17,P393,$18:$18)-SUMIF($17:$17,$P$24,$18:$18)+100)/100</f>
        <v>1</v>
      </c>
      <c r="R393" s="2772" t="n">
        <f aca="false">IF(B393="",0,ROUND($R$24*C393*E393*G393*I393*K393*M393*O393*Q393,0))</f>
        <v>0</v>
      </c>
      <c r="S393" s="2771" t="n">
        <f aca="false">ROUND(R393*B393/10000,0)</f>
        <v>0</v>
      </c>
    </row>
    <row r="394" customFormat="false" ht="12.75" hidden="false" customHeight="false" outlineLevel="0" collapsed="false">
      <c r="A394" s="1016"/>
      <c r="B394" s="2781"/>
      <c r="C394" s="478" t="n">
        <f aca="false">IF(B394="",1,(LOOKUP(B394,$3:$3,$4:$4)-LOOKUP($B$24,$3:$3,$4:$4)+100)/100)</f>
        <v>1</v>
      </c>
      <c r="D394" s="2782"/>
      <c r="E394" s="478" t="n">
        <f aca="false">(SUMIF($5:$5,D394,$6:$6)-SUMIF($5:$5,$D$24,$6:$6)+100)/100</f>
        <v>1</v>
      </c>
      <c r="F394" s="2782"/>
      <c r="G394" s="478" t="n">
        <f aca="false">(SUMIF($7:$7,F394,$8:$8)-SUMIF($7:$7,$F$24,$8:$8)+100)/100</f>
        <v>1</v>
      </c>
      <c r="H394" s="2782"/>
      <c r="I394" s="478" t="n">
        <f aca="false">(SUMIF($9:$9,H394,$10:$10)-SUMIF($9:$9,$H$24,$10:$10)+100)/100</f>
        <v>1</v>
      </c>
      <c r="J394" s="2782"/>
      <c r="K394" s="478" t="n">
        <f aca="false">(SUMIF($11:$11,J394,$12:$12)-SUMIF($11:$11,$J$24,$12:$12)+100)/100</f>
        <v>1</v>
      </c>
      <c r="L394" s="2782"/>
      <c r="M394" s="478" t="n">
        <f aca="false">(SUMIF($13:$13,L394,$14:$14)-SUMIF($13:$13,$L$24,$14:$14)+100)/100</f>
        <v>1</v>
      </c>
      <c r="N394" s="2782"/>
      <c r="O394" s="478" t="n">
        <f aca="false">(SUMIF($15:$15,N394,$16:$16)-SUMIF($15:$15,$N$24,$16:$16)+100)/100</f>
        <v>1</v>
      </c>
      <c r="P394" s="2782"/>
      <c r="Q394" s="478" t="n">
        <f aca="false">(SUMIF($17:$17,P394,$18:$18)-SUMIF($17:$17,$P$24,$18:$18)+100)/100</f>
        <v>1</v>
      </c>
      <c r="R394" s="2772" t="n">
        <f aca="false">IF(B394="",0,ROUND($R$24*C394*E394*G394*I394*K394*M394*O394*Q394,0))</f>
        <v>0</v>
      </c>
      <c r="S394" s="2771" t="n">
        <f aca="false">ROUND(R394*B394/10000,0)</f>
        <v>0</v>
      </c>
    </row>
    <row r="395" customFormat="false" ht="12.75" hidden="false" customHeight="false" outlineLevel="0" collapsed="false">
      <c r="A395" s="1016"/>
      <c r="B395" s="2781"/>
      <c r="C395" s="478" t="n">
        <f aca="false">IF(B395="",1,(LOOKUP(B395,$3:$3,$4:$4)-LOOKUP($B$24,$3:$3,$4:$4)+100)/100)</f>
        <v>1</v>
      </c>
      <c r="D395" s="2782"/>
      <c r="E395" s="478" t="n">
        <f aca="false">(SUMIF($5:$5,D395,$6:$6)-SUMIF($5:$5,$D$24,$6:$6)+100)/100</f>
        <v>1</v>
      </c>
      <c r="F395" s="2782"/>
      <c r="G395" s="478" t="n">
        <f aca="false">(SUMIF($7:$7,F395,$8:$8)-SUMIF($7:$7,$F$24,$8:$8)+100)/100</f>
        <v>1</v>
      </c>
      <c r="H395" s="2782"/>
      <c r="I395" s="478" t="n">
        <f aca="false">(SUMIF($9:$9,H395,$10:$10)-SUMIF($9:$9,$H$24,$10:$10)+100)/100</f>
        <v>1</v>
      </c>
      <c r="J395" s="2782"/>
      <c r="K395" s="478" t="n">
        <f aca="false">(SUMIF($11:$11,J395,$12:$12)-SUMIF($11:$11,$J$24,$12:$12)+100)/100</f>
        <v>1</v>
      </c>
      <c r="L395" s="2782"/>
      <c r="M395" s="478" t="n">
        <f aca="false">(SUMIF($13:$13,L395,$14:$14)-SUMIF($13:$13,$L$24,$14:$14)+100)/100</f>
        <v>1</v>
      </c>
      <c r="N395" s="2782"/>
      <c r="O395" s="478" t="n">
        <f aca="false">(SUMIF($15:$15,N395,$16:$16)-SUMIF($15:$15,$N$24,$16:$16)+100)/100</f>
        <v>1</v>
      </c>
      <c r="P395" s="2782"/>
      <c r="Q395" s="478" t="n">
        <f aca="false">(SUMIF($17:$17,P395,$18:$18)-SUMIF($17:$17,$P$24,$18:$18)+100)/100</f>
        <v>1</v>
      </c>
      <c r="R395" s="2772" t="n">
        <f aca="false">IF(B395="",0,ROUND($R$24*C395*E395*G395*I395*K395*M395*O395*Q395,0))</f>
        <v>0</v>
      </c>
      <c r="S395" s="2771" t="n">
        <f aca="false">ROUND(R395*B395/10000,0)</f>
        <v>0</v>
      </c>
    </row>
    <row r="396" customFormat="false" ht="12.75" hidden="false" customHeight="false" outlineLevel="0" collapsed="false">
      <c r="A396" s="1016"/>
      <c r="B396" s="2781"/>
      <c r="C396" s="478" t="n">
        <f aca="false">IF(B396="",1,(LOOKUP(B396,$3:$3,$4:$4)-LOOKUP($B$24,$3:$3,$4:$4)+100)/100)</f>
        <v>1</v>
      </c>
      <c r="D396" s="2782"/>
      <c r="E396" s="478" t="n">
        <f aca="false">(SUMIF($5:$5,D396,$6:$6)-SUMIF($5:$5,$D$24,$6:$6)+100)/100</f>
        <v>1</v>
      </c>
      <c r="F396" s="2782"/>
      <c r="G396" s="478" t="n">
        <f aca="false">(SUMIF($7:$7,F396,$8:$8)-SUMIF($7:$7,$F$24,$8:$8)+100)/100</f>
        <v>1</v>
      </c>
      <c r="H396" s="2782"/>
      <c r="I396" s="478" t="n">
        <f aca="false">(SUMIF($9:$9,H396,$10:$10)-SUMIF($9:$9,$H$24,$10:$10)+100)/100</f>
        <v>1</v>
      </c>
      <c r="J396" s="2782"/>
      <c r="K396" s="478" t="n">
        <f aca="false">(SUMIF($11:$11,J396,$12:$12)-SUMIF($11:$11,$J$24,$12:$12)+100)/100</f>
        <v>1</v>
      </c>
      <c r="L396" s="2782"/>
      <c r="M396" s="478" t="n">
        <f aca="false">(SUMIF($13:$13,L396,$14:$14)-SUMIF($13:$13,$L$24,$14:$14)+100)/100</f>
        <v>1</v>
      </c>
      <c r="N396" s="2782"/>
      <c r="O396" s="478" t="n">
        <f aca="false">(SUMIF($15:$15,N396,$16:$16)-SUMIF($15:$15,$N$24,$16:$16)+100)/100</f>
        <v>1</v>
      </c>
      <c r="P396" s="2782"/>
      <c r="Q396" s="478" t="n">
        <f aca="false">(SUMIF($17:$17,P396,$18:$18)-SUMIF($17:$17,$P$24,$18:$18)+100)/100</f>
        <v>1</v>
      </c>
      <c r="R396" s="2772" t="n">
        <f aca="false">IF(B396="",0,ROUND($R$24*C396*E396*G396*I396*K396*M396*O396*Q396,0))</f>
        <v>0</v>
      </c>
      <c r="S396" s="2771" t="n">
        <f aca="false">ROUND(R396*B396/10000,0)</f>
        <v>0</v>
      </c>
    </row>
    <row r="397" customFormat="false" ht="12.75" hidden="false" customHeight="false" outlineLevel="0" collapsed="false">
      <c r="A397" s="1016"/>
      <c r="B397" s="2781"/>
      <c r="C397" s="478" t="n">
        <f aca="false">IF(B397="",1,(LOOKUP(B397,$3:$3,$4:$4)-LOOKUP($B$24,$3:$3,$4:$4)+100)/100)</f>
        <v>1</v>
      </c>
      <c r="D397" s="2782"/>
      <c r="E397" s="478" t="n">
        <f aca="false">(SUMIF($5:$5,D397,$6:$6)-SUMIF($5:$5,$D$24,$6:$6)+100)/100</f>
        <v>1</v>
      </c>
      <c r="F397" s="2782"/>
      <c r="G397" s="478" t="n">
        <f aca="false">(SUMIF($7:$7,F397,$8:$8)-SUMIF($7:$7,$F$24,$8:$8)+100)/100</f>
        <v>1</v>
      </c>
      <c r="H397" s="2782"/>
      <c r="I397" s="478" t="n">
        <f aca="false">(SUMIF($9:$9,H397,$10:$10)-SUMIF($9:$9,$H$24,$10:$10)+100)/100</f>
        <v>1</v>
      </c>
      <c r="J397" s="2782"/>
      <c r="K397" s="478" t="n">
        <f aca="false">(SUMIF($11:$11,J397,$12:$12)-SUMIF($11:$11,$J$24,$12:$12)+100)/100</f>
        <v>1</v>
      </c>
      <c r="L397" s="2782"/>
      <c r="M397" s="478" t="n">
        <f aca="false">(SUMIF($13:$13,L397,$14:$14)-SUMIF($13:$13,$L$24,$14:$14)+100)/100</f>
        <v>1</v>
      </c>
      <c r="N397" s="2782"/>
      <c r="O397" s="478" t="n">
        <f aca="false">(SUMIF($15:$15,N397,$16:$16)-SUMIF($15:$15,$N$24,$16:$16)+100)/100</f>
        <v>1</v>
      </c>
      <c r="P397" s="2782"/>
      <c r="Q397" s="478" t="n">
        <f aca="false">(SUMIF($17:$17,P397,$18:$18)-SUMIF($17:$17,$P$24,$18:$18)+100)/100</f>
        <v>1</v>
      </c>
      <c r="R397" s="2772" t="n">
        <f aca="false">IF(B397="",0,ROUND($R$24*C397*E397*G397*I397*K397*M397*O397*Q397,0))</f>
        <v>0</v>
      </c>
      <c r="S397" s="2771" t="n">
        <f aca="false">ROUND(R397*B397/10000,0)</f>
        <v>0</v>
      </c>
    </row>
    <row r="398" customFormat="false" ht="12.75" hidden="false" customHeight="false" outlineLevel="0" collapsed="false">
      <c r="A398" s="1016"/>
      <c r="B398" s="2781"/>
      <c r="C398" s="478" t="n">
        <f aca="false">IF(B398="",1,(LOOKUP(B398,$3:$3,$4:$4)-LOOKUP($B$24,$3:$3,$4:$4)+100)/100)</f>
        <v>1</v>
      </c>
      <c r="D398" s="2782"/>
      <c r="E398" s="478" t="n">
        <f aca="false">(SUMIF($5:$5,D398,$6:$6)-SUMIF($5:$5,$D$24,$6:$6)+100)/100</f>
        <v>1</v>
      </c>
      <c r="F398" s="2782"/>
      <c r="G398" s="478" t="n">
        <f aca="false">(SUMIF($7:$7,F398,$8:$8)-SUMIF($7:$7,$F$24,$8:$8)+100)/100</f>
        <v>1</v>
      </c>
      <c r="H398" s="2782"/>
      <c r="I398" s="478" t="n">
        <f aca="false">(SUMIF($9:$9,H398,$10:$10)-SUMIF($9:$9,$H$24,$10:$10)+100)/100</f>
        <v>1</v>
      </c>
      <c r="J398" s="2782"/>
      <c r="K398" s="478" t="n">
        <f aca="false">(SUMIF($11:$11,J398,$12:$12)-SUMIF($11:$11,$J$24,$12:$12)+100)/100</f>
        <v>1</v>
      </c>
      <c r="L398" s="2782"/>
      <c r="M398" s="478" t="n">
        <f aca="false">(SUMIF($13:$13,L398,$14:$14)-SUMIF($13:$13,$L$24,$14:$14)+100)/100</f>
        <v>1</v>
      </c>
      <c r="N398" s="2782"/>
      <c r="O398" s="478" t="n">
        <f aca="false">(SUMIF($15:$15,N398,$16:$16)-SUMIF($15:$15,$N$24,$16:$16)+100)/100</f>
        <v>1</v>
      </c>
      <c r="P398" s="2782"/>
      <c r="Q398" s="478" t="n">
        <f aca="false">(SUMIF($17:$17,P398,$18:$18)-SUMIF($17:$17,$P$24,$18:$18)+100)/100</f>
        <v>1</v>
      </c>
      <c r="R398" s="2772" t="n">
        <f aca="false">IF(B398="",0,ROUND($R$24*C398*E398*G398*I398*K398*M398*O398*Q398,0))</f>
        <v>0</v>
      </c>
      <c r="S398" s="2771" t="n">
        <f aca="false">ROUND(R398*B398/10000,0)</f>
        <v>0</v>
      </c>
    </row>
    <row r="399" customFormat="false" ht="12.75" hidden="false" customHeight="false" outlineLevel="0" collapsed="false">
      <c r="A399" s="1016"/>
      <c r="B399" s="2781"/>
      <c r="C399" s="478" t="n">
        <f aca="false">IF(B399="",1,(LOOKUP(B399,$3:$3,$4:$4)-LOOKUP($B$24,$3:$3,$4:$4)+100)/100)</f>
        <v>1</v>
      </c>
      <c r="D399" s="2782"/>
      <c r="E399" s="478" t="n">
        <f aca="false">(SUMIF($5:$5,D399,$6:$6)-SUMIF($5:$5,$D$24,$6:$6)+100)/100</f>
        <v>1</v>
      </c>
      <c r="F399" s="2782"/>
      <c r="G399" s="478" t="n">
        <f aca="false">(SUMIF($7:$7,F399,$8:$8)-SUMIF($7:$7,$F$24,$8:$8)+100)/100</f>
        <v>1</v>
      </c>
      <c r="H399" s="2782"/>
      <c r="I399" s="478" t="n">
        <f aca="false">(SUMIF($9:$9,H399,$10:$10)-SUMIF($9:$9,$H$24,$10:$10)+100)/100</f>
        <v>1</v>
      </c>
      <c r="J399" s="2782"/>
      <c r="K399" s="478" t="n">
        <f aca="false">(SUMIF($11:$11,J399,$12:$12)-SUMIF($11:$11,$J$24,$12:$12)+100)/100</f>
        <v>1</v>
      </c>
      <c r="L399" s="2782"/>
      <c r="M399" s="478" t="n">
        <f aca="false">(SUMIF($13:$13,L399,$14:$14)-SUMIF($13:$13,$L$24,$14:$14)+100)/100</f>
        <v>1</v>
      </c>
      <c r="N399" s="2782"/>
      <c r="O399" s="478" t="n">
        <f aca="false">(SUMIF($15:$15,N399,$16:$16)-SUMIF($15:$15,$N$24,$16:$16)+100)/100</f>
        <v>1</v>
      </c>
      <c r="P399" s="2782"/>
      <c r="Q399" s="478" t="n">
        <f aca="false">(SUMIF($17:$17,P399,$18:$18)-SUMIF($17:$17,$P$24,$18:$18)+100)/100</f>
        <v>1</v>
      </c>
      <c r="R399" s="2772" t="n">
        <f aca="false">IF(B399="",0,ROUND($R$24*C399*E399*G399*I399*K399*M399*O399*Q399,0))</f>
        <v>0</v>
      </c>
      <c r="S399" s="2771" t="n">
        <f aca="false">ROUND(R399*B399/10000,0)</f>
        <v>0</v>
      </c>
    </row>
    <row r="400" customFormat="false" ht="12.75" hidden="false" customHeight="false" outlineLevel="0" collapsed="false">
      <c r="A400" s="1016"/>
      <c r="B400" s="2781"/>
      <c r="C400" s="478" t="n">
        <f aca="false">IF(B400="",1,(LOOKUP(B400,$3:$3,$4:$4)-LOOKUP($B$24,$3:$3,$4:$4)+100)/100)</f>
        <v>1</v>
      </c>
      <c r="D400" s="2782"/>
      <c r="E400" s="478" t="n">
        <f aca="false">(SUMIF($5:$5,D400,$6:$6)-SUMIF($5:$5,$D$24,$6:$6)+100)/100</f>
        <v>1</v>
      </c>
      <c r="F400" s="2782"/>
      <c r="G400" s="478" t="n">
        <f aca="false">(SUMIF($7:$7,F400,$8:$8)-SUMIF($7:$7,$F$24,$8:$8)+100)/100</f>
        <v>1</v>
      </c>
      <c r="H400" s="2782"/>
      <c r="I400" s="478" t="n">
        <f aca="false">(SUMIF($9:$9,H400,$10:$10)-SUMIF($9:$9,$H$24,$10:$10)+100)/100</f>
        <v>1</v>
      </c>
      <c r="J400" s="2782"/>
      <c r="K400" s="478" t="n">
        <f aca="false">(SUMIF($11:$11,J400,$12:$12)-SUMIF($11:$11,$J$24,$12:$12)+100)/100</f>
        <v>1</v>
      </c>
      <c r="L400" s="2782"/>
      <c r="M400" s="478" t="n">
        <f aca="false">(SUMIF($13:$13,L400,$14:$14)-SUMIF($13:$13,$L$24,$14:$14)+100)/100</f>
        <v>1</v>
      </c>
      <c r="N400" s="2782"/>
      <c r="O400" s="478" t="n">
        <f aca="false">(SUMIF($15:$15,N400,$16:$16)-SUMIF($15:$15,$N$24,$16:$16)+100)/100</f>
        <v>1</v>
      </c>
      <c r="P400" s="2782"/>
      <c r="Q400" s="478" t="n">
        <f aca="false">(SUMIF($17:$17,P400,$18:$18)-SUMIF($17:$17,$P$24,$18:$18)+100)/100</f>
        <v>1</v>
      </c>
      <c r="R400" s="2772" t="n">
        <f aca="false">IF(B400="",0,ROUND($R$24*C400*E400*G400*I400*K400*M400*O400*Q400,0))</f>
        <v>0</v>
      </c>
      <c r="S400" s="2771" t="n">
        <f aca="false">ROUND(R400*B400/10000,0)</f>
        <v>0</v>
      </c>
    </row>
    <row r="401" customFormat="false" ht="12.75" hidden="false" customHeight="false" outlineLevel="0" collapsed="false">
      <c r="A401" s="1016"/>
      <c r="B401" s="2781"/>
      <c r="C401" s="478" t="n">
        <f aca="false">IF(B401="",1,(LOOKUP(B401,$3:$3,$4:$4)-LOOKUP($B$24,$3:$3,$4:$4)+100)/100)</f>
        <v>1</v>
      </c>
      <c r="D401" s="2782"/>
      <c r="E401" s="478" t="n">
        <f aca="false">(SUMIF($5:$5,D401,$6:$6)-SUMIF($5:$5,$D$24,$6:$6)+100)/100</f>
        <v>1</v>
      </c>
      <c r="F401" s="2782"/>
      <c r="G401" s="478" t="n">
        <f aca="false">(SUMIF($7:$7,F401,$8:$8)-SUMIF($7:$7,$F$24,$8:$8)+100)/100</f>
        <v>1</v>
      </c>
      <c r="H401" s="2782"/>
      <c r="I401" s="478" t="n">
        <f aca="false">(SUMIF($9:$9,H401,$10:$10)-SUMIF($9:$9,$H$24,$10:$10)+100)/100</f>
        <v>1</v>
      </c>
      <c r="J401" s="2782"/>
      <c r="K401" s="478" t="n">
        <f aca="false">(SUMIF($11:$11,J401,$12:$12)-SUMIF($11:$11,$J$24,$12:$12)+100)/100</f>
        <v>1</v>
      </c>
      <c r="L401" s="2782"/>
      <c r="M401" s="478" t="n">
        <f aca="false">(SUMIF($13:$13,L401,$14:$14)-SUMIF($13:$13,$L$24,$14:$14)+100)/100</f>
        <v>1</v>
      </c>
      <c r="N401" s="2782"/>
      <c r="O401" s="478" t="n">
        <f aca="false">(SUMIF($15:$15,N401,$16:$16)-SUMIF($15:$15,$N$24,$16:$16)+100)/100</f>
        <v>1</v>
      </c>
      <c r="P401" s="2782"/>
      <c r="Q401" s="478" t="n">
        <f aca="false">(SUMIF($17:$17,P401,$18:$18)-SUMIF($17:$17,$P$24,$18:$18)+100)/100</f>
        <v>1</v>
      </c>
      <c r="R401" s="2772" t="n">
        <f aca="false">IF(B401="",0,ROUND($R$24*C401*E401*G401*I401*K401*M401*O401*Q401,0))</f>
        <v>0</v>
      </c>
      <c r="S401" s="2771" t="n">
        <f aca="false">ROUND(R401*B401/10000,0)</f>
        <v>0</v>
      </c>
    </row>
    <row r="402" customFormat="false" ht="12.75" hidden="false" customHeight="false" outlineLevel="0" collapsed="false">
      <c r="A402" s="1016"/>
      <c r="B402" s="2781"/>
      <c r="C402" s="478" t="n">
        <f aca="false">IF(B402="",1,(LOOKUP(B402,$3:$3,$4:$4)-LOOKUP($B$24,$3:$3,$4:$4)+100)/100)</f>
        <v>1</v>
      </c>
      <c r="D402" s="2782"/>
      <c r="E402" s="478" t="n">
        <f aca="false">(SUMIF($5:$5,D402,$6:$6)-SUMIF($5:$5,$D$24,$6:$6)+100)/100</f>
        <v>1</v>
      </c>
      <c r="F402" s="2782"/>
      <c r="G402" s="478" t="n">
        <f aca="false">(SUMIF($7:$7,F402,$8:$8)-SUMIF($7:$7,$F$24,$8:$8)+100)/100</f>
        <v>1</v>
      </c>
      <c r="H402" s="2782"/>
      <c r="I402" s="478" t="n">
        <f aca="false">(SUMIF($9:$9,H402,$10:$10)-SUMIF($9:$9,$H$24,$10:$10)+100)/100</f>
        <v>1</v>
      </c>
      <c r="J402" s="2782"/>
      <c r="K402" s="478" t="n">
        <f aca="false">(SUMIF($11:$11,J402,$12:$12)-SUMIF($11:$11,$J$24,$12:$12)+100)/100</f>
        <v>1</v>
      </c>
      <c r="L402" s="2782"/>
      <c r="M402" s="478" t="n">
        <f aca="false">(SUMIF($13:$13,L402,$14:$14)-SUMIF($13:$13,$L$24,$14:$14)+100)/100</f>
        <v>1</v>
      </c>
      <c r="N402" s="2782"/>
      <c r="O402" s="478" t="n">
        <f aca="false">(SUMIF($15:$15,N402,$16:$16)-SUMIF($15:$15,$N$24,$16:$16)+100)/100</f>
        <v>1</v>
      </c>
      <c r="P402" s="2782"/>
      <c r="Q402" s="478" t="n">
        <f aca="false">(SUMIF($17:$17,P402,$18:$18)-SUMIF($17:$17,$P$24,$18:$18)+100)/100</f>
        <v>1</v>
      </c>
      <c r="R402" s="2772" t="n">
        <f aca="false">IF(B402="",0,ROUND($R$24*C402*E402*G402*I402*K402*M402*O402*Q402,0))</f>
        <v>0</v>
      </c>
      <c r="S402" s="2771" t="n">
        <f aca="false">ROUND(R402*B402/10000,0)</f>
        <v>0</v>
      </c>
    </row>
    <row r="403" customFormat="false" ht="12.75" hidden="false" customHeight="false" outlineLevel="0" collapsed="false">
      <c r="A403" s="1016"/>
      <c r="B403" s="2781"/>
      <c r="C403" s="478" t="n">
        <f aca="false">IF(B403="",1,(LOOKUP(B403,$3:$3,$4:$4)-LOOKUP($B$24,$3:$3,$4:$4)+100)/100)</f>
        <v>1</v>
      </c>
      <c r="D403" s="2782"/>
      <c r="E403" s="478" t="n">
        <f aca="false">(SUMIF($5:$5,D403,$6:$6)-SUMIF($5:$5,$D$24,$6:$6)+100)/100</f>
        <v>1</v>
      </c>
      <c r="F403" s="2782"/>
      <c r="G403" s="478" t="n">
        <f aca="false">(SUMIF($7:$7,F403,$8:$8)-SUMIF($7:$7,$F$24,$8:$8)+100)/100</f>
        <v>1</v>
      </c>
      <c r="H403" s="2782"/>
      <c r="I403" s="478" t="n">
        <f aca="false">(SUMIF($9:$9,H403,$10:$10)-SUMIF($9:$9,$H$24,$10:$10)+100)/100</f>
        <v>1</v>
      </c>
      <c r="J403" s="2782"/>
      <c r="K403" s="478" t="n">
        <f aca="false">(SUMIF($11:$11,J403,$12:$12)-SUMIF($11:$11,$J$24,$12:$12)+100)/100</f>
        <v>1</v>
      </c>
      <c r="L403" s="2782"/>
      <c r="M403" s="478" t="n">
        <f aca="false">(SUMIF($13:$13,L403,$14:$14)-SUMIF($13:$13,$L$24,$14:$14)+100)/100</f>
        <v>1</v>
      </c>
      <c r="N403" s="2782"/>
      <c r="O403" s="478" t="n">
        <f aca="false">(SUMIF($15:$15,N403,$16:$16)-SUMIF($15:$15,$N$24,$16:$16)+100)/100</f>
        <v>1</v>
      </c>
      <c r="P403" s="2782"/>
      <c r="Q403" s="478" t="n">
        <f aca="false">(SUMIF($17:$17,P403,$18:$18)-SUMIF($17:$17,$P$24,$18:$18)+100)/100</f>
        <v>1</v>
      </c>
      <c r="R403" s="2772" t="n">
        <f aca="false">IF(B403="",0,ROUND($R$24*C403*E403*G403*I403*K403*M403*O403*Q403,0))</f>
        <v>0</v>
      </c>
      <c r="S403" s="2771" t="n">
        <f aca="false">ROUND(R403*B403/10000,0)</f>
        <v>0</v>
      </c>
    </row>
    <row r="404" customFormat="false" ht="12.75" hidden="false" customHeight="false" outlineLevel="0" collapsed="false">
      <c r="A404" s="1016"/>
      <c r="B404" s="2781"/>
      <c r="C404" s="478" t="n">
        <f aca="false">IF(B404="",1,(LOOKUP(B404,$3:$3,$4:$4)-LOOKUP($B$24,$3:$3,$4:$4)+100)/100)</f>
        <v>1</v>
      </c>
      <c r="D404" s="2782"/>
      <c r="E404" s="478" t="n">
        <f aca="false">(SUMIF($5:$5,D404,$6:$6)-SUMIF($5:$5,$D$24,$6:$6)+100)/100</f>
        <v>1</v>
      </c>
      <c r="F404" s="2782"/>
      <c r="G404" s="478" t="n">
        <f aca="false">(SUMIF($7:$7,F404,$8:$8)-SUMIF($7:$7,$F$24,$8:$8)+100)/100</f>
        <v>1</v>
      </c>
      <c r="H404" s="2782"/>
      <c r="I404" s="478" t="n">
        <f aca="false">(SUMIF($9:$9,H404,$10:$10)-SUMIF($9:$9,$H$24,$10:$10)+100)/100</f>
        <v>1</v>
      </c>
      <c r="J404" s="2782"/>
      <c r="K404" s="478" t="n">
        <f aca="false">(SUMIF($11:$11,J404,$12:$12)-SUMIF($11:$11,$J$24,$12:$12)+100)/100</f>
        <v>1</v>
      </c>
      <c r="L404" s="2782"/>
      <c r="M404" s="478" t="n">
        <f aca="false">(SUMIF($13:$13,L404,$14:$14)-SUMIF($13:$13,$L$24,$14:$14)+100)/100</f>
        <v>1</v>
      </c>
      <c r="N404" s="2782"/>
      <c r="O404" s="478" t="n">
        <f aca="false">(SUMIF($15:$15,N404,$16:$16)-SUMIF($15:$15,$N$24,$16:$16)+100)/100</f>
        <v>1</v>
      </c>
      <c r="P404" s="2782"/>
      <c r="Q404" s="478" t="n">
        <f aca="false">(SUMIF($17:$17,P404,$18:$18)-SUMIF($17:$17,$P$24,$18:$18)+100)/100</f>
        <v>1</v>
      </c>
      <c r="R404" s="2772" t="n">
        <f aca="false">IF(B404="",0,ROUND($R$24*C404*E404*G404*I404*K404*M404*O404*Q404,0))</f>
        <v>0</v>
      </c>
      <c r="S404" s="2771" t="n">
        <f aca="false">ROUND(R404*B404/10000,0)</f>
        <v>0</v>
      </c>
    </row>
    <row r="405" customFormat="false" ht="12.75" hidden="false" customHeight="false" outlineLevel="0" collapsed="false">
      <c r="A405" s="1016"/>
      <c r="B405" s="2781"/>
      <c r="C405" s="478" t="n">
        <f aca="false">IF(B405="",1,(LOOKUP(B405,$3:$3,$4:$4)-LOOKUP($B$24,$3:$3,$4:$4)+100)/100)</f>
        <v>1</v>
      </c>
      <c r="D405" s="2782"/>
      <c r="E405" s="478" t="n">
        <f aca="false">(SUMIF($5:$5,D405,$6:$6)-SUMIF($5:$5,$D$24,$6:$6)+100)/100</f>
        <v>1</v>
      </c>
      <c r="F405" s="2782"/>
      <c r="G405" s="478" t="n">
        <f aca="false">(SUMIF($7:$7,F405,$8:$8)-SUMIF($7:$7,$F$24,$8:$8)+100)/100</f>
        <v>1</v>
      </c>
      <c r="H405" s="2782"/>
      <c r="I405" s="478" t="n">
        <f aca="false">(SUMIF($9:$9,H405,$10:$10)-SUMIF($9:$9,$H$24,$10:$10)+100)/100</f>
        <v>1</v>
      </c>
      <c r="J405" s="2782"/>
      <c r="K405" s="478" t="n">
        <f aca="false">(SUMIF($11:$11,J405,$12:$12)-SUMIF($11:$11,$J$24,$12:$12)+100)/100</f>
        <v>1</v>
      </c>
      <c r="L405" s="2782"/>
      <c r="M405" s="478" t="n">
        <f aca="false">(SUMIF($13:$13,L405,$14:$14)-SUMIF($13:$13,$L$24,$14:$14)+100)/100</f>
        <v>1</v>
      </c>
      <c r="N405" s="2782"/>
      <c r="O405" s="478" t="n">
        <f aca="false">(SUMIF($15:$15,N405,$16:$16)-SUMIF($15:$15,$N$24,$16:$16)+100)/100</f>
        <v>1</v>
      </c>
      <c r="P405" s="2782"/>
      <c r="Q405" s="478" t="n">
        <f aca="false">(SUMIF($17:$17,P405,$18:$18)-SUMIF($17:$17,$P$24,$18:$18)+100)/100</f>
        <v>1</v>
      </c>
      <c r="R405" s="2772" t="n">
        <f aca="false">IF(B405="",0,ROUND($R$24*C405*E405*G405*I405*K405*M405*O405*Q405,0))</f>
        <v>0</v>
      </c>
      <c r="S405" s="2771" t="n">
        <f aca="false">ROUND(R405*B405/10000,0)</f>
        <v>0</v>
      </c>
    </row>
    <row r="406" customFormat="false" ht="12.75" hidden="false" customHeight="false" outlineLevel="0" collapsed="false">
      <c r="A406" s="1016"/>
      <c r="B406" s="2781"/>
      <c r="C406" s="478" t="n">
        <f aca="false">IF(B406="",1,(LOOKUP(B406,$3:$3,$4:$4)-LOOKUP($B$24,$3:$3,$4:$4)+100)/100)</f>
        <v>1</v>
      </c>
      <c r="D406" s="2782"/>
      <c r="E406" s="478" t="n">
        <f aca="false">(SUMIF($5:$5,D406,$6:$6)-SUMIF($5:$5,$D$24,$6:$6)+100)/100</f>
        <v>1</v>
      </c>
      <c r="F406" s="2782"/>
      <c r="G406" s="478" t="n">
        <f aca="false">(SUMIF($7:$7,F406,$8:$8)-SUMIF($7:$7,$F$24,$8:$8)+100)/100</f>
        <v>1</v>
      </c>
      <c r="H406" s="2782"/>
      <c r="I406" s="478" t="n">
        <f aca="false">(SUMIF($9:$9,H406,$10:$10)-SUMIF($9:$9,$H$24,$10:$10)+100)/100</f>
        <v>1</v>
      </c>
      <c r="J406" s="2782"/>
      <c r="K406" s="478" t="n">
        <f aca="false">(SUMIF($11:$11,J406,$12:$12)-SUMIF($11:$11,$J$24,$12:$12)+100)/100</f>
        <v>1</v>
      </c>
      <c r="L406" s="2782"/>
      <c r="M406" s="478" t="n">
        <f aca="false">(SUMIF($13:$13,L406,$14:$14)-SUMIF($13:$13,$L$24,$14:$14)+100)/100</f>
        <v>1</v>
      </c>
      <c r="N406" s="2782"/>
      <c r="O406" s="478" t="n">
        <f aca="false">(SUMIF($15:$15,N406,$16:$16)-SUMIF($15:$15,$N$24,$16:$16)+100)/100</f>
        <v>1</v>
      </c>
      <c r="P406" s="2782"/>
      <c r="Q406" s="478" t="n">
        <f aca="false">(SUMIF($17:$17,P406,$18:$18)-SUMIF($17:$17,$P$24,$18:$18)+100)/100</f>
        <v>1</v>
      </c>
      <c r="R406" s="2772" t="n">
        <f aca="false">IF(B406="",0,ROUND($R$24*C406*E406*G406*I406*K406*M406*O406*Q406,0))</f>
        <v>0</v>
      </c>
      <c r="S406" s="2771" t="n">
        <f aca="false">ROUND(R406*B406/10000,0)</f>
        <v>0</v>
      </c>
    </row>
    <row r="407" customFormat="false" ht="12.75" hidden="false" customHeight="false" outlineLevel="0" collapsed="false">
      <c r="A407" s="1016"/>
      <c r="B407" s="2781"/>
      <c r="C407" s="478" t="n">
        <f aca="false">IF(B407="",1,(LOOKUP(B407,$3:$3,$4:$4)-LOOKUP($B$24,$3:$3,$4:$4)+100)/100)</f>
        <v>1</v>
      </c>
      <c r="D407" s="2782"/>
      <c r="E407" s="478" t="n">
        <f aca="false">(SUMIF($5:$5,D407,$6:$6)-SUMIF($5:$5,$D$24,$6:$6)+100)/100</f>
        <v>1</v>
      </c>
      <c r="F407" s="2782"/>
      <c r="G407" s="478" t="n">
        <f aca="false">(SUMIF($7:$7,F407,$8:$8)-SUMIF($7:$7,$F$24,$8:$8)+100)/100</f>
        <v>1</v>
      </c>
      <c r="H407" s="2782"/>
      <c r="I407" s="478" t="n">
        <f aca="false">(SUMIF($9:$9,H407,$10:$10)-SUMIF($9:$9,$H$24,$10:$10)+100)/100</f>
        <v>1</v>
      </c>
      <c r="J407" s="2782"/>
      <c r="K407" s="478" t="n">
        <f aca="false">(SUMIF($11:$11,J407,$12:$12)-SUMIF($11:$11,$J$24,$12:$12)+100)/100</f>
        <v>1</v>
      </c>
      <c r="L407" s="2782"/>
      <c r="M407" s="478" t="n">
        <f aca="false">(SUMIF($13:$13,L407,$14:$14)-SUMIF($13:$13,$L$24,$14:$14)+100)/100</f>
        <v>1</v>
      </c>
      <c r="N407" s="2782"/>
      <c r="O407" s="478" t="n">
        <f aca="false">(SUMIF($15:$15,N407,$16:$16)-SUMIF($15:$15,$N$24,$16:$16)+100)/100</f>
        <v>1</v>
      </c>
      <c r="P407" s="2782"/>
      <c r="Q407" s="478" t="n">
        <f aca="false">(SUMIF($17:$17,P407,$18:$18)-SUMIF($17:$17,$P$24,$18:$18)+100)/100</f>
        <v>1</v>
      </c>
      <c r="R407" s="2772" t="n">
        <f aca="false">IF(B407="",0,ROUND($R$24*C407*E407*G407*I407*K407*M407*O407*Q407,0))</f>
        <v>0</v>
      </c>
      <c r="S407" s="2771" t="n">
        <f aca="false">ROUND(R407*B407/10000,0)</f>
        <v>0</v>
      </c>
    </row>
    <row r="408" customFormat="false" ht="12.75" hidden="false" customHeight="false" outlineLevel="0" collapsed="false">
      <c r="A408" s="1016"/>
      <c r="B408" s="2781"/>
      <c r="C408" s="478" t="n">
        <f aca="false">IF(B408="",1,(LOOKUP(B408,$3:$3,$4:$4)-LOOKUP($B$24,$3:$3,$4:$4)+100)/100)</f>
        <v>1</v>
      </c>
      <c r="D408" s="2782"/>
      <c r="E408" s="478" t="n">
        <f aca="false">(SUMIF($5:$5,D408,$6:$6)-SUMIF($5:$5,$D$24,$6:$6)+100)/100</f>
        <v>1</v>
      </c>
      <c r="F408" s="2782"/>
      <c r="G408" s="478" t="n">
        <f aca="false">(SUMIF($7:$7,F408,$8:$8)-SUMIF($7:$7,$F$24,$8:$8)+100)/100</f>
        <v>1</v>
      </c>
      <c r="H408" s="2782"/>
      <c r="I408" s="478" t="n">
        <f aca="false">(SUMIF($9:$9,H408,$10:$10)-SUMIF($9:$9,$H$24,$10:$10)+100)/100</f>
        <v>1</v>
      </c>
      <c r="J408" s="2782"/>
      <c r="K408" s="478" t="n">
        <f aca="false">(SUMIF($11:$11,J408,$12:$12)-SUMIF($11:$11,$J$24,$12:$12)+100)/100</f>
        <v>1</v>
      </c>
      <c r="L408" s="2782"/>
      <c r="M408" s="478" t="n">
        <f aca="false">(SUMIF($13:$13,L408,$14:$14)-SUMIF($13:$13,$L$24,$14:$14)+100)/100</f>
        <v>1</v>
      </c>
      <c r="N408" s="2782"/>
      <c r="O408" s="478" t="n">
        <f aca="false">(SUMIF($15:$15,N408,$16:$16)-SUMIF($15:$15,$N$24,$16:$16)+100)/100</f>
        <v>1</v>
      </c>
      <c r="P408" s="2782"/>
      <c r="Q408" s="478" t="n">
        <f aca="false">(SUMIF($17:$17,P408,$18:$18)-SUMIF($17:$17,$P$24,$18:$18)+100)/100</f>
        <v>1</v>
      </c>
      <c r="R408" s="2772" t="n">
        <f aca="false">IF(B408="",0,ROUND($R$24*C408*E408*G408*I408*K408*M408*O408*Q408,0))</f>
        <v>0</v>
      </c>
      <c r="S408" s="2771" t="n">
        <f aca="false">ROUND(R408*B408/10000,0)</f>
        <v>0</v>
      </c>
    </row>
    <row r="409" customFormat="false" ht="12.75" hidden="false" customHeight="false" outlineLevel="0" collapsed="false">
      <c r="A409" s="1016"/>
      <c r="B409" s="2781"/>
      <c r="C409" s="478" t="n">
        <f aca="false">IF(B409="",1,(LOOKUP(B409,$3:$3,$4:$4)-LOOKUP($B$24,$3:$3,$4:$4)+100)/100)</f>
        <v>1</v>
      </c>
      <c r="D409" s="2782"/>
      <c r="E409" s="478" t="n">
        <f aca="false">(SUMIF($5:$5,D409,$6:$6)-SUMIF($5:$5,$D$24,$6:$6)+100)/100</f>
        <v>1</v>
      </c>
      <c r="F409" s="2782"/>
      <c r="G409" s="478" t="n">
        <f aca="false">(SUMIF($7:$7,F409,$8:$8)-SUMIF($7:$7,$F$24,$8:$8)+100)/100</f>
        <v>1</v>
      </c>
      <c r="H409" s="2782"/>
      <c r="I409" s="478" t="n">
        <f aca="false">(SUMIF($9:$9,H409,$10:$10)-SUMIF($9:$9,$H$24,$10:$10)+100)/100</f>
        <v>1</v>
      </c>
      <c r="J409" s="2782"/>
      <c r="K409" s="478" t="n">
        <f aca="false">(SUMIF($11:$11,J409,$12:$12)-SUMIF($11:$11,$J$24,$12:$12)+100)/100</f>
        <v>1</v>
      </c>
      <c r="L409" s="2782"/>
      <c r="M409" s="478" t="n">
        <f aca="false">(SUMIF($13:$13,L409,$14:$14)-SUMIF($13:$13,$L$24,$14:$14)+100)/100</f>
        <v>1</v>
      </c>
      <c r="N409" s="2782"/>
      <c r="O409" s="478" t="n">
        <f aca="false">(SUMIF($15:$15,N409,$16:$16)-SUMIF($15:$15,$N$24,$16:$16)+100)/100</f>
        <v>1</v>
      </c>
      <c r="P409" s="2782"/>
      <c r="Q409" s="478" t="n">
        <f aca="false">(SUMIF($17:$17,P409,$18:$18)-SUMIF($17:$17,$P$24,$18:$18)+100)/100</f>
        <v>1</v>
      </c>
      <c r="R409" s="2772" t="n">
        <f aca="false">IF(B409="",0,ROUND($R$24*C409*E409*G409*I409*K409*M409*O409*Q409,0))</f>
        <v>0</v>
      </c>
      <c r="S409" s="2771" t="n">
        <f aca="false">ROUND(R409*B409/10000,0)</f>
        <v>0</v>
      </c>
    </row>
    <row r="410" customFormat="false" ht="12.75" hidden="false" customHeight="false" outlineLevel="0" collapsed="false">
      <c r="A410" s="1016"/>
      <c r="B410" s="2781"/>
      <c r="C410" s="478" t="n">
        <f aca="false">IF(B410="",1,(LOOKUP(B410,$3:$3,$4:$4)-LOOKUP($B$24,$3:$3,$4:$4)+100)/100)</f>
        <v>1</v>
      </c>
      <c r="D410" s="2782"/>
      <c r="E410" s="478" t="n">
        <f aca="false">(SUMIF($5:$5,D410,$6:$6)-SUMIF($5:$5,$D$24,$6:$6)+100)/100</f>
        <v>1</v>
      </c>
      <c r="F410" s="2782"/>
      <c r="G410" s="478" t="n">
        <f aca="false">(SUMIF($7:$7,F410,$8:$8)-SUMIF($7:$7,$F$24,$8:$8)+100)/100</f>
        <v>1</v>
      </c>
      <c r="H410" s="2782"/>
      <c r="I410" s="478" t="n">
        <f aca="false">(SUMIF($9:$9,H410,$10:$10)-SUMIF($9:$9,$H$24,$10:$10)+100)/100</f>
        <v>1</v>
      </c>
      <c r="J410" s="2782"/>
      <c r="K410" s="478" t="n">
        <f aca="false">(SUMIF($11:$11,J410,$12:$12)-SUMIF($11:$11,$J$24,$12:$12)+100)/100</f>
        <v>1</v>
      </c>
      <c r="L410" s="2782"/>
      <c r="M410" s="478" t="n">
        <f aca="false">(SUMIF($13:$13,L410,$14:$14)-SUMIF($13:$13,$L$24,$14:$14)+100)/100</f>
        <v>1</v>
      </c>
      <c r="N410" s="2782"/>
      <c r="O410" s="478" t="n">
        <f aca="false">(SUMIF($15:$15,N410,$16:$16)-SUMIF($15:$15,$N$24,$16:$16)+100)/100</f>
        <v>1</v>
      </c>
      <c r="P410" s="2782"/>
      <c r="Q410" s="478" t="n">
        <f aca="false">(SUMIF($17:$17,P410,$18:$18)-SUMIF($17:$17,$P$24,$18:$18)+100)/100</f>
        <v>1</v>
      </c>
      <c r="R410" s="2772" t="n">
        <f aca="false">IF(B410="",0,ROUND($R$24*C410*E410*G410*I410*K410*M410*O410*Q410,0))</f>
        <v>0</v>
      </c>
      <c r="S410" s="2771" t="n">
        <f aca="false">ROUND(R410*B410/10000,0)</f>
        <v>0</v>
      </c>
    </row>
    <row r="411" customFormat="false" ht="12.75" hidden="false" customHeight="false" outlineLevel="0" collapsed="false">
      <c r="A411" s="1016"/>
      <c r="B411" s="2781"/>
      <c r="C411" s="478" t="n">
        <f aca="false">IF(B411="",1,(LOOKUP(B411,$3:$3,$4:$4)-LOOKUP($B$24,$3:$3,$4:$4)+100)/100)</f>
        <v>1</v>
      </c>
      <c r="D411" s="2782"/>
      <c r="E411" s="478" t="n">
        <f aca="false">(SUMIF($5:$5,D411,$6:$6)-SUMIF($5:$5,$D$24,$6:$6)+100)/100</f>
        <v>1</v>
      </c>
      <c r="F411" s="2782"/>
      <c r="G411" s="478" t="n">
        <f aca="false">(SUMIF($7:$7,F411,$8:$8)-SUMIF($7:$7,$F$24,$8:$8)+100)/100</f>
        <v>1</v>
      </c>
      <c r="H411" s="2782"/>
      <c r="I411" s="478" t="n">
        <f aca="false">(SUMIF($9:$9,H411,$10:$10)-SUMIF($9:$9,$H$24,$10:$10)+100)/100</f>
        <v>1</v>
      </c>
      <c r="J411" s="2782"/>
      <c r="K411" s="478" t="n">
        <f aca="false">(SUMIF($11:$11,J411,$12:$12)-SUMIF($11:$11,$J$24,$12:$12)+100)/100</f>
        <v>1</v>
      </c>
      <c r="L411" s="2782"/>
      <c r="M411" s="478" t="n">
        <f aca="false">(SUMIF($13:$13,L411,$14:$14)-SUMIF($13:$13,$L$24,$14:$14)+100)/100</f>
        <v>1</v>
      </c>
      <c r="N411" s="2782"/>
      <c r="O411" s="478" t="n">
        <f aca="false">(SUMIF($15:$15,N411,$16:$16)-SUMIF($15:$15,$N$24,$16:$16)+100)/100</f>
        <v>1</v>
      </c>
      <c r="P411" s="2782"/>
      <c r="Q411" s="478" t="n">
        <f aca="false">(SUMIF($17:$17,P411,$18:$18)-SUMIF($17:$17,$P$24,$18:$18)+100)/100</f>
        <v>1</v>
      </c>
      <c r="R411" s="2772" t="n">
        <f aca="false">IF(B411="",0,ROUND($R$24*C411*E411*G411*I411*K411*M411*O411*Q411,0))</f>
        <v>0</v>
      </c>
      <c r="S411" s="2771" t="n">
        <f aca="false">ROUND(R411*B411/10000,0)</f>
        <v>0</v>
      </c>
    </row>
    <row r="412" customFormat="false" ht="12.75" hidden="false" customHeight="false" outlineLevel="0" collapsed="false">
      <c r="A412" s="1016"/>
      <c r="B412" s="2781"/>
      <c r="C412" s="478" t="n">
        <f aca="false">IF(B412="",1,(LOOKUP(B412,$3:$3,$4:$4)-LOOKUP($B$24,$3:$3,$4:$4)+100)/100)</f>
        <v>1</v>
      </c>
      <c r="D412" s="2782"/>
      <c r="E412" s="478" t="n">
        <f aca="false">(SUMIF($5:$5,D412,$6:$6)-SUMIF($5:$5,$D$24,$6:$6)+100)/100</f>
        <v>1</v>
      </c>
      <c r="F412" s="2782"/>
      <c r="G412" s="478" t="n">
        <f aca="false">(SUMIF($7:$7,F412,$8:$8)-SUMIF($7:$7,$F$24,$8:$8)+100)/100</f>
        <v>1</v>
      </c>
      <c r="H412" s="2782"/>
      <c r="I412" s="478" t="n">
        <f aca="false">(SUMIF($9:$9,H412,$10:$10)-SUMIF($9:$9,$H$24,$10:$10)+100)/100</f>
        <v>1</v>
      </c>
      <c r="J412" s="2782"/>
      <c r="K412" s="478" t="n">
        <f aca="false">(SUMIF($11:$11,J412,$12:$12)-SUMIF($11:$11,$J$24,$12:$12)+100)/100</f>
        <v>1</v>
      </c>
      <c r="L412" s="2782"/>
      <c r="M412" s="478" t="n">
        <f aca="false">(SUMIF($13:$13,L412,$14:$14)-SUMIF($13:$13,$L$24,$14:$14)+100)/100</f>
        <v>1</v>
      </c>
      <c r="N412" s="2782"/>
      <c r="O412" s="478" t="n">
        <f aca="false">(SUMIF($15:$15,N412,$16:$16)-SUMIF($15:$15,$N$24,$16:$16)+100)/100</f>
        <v>1</v>
      </c>
      <c r="P412" s="2782"/>
      <c r="Q412" s="478" t="n">
        <f aca="false">(SUMIF($17:$17,P412,$18:$18)-SUMIF($17:$17,$P$24,$18:$18)+100)/100</f>
        <v>1</v>
      </c>
      <c r="R412" s="2772" t="n">
        <f aca="false">IF(B412="",0,ROUND($R$24*C412*E412*G412*I412*K412*M412*O412*Q412,0))</f>
        <v>0</v>
      </c>
      <c r="S412" s="2771" t="n">
        <f aca="false">ROUND(R412*B412/10000,0)</f>
        <v>0</v>
      </c>
    </row>
    <row r="413" customFormat="false" ht="12.75" hidden="false" customHeight="false" outlineLevel="0" collapsed="false">
      <c r="A413" s="1016"/>
      <c r="B413" s="2781"/>
      <c r="C413" s="478" t="n">
        <f aca="false">IF(B413="",1,(LOOKUP(B413,$3:$3,$4:$4)-LOOKUP($B$24,$3:$3,$4:$4)+100)/100)</f>
        <v>1</v>
      </c>
      <c r="D413" s="2782"/>
      <c r="E413" s="478" t="n">
        <f aca="false">(SUMIF($5:$5,D413,$6:$6)-SUMIF($5:$5,$D$24,$6:$6)+100)/100</f>
        <v>1</v>
      </c>
      <c r="F413" s="2782"/>
      <c r="G413" s="478" t="n">
        <f aca="false">(SUMIF($7:$7,F413,$8:$8)-SUMIF($7:$7,$F$24,$8:$8)+100)/100</f>
        <v>1</v>
      </c>
      <c r="H413" s="2782"/>
      <c r="I413" s="478" t="n">
        <f aca="false">(SUMIF($9:$9,H413,$10:$10)-SUMIF($9:$9,$H$24,$10:$10)+100)/100</f>
        <v>1</v>
      </c>
      <c r="J413" s="2782"/>
      <c r="K413" s="478" t="n">
        <f aca="false">(SUMIF($11:$11,J413,$12:$12)-SUMIF($11:$11,$J$24,$12:$12)+100)/100</f>
        <v>1</v>
      </c>
      <c r="L413" s="2782"/>
      <c r="M413" s="478" t="n">
        <f aca="false">(SUMIF($13:$13,L413,$14:$14)-SUMIF($13:$13,$L$24,$14:$14)+100)/100</f>
        <v>1</v>
      </c>
      <c r="N413" s="2782"/>
      <c r="O413" s="478" t="n">
        <f aca="false">(SUMIF($15:$15,N413,$16:$16)-SUMIF($15:$15,$N$24,$16:$16)+100)/100</f>
        <v>1</v>
      </c>
      <c r="P413" s="2782"/>
      <c r="Q413" s="478" t="n">
        <f aca="false">(SUMIF($17:$17,P413,$18:$18)-SUMIF($17:$17,$P$24,$18:$18)+100)/100</f>
        <v>1</v>
      </c>
      <c r="R413" s="2772" t="n">
        <f aca="false">IF(B413="",0,ROUND($R$24*C413*E413*G413*I413*K413*M413*O413*Q413,0))</f>
        <v>0</v>
      </c>
      <c r="S413" s="2771" t="n">
        <f aca="false">ROUND(R413*B413/10000,0)</f>
        <v>0</v>
      </c>
    </row>
    <row r="414" customFormat="false" ht="12.75" hidden="false" customHeight="false" outlineLevel="0" collapsed="false">
      <c r="A414" s="1016"/>
      <c r="B414" s="2781"/>
      <c r="C414" s="478" t="n">
        <f aca="false">IF(B414="",1,(LOOKUP(B414,$3:$3,$4:$4)-LOOKUP($B$24,$3:$3,$4:$4)+100)/100)</f>
        <v>1</v>
      </c>
      <c r="D414" s="2782"/>
      <c r="E414" s="478" t="n">
        <f aca="false">(SUMIF($5:$5,D414,$6:$6)-SUMIF($5:$5,$D$24,$6:$6)+100)/100</f>
        <v>1</v>
      </c>
      <c r="F414" s="2782"/>
      <c r="G414" s="478" t="n">
        <f aca="false">(SUMIF($7:$7,F414,$8:$8)-SUMIF($7:$7,$F$24,$8:$8)+100)/100</f>
        <v>1</v>
      </c>
      <c r="H414" s="2782"/>
      <c r="I414" s="478" t="n">
        <f aca="false">(SUMIF($9:$9,H414,$10:$10)-SUMIF($9:$9,$H$24,$10:$10)+100)/100</f>
        <v>1</v>
      </c>
      <c r="J414" s="2782"/>
      <c r="K414" s="478" t="n">
        <f aca="false">(SUMIF($11:$11,J414,$12:$12)-SUMIF($11:$11,$J$24,$12:$12)+100)/100</f>
        <v>1</v>
      </c>
      <c r="L414" s="2782"/>
      <c r="M414" s="478" t="n">
        <f aca="false">(SUMIF($13:$13,L414,$14:$14)-SUMIF($13:$13,$L$24,$14:$14)+100)/100</f>
        <v>1</v>
      </c>
      <c r="N414" s="2782"/>
      <c r="O414" s="478" t="n">
        <f aca="false">(SUMIF($15:$15,N414,$16:$16)-SUMIF($15:$15,$N$24,$16:$16)+100)/100</f>
        <v>1</v>
      </c>
      <c r="P414" s="2782"/>
      <c r="Q414" s="478" t="n">
        <f aca="false">(SUMIF($17:$17,P414,$18:$18)-SUMIF($17:$17,$P$24,$18:$18)+100)/100</f>
        <v>1</v>
      </c>
      <c r="R414" s="2772" t="n">
        <f aca="false">IF(B414="",0,ROUND($R$24*C414*E414*G414*I414*K414*M414*O414*Q414,0))</f>
        <v>0</v>
      </c>
      <c r="S414" s="2771" t="n">
        <f aca="false">ROUND(R414*B414/10000,0)</f>
        <v>0</v>
      </c>
    </row>
    <row r="415" customFormat="false" ht="12.75" hidden="false" customHeight="false" outlineLevel="0" collapsed="false">
      <c r="A415" s="1016"/>
      <c r="B415" s="2781"/>
      <c r="C415" s="478" t="n">
        <f aca="false">IF(B415="",1,(LOOKUP(B415,$3:$3,$4:$4)-LOOKUP($B$24,$3:$3,$4:$4)+100)/100)</f>
        <v>1</v>
      </c>
      <c r="D415" s="2782"/>
      <c r="E415" s="478" t="n">
        <f aca="false">(SUMIF($5:$5,D415,$6:$6)-SUMIF($5:$5,$D$24,$6:$6)+100)/100</f>
        <v>1</v>
      </c>
      <c r="F415" s="2782"/>
      <c r="G415" s="478" t="n">
        <f aca="false">(SUMIF($7:$7,F415,$8:$8)-SUMIF($7:$7,$F$24,$8:$8)+100)/100</f>
        <v>1</v>
      </c>
      <c r="H415" s="2782"/>
      <c r="I415" s="478" t="n">
        <f aca="false">(SUMIF($9:$9,H415,$10:$10)-SUMIF($9:$9,$H$24,$10:$10)+100)/100</f>
        <v>1</v>
      </c>
      <c r="J415" s="2782"/>
      <c r="K415" s="478" t="n">
        <f aca="false">(SUMIF($11:$11,J415,$12:$12)-SUMIF($11:$11,$J$24,$12:$12)+100)/100</f>
        <v>1</v>
      </c>
      <c r="L415" s="2782"/>
      <c r="M415" s="478" t="n">
        <f aca="false">(SUMIF($13:$13,L415,$14:$14)-SUMIF($13:$13,$L$24,$14:$14)+100)/100</f>
        <v>1</v>
      </c>
      <c r="N415" s="2782"/>
      <c r="O415" s="478" t="n">
        <f aca="false">(SUMIF($15:$15,N415,$16:$16)-SUMIF($15:$15,$N$24,$16:$16)+100)/100</f>
        <v>1</v>
      </c>
      <c r="P415" s="2782"/>
      <c r="Q415" s="478" t="n">
        <f aca="false">(SUMIF($17:$17,P415,$18:$18)-SUMIF($17:$17,$P$24,$18:$18)+100)/100</f>
        <v>1</v>
      </c>
      <c r="R415" s="2772" t="n">
        <f aca="false">IF(B415="",0,ROUND($R$24*C415*E415*G415*I415*K415*M415*O415*Q415,0))</f>
        <v>0</v>
      </c>
      <c r="S415" s="2771" t="n">
        <f aca="false">ROUND(R415*B415/10000,0)</f>
        <v>0</v>
      </c>
    </row>
    <row r="416" customFormat="false" ht="12.75" hidden="false" customHeight="false" outlineLevel="0" collapsed="false">
      <c r="A416" s="1016"/>
      <c r="B416" s="2781"/>
      <c r="C416" s="478" t="n">
        <f aca="false">IF(B416="",1,(LOOKUP(B416,$3:$3,$4:$4)-LOOKUP($B$24,$3:$3,$4:$4)+100)/100)</f>
        <v>1</v>
      </c>
      <c r="D416" s="2782"/>
      <c r="E416" s="478" t="n">
        <f aca="false">(SUMIF($5:$5,D416,$6:$6)-SUMIF($5:$5,$D$24,$6:$6)+100)/100</f>
        <v>1</v>
      </c>
      <c r="F416" s="2782"/>
      <c r="G416" s="478" t="n">
        <f aca="false">(SUMIF($7:$7,F416,$8:$8)-SUMIF($7:$7,$F$24,$8:$8)+100)/100</f>
        <v>1</v>
      </c>
      <c r="H416" s="2782"/>
      <c r="I416" s="478" t="n">
        <f aca="false">(SUMIF($9:$9,H416,$10:$10)-SUMIF($9:$9,$H$24,$10:$10)+100)/100</f>
        <v>1</v>
      </c>
      <c r="J416" s="2782"/>
      <c r="K416" s="478" t="n">
        <f aca="false">(SUMIF($11:$11,J416,$12:$12)-SUMIF($11:$11,$J$24,$12:$12)+100)/100</f>
        <v>1</v>
      </c>
      <c r="L416" s="2782"/>
      <c r="M416" s="478" t="n">
        <f aca="false">(SUMIF($13:$13,L416,$14:$14)-SUMIF($13:$13,$L$24,$14:$14)+100)/100</f>
        <v>1</v>
      </c>
      <c r="N416" s="2782"/>
      <c r="O416" s="478" t="n">
        <f aca="false">(SUMIF($15:$15,N416,$16:$16)-SUMIF($15:$15,$N$24,$16:$16)+100)/100</f>
        <v>1</v>
      </c>
      <c r="P416" s="2782"/>
      <c r="Q416" s="478" t="n">
        <f aca="false">(SUMIF($17:$17,P416,$18:$18)-SUMIF($17:$17,$P$24,$18:$18)+100)/100</f>
        <v>1</v>
      </c>
      <c r="R416" s="2772" t="n">
        <f aca="false">IF(B416="",0,ROUND($R$24*C416*E416*G416*I416*K416*M416*O416*Q416,0))</f>
        <v>0</v>
      </c>
      <c r="S416" s="2771" t="n">
        <f aca="false">ROUND(R416*B416/10000,0)</f>
        <v>0</v>
      </c>
    </row>
    <row r="417" customFormat="false" ht="12.75" hidden="false" customHeight="false" outlineLevel="0" collapsed="false">
      <c r="A417" s="1016"/>
      <c r="B417" s="2781"/>
      <c r="C417" s="478" t="n">
        <f aca="false">IF(B417="",1,(LOOKUP(B417,$3:$3,$4:$4)-LOOKUP($B$24,$3:$3,$4:$4)+100)/100)</f>
        <v>1</v>
      </c>
      <c r="D417" s="2782"/>
      <c r="E417" s="478" t="n">
        <f aca="false">(SUMIF($5:$5,D417,$6:$6)-SUMIF($5:$5,$D$24,$6:$6)+100)/100</f>
        <v>1</v>
      </c>
      <c r="F417" s="2782"/>
      <c r="G417" s="478" t="n">
        <f aca="false">(SUMIF($7:$7,F417,$8:$8)-SUMIF($7:$7,$F$24,$8:$8)+100)/100</f>
        <v>1</v>
      </c>
      <c r="H417" s="2782"/>
      <c r="I417" s="478" t="n">
        <f aca="false">(SUMIF($9:$9,H417,$10:$10)-SUMIF($9:$9,$H$24,$10:$10)+100)/100</f>
        <v>1</v>
      </c>
      <c r="J417" s="2782"/>
      <c r="K417" s="478" t="n">
        <f aca="false">(SUMIF($11:$11,J417,$12:$12)-SUMIF($11:$11,$J$24,$12:$12)+100)/100</f>
        <v>1</v>
      </c>
      <c r="L417" s="2782"/>
      <c r="M417" s="478" t="n">
        <f aca="false">(SUMIF($13:$13,L417,$14:$14)-SUMIF($13:$13,$L$24,$14:$14)+100)/100</f>
        <v>1</v>
      </c>
      <c r="N417" s="2782"/>
      <c r="O417" s="478" t="n">
        <f aca="false">(SUMIF($15:$15,N417,$16:$16)-SUMIF($15:$15,$N$24,$16:$16)+100)/100</f>
        <v>1</v>
      </c>
      <c r="P417" s="2782"/>
      <c r="Q417" s="478" t="n">
        <f aca="false">(SUMIF($17:$17,P417,$18:$18)-SUMIF($17:$17,$P$24,$18:$18)+100)/100</f>
        <v>1</v>
      </c>
      <c r="R417" s="2772" t="n">
        <f aca="false">IF(B417="",0,ROUND($R$24*C417*E417*G417*I417*K417*M417*O417*Q417,0))</f>
        <v>0</v>
      </c>
      <c r="S417" s="2771" t="n">
        <f aca="false">ROUND(R417*B417/10000,0)</f>
        <v>0</v>
      </c>
    </row>
    <row r="418" customFormat="false" ht="12.75" hidden="false" customHeight="false" outlineLevel="0" collapsed="false">
      <c r="A418" s="1016"/>
      <c r="B418" s="2781"/>
      <c r="C418" s="478" t="n">
        <f aca="false">IF(B418="",1,(LOOKUP(B418,$3:$3,$4:$4)-LOOKUP($B$24,$3:$3,$4:$4)+100)/100)</f>
        <v>1</v>
      </c>
      <c r="D418" s="2782"/>
      <c r="E418" s="478" t="n">
        <f aca="false">(SUMIF($5:$5,D418,$6:$6)-SUMIF($5:$5,$D$24,$6:$6)+100)/100</f>
        <v>1</v>
      </c>
      <c r="F418" s="2782"/>
      <c r="G418" s="478" t="n">
        <f aca="false">(SUMIF($7:$7,F418,$8:$8)-SUMIF($7:$7,$F$24,$8:$8)+100)/100</f>
        <v>1</v>
      </c>
      <c r="H418" s="2782"/>
      <c r="I418" s="478" t="n">
        <f aca="false">(SUMIF($9:$9,H418,$10:$10)-SUMIF($9:$9,$H$24,$10:$10)+100)/100</f>
        <v>1</v>
      </c>
      <c r="J418" s="2782"/>
      <c r="K418" s="478" t="n">
        <f aca="false">(SUMIF($11:$11,J418,$12:$12)-SUMIF($11:$11,$J$24,$12:$12)+100)/100</f>
        <v>1</v>
      </c>
      <c r="L418" s="2782"/>
      <c r="M418" s="478" t="n">
        <f aca="false">(SUMIF($13:$13,L418,$14:$14)-SUMIF($13:$13,$L$24,$14:$14)+100)/100</f>
        <v>1</v>
      </c>
      <c r="N418" s="2782"/>
      <c r="O418" s="478" t="n">
        <f aca="false">(SUMIF($15:$15,N418,$16:$16)-SUMIF($15:$15,$N$24,$16:$16)+100)/100</f>
        <v>1</v>
      </c>
      <c r="P418" s="2782"/>
      <c r="Q418" s="478" t="n">
        <f aca="false">(SUMIF($17:$17,P418,$18:$18)-SUMIF($17:$17,$P$24,$18:$18)+100)/100</f>
        <v>1</v>
      </c>
      <c r="R418" s="2772" t="n">
        <f aca="false">IF(B418="",0,ROUND($R$24*C418*E418*G418*I418*K418*M418*O418*Q418,0))</f>
        <v>0</v>
      </c>
      <c r="S418" s="2771" t="n">
        <f aca="false">ROUND(R418*B418/10000,0)</f>
        <v>0</v>
      </c>
    </row>
    <row r="419" customFormat="false" ht="12.75" hidden="false" customHeight="false" outlineLevel="0" collapsed="false">
      <c r="A419" s="1016"/>
      <c r="B419" s="2781"/>
      <c r="C419" s="478" t="n">
        <f aca="false">IF(B419="",1,(LOOKUP(B419,$3:$3,$4:$4)-LOOKUP($B$24,$3:$3,$4:$4)+100)/100)</f>
        <v>1</v>
      </c>
      <c r="D419" s="2782"/>
      <c r="E419" s="478" t="n">
        <f aca="false">(SUMIF($5:$5,D419,$6:$6)-SUMIF($5:$5,$D$24,$6:$6)+100)/100</f>
        <v>1</v>
      </c>
      <c r="F419" s="2782"/>
      <c r="G419" s="478" t="n">
        <f aca="false">(SUMIF($7:$7,F419,$8:$8)-SUMIF($7:$7,$F$24,$8:$8)+100)/100</f>
        <v>1</v>
      </c>
      <c r="H419" s="2782"/>
      <c r="I419" s="478" t="n">
        <f aca="false">(SUMIF($9:$9,H419,$10:$10)-SUMIF($9:$9,$H$24,$10:$10)+100)/100</f>
        <v>1</v>
      </c>
      <c r="J419" s="2782"/>
      <c r="K419" s="478" t="n">
        <f aca="false">(SUMIF($11:$11,J419,$12:$12)-SUMIF($11:$11,$J$24,$12:$12)+100)/100</f>
        <v>1</v>
      </c>
      <c r="L419" s="2782"/>
      <c r="M419" s="478" t="n">
        <f aca="false">(SUMIF($13:$13,L419,$14:$14)-SUMIF($13:$13,$L$24,$14:$14)+100)/100</f>
        <v>1</v>
      </c>
      <c r="N419" s="2782"/>
      <c r="O419" s="478" t="n">
        <f aca="false">(SUMIF($15:$15,N419,$16:$16)-SUMIF($15:$15,$N$24,$16:$16)+100)/100</f>
        <v>1</v>
      </c>
      <c r="P419" s="2782"/>
      <c r="Q419" s="478" t="n">
        <f aca="false">(SUMIF($17:$17,P419,$18:$18)-SUMIF($17:$17,$P$24,$18:$18)+100)/100</f>
        <v>1</v>
      </c>
      <c r="R419" s="2772" t="n">
        <f aca="false">IF(B419="",0,ROUND($R$24*C419*E419*G419*I419*K419*M419*O419*Q419,0))</f>
        <v>0</v>
      </c>
      <c r="S419" s="2771" t="n">
        <f aca="false">ROUND(R419*B419/10000,0)</f>
        <v>0</v>
      </c>
    </row>
    <row r="420" customFormat="false" ht="12.75" hidden="false" customHeight="false" outlineLevel="0" collapsed="false">
      <c r="A420" s="1016"/>
      <c r="B420" s="2781"/>
      <c r="C420" s="478" t="n">
        <f aca="false">IF(B420="",1,(LOOKUP(B420,$3:$3,$4:$4)-LOOKUP($B$24,$3:$3,$4:$4)+100)/100)</f>
        <v>1</v>
      </c>
      <c r="D420" s="2782"/>
      <c r="E420" s="478" t="n">
        <f aca="false">(SUMIF($5:$5,D420,$6:$6)-SUMIF($5:$5,$D$24,$6:$6)+100)/100</f>
        <v>1</v>
      </c>
      <c r="F420" s="2782"/>
      <c r="G420" s="478" t="n">
        <f aca="false">(SUMIF($7:$7,F420,$8:$8)-SUMIF($7:$7,$F$24,$8:$8)+100)/100</f>
        <v>1</v>
      </c>
      <c r="H420" s="2782"/>
      <c r="I420" s="478" t="n">
        <f aca="false">(SUMIF($9:$9,H420,$10:$10)-SUMIF($9:$9,$H$24,$10:$10)+100)/100</f>
        <v>1</v>
      </c>
      <c r="J420" s="2782"/>
      <c r="K420" s="478" t="n">
        <f aca="false">(SUMIF($11:$11,J420,$12:$12)-SUMIF($11:$11,$J$24,$12:$12)+100)/100</f>
        <v>1</v>
      </c>
      <c r="L420" s="2782"/>
      <c r="M420" s="478" t="n">
        <f aca="false">(SUMIF($13:$13,L420,$14:$14)-SUMIF($13:$13,$L$24,$14:$14)+100)/100</f>
        <v>1</v>
      </c>
      <c r="N420" s="2782"/>
      <c r="O420" s="478" t="n">
        <f aca="false">(SUMIF($15:$15,N420,$16:$16)-SUMIF($15:$15,$N$24,$16:$16)+100)/100</f>
        <v>1</v>
      </c>
      <c r="P420" s="2782"/>
      <c r="Q420" s="478" t="n">
        <f aca="false">(SUMIF($17:$17,P420,$18:$18)-SUMIF($17:$17,$P$24,$18:$18)+100)/100</f>
        <v>1</v>
      </c>
      <c r="R420" s="2772" t="n">
        <f aca="false">IF(B420="",0,ROUND($R$24*C420*E420*G420*I420*K420*M420*O420*Q420,0))</f>
        <v>0</v>
      </c>
      <c r="S420" s="2771" t="n">
        <f aca="false">ROUND(R420*B420/10000,0)</f>
        <v>0</v>
      </c>
    </row>
    <row r="421" customFormat="false" ht="12.75" hidden="false" customHeight="false" outlineLevel="0" collapsed="false">
      <c r="A421" s="1016"/>
      <c r="B421" s="2781"/>
      <c r="C421" s="478" t="n">
        <f aca="false">IF(B421="",1,(LOOKUP(B421,$3:$3,$4:$4)-LOOKUP($B$24,$3:$3,$4:$4)+100)/100)</f>
        <v>1</v>
      </c>
      <c r="D421" s="2782"/>
      <c r="E421" s="478" t="n">
        <f aca="false">(SUMIF($5:$5,D421,$6:$6)-SUMIF($5:$5,$D$24,$6:$6)+100)/100</f>
        <v>1</v>
      </c>
      <c r="F421" s="2782"/>
      <c r="G421" s="478" t="n">
        <f aca="false">(SUMIF($7:$7,F421,$8:$8)-SUMIF($7:$7,$F$24,$8:$8)+100)/100</f>
        <v>1</v>
      </c>
      <c r="H421" s="2782"/>
      <c r="I421" s="478" t="n">
        <f aca="false">(SUMIF($9:$9,H421,$10:$10)-SUMIF($9:$9,$H$24,$10:$10)+100)/100</f>
        <v>1</v>
      </c>
      <c r="J421" s="2782"/>
      <c r="K421" s="478" t="n">
        <f aca="false">(SUMIF($11:$11,J421,$12:$12)-SUMIF($11:$11,$J$24,$12:$12)+100)/100</f>
        <v>1</v>
      </c>
      <c r="L421" s="2782"/>
      <c r="M421" s="478" t="n">
        <f aca="false">(SUMIF($13:$13,L421,$14:$14)-SUMIF($13:$13,$L$24,$14:$14)+100)/100</f>
        <v>1</v>
      </c>
      <c r="N421" s="2782"/>
      <c r="O421" s="478" t="n">
        <f aca="false">(SUMIF($15:$15,N421,$16:$16)-SUMIF($15:$15,$N$24,$16:$16)+100)/100</f>
        <v>1</v>
      </c>
      <c r="P421" s="2782"/>
      <c r="Q421" s="478" t="n">
        <f aca="false">(SUMIF($17:$17,P421,$18:$18)-SUMIF($17:$17,$P$24,$18:$18)+100)/100</f>
        <v>1</v>
      </c>
      <c r="R421" s="2772" t="n">
        <f aca="false">IF(B421="",0,ROUND($R$24*C421*E421*G421*I421*K421*M421*O421*Q421,0))</f>
        <v>0</v>
      </c>
      <c r="S421" s="2771" t="n">
        <f aca="false">ROUND(R421*B421/10000,0)</f>
        <v>0</v>
      </c>
    </row>
    <row r="422" customFormat="false" ht="12.75" hidden="false" customHeight="false" outlineLevel="0" collapsed="false">
      <c r="A422" s="1016"/>
      <c r="B422" s="2781"/>
      <c r="C422" s="478" t="n">
        <f aca="false">IF(B422="",1,(LOOKUP(B422,$3:$3,$4:$4)-LOOKUP($B$24,$3:$3,$4:$4)+100)/100)</f>
        <v>1</v>
      </c>
      <c r="D422" s="2782"/>
      <c r="E422" s="478" t="n">
        <f aca="false">(SUMIF($5:$5,D422,$6:$6)-SUMIF($5:$5,$D$24,$6:$6)+100)/100</f>
        <v>1</v>
      </c>
      <c r="F422" s="2782"/>
      <c r="G422" s="478" t="n">
        <f aca="false">(SUMIF($7:$7,F422,$8:$8)-SUMIF($7:$7,$F$24,$8:$8)+100)/100</f>
        <v>1</v>
      </c>
      <c r="H422" s="2782"/>
      <c r="I422" s="478" t="n">
        <f aca="false">(SUMIF($9:$9,H422,$10:$10)-SUMIF($9:$9,$H$24,$10:$10)+100)/100</f>
        <v>1</v>
      </c>
      <c r="J422" s="2782"/>
      <c r="K422" s="478" t="n">
        <f aca="false">(SUMIF($11:$11,J422,$12:$12)-SUMIF($11:$11,$J$24,$12:$12)+100)/100</f>
        <v>1</v>
      </c>
      <c r="L422" s="2782"/>
      <c r="M422" s="478" t="n">
        <f aca="false">(SUMIF($13:$13,L422,$14:$14)-SUMIF($13:$13,$L$24,$14:$14)+100)/100</f>
        <v>1</v>
      </c>
      <c r="N422" s="2782"/>
      <c r="O422" s="478" t="n">
        <f aca="false">(SUMIF($15:$15,N422,$16:$16)-SUMIF($15:$15,$N$24,$16:$16)+100)/100</f>
        <v>1</v>
      </c>
      <c r="P422" s="2782"/>
      <c r="Q422" s="478" t="n">
        <f aca="false">(SUMIF($17:$17,P422,$18:$18)-SUMIF($17:$17,$P$24,$18:$18)+100)/100</f>
        <v>1</v>
      </c>
      <c r="R422" s="2772" t="n">
        <f aca="false">IF(B422="",0,ROUND($R$24*C422*E422*G422*I422*K422*M422*O422*Q422,0))</f>
        <v>0</v>
      </c>
      <c r="S422" s="2771" t="n">
        <f aca="false">ROUND(R422*B422/10000,0)</f>
        <v>0</v>
      </c>
    </row>
    <row r="423" customFormat="false" ht="12.75" hidden="false" customHeight="false" outlineLevel="0" collapsed="false">
      <c r="A423" s="1016"/>
      <c r="B423" s="2781"/>
      <c r="C423" s="478" t="n">
        <f aca="false">IF(B423="",1,(LOOKUP(B423,$3:$3,$4:$4)-LOOKUP($B$24,$3:$3,$4:$4)+100)/100)</f>
        <v>1</v>
      </c>
      <c r="D423" s="2782"/>
      <c r="E423" s="478" t="n">
        <f aca="false">(SUMIF($5:$5,D423,$6:$6)-SUMIF($5:$5,$D$24,$6:$6)+100)/100</f>
        <v>1</v>
      </c>
      <c r="F423" s="2782"/>
      <c r="G423" s="478" t="n">
        <f aca="false">(SUMIF($7:$7,F423,$8:$8)-SUMIF($7:$7,$F$24,$8:$8)+100)/100</f>
        <v>1</v>
      </c>
      <c r="H423" s="2782"/>
      <c r="I423" s="478" t="n">
        <f aca="false">(SUMIF($9:$9,H423,$10:$10)-SUMIF($9:$9,$H$24,$10:$10)+100)/100</f>
        <v>1</v>
      </c>
      <c r="J423" s="2782"/>
      <c r="K423" s="478" t="n">
        <f aca="false">(SUMIF($11:$11,J423,$12:$12)-SUMIF($11:$11,$J$24,$12:$12)+100)/100</f>
        <v>1</v>
      </c>
      <c r="L423" s="2782"/>
      <c r="M423" s="478" t="n">
        <f aca="false">(SUMIF($13:$13,L423,$14:$14)-SUMIF($13:$13,$L$24,$14:$14)+100)/100</f>
        <v>1</v>
      </c>
      <c r="N423" s="2782"/>
      <c r="O423" s="478" t="n">
        <f aca="false">(SUMIF($15:$15,N423,$16:$16)-SUMIF($15:$15,$N$24,$16:$16)+100)/100</f>
        <v>1</v>
      </c>
      <c r="P423" s="2782"/>
      <c r="Q423" s="478" t="n">
        <f aca="false">(SUMIF($17:$17,P423,$18:$18)-SUMIF($17:$17,$P$24,$18:$18)+100)/100</f>
        <v>1</v>
      </c>
      <c r="R423" s="2772" t="n">
        <f aca="false">IF(B423="",0,ROUND($R$24*C423*E423*G423*I423*K423*M423*O423*Q423,0))</f>
        <v>0</v>
      </c>
      <c r="S423" s="2771" t="n">
        <f aca="false">ROUND(R423*B423/10000,0)</f>
        <v>0</v>
      </c>
    </row>
    <row r="424" customFormat="false" ht="12.75" hidden="false" customHeight="false" outlineLevel="0" collapsed="false">
      <c r="A424" s="1016"/>
      <c r="B424" s="2781"/>
      <c r="C424" s="478" t="n">
        <f aca="false">IF(B424="",1,(LOOKUP(B424,$3:$3,$4:$4)-LOOKUP($B$24,$3:$3,$4:$4)+100)/100)</f>
        <v>1</v>
      </c>
      <c r="D424" s="2782"/>
      <c r="E424" s="478" t="n">
        <f aca="false">(SUMIF($5:$5,D424,$6:$6)-SUMIF($5:$5,$D$24,$6:$6)+100)/100</f>
        <v>1</v>
      </c>
      <c r="F424" s="2782"/>
      <c r="G424" s="478" t="n">
        <f aca="false">(SUMIF($7:$7,F424,$8:$8)-SUMIF($7:$7,$F$24,$8:$8)+100)/100</f>
        <v>1</v>
      </c>
      <c r="H424" s="2782"/>
      <c r="I424" s="478" t="n">
        <f aca="false">(SUMIF($9:$9,H424,$10:$10)-SUMIF($9:$9,$H$24,$10:$10)+100)/100</f>
        <v>1</v>
      </c>
      <c r="J424" s="2782"/>
      <c r="K424" s="478" t="n">
        <f aca="false">(SUMIF($11:$11,J424,$12:$12)-SUMIF($11:$11,$J$24,$12:$12)+100)/100</f>
        <v>1</v>
      </c>
      <c r="L424" s="2782"/>
      <c r="M424" s="478" t="n">
        <f aca="false">(SUMIF($13:$13,L424,$14:$14)-SUMIF($13:$13,$L$24,$14:$14)+100)/100</f>
        <v>1</v>
      </c>
      <c r="N424" s="2782"/>
      <c r="O424" s="478" t="n">
        <f aca="false">(SUMIF($15:$15,N424,$16:$16)-SUMIF($15:$15,$N$24,$16:$16)+100)/100</f>
        <v>1</v>
      </c>
      <c r="P424" s="2782"/>
      <c r="Q424" s="478" t="n">
        <f aca="false">(SUMIF($17:$17,P424,$18:$18)-SUMIF($17:$17,$P$24,$18:$18)+100)/100</f>
        <v>1</v>
      </c>
      <c r="R424" s="2772" t="n">
        <f aca="false">IF(B424="",0,ROUND($R$24*C424*E424*G424*I424*K424*M424*O424*Q424,0))</f>
        <v>0</v>
      </c>
      <c r="S424" s="2771" t="n">
        <f aca="false">ROUND(R424*B424/10000,0)</f>
        <v>0</v>
      </c>
    </row>
    <row r="425" customFormat="false" ht="12.75" hidden="false" customHeight="false" outlineLevel="0" collapsed="false">
      <c r="A425" s="1016"/>
      <c r="B425" s="2781"/>
      <c r="C425" s="478" t="n">
        <f aca="false">IF(B425="",1,(LOOKUP(B425,$3:$3,$4:$4)-LOOKUP($B$24,$3:$3,$4:$4)+100)/100)</f>
        <v>1</v>
      </c>
      <c r="D425" s="2782"/>
      <c r="E425" s="478" t="n">
        <f aca="false">(SUMIF($5:$5,D425,$6:$6)-SUMIF($5:$5,$D$24,$6:$6)+100)/100</f>
        <v>1</v>
      </c>
      <c r="F425" s="2782"/>
      <c r="G425" s="478" t="n">
        <f aca="false">(SUMIF($7:$7,F425,$8:$8)-SUMIF($7:$7,$F$24,$8:$8)+100)/100</f>
        <v>1</v>
      </c>
      <c r="H425" s="2782"/>
      <c r="I425" s="478" t="n">
        <f aca="false">(SUMIF($9:$9,H425,$10:$10)-SUMIF($9:$9,$H$24,$10:$10)+100)/100</f>
        <v>1</v>
      </c>
      <c r="J425" s="2782"/>
      <c r="K425" s="478" t="n">
        <f aca="false">(SUMIF($11:$11,J425,$12:$12)-SUMIF($11:$11,$J$24,$12:$12)+100)/100</f>
        <v>1</v>
      </c>
      <c r="L425" s="2782"/>
      <c r="M425" s="478" t="n">
        <f aca="false">(SUMIF($13:$13,L425,$14:$14)-SUMIF($13:$13,$L$24,$14:$14)+100)/100</f>
        <v>1</v>
      </c>
      <c r="N425" s="2782"/>
      <c r="O425" s="478" t="n">
        <f aca="false">(SUMIF($15:$15,N425,$16:$16)-SUMIF($15:$15,$N$24,$16:$16)+100)/100</f>
        <v>1</v>
      </c>
      <c r="P425" s="2782"/>
      <c r="Q425" s="478" t="n">
        <f aca="false">(SUMIF($17:$17,P425,$18:$18)-SUMIF($17:$17,$P$24,$18:$18)+100)/100</f>
        <v>1</v>
      </c>
      <c r="R425" s="2772" t="n">
        <f aca="false">IF(B425="",0,ROUND($R$24*C425*E425*G425*I425*K425*M425*O425*Q425,0))</f>
        <v>0</v>
      </c>
      <c r="S425" s="2771" t="n">
        <f aca="false">ROUND(R425*B425/10000,0)</f>
        <v>0</v>
      </c>
    </row>
    <row r="426" customFormat="false" ht="12.75" hidden="false" customHeight="false" outlineLevel="0" collapsed="false">
      <c r="A426" s="1016"/>
      <c r="B426" s="2781"/>
      <c r="C426" s="478" t="n">
        <f aca="false">IF(B426="",1,(LOOKUP(B426,$3:$3,$4:$4)-LOOKUP($B$24,$3:$3,$4:$4)+100)/100)</f>
        <v>1</v>
      </c>
      <c r="D426" s="2782"/>
      <c r="E426" s="478" t="n">
        <f aca="false">(SUMIF($5:$5,D426,$6:$6)-SUMIF($5:$5,$D$24,$6:$6)+100)/100</f>
        <v>1</v>
      </c>
      <c r="F426" s="2782"/>
      <c r="G426" s="478" t="n">
        <f aca="false">(SUMIF($7:$7,F426,$8:$8)-SUMIF($7:$7,$F$24,$8:$8)+100)/100</f>
        <v>1</v>
      </c>
      <c r="H426" s="2782"/>
      <c r="I426" s="478" t="n">
        <f aca="false">(SUMIF($9:$9,H426,$10:$10)-SUMIF($9:$9,$H$24,$10:$10)+100)/100</f>
        <v>1</v>
      </c>
      <c r="J426" s="2782"/>
      <c r="K426" s="478" t="n">
        <f aca="false">(SUMIF($11:$11,J426,$12:$12)-SUMIF($11:$11,$J$24,$12:$12)+100)/100</f>
        <v>1</v>
      </c>
      <c r="L426" s="2782"/>
      <c r="M426" s="478" t="n">
        <f aca="false">(SUMIF($13:$13,L426,$14:$14)-SUMIF($13:$13,$L$24,$14:$14)+100)/100</f>
        <v>1</v>
      </c>
      <c r="N426" s="2782"/>
      <c r="O426" s="478" t="n">
        <f aca="false">(SUMIF($15:$15,N426,$16:$16)-SUMIF($15:$15,$N$24,$16:$16)+100)/100</f>
        <v>1</v>
      </c>
      <c r="P426" s="2782"/>
      <c r="Q426" s="478" t="n">
        <f aca="false">(SUMIF($17:$17,P426,$18:$18)-SUMIF($17:$17,$P$24,$18:$18)+100)/100</f>
        <v>1</v>
      </c>
      <c r="R426" s="2772" t="n">
        <f aca="false">IF(B426="",0,ROUND($R$24*C426*E426*G426*I426*K426*M426*O426*Q426,0))</f>
        <v>0</v>
      </c>
      <c r="S426" s="2771" t="n">
        <f aca="false">ROUND(R426*B426/10000,0)</f>
        <v>0</v>
      </c>
    </row>
    <row r="427" customFormat="false" ht="12.75" hidden="false" customHeight="false" outlineLevel="0" collapsed="false">
      <c r="A427" s="1016"/>
      <c r="B427" s="2781"/>
      <c r="C427" s="478" t="n">
        <f aca="false">IF(B427="",1,(LOOKUP(B427,$3:$3,$4:$4)-LOOKUP($B$24,$3:$3,$4:$4)+100)/100)</f>
        <v>1</v>
      </c>
      <c r="D427" s="2782"/>
      <c r="E427" s="478" t="n">
        <f aca="false">(SUMIF($5:$5,D427,$6:$6)-SUMIF($5:$5,$D$24,$6:$6)+100)/100</f>
        <v>1</v>
      </c>
      <c r="F427" s="2782"/>
      <c r="G427" s="478" t="n">
        <f aca="false">(SUMIF($7:$7,F427,$8:$8)-SUMIF($7:$7,$F$24,$8:$8)+100)/100</f>
        <v>1</v>
      </c>
      <c r="H427" s="2782"/>
      <c r="I427" s="478" t="n">
        <f aca="false">(SUMIF($9:$9,H427,$10:$10)-SUMIF($9:$9,$H$24,$10:$10)+100)/100</f>
        <v>1</v>
      </c>
      <c r="J427" s="2782"/>
      <c r="K427" s="478" t="n">
        <f aca="false">(SUMIF($11:$11,J427,$12:$12)-SUMIF($11:$11,$J$24,$12:$12)+100)/100</f>
        <v>1</v>
      </c>
      <c r="L427" s="2782"/>
      <c r="M427" s="478" t="n">
        <f aca="false">(SUMIF($13:$13,L427,$14:$14)-SUMIF($13:$13,$L$24,$14:$14)+100)/100</f>
        <v>1</v>
      </c>
      <c r="N427" s="2782"/>
      <c r="O427" s="478" t="n">
        <f aca="false">(SUMIF($15:$15,N427,$16:$16)-SUMIF($15:$15,$N$24,$16:$16)+100)/100</f>
        <v>1</v>
      </c>
      <c r="P427" s="2782"/>
      <c r="Q427" s="478" t="n">
        <f aca="false">(SUMIF($17:$17,P427,$18:$18)-SUMIF($17:$17,$P$24,$18:$18)+100)/100</f>
        <v>1</v>
      </c>
      <c r="R427" s="2772" t="n">
        <f aca="false">IF(B427="",0,ROUND($R$24*C427*E427*G427*I427*K427*M427*O427*Q427,0))</f>
        <v>0</v>
      </c>
      <c r="S427" s="2771" t="n">
        <f aca="false">ROUND(R427*B427/10000,0)</f>
        <v>0</v>
      </c>
    </row>
    <row r="428" customFormat="false" ht="12.75" hidden="false" customHeight="false" outlineLevel="0" collapsed="false">
      <c r="A428" s="1016"/>
      <c r="B428" s="2781"/>
      <c r="C428" s="478" t="n">
        <f aca="false">IF(B428="",1,(LOOKUP(B428,$3:$3,$4:$4)-LOOKUP($B$24,$3:$3,$4:$4)+100)/100)</f>
        <v>1</v>
      </c>
      <c r="D428" s="2782"/>
      <c r="E428" s="478" t="n">
        <f aca="false">(SUMIF($5:$5,D428,$6:$6)-SUMIF($5:$5,$D$24,$6:$6)+100)/100</f>
        <v>1</v>
      </c>
      <c r="F428" s="2782"/>
      <c r="G428" s="478" t="n">
        <f aca="false">(SUMIF($7:$7,F428,$8:$8)-SUMIF($7:$7,$F$24,$8:$8)+100)/100</f>
        <v>1</v>
      </c>
      <c r="H428" s="2782"/>
      <c r="I428" s="478" t="n">
        <f aca="false">(SUMIF($9:$9,H428,$10:$10)-SUMIF($9:$9,$H$24,$10:$10)+100)/100</f>
        <v>1</v>
      </c>
      <c r="J428" s="2782"/>
      <c r="K428" s="478" t="n">
        <f aca="false">(SUMIF($11:$11,J428,$12:$12)-SUMIF($11:$11,$J$24,$12:$12)+100)/100</f>
        <v>1</v>
      </c>
      <c r="L428" s="2782"/>
      <c r="M428" s="478" t="n">
        <f aca="false">(SUMIF($13:$13,L428,$14:$14)-SUMIF($13:$13,$L$24,$14:$14)+100)/100</f>
        <v>1</v>
      </c>
      <c r="N428" s="2782"/>
      <c r="O428" s="478" t="n">
        <f aca="false">(SUMIF($15:$15,N428,$16:$16)-SUMIF($15:$15,$N$24,$16:$16)+100)/100</f>
        <v>1</v>
      </c>
      <c r="P428" s="2782"/>
      <c r="Q428" s="478" t="n">
        <f aca="false">(SUMIF($17:$17,P428,$18:$18)-SUMIF($17:$17,$P$24,$18:$18)+100)/100</f>
        <v>1</v>
      </c>
      <c r="R428" s="2772" t="n">
        <f aca="false">IF(B428="",0,ROUND($R$24*C428*E428*G428*I428*K428*M428*O428*Q428,0))</f>
        <v>0</v>
      </c>
      <c r="S428" s="2771" t="n">
        <f aca="false">ROUND(R428*B428/10000,0)</f>
        <v>0</v>
      </c>
    </row>
    <row r="429" customFormat="false" ht="12.75" hidden="false" customHeight="false" outlineLevel="0" collapsed="false">
      <c r="A429" s="1016"/>
      <c r="B429" s="2781"/>
      <c r="C429" s="478" t="n">
        <f aca="false">IF(B429="",1,(LOOKUP(B429,$3:$3,$4:$4)-LOOKUP($B$24,$3:$3,$4:$4)+100)/100)</f>
        <v>1</v>
      </c>
      <c r="D429" s="2782"/>
      <c r="E429" s="478" t="n">
        <f aca="false">(SUMIF($5:$5,D429,$6:$6)-SUMIF($5:$5,$D$24,$6:$6)+100)/100</f>
        <v>1</v>
      </c>
      <c r="F429" s="2782"/>
      <c r="G429" s="478" t="n">
        <f aca="false">(SUMIF($7:$7,F429,$8:$8)-SUMIF($7:$7,$F$24,$8:$8)+100)/100</f>
        <v>1</v>
      </c>
      <c r="H429" s="2782"/>
      <c r="I429" s="478" t="n">
        <f aca="false">(SUMIF($9:$9,H429,$10:$10)-SUMIF($9:$9,$H$24,$10:$10)+100)/100</f>
        <v>1</v>
      </c>
      <c r="J429" s="2782"/>
      <c r="K429" s="478" t="n">
        <f aca="false">(SUMIF($11:$11,J429,$12:$12)-SUMIF($11:$11,$J$24,$12:$12)+100)/100</f>
        <v>1</v>
      </c>
      <c r="L429" s="2782"/>
      <c r="M429" s="478" t="n">
        <f aca="false">(SUMIF($13:$13,L429,$14:$14)-SUMIF($13:$13,$L$24,$14:$14)+100)/100</f>
        <v>1</v>
      </c>
      <c r="N429" s="2782"/>
      <c r="O429" s="478" t="n">
        <f aca="false">(SUMIF($15:$15,N429,$16:$16)-SUMIF($15:$15,$N$24,$16:$16)+100)/100</f>
        <v>1</v>
      </c>
      <c r="P429" s="2782"/>
      <c r="Q429" s="478" t="n">
        <f aca="false">(SUMIF($17:$17,P429,$18:$18)-SUMIF($17:$17,$P$24,$18:$18)+100)/100</f>
        <v>1</v>
      </c>
      <c r="R429" s="2772" t="n">
        <f aca="false">IF(B429="",0,ROUND($R$24*C429*E429*G429*I429*K429*M429*O429*Q429,0))</f>
        <v>0</v>
      </c>
      <c r="S429" s="2771" t="n">
        <f aca="false">ROUND(R429*B429/10000,0)</f>
        <v>0</v>
      </c>
    </row>
    <row r="430" customFormat="false" ht="12.75" hidden="false" customHeight="false" outlineLevel="0" collapsed="false">
      <c r="A430" s="1016"/>
      <c r="B430" s="2781"/>
      <c r="C430" s="478" t="n">
        <f aca="false">IF(B430="",1,(LOOKUP(B430,$3:$3,$4:$4)-LOOKUP($B$24,$3:$3,$4:$4)+100)/100)</f>
        <v>1</v>
      </c>
      <c r="D430" s="2782"/>
      <c r="E430" s="478" t="n">
        <f aca="false">(SUMIF($5:$5,D430,$6:$6)-SUMIF($5:$5,$D$24,$6:$6)+100)/100</f>
        <v>1</v>
      </c>
      <c r="F430" s="2782"/>
      <c r="G430" s="478" t="n">
        <f aca="false">(SUMIF($7:$7,F430,$8:$8)-SUMIF($7:$7,$F$24,$8:$8)+100)/100</f>
        <v>1</v>
      </c>
      <c r="H430" s="2782"/>
      <c r="I430" s="478" t="n">
        <f aca="false">(SUMIF($9:$9,H430,$10:$10)-SUMIF($9:$9,$H$24,$10:$10)+100)/100</f>
        <v>1</v>
      </c>
      <c r="J430" s="2782"/>
      <c r="K430" s="478" t="n">
        <f aca="false">(SUMIF($11:$11,J430,$12:$12)-SUMIF($11:$11,$J$24,$12:$12)+100)/100</f>
        <v>1</v>
      </c>
      <c r="L430" s="2782"/>
      <c r="M430" s="478" t="n">
        <f aca="false">(SUMIF($13:$13,L430,$14:$14)-SUMIF($13:$13,$L$24,$14:$14)+100)/100</f>
        <v>1</v>
      </c>
      <c r="N430" s="2782"/>
      <c r="O430" s="478" t="n">
        <f aca="false">(SUMIF($15:$15,N430,$16:$16)-SUMIF($15:$15,$N$24,$16:$16)+100)/100</f>
        <v>1</v>
      </c>
      <c r="P430" s="2782"/>
      <c r="Q430" s="478" t="n">
        <f aca="false">(SUMIF($17:$17,P430,$18:$18)-SUMIF($17:$17,$P$24,$18:$18)+100)/100</f>
        <v>1</v>
      </c>
      <c r="R430" s="2772" t="n">
        <f aca="false">IF(B430="",0,ROUND($R$24*C430*E430*G430*I430*K430*M430*O430*Q430,0))</f>
        <v>0</v>
      </c>
      <c r="S430" s="2771" t="n">
        <f aca="false">ROUND(R430*B430/10000,0)</f>
        <v>0</v>
      </c>
    </row>
    <row r="431" customFormat="false" ht="12.75" hidden="false" customHeight="false" outlineLevel="0" collapsed="false">
      <c r="A431" s="1016"/>
      <c r="B431" s="2781"/>
      <c r="C431" s="478" t="n">
        <f aca="false">IF(B431="",1,(LOOKUP(B431,$3:$3,$4:$4)-LOOKUP($B$24,$3:$3,$4:$4)+100)/100)</f>
        <v>1</v>
      </c>
      <c r="D431" s="2782"/>
      <c r="E431" s="478" t="n">
        <f aca="false">(SUMIF($5:$5,D431,$6:$6)-SUMIF($5:$5,$D$24,$6:$6)+100)/100</f>
        <v>1</v>
      </c>
      <c r="F431" s="2782"/>
      <c r="G431" s="478" t="n">
        <f aca="false">(SUMIF($7:$7,F431,$8:$8)-SUMIF($7:$7,$F$24,$8:$8)+100)/100</f>
        <v>1</v>
      </c>
      <c r="H431" s="2782"/>
      <c r="I431" s="478" t="n">
        <f aca="false">(SUMIF($9:$9,H431,$10:$10)-SUMIF($9:$9,$H$24,$10:$10)+100)/100</f>
        <v>1</v>
      </c>
      <c r="J431" s="2782"/>
      <c r="K431" s="478" t="n">
        <f aca="false">(SUMIF($11:$11,J431,$12:$12)-SUMIF($11:$11,$J$24,$12:$12)+100)/100</f>
        <v>1</v>
      </c>
      <c r="L431" s="2782"/>
      <c r="M431" s="478" t="n">
        <f aca="false">(SUMIF($13:$13,L431,$14:$14)-SUMIF($13:$13,$L$24,$14:$14)+100)/100</f>
        <v>1</v>
      </c>
      <c r="N431" s="2782"/>
      <c r="O431" s="478" t="n">
        <f aca="false">(SUMIF($15:$15,N431,$16:$16)-SUMIF($15:$15,$N$24,$16:$16)+100)/100</f>
        <v>1</v>
      </c>
      <c r="P431" s="2782"/>
      <c r="Q431" s="478" t="n">
        <f aca="false">(SUMIF($17:$17,P431,$18:$18)-SUMIF($17:$17,$P$24,$18:$18)+100)/100</f>
        <v>1</v>
      </c>
      <c r="R431" s="2772" t="n">
        <f aca="false">IF(B431="",0,ROUND($R$24*C431*E431*G431*I431*K431*M431*O431*Q431,0))</f>
        <v>0</v>
      </c>
      <c r="S431" s="2771" t="n">
        <f aca="false">ROUND(R431*B431/10000,0)</f>
        <v>0</v>
      </c>
    </row>
    <row r="432" customFormat="false" ht="12.75" hidden="false" customHeight="false" outlineLevel="0" collapsed="false">
      <c r="A432" s="1016"/>
      <c r="B432" s="2781"/>
      <c r="C432" s="478" t="n">
        <f aca="false">IF(B432="",1,(LOOKUP(B432,$3:$3,$4:$4)-LOOKUP($B$24,$3:$3,$4:$4)+100)/100)</f>
        <v>1</v>
      </c>
      <c r="D432" s="2782"/>
      <c r="E432" s="478" t="n">
        <f aca="false">(SUMIF($5:$5,D432,$6:$6)-SUMIF($5:$5,$D$24,$6:$6)+100)/100</f>
        <v>1</v>
      </c>
      <c r="F432" s="2782"/>
      <c r="G432" s="478" t="n">
        <f aca="false">(SUMIF($7:$7,F432,$8:$8)-SUMIF($7:$7,$F$24,$8:$8)+100)/100</f>
        <v>1</v>
      </c>
      <c r="H432" s="2782"/>
      <c r="I432" s="478" t="n">
        <f aca="false">(SUMIF($9:$9,H432,$10:$10)-SUMIF($9:$9,$H$24,$10:$10)+100)/100</f>
        <v>1</v>
      </c>
      <c r="J432" s="2782"/>
      <c r="K432" s="478" t="n">
        <f aca="false">(SUMIF($11:$11,J432,$12:$12)-SUMIF($11:$11,$J$24,$12:$12)+100)/100</f>
        <v>1</v>
      </c>
      <c r="L432" s="2782"/>
      <c r="M432" s="478" t="n">
        <f aca="false">(SUMIF($13:$13,L432,$14:$14)-SUMIF($13:$13,$L$24,$14:$14)+100)/100</f>
        <v>1</v>
      </c>
      <c r="N432" s="2782"/>
      <c r="O432" s="478" t="n">
        <f aca="false">(SUMIF($15:$15,N432,$16:$16)-SUMIF($15:$15,$N$24,$16:$16)+100)/100</f>
        <v>1</v>
      </c>
      <c r="P432" s="2782"/>
      <c r="Q432" s="478" t="n">
        <f aca="false">(SUMIF($17:$17,P432,$18:$18)-SUMIF($17:$17,$P$24,$18:$18)+100)/100</f>
        <v>1</v>
      </c>
      <c r="R432" s="2772" t="n">
        <f aca="false">IF(B432="",0,ROUND($R$24*C432*E432*G432*I432*K432*M432*O432*Q432,0))</f>
        <v>0</v>
      </c>
      <c r="S432" s="2771" t="n">
        <f aca="false">ROUND(R432*B432/10000,0)</f>
        <v>0</v>
      </c>
    </row>
    <row r="433" customFormat="false" ht="12.75" hidden="false" customHeight="false" outlineLevel="0" collapsed="false">
      <c r="A433" s="1016"/>
      <c r="B433" s="2781"/>
      <c r="C433" s="478" t="n">
        <f aca="false">IF(B433="",1,(LOOKUP(B433,$3:$3,$4:$4)-LOOKUP($B$24,$3:$3,$4:$4)+100)/100)</f>
        <v>1</v>
      </c>
      <c r="D433" s="2782"/>
      <c r="E433" s="478" t="n">
        <f aca="false">(SUMIF($5:$5,D433,$6:$6)-SUMIF($5:$5,$D$24,$6:$6)+100)/100</f>
        <v>1</v>
      </c>
      <c r="F433" s="2782"/>
      <c r="G433" s="478" t="n">
        <f aca="false">(SUMIF($7:$7,F433,$8:$8)-SUMIF($7:$7,$F$24,$8:$8)+100)/100</f>
        <v>1</v>
      </c>
      <c r="H433" s="2782"/>
      <c r="I433" s="478" t="n">
        <f aca="false">(SUMIF($9:$9,H433,$10:$10)-SUMIF($9:$9,$H$24,$10:$10)+100)/100</f>
        <v>1</v>
      </c>
      <c r="J433" s="2782"/>
      <c r="K433" s="478" t="n">
        <f aca="false">(SUMIF($11:$11,J433,$12:$12)-SUMIF($11:$11,$J$24,$12:$12)+100)/100</f>
        <v>1</v>
      </c>
      <c r="L433" s="2782"/>
      <c r="M433" s="478" t="n">
        <f aca="false">(SUMIF($13:$13,L433,$14:$14)-SUMIF($13:$13,$L$24,$14:$14)+100)/100</f>
        <v>1</v>
      </c>
      <c r="N433" s="2782"/>
      <c r="O433" s="478" t="n">
        <f aca="false">(SUMIF($15:$15,N433,$16:$16)-SUMIF($15:$15,$N$24,$16:$16)+100)/100</f>
        <v>1</v>
      </c>
      <c r="P433" s="2782"/>
      <c r="Q433" s="478" t="n">
        <f aca="false">(SUMIF($17:$17,P433,$18:$18)-SUMIF($17:$17,$P$24,$18:$18)+100)/100</f>
        <v>1</v>
      </c>
      <c r="R433" s="2772" t="n">
        <f aca="false">IF(B433="",0,ROUND($R$24*C433*E433*G433*I433*K433*M433*O433*Q433,0))</f>
        <v>0</v>
      </c>
      <c r="S433" s="2771" t="n">
        <f aca="false">ROUND(R433*B433/10000,0)</f>
        <v>0</v>
      </c>
    </row>
    <row r="434" customFormat="false" ht="12.75" hidden="false" customHeight="false" outlineLevel="0" collapsed="false">
      <c r="A434" s="1016"/>
      <c r="B434" s="2781"/>
      <c r="C434" s="478" t="n">
        <f aca="false">IF(B434="",1,(LOOKUP(B434,$3:$3,$4:$4)-LOOKUP($B$24,$3:$3,$4:$4)+100)/100)</f>
        <v>1</v>
      </c>
      <c r="D434" s="2782"/>
      <c r="E434" s="478" t="n">
        <f aca="false">(SUMIF($5:$5,D434,$6:$6)-SUMIF($5:$5,$D$24,$6:$6)+100)/100</f>
        <v>1</v>
      </c>
      <c r="F434" s="2782"/>
      <c r="G434" s="478" t="n">
        <f aca="false">(SUMIF($7:$7,F434,$8:$8)-SUMIF($7:$7,$F$24,$8:$8)+100)/100</f>
        <v>1</v>
      </c>
      <c r="H434" s="2782"/>
      <c r="I434" s="478" t="n">
        <f aca="false">(SUMIF($9:$9,H434,$10:$10)-SUMIF($9:$9,$H$24,$10:$10)+100)/100</f>
        <v>1</v>
      </c>
      <c r="J434" s="2782"/>
      <c r="K434" s="478" t="n">
        <f aca="false">(SUMIF($11:$11,J434,$12:$12)-SUMIF($11:$11,$J$24,$12:$12)+100)/100</f>
        <v>1</v>
      </c>
      <c r="L434" s="2782"/>
      <c r="M434" s="478" t="n">
        <f aca="false">(SUMIF($13:$13,L434,$14:$14)-SUMIF($13:$13,$L$24,$14:$14)+100)/100</f>
        <v>1</v>
      </c>
      <c r="N434" s="2782"/>
      <c r="O434" s="478" t="n">
        <f aca="false">(SUMIF($15:$15,N434,$16:$16)-SUMIF($15:$15,$N$24,$16:$16)+100)/100</f>
        <v>1</v>
      </c>
      <c r="P434" s="2782"/>
      <c r="Q434" s="478" t="n">
        <f aca="false">(SUMIF($17:$17,P434,$18:$18)-SUMIF($17:$17,$P$24,$18:$18)+100)/100</f>
        <v>1</v>
      </c>
      <c r="R434" s="2772" t="n">
        <f aca="false">IF(B434="",0,ROUND($R$24*C434*E434*G434*I434*K434*M434*O434*Q434,0))</f>
        <v>0</v>
      </c>
      <c r="S434" s="2771" t="n">
        <f aca="false">ROUND(R434*B434/10000,0)</f>
        <v>0</v>
      </c>
    </row>
    <row r="435" customFormat="false" ht="12.75" hidden="false" customHeight="false" outlineLevel="0" collapsed="false">
      <c r="A435" s="1016"/>
      <c r="B435" s="2781"/>
      <c r="C435" s="478" t="n">
        <f aca="false">IF(B435="",1,(LOOKUP(B435,$3:$3,$4:$4)-LOOKUP($B$24,$3:$3,$4:$4)+100)/100)</f>
        <v>1</v>
      </c>
      <c r="D435" s="2782"/>
      <c r="E435" s="478" t="n">
        <f aca="false">(SUMIF($5:$5,D435,$6:$6)-SUMIF($5:$5,$D$24,$6:$6)+100)/100</f>
        <v>1</v>
      </c>
      <c r="F435" s="2782"/>
      <c r="G435" s="478" t="n">
        <f aca="false">(SUMIF($7:$7,F435,$8:$8)-SUMIF($7:$7,$F$24,$8:$8)+100)/100</f>
        <v>1</v>
      </c>
      <c r="H435" s="2782"/>
      <c r="I435" s="478" t="n">
        <f aca="false">(SUMIF($9:$9,H435,$10:$10)-SUMIF($9:$9,$H$24,$10:$10)+100)/100</f>
        <v>1</v>
      </c>
      <c r="J435" s="2782"/>
      <c r="K435" s="478" t="n">
        <f aca="false">(SUMIF($11:$11,J435,$12:$12)-SUMIF($11:$11,$J$24,$12:$12)+100)/100</f>
        <v>1</v>
      </c>
      <c r="L435" s="2782"/>
      <c r="M435" s="478" t="n">
        <f aca="false">(SUMIF($13:$13,L435,$14:$14)-SUMIF($13:$13,$L$24,$14:$14)+100)/100</f>
        <v>1</v>
      </c>
      <c r="N435" s="2782"/>
      <c r="O435" s="478" t="n">
        <f aca="false">(SUMIF($15:$15,N435,$16:$16)-SUMIF($15:$15,$N$24,$16:$16)+100)/100</f>
        <v>1</v>
      </c>
      <c r="P435" s="2782"/>
      <c r="Q435" s="478" t="n">
        <f aca="false">(SUMIF($17:$17,P435,$18:$18)-SUMIF($17:$17,$P$24,$18:$18)+100)/100</f>
        <v>1</v>
      </c>
      <c r="R435" s="2772" t="n">
        <f aca="false">IF(B435="",0,ROUND($R$24*C435*E435*G435*I435*K435*M435*O435*Q435,0))</f>
        <v>0</v>
      </c>
      <c r="S435" s="2771" t="n">
        <f aca="false">ROUND(R435*B435/10000,0)</f>
        <v>0</v>
      </c>
    </row>
    <row r="436" customFormat="false" ht="12.75" hidden="false" customHeight="false" outlineLevel="0" collapsed="false">
      <c r="A436" s="1016"/>
      <c r="B436" s="2781"/>
      <c r="C436" s="478" t="n">
        <f aca="false">IF(B436="",1,(LOOKUP(B436,$3:$3,$4:$4)-LOOKUP($B$24,$3:$3,$4:$4)+100)/100)</f>
        <v>1</v>
      </c>
      <c r="D436" s="2782"/>
      <c r="E436" s="478" t="n">
        <f aca="false">(SUMIF($5:$5,D436,$6:$6)-SUMIF($5:$5,$D$24,$6:$6)+100)/100</f>
        <v>1</v>
      </c>
      <c r="F436" s="2782"/>
      <c r="G436" s="478" t="n">
        <f aca="false">(SUMIF($7:$7,F436,$8:$8)-SUMIF($7:$7,$F$24,$8:$8)+100)/100</f>
        <v>1</v>
      </c>
      <c r="H436" s="2782"/>
      <c r="I436" s="478" t="n">
        <f aca="false">(SUMIF($9:$9,H436,$10:$10)-SUMIF($9:$9,$H$24,$10:$10)+100)/100</f>
        <v>1</v>
      </c>
      <c r="J436" s="2782"/>
      <c r="K436" s="478" t="n">
        <f aca="false">(SUMIF($11:$11,J436,$12:$12)-SUMIF($11:$11,$J$24,$12:$12)+100)/100</f>
        <v>1</v>
      </c>
      <c r="L436" s="2782"/>
      <c r="M436" s="478" t="n">
        <f aca="false">(SUMIF($13:$13,L436,$14:$14)-SUMIF($13:$13,$L$24,$14:$14)+100)/100</f>
        <v>1</v>
      </c>
      <c r="N436" s="2782"/>
      <c r="O436" s="478" t="n">
        <f aca="false">(SUMIF($15:$15,N436,$16:$16)-SUMIF($15:$15,$N$24,$16:$16)+100)/100</f>
        <v>1</v>
      </c>
      <c r="P436" s="2782"/>
      <c r="Q436" s="478" t="n">
        <f aca="false">(SUMIF($17:$17,P436,$18:$18)-SUMIF($17:$17,$P$24,$18:$18)+100)/100</f>
        <v>1</v>
      </c>
      <c r="R436" s="2772" t="n">
        <f aca="false">IF(B436="",0,ROUND($R$24*C436*E436*G436*I436*K436*M436*O436*Q436,0))</f>
        <v>0</v>
      </c>
      <c r="S436" s="2771" t="n">
        <f aca="false">ROUND(R436*B436/10000,0)</f>
        <v>0</v>
      </c>
    </row>
    <row r="437" customFormat="false" ht="12.75" hidden="false" customHeight="false" outlineLevel="0" collapsed="false">
      <c r="A437" s="1016"/>
      <c r="B437" s="2781"/>
      <c r="C437" s="478" t="n">
        <f aca="false">IF(B437="",1,(LOOKUP(B437,$3:$3,$4:$4)-LOOKUP($B$24,$3:$3,$4:$4)+100)/100)</f>
        <v>1</v>
      </c>
      <c r="D437" s="2782"/>
      <c r="E437" s="478" t="n">
        <f aca="false">(SUMIF($5:$5,D437,$6:$6)-SUMIF($5:$5,$D$24,$6:$6)+100)/100</f>
        <v>1</v>
      </c>
      <c r="F437" s="2782"/>
      <c r="G437" s="478" t="n">
        <f aca="false">(SUMIF($7:$7,F437,$8:$8)-SUMIF($7:$7,$F$24,$8:$8)+100)/100</f>
        <v>1</v>
      </c>
      <c r="H437" s="2782"/>
      <c r="I437" s="478" t="n">
        <f aca="false">(SUMIF($9:$9,H437,$10:$10)-SUMIF($9:$9,$H$24,$10:$10)+100)/100</f>
        <v>1</v>
      </c>
      <c r="J437" s="2782"/>
      <c r="K437" s="478" t="n">
        <f aca="false">(SUMIF($11:$11,J437,$12:$12)-SUMIF($11:$11,$J$24,$12:$12)+100)/100</f>
        <v>1</v>
      </c>
      <c r="L437" s="2782"/>
      <c r="M437" s="478" t="n">
        <f aca="false">(SUMIF($13:$13,L437,$14:$14)-SUMIF($13:$13,$L$24,$14:$14)+100)/100</f>
        <v>1</v>
      </c>
      <c r="N437" s="2782"/>
      <c r="O437" s="478" t="n">
        <f aca="false">(SUMIF($15:$15,N437,$16:$16)-SUMIF($15:$15,$N$24,$16:$16)+100)/100</f>
        <v>1</v>
      </c>
      <c r="P437" s="2782"/>
      <c r="Q437" s="478" t="n">
        <f aca="false">(SUMIF($17:$17,P437,$18:$18)-SUMIF($17:$17,$P$24,$18:$18)+100)/100</f>
        <v>1</v>
      </c>
      <c r="R437" s="2772" t="n">
        <f aca="false">IF(B437="",0,ROUND($R$24*C437*E437*G437*I437*K437*M437*O437*Q437,0))</f>
        <v>0</v>
      </c>
      <c r="S437" s="2771" t="n">
        <f aca="false">ROUND(R437*B437/10000,0)</f>
        <v>0</v>
      </c>
    </row>
    <row r="438" customFormat="false" ht="12.75" hidden="false" customHeight="false" outlineLevel="0" collapsed="false">
      <c r="A438" s="1016"/>
      <c r="B438" s="2781"/>
      <c r="C438" s="478" t="n">
        <f aca="false">IF(B438="",1,(LOOKUP(B438,$3:$3,$4:$4)-LOOKUP($B$24,$3:$3,$4:$4)+100)/100)</f>
        <v>1</v>
      </c>
      <c r="D438" s="2782"/>
      <c r="E438" s="478" t="n">
        <f aca="false">(SUMIF($5:$5,D438,$6:$6)-SUMIF($5:$5,$D$24,$6:$6)+100)/100</f>
        <v>1</v>
      </c>
      <c r="F438" s="2782"/>
      <c r="G438" s="478" t="n">
        <f aca="false">(SUMIF($7:$7,F438,$8:$8)-SUMIF($7:$7,$F$24,$8:$8)+100)/100</f>
        <v>1</v>
      </c>
      <c r="H438" s="2782"/>
      <c r="I438" s="478" t="n">
        <f aca="false">(SUMIF($9:$9,H438,$10:$10)-SUMIF($9:$9,$H$24,$10:$10)+100)/100</f>
        <v>1</v>
      </c>
      <c r="J438" s="2782"/>
      <c r="K438" s="478" t="n">
        <f aca="false">(SUMIF($11:$11,J438,$12:$12)-SUMIF($11:$11,$J$24,$12:$12)+100)/100</f>
        <v>1</v>
      </c>
      <c r="L438" s="2782"/>
      <c r="M438" s="478" t="n">
        <f aca="false">(SUMIF($13:$13,L438,$14:$14)-SUMIF($13:$13,$L$24,$14:$14)+100)/100</f>
        <v>1</v>
      </c>
      <c r="N438" s="2782"/>
      <c r="O438" s="478" t="n">
        <f aca="false">(SUMIF($15:$15,N438,$16:$16)-SUMIF($15:$15,$N$24,$16:$16)+100)/100</f>
        <v>1</v>
      </c>
      <c r="P438" s="2782"/>
      <c r="Q438" s="478" t="n">
        <f aca="false">(SUMIF($17:$17,P438,$18:$18)-SUMIF($17:$17,$P$24,$18:$18)+100)/100</f>
        <v>1</v>
      </c>
      <c r="R438" s="2772" t="n">
        <f aca="false">IF(B438="",0,ROUND($R$24*C438*E438*G438*I438*K438*M438*O438*Q438,0))</f>
        <v>0</v>
      </c>
      <c r="S438" s="2771" t="n">
        <f aca="false">ROUND(R438*B438/10000,0)</f>
        <v>0</v>
      </c>
    </row>
    <row r="439" customFormat="false" ht="12.75" hidden="false" customHeight="false" outlineLevel="0" collapsed="false">
      <c r="A439" s="1016"/>
      <c r="B439" s="2781"/>
      <c r="C439" s="478" t="n">
        <f aca="false">IF(B439="",1,(LOOKUP(B439,$3:$3,$4:$4)-LOOKUP($B$24,$3:$3,$4:$4)+100)/100)</f>
        <v>1</v>
      </c>
      <c r="D439" s="2782"/>
      <c r="E439" s="478" t="n">
        <f aca="false">(SUMIF($5:$5,D439,$6:$6)-SUMIF($5:$5,$D$24,$6:$6)+100)/100</f>
        <v>1</v>
      </c>
      <c r="F439" s="2782"/>
      <c r="G439" s="478" t="n">
        <f aca="false">(SUMIF($7:$7,F439,$8:$8)-SUMIF($7:$7,$F$24,$8:$8)+100)/100</f>
        <v>1</v>
      </c>
      <c r="H439" s="2782"/>
      <c r="I439" s="478" t="n">
        <f aca="false">(SUMIF($9:$9,H439,$10:$10)-SUMIF($9:$9,$H$24,$10:$10)+100)/100</f>
        <v>1</v>
      </c>
      <c r="J439" s="2782"/>
      <c r="K439" s="478" t="n">
        <f aca="false">(SUMIF($11:$11,J439,$12:$12)-SUMIF($11:$11,$J$24,$12:$12)+100)/100</f>
        <v>1</v>
      </c>
      <c r="L439" s="2782"/>
      <c r="M439" s="478" t="n">
        <f aca="false">(SUMIF($13:$13,L439,$14:$14)-SUMIF($13:$13,$L$24,$14:$14)+100)/100</f>
        <v>1</v>
      </c>
      <c r="N439" s="2782"/>
      <c r="O439" s="478" t="n">
        <f aca="false">(SUMIF($15:$15,N439,$16:$16)-SUMIF($15:$15,$N$24,$16:$16)+100)/100</f>
        <v>1</v>
      </c>
      <c r="P439" s="2782"/>
      <c r="Q439" s="478" t="n">
        <f aca="false">(SUMIF($17:$17,P439,$18:$18)-SUMIF($17:$17,$P$24,$18:$18)+100)/100</f>
        <v>1</v>
      </c>
      <c r="R439" s="2772" t="n">
        <f aca="false">IF(B439="",0,ROUND($R$24*C439*E439*G439*I439*K439*M439*O439*Q439,0))</f>
        <v>0</v>
      </c>
      <c r="S439" s="2771" t="n">
        <f aca="false">ROUND(R439*B439/10000,0)</f>
        <v>0</v>
      </c>
    </row>
    <row r="440" customFormat="false" ht="12.75" hidden="false" customHeight="false" outlineLevel="0" collapsed="false">
      <c r="A440" s="1016"/>
      <c r="B440" s="2781"/>
      <c r="C440" s="478" t="n">
        <f aca="false">IF(B440="",1,(LOOKUP(B440,$3:$3,$4:$4)-LOOKUP($B$24,$3:$3,$4:$4)+100)/100)</f>
        <v>1</v>
      </c>
      <c r="D440" s="2782"/>
      <c r="E440" s="478" t="n">
        <f aca="false">(SUMIF($5:$5,D440,$6:$6)-SUMIF($5:$5,$D$24,$6:$6)+100)/100</f>
        <v>1</v>
      </c>
      <c r="F440" s="2782"/>
      <c r="G440" s="478" t="n">
        <f aca="false">(SUMIF($7:$7,F440,$8:$8)-SUMIF($7:$7,$F$24,$8:$8)+100)/100</f>
        <v>1</v>
      </c>
      <c r="H440" s="2782"/>
      <c r="I440" s="478" t="n">
        <f aca="false">(SUMIF($9:$9,H440,$10:$10)-SUMIF($9:$9,$H$24,$10:$10)+100)/100</f>
        <v>1</v>
      </c>
      <c r="J440" s="2782"/>
      <c r="K440" s="478" t="n">
        <f aca="false">(SUMIF($11:$11,J440,$12:$12)-SUMIF($11:$11,$J$24,$12:$12)+100)/100</f>
        <v>1</v>
      </c>
      <c r="L440" s="2782"/>
      <c r="M440" s="478" t="n">
        <f aca="false">(SUMIF($13:$13,L440,$14:$14)-SUMIF($13:$13,$L$24,$14:$14)+100)/100</f>
        <v>1</v>
      </c>
      <c r="N440" s="2782"/>
      <c r="O440" s="478" t="n">
        <f aca="false">(SUMIF($15:$15,N440,$16:$16)-SUMIF($15:$15,$N$24,$16:$16)+100)/100</f>
        <v>1</v>
      </c>
      <c r="P440" s="2782"/>
      <c r="Q440" s="478" t="n">
        <f aca="false">(SUMIF($17:$17,P440,$18:$18)-SUMIF($17:$17,$P$24,$18:$18)+100)/100</f>
        <v>1</v>
      </c>
      <c r="R440" s="2772" t="n">
        <f aca="false">IF(B440="",0,ROUND($R$24*C440*E440*G440*I440*K440*M440*O440*Q440,0))</f>
        <v>0</v>
      </c>
      <c r="S440" s="2771" t="n">
        <f aca="false">ROUND(R440*B440/10000,0)</f>
        <v>0</v>
      </c>
    </row>
    <row r="441" customFormat="false" ht="12.75" hidden="false" customHeight="false" outlineLevel="0" collapsed="false">
      <c r="A441" s="1016"/>
      <c r="B441" s="2781"/>
      <c r="C441" s="478" t="n">
        <f aca="false">IF(B441="",1,(LOOKUP(B441,$3:$3,$4:$4)-LOOKUP($B$24,$3:$3,$4:$4)+100)/100)</f>
        <v>1</v>
      </c>
      <c r="D441" s="2782"/>
      <c r="E441" s="478" t="n">
        <f aca="false">(SUMIF($5:$5,D441,$6:$6)-SUMIF($5:$5,$D$24,$6:$6)+100)/100</f>
        <v>1</v>
      </c>
      <c r="F441" s="2782"/>
      <c r="G441" s="478" t="n">
        <f aca="false">(SUMIF($7:$7,F441,$8:$8)-SUMIF($7:$7,$F$24,$8:$8)+100)/100</f>
        <v>1</v>
      </c>
      <c r="H441" s="2782"/>
      <c r="I441" s="478" t="n">
        <f aca="false">(SUMIF($9:$9,H441,$10:$10)-SUMIF($9:$9,$H$24,$10:$10)+100)/100</f>
        <v>1</v>
      </c>
      <c r="J441" s="2782"/>
      <c r="K441" s="478" t="n">
        <f aca="false">(SUMIF($11:$11,J441,$12:$12)-SUMIF($11:$11,$J$24,$12:$12)+100)/100</f>
        <v>1</v>
      </c>
      <c r="L441" s="2782"/>
      <c r="M441" s="478" t="n">
        <f aca="false">(SUMIF($13:$13,L441,$14:$14)-SUMIF($13:$13,$L$24,$14:$14)+100)/100</f>
        <v>1</v>
      </c>
      <c r="N441" s="2782"/>
      <c r="O441" s="478" t="n">
        <f aca="false">(SUMIF($15:$15,N441,$16:$16)-SUMIF($15:$15,$N$24,$16:$16)+100)/100</f>
        <v>1</v>
      </c>
      <c r="P441" s="2782"/>
      <c r="Q441" s="478" t="n">
        <f aca="false">(SUMIF($17:$17,P441,$18:$18)-SUMIF($17:$17,$P$24,$18:$18)+100)/100</f>
        <v>1</v>
      </c>
      <c r="R441" s="2772" t="n">
        <f aca="false">IF(B441="",0,ROUND($R$24*C441*E441*G441*I441*K441*M441*O441*Q441,0))</f>
        <v>0</v>
      </c>
      <c r="S441" s="2771" t="n">
        <f aca="false">ROUND(R441*B441/10000,0)</f>
        <v>0</v>
      </c>
    </row>
    <row r="442" customFormat="false" ht="12.75" hidden="false" customHeight="false" outlineLevel="0" collapsed="false">
      <c r="A442" s="1016"/>
      <c r="B442" s="2781"/>
      <c r="C442" s="478" t="n">
        <f aca="false">IF(B442="",1,(LOOKUP(B442,$3:$3,$4:$4)-LOOKUP($B$24,$3:$3,$4:$4)+100)/100)</f>
        <v>1</v>
      </c>
      <c r="D442" s="2782"/>
      <c r="E442" s="478" t="n">
        <f aca="false">(SUMIF($5:$5,D442,$6:$6)-SUMIF($5:$5,$D$24,$6:$6)+100)/100</f>
        <v>1</v>
      </c>
      <c r="F442" s="2782"/>
      <c r="G442" s="478" t="n">
        <f aca="false">(SUMIF($7:$7,F442,$8:$8)-SUMIF($7:$7,$F$24,$8:$8)+100)/100</f>
        <v>1</v>
      </c>
      <c r="H442" s="2782"/>
      <c r="I442" s="478" t="n">
        <f aca="false">(SUMIF($9:$9,H442,$10:$10)-SUMIF($9:$9,$H$24,$10:$10)+100)/100</f>
        <v>1</v>
      </c>
      <c r="J442" s="2782"/>
      <c r="K442" s="478" t="n">
        <f aca="false">(SUMIF($11:$11,J442,$12:$12)-SUMIF($11:$11,$J$24,$12:$12)+100)/100</f>
        <v>1</v>
      </c>
      <c r="L442" s="2782"/>
      <c r="M442" s="478" t="n">
        <f aca="false">(SUMIF($13:$13,L442,$14:$14)-SUMIF($13:$13,$L$24,$14:$14)+100)/100</f>
        <v>1</v>
      </c>
      <c r="N442" s="2782"/>
      <c r="O442" s="478" t="n">
        <f aca="false">(SUMIF($15:$15,N442,$16:$16)-SUMIF($15:$15,$N$24,$16:$16)+100)/100</f>
        <v>1</v>
      </c>
      <c r="P442" s="2782"/>
      <c r="Q442" s="478" t="n">
        <f aca="false">(SUMIF($17:$17,P442,$18:$18)-SUMIF($17:$17,$P$24,$18:$18)+100)/100</f>
        <v>1</v>
      </c>
      <c r="R442" s="2772" t="n">
        <f aca="false">IF(B442="",0,ROUND($R$24*C442*E442*G442*I442*K442*M442*O442*Q442,0))</f>
        <v>0</v>
      </c>
      <c r="S442" s="2771" t="n">
        <f aca="false">ROUND(R442*B442/10000,0)</f>
        <v>0</v>
      </c>
    </row>
    <row r="443" customFormat="false" ht="12.75" hidden="false" customHeight="false" outlineLevel="0" collapsed="false">
      <c r="A443" s="1016"/>
      <c r="B443" s="2781"/>
      <c r="C443" s="478" t="n">
        <f aca="false">IF(B443="",1,(LOOKUP(B443,$3:$3,$4:$4)-LOOKUP($B$24,$3:$3,$4:$4)+100)/100)</f>
        <v>1</v>
      </c>
      <c r="D443" s="2782"/>
      <c r="E443" s="478" t="n">
        <f aca="false">(SUMIF($5:$5,D443,$6:$6)-SUMIF($5:$5,$D$24,$6:$6)+100)/100</f>
        <v>1</v>
      </c>
      <c r="F443" s="2782"/>
      <c r="G443" s="478" t="n">
        <f aca="false">(SUMIF($7:$7,F443,$8:$8)-SUMIF($7:$7,$F$24,$8:$8)+100)/100</f>
        <v>1</v>
      </c>
      <c r="H443" s="2782"/>
      <c r="I443" s="478" t="n">
        <f aca="false">(SUMIF($9:$9,H443,$10:$10)-SUMIF($9:$9,$H$24,$10:$10)+100)/100</f>
        <v>1</v>
      </c>
      <c r="J443" s="2782"/>
      <c r="K443" s="478" t="n">
        <f aca="false">(SUMIF($11:$11,J443,$12:$12)-SUMIF($11:$11,$J$24,$12:$12)+100)/100</f>
        <v>1</v>
      </c>
      <c r="L443" s="2782"/>
      <c r="M443" s="478" t="n">
        <f aca="false">(SUMIF($13:$13,L443,$14:$14)-SUMIF($13:$13,$L$24,$14:$14)+100)/100</f>
        <v>1</v>
      </c>
      <c r="N443" s="2782"/>
      <c r="O443" s="478" t="n">
        <f aca="false">(SUMIF($15:$15,N443,$16:$16)-SUMIF($15:$15,$N$24,$16:$16)+100)/100</f>
        <v>1</v>
      </c>
      <c r="P443" s="2782"/>
      <c r="Q443" s="478" t="n">
        <f aca="false">(SUMIF($17:$17,P443,$18:$18)-SUMIF($17:$17,$P$24,$18:$18)+100)/100</f>
        <v>1</v>
      </c>
      <c r="R443" s="2772" t="n">
        <f aca="false">IF(B443="",0,ROUND($R$24*C443*E443*G443*I443*K443*M443*O443*Q443,0))</f>
        <v>0</v>
      </c>
      <c r="S443" s="2771" t="n">
        <f aca="false">ROUND(R443*B443/10000,0)</f>
        <v>0</v>
      </c>
    </row>
    <row r="444" customFormat="false" ht="12.75" hidden="false" customHeight="false" outlineLevel="0" collapsed="false">
      <c r="A444" s="1016"/>
      <c r="B444" s="2781"/>
      <c r="C444" s="478" t="n">
        <f aca="false">IF(B444="",1,(LOOKUP(B444,$3:$3,$4:$4)-LOOKUP($B$24,$3:$3,$4:$4)+100)/100)</f>
        <v>1</v>
      </c>
      <c r="D444" s="2782"/>
      <c r="E444" s="478" t="n">
        <f aca="false">(SUMIF($5:$5,D444,$6:$6)-SUMIF($5:$5,$D$24,$6:$6)+100)/100</f>
        <v>1</v>
      </c>
      <c r="F444" s="2782"/>
      <c r="G444" s="478" t="n">
        <f aca="false">(SUMIF($7:$7,F444,$8:$8)-SUMIF($7:$7,$F$24,$8:$8)+100)/100</f>
        <v>1</v>
      </c>
      <c r="H444" s="2782"/>
      <c r="I444" s="478" t="n">
        <f aca="false">(SUMIF($9:$9,H444,$10:$10)-SUMIF($9:$9,$H$24,$10:$10)+100)/100</f>
        <v>1</v>
      </c>
      <c r="J444" s="2782"/>
      <c r="K444" s="478" t="n">
        <f aca="false">(SUMIF($11:$11,J444,$12:$12)-SUMIF($11:$11,$J$24,$12:$12)+100)/100</f>
        <v>1</v>
      </c>
      <c r="L444" s="2782"/>
      <c r="M444" s="478" t="n">
        <f aca="false">(SUMIF($13:$13,L444,$14:$14)-SUMIF($13:$13,$L$24,$14:$14)+100)/100</f>
        <v>1</v>
      </c>
      <c r="N444" s="2782"/>
      <c r="O444" s="478" t="n">
        <f aca="false">(SUMIF($15:$15,N444,$16:$16)-SUMIF($15:$15,$N$24,$16:$16)+100)/100</f>
        <v>1</v>
      </c>
      <c r="P444" s="2782"/>
      <c r="Q444" s="478" t="n">
        <f aca="false">(SUMIF($17:$17,P444,$18:$18)-SUMIF($17:$17,$P$24,$18:$18)+100)/100</f>
        <v>1</v>
      </c>
      <c r="R444" s="2772" t="n">
        <f aca="false">IF(B444="",0,ROUND($R$24*C444*E444*G444*I444*K444*M444*O444*Q444,0))</f>
        <v>0</v>
      </c>
      <c r="S444" s="2771" t="n">
        <f aca="false">ROUND(R444*B444/10000,0)</f>
        <v>0</v>
      </c>
    </row>
    <row r="445" customFormat="false" ht="12.75" hidden="false" customHeight="false" outlineLevel="0" collapsed="false">
      <c r="A445" s="1016"/>
      <c r="B445" s="2781"/>
      <c r="C445" s="478" t="n">
        <f aca="false">IF(B445="",1,(LOOKUP(B445,$3:$3,$4:$4)-LOOKUP($B$24,$3:$3,$4:$4)+100)/100)</f>
        <v>1</v>
      </c>
      <c r="D445" s="2782"/>
      <c r="E445" s="478" t="n">
        <f aca="false">(SUMIF($5:$5,D445,$6:$6)-SUMIF($5:$5,$D$24,$6:$6)+100)/100</f>
        <v>1</v>
      </c>
      <c r="F445" s="2782"/>
      <c r="G445" s="478" t="n">
        <f aca="false">(SUMIF($7:$7,F445,$8:$8)-SUMIF($7:$7,$F$24,$8:$8)+100)/100</f>
        <v>1</v>
      </c>
      <c r="H445" s="2782"/>
      <c r="I445" s="478" t="n">
        <f aca="false">(SUMIF($9:$9,H445,$10:$10)-SUMIF($9:$9,$H$24,$10:$10)+100)/100</f>
        <v>1</v>
      </c>
      <c r="J445" s="2782"/>
      <c r="K445" s="478" t="n">
        <f aca="false">(SUMIF($11:$11,J445,$12:$12)-SUMIF($11:$11,$J$24,$12:$12)+100)/100</f>
        <v>1</v>
      </c>
      <c r="L445" s="2782"/>
      <c r="M445" s="478" t="n">
        <f aca="false">(SUMIF($13:$13,L445,$14:$14)-SUMIF($13:$13,$L$24,$14:$14)+100)/100</f>
        <v>1</v>
      </c>
      <c r="N445" s="2782"/>
      <c r="O445" s="478" t="n">
        <f aca="false">(SUMIF($15:$15,N445,$16:$16)-SUMIF($15:$15,$N$24,$16:$16)+100)/100</f>
        <v>1</v>
      </c>
      <c r="P445" s="2782"/>
      <c r="Q445" s="478" t="n">
        <f aca="false">(SUMIF($17:$17,P445,$18:$18)-SUMIF($17:$17,$P$24,$18:$18)+100)/100</f>
        <v>1</v>
      </c>
      <c r="R445" s="2772" t="n">
        <f aca="false">IF(B445="",0,ROUND($R$24*C445*E445*G445*I445*K445*M445*O445*Q445,0))</f>
        <v>0</v>
      </c>
      <c r="S445" s="2771" t="n">
        <f aca="false">ROUND(R445*B445/10000,0)</f>
        <v>0</v>
      </c>
    </row>
    <row r="446" customFormat="false" ht="12.75" hidden="false" customHeight="false" outlineLevel="0" collapsed="false">
      <c r="A446" s="1016"/>
      <c r="B446" s="2781"/>
      <c r="C446" s="478" t="n">
        <f aca="false">IF(B446="",1,(LOOKUP(B446,$3:$3,$4:$4)-LOOKUP($B$24,$3:$3,$4:$4)+100)/100)</f>
        <v>1</v>
      </c>
      <c r="D446" s="2782"/>
      <c r="E446" s="478" t="n">
        <f aca="false">(SUMIF($5:$5,D446,$6:$6)-SUMIF($5:$5,$D$24,$6:$6)+100)/100</f>
        <v>1</v>
      </c>
      <c r="F446" s="2782"/>
      <c r="G446" s="478" t="n">
        <f aca="false">(SUMIF($7:$7,F446,$8:$8)-SUMIF($7:$7,$F$24,$8:$8)+100)/100</f>
        <v>1</v>
      </c>
      <c r="H446" s="2782"/>
      <c r="I446" s="478" t="n">
        <f aca="false">(SUMIF($9:$9,H446,$10:$10)-SUMIF($9:$9,$H$24,$10:$10)+100)/100</f>
        <v>1</v>
      </c>
      <c r="J446" s="2782"/>
      <c r="K446" s="478" t="n">
        <f aca="false">(SUMIF($11:$11,J446,$12:$12)-SUMIF($11:$11,$J$24,$12:$12)+100)/100</f>
        <v>1</v>
      </c>
      <c r="L446" s="2782"/>
      <c r="M446" s="478" t="n">
        <f aca="false">(SUMIF($13:$13,L446,$14:$14)-SUMIF($13:$13,$L$24,$14:$14)+100)/100</f>
        <v>1</v>
      </c>
      <c r="N446" s="2782"/>
      <c r="O446" s="478" t="n">
        <f aca="false">(SUMIF($15:$15,N446,$16:$16)-SUMIF($15:$15,$N$24,$16:$16)+100)/100</f>
        <v>1</v>
      </c>
      <c r="P446" s="2782"/>
      <c r="Q446" s="478" t="n">
        <f aca="false">(SUMIF($17:$17,P446,$18:$18)-SUMIF($17:$17,$P$24,$18:$18)+100)/100</f>
        <v>1</v>
      </c>
      <c r="R446" s="2772" t="n">
        <f aca="false">IF(B446="",0,ROUND($R$24*C446*E446*G446*I446*K446*M446*O446*Q446,0))</f>
        <v>0</v>
      </c>
      <c r="S446" s="2771" t="n">
        <f aca="false">ROUND(R446*B446/10000,0)</f>
        <v>0</v>
      </c>
    </row>
    <row r="447" customFormat="false" ht="12.75" hidden="false" customHeight="false" outlineLevel="0" collapsed="false">
      <c r="A447" s="1016"/>
      <c r="B447" s="2781"/>
      <c r="C447" s="478" t="n">
        <f aca="false">IF(B447="",1,(LOOKUP(B447,$3:$3,$4:$4)-LOOKUP($B$24,$3:$3,$4:$4)+100)/100)</f>
        <v>1</v>
      </c>
      <c r="D447" s="2782"/>
      <c r="E447" s="478" t="n">
        <f aca="false">(SUMIF($5:$5,D447,$6:$6)-SUMIF($5:$5,$D$24,$6:$6)+100)/100</f>
        <v>1</v>
      </c>
      <c r="F447" s="2782"/>
      <c r="G447" s="478" t="n">
        <f aca="false">(SUMIF($7:$7,F447,$8:$8)-SUMIF($7:$7,$F$24,$8:$8)+100)/100</f>
        <v>1</v>
      </c>
      <c r="H447" s="2782"/>
      <c r="I447" s="478" t="n">
        <f aca="false">(SUMIF($9:$9,H447,$10:$10)-SUMIF($9:$9,$H$24,$10:$10)+100)/100</f>
        <v>1</v>
      </c>
      <c r="J447" s="2782"/>
      <c r="K447" s="478" t="n">
        <f aca="false">(SUMIF($11:$11,J447,$12:$12)-SUMIF($11:$11,$J$24,$12:$12)+100)/100</f>
        <v>1</v>
      </c>
      <c r="L447" s="2782"/>
      <c r="M447" s="478" t="n">
        <f aca="false">(SUMIF($13:$13,L447,$14:$14)-SUMIF($13:$13,$L$24,$14:$14)+100)/100</f>
        <v>1</v>
      </c>
      <c r="N447" s="2782"/>
      <c r="O447" s="478" t="n">
        <f aca="false">(SUMIF($15:$15,N447,$16:$16)-SUMIF($15:$15,$N$24,$16:$16)+100)/100</f>
        <v>1</v>
      </c>
      <c r="P447" s="2782"/>
      <c r="Q447" s="478" t="n">
        <f aca="false">(SUMIF($17:$17,P447,$18:$18)-SUMIF($17:$17,$P$24,$18:$18)+100)/100</f>
        <v>1</v>
      </c>
      <c r="R447" s="2772" t="n">
        <f aca="false">IF(B447="",0,ROUND($R$24*C447*E447*G447*I447*K447*M447*O447*Q447,0))</f>
        <v>0</v>
      </c>
      <c r="S447" s="2771" t="n">
        <f aca="false">ROUND(R447*B447/10000,0)</f>
        <v>0</v>
      </c>
    </row>
    <row r="448" customFormat="false" ht="12.75" hidden="false" customHeight="false" outlineLevel="0" collapsed="false">
      <c r="A448" s="1016"/>
      <c r="B448" s="2781"/>
      <c r="C448" s="478" t="n">
        <f aca="false">IF(B448="",1,(LOOKUP(B448,$3:$3,$4:$4)-LOOKUP($B$24,$3:$3,$4:$4)+100)/100)</f>
        <v>1</v>
      </c>
      <c r="D448" s="2782"/>
      <c r="E448" s="478" t="n">
        <f aca="false">(SUMIF($5:$5,D448,$6:$6)-SUMIF($5:$5,$D$24,$6:$6)+100)/100</f>
        <v>1</v>
      </c>
      <c r="F448" s="2782"/>
      <c r="G448" s="478" t="n">
        <f aca="false">(SUMIF($7:$7,F448,$8:$8)-SUMIF($7:$7,$F$24,$8:$8)+100)/100</f>
        <v>1</v>
      </c>
      <c r="H448" s="2782"/>
      <c r="I448" s="478" t="n">
        <f aca="false">(SUMIF($9:$9,H448,$10:$10)-SUMIF($9:$9,$H$24,$10:$10)+100)/100</f>
        <v>1</v>
      </c>
      <c r="J448" s="2782"/>
      <c r="K448" s="478" t="n">
        <f aca="false">(SUMIF($11:$11,J448,$12:$12)-SUMIF($11:$11,$J$24,$12:$12)+100)/100</f>
        <v>1</v>
      </c>
      <c r="L448" s="2782"/>
      <c r="M448" s="478" t="n">
        <f aca="false">(SUMIF($13:$13,L448,$14:$14)-SUMIF($13:$13,$L$24,$14:$14)+100)/100</f>
        <v>1</v>
      </c>
      <c r="N448" s="2782"/>
      <c r="O448" s="478" t="n">
        <f aca="false">(SUMIF($15:$15,N448,$16:$16)-SUMIF($15:$15,$N$24,$16:$16)+100)/100</f>
        <v>1</v>
      </c>
      <c r="P448" s="2782"/>
      <c r="Q448" s="478" t="n">
        <f aca="false">(SUMIF($17:$17,P448,$18:$18)-SUMIF($17:$17,$P$24,$18:$18)+100)/100</f>
        <v>1</v>
      </c>
      <c r="R448" s="2772" t="n">
        <f aca="false">IF(B448="",0,ROUND($R$24*C448*E448*G448*I448*K448*M448*O448*Q448,0))</f>
        <v>0</v>
      </c>
      <c r="S448" s="2771" t="n">
        <f aca="false">ROUND(R448*B448/10000,0)</f>
        <v>0</v>
      </c>
    </row>
    <row r="449" customFormat="false" ht="12.75" hidden="false" customHeight="false" outlineLevel="0" collapsed="false">
      <c r="A449" s="1016"/>
      <c r="B449" s="2781"/>
      <c r="C449" s="478" t="n">
        <f aca="false">IF(B449="",1,(LOOKUP(B449,$3:$3,$4:$4)-LOOKUP($B$24,$3:$3,$4:$4)+100)/100)</f>
        <v>1</v>
      </c>
      <c r="D449" s="2782"/>
      <c r="E449" s="478" t="n">
        <f aca="false">(SUMIF($5:$5,D449,$6:$6)-SUMIF($5:$5,$D$24,$6:$6)+100)/100</f>
        <v>1</v>
      </c>
      <c r="F449" s="2782"/>
      <c r="G449" s="478" t="n">
        <f aca="false">(SUMIF($7:$7,F449,$8:$8)-SUMIF($7:$7,$F$24,$8:$8)+100)/100</f>
        <v>1</v>
      </c>
      <c r="H449" s="2782"/>
      <c r="I449" s="478" t="n">
        <f aca="false">(SUMIF($9:$9,H449,$10:$10)-SUMIF($9:$9,$H$24,$10:$10)+100)/100</f>
        <v>1</v>
      </c>
      <c r="J449" s="2782"/>
      <c r="K449" s="478" t="n">
        <f aca="false">(SUMIF($11:$11,J449,$12:$12)-SUMIF($11:$11,$J$24,$12:$12)+100)/100</f>
        <v>1</v>
      </c>
      <c r="L449" s="2782"/>
      <c r="M449" s="478" t="n">
        <f aca="false">(SUMIF($13:$13,L449,$14:$14)-SUMIF($13:$13,$L$24,$14:$14)+100)/100</f>
        <v>1</v>
      </c>
      <c r="N449" s="2782"/>
      <c r="O449" s="478" t="n">
        <f aca="false">(SUMIF($15:$15,N449,$16:$16)-SUMIF($15:$15,$N$24,$16:$16)+100)/100</f>
        <v>1</v>
      </c>
      <c r="P449" s="2782"/>
      <c r="Q449" s="478" t="n">
        <f aca="false">(SUMIF($17:$17,P449,$18:$18)-SUMIF($17:$17,$P$24,$18:$18)+100)/100</f>
        <v>1</v>
      </c>
      <c r="R449" s="2772" t="n">
        <f aca="false">IF(B449="",0,ROUND($R$24*C449*E449*G449*I449*K449*M449*O449*Q449,0))</f>
        <v>0</v>
      </c>
      <c r="S449" s="2771" t="n">
        <f aca="false">ROUND(R449*B449/10000,0)</f>
        <v>0</v>
      </c>
    </row>
    <row r="450" customFormat="false" ht="12.75" hidden="false" customHeight="false" outlineLevel="0" collapsed="false">
      <c r="A450" s="1016"/>
      <c r="B450" s="2781"/>
      <c r="C450" s="478" t="n">
        <f aca="false">IF(B450="",1,(LOOKUP(B450,$3:$3,$4:$4)-LOOKUP($B$24,$3:$3,$4:$4)+100)/100)</f>
        <v>1</v>
      </c>
      <c r="D450" s="2782"/>
      <c r="E450" s="478" t="n">
        <f aca="false">(SUMIF($5:$5,D450,$6:$6)-SUMIF($5:$5,$D$24,$6:$6)+100)/100</f>
        <v>1</v>
      </c>
      <c r="F450" s="2782"/>
      <c r="G450" s="478" t="n">
        <f aca="false">(SUMIF($7:$7,F450,$8:$8)-SUMIF($7:$7,$F$24,$8:$8)+100)/100</f>
        <v>1</v>
      </c>
      <c r="H450" s="2782"/>
      <c r="I450" s="478" t="n">
        <f aca="false">(SUMIF($9:$9,H450,$10:$10)-SUMIF($9:$9,$H$24,$10:$10)+100)/100</f>
        <v>1</v>
      </c>
      <c r="J450" s="2782"/>
      <c r="K450" s="478" t="n">
        <f aca="false">(SUMIF($11:$11,J450,$12:$12)-SUMIF($11:$11,$J$24,$12:$12)+100)/100</f>
        <v>1</v>
      </c>
      <c r="L450" s="2782"/>
      <c r="M450" s="478" t="n">
        <f aca="false">(SUMIF($13:$13,L450,$14:$14)-SUMIF($13:$13,$L$24,$14:$14)+100)/100</f>
        <v>1</v>
      </c>
      <c r="N450" s="2782"/>
      <c r="O450" s="478" t="n">
        <f aca="false">(SUMIF($15:$15,N450,$16:$16)-SUMIF($15:$15,$N$24,$16:$16)+100)/100</f>
        <v>1</v>
      </c>
      <c r="P450" s="2782"/>
      <c r="Q450" s="478" t="n">
        <f aca="false">(SUMIF($17:$17,P450,$18:$18)-SUMIF($17:$17,$P$24,$18:$18)+100)/100</f>
        <v>1</v>
      </c>
      <c r="R450" s="2772" t="n">
        <f aca="false">IF(B450="",0,ROUND($R$24*C450*E450*G450*I450*K450*M450*O450*Q450,0))</f>
        <v>0</v>
      </c>
      <c r="S450" s="2771" t="n">
        <f aca="false">ROUND(R450*B450/10000,0)</f>
        <v>0</v>
      </c>
    </row>
    <row r="451" customFormat="false" ht="12.75" hidden="false" customHeight="false" outlineLevel="0" collapsed="false">
      <c r="A451" s="1016"/>
      <c r="B451" s="2781"/>
      <c r="C451" s="478" t="n">
        <f aca="false">IF(B451="",1,(LOOKUP(B451,$3:$3,$4:$4)-LOOKUP($B$24,$3:$3,$4:$4)+100)/100)</f>
        <v>1</v>
      </c>
      <c r="D451" s="2782"/>
      <c r="E451" s="478" t="n">
        <f aca="false">(SUMIF($5:$5,D451,$6:$6)-SUMIF($5:$5,$D$24,$6:$6)+100)/100</f>
        <v>1</v>
      </c>
      <c r="F451" s="2782"/>
      <c r="G451" s="478" t="n">
        <f aca="false">(SUMIF($7:$7,F451,$8:$8)-SUMIF($7:$7,$F$24,$8:$8)+100)/100</f>
        <v>1</v>
      </c>
      <c r="H451" s="2782"/>
      <c r="I451" s="478" t="n">
        <f aca="false">(SUMIF($9:$9,H451,$10:$10)-SUMIF($9:$9,$H$24,$10:$10)+100)/100</f>
        <v>1</v>
      </c>
      <c r="J451" s="2782"/>
      <c r="K451" s="478" t="n">
        <f aca="false">(SUMIF($11:$11,J451,$12:$12)-SUMIF($11:$11,$J$24,$12:$12)+100)/100</f>
        <v>1</v>
      </c>
      <c r="L451" s="2782"/>
      <c r="M451" s="478" t="n">
        <f aca="false">(SUMIF($13:$13,L451,$14:$14)-SUMIF($13:$13,$L$24,$14:$14)+100)/100</f>
        <v>1</v>
      </c>
      <c r="N451" s="2782"/>
      <c r="O451" s="478" t="n">
        <f aca="false">(SUMIF($15:$15,N451,$16:$16)-SUMIF($15:$15,$N$24,$16:$16)+100)/100</f>
        <v>1</v>
      </c>
      <c r="P451" s="2782"/>
      <c r="Q451" s="478" t="n">
        <f aca="false">(SUMIF($17:$17,P451,$18:$18)-SUMIF($17:$17,$P$24,$18:$18)+100)/100</f>
        <v>1</v>
      </c>
      <c r="R451" s="2772" t="n">
        <f aca="false">IF(B451="",0,ROUND($R$24*C451*E451*G451*I451*K451*M451*O451*Q451,0))</f>
        <v>0</v>
      </c>
      <c r="S451" s="2771" t="n">
        <f aca="false">ROUND(R451*B451/10000,0)</f>
        <v>0</v>
      </c>
    </row>
    <row r="452" customFormat="false" ht="12.75" hidden="false" customHeight="false" outlineLevel="0" collapsed="false">
      <c r="A452" s="1016"/>
      <c r="B452" s="2781"/>
      <c r="C452" s="478" t="n">
        <f aca="false">IF(B452="",1,(LOOKUP(B452,$3:$3,$4:$4)-LOOKUP($B$24,$3:$3,$4:$4)+100)/100)</f>
        <v>1</v>
      </c>
      <c r="D452" s="2782"/>
      <c r="E452" s="478" t="n">
        <f aca="false">(SUMIF($5:$5,D452,$6:$6)-SUMIF($5:$5,$D$24,$6:$6)+100)/100</f>
        <v>1</v>
      </c>
      <c r="F452" s="2782"/>
      <c r="G452" s="478" t="n">
        <f aca="false">(SUMIF($7:$7,F452,$8:$8)-SUMIF($7:$7,$F$24,$8:$8)+100)/100</f>
        <v>1</v>
      </c>
      <c r="H452" s="2782"/>
      <c r="I452" s="478" t="n">
        <f aca="false">(SUMIF($9:$9,H452,$10:$10)-SUMIF($9:$9,$H$24,$10:$10)+100)/100</f>
        <v>1</v>
      </c>
      <c r="J452" s="2782"/>
      <c r="K452" s="478" t="n">
        <f aca="false">(SUMIF($11:$11,J452,$12:$12)-SUMIF($11:$11,$J$24,$12:$12)+100)/100</f>
        <v>1</v>
      </c>
      <c r="L452" s="2782"/>
      <c r="M452" s="478" t="n">
        <f aca="false">(SUMIF($13:$13,L452,$14:$14)-SUMIF($13:$13,$L$24,$14:$14)+100)/100</f>
        <v>1</v>
      </c>
      <c r="N452" s="2782"/>
      <c r="O452" s="478" t="n">
        <f aca="false">(SUMIF($15:$15,N452,$16:$16)-SUMIF($15:$15,$N$24,$16:$16)+100)/100</f>
        <v>1</v>
      </c>
      <c r="P452" s="2782"/>
      <c r="Q452" s="478" t="n">
        <f aca="false">(SUMIF($17:$17,P452,$18:$18)-SUMIF($17:$17,$P$24,$18:$18)+100)/100</f>
        <v>1</v>
      </c>
      <c r="R452" s="2772" t="n">
        <f aca="false">IF(B452="",0,ROUND($R$24*C452*E452*G452*I452*K452*M452*O452*Q452,0))</f>
        <v>0</v>
      </c>
      <c r="S452" s="2771" t="n">
        <f aca="false">ROUND(R452*B452/10000,0)</f>
        <v>0</v>
      </c>
    </row>
    <row r="453" customFormat="false" ht="12.75" hidden="false" customHeight="false" outlineLevel="0" collapsed="false">
      <c r="A453" s="1016"/>
      <c r="B453" s="2781"/>
      <c r="C453" s="478" t="n">
        <f aca="false">IF(B453="",1,(LOOKUP(B453,$3:$3,$4:$4)-LOOKUP($B$24,$3:$3,$4:$4)+100)/100)</f>
        <v>1</v>
      </c>
      <c r="D453" s="2782"/>
      <c r="E453" s="478" t="n">
        <f aca="false">(SUMIF($5:$5,D453,$6:$6)-SUMIF($5:$5,$D$24,$6:$6)+100)/100</f>
        <v>1</v>
      </c>
      <c r="F453" s="2782"/>
      <c r="G453" s="478" t="n">
        <f aca="false">(SUMIF($7:$7,F453,$8:$8)-SUMIF($7:$7,$F$24,$8:$8)+100)/100</f>
        <v>1</v>
      </c>
      <c r="H453" s="2782"/>
      <c r="I453" s="478" t="n">
        <f aca="false">(SUMIF($9:$9,H453,$10:$10)-SUMIF($9:$9,$H$24,$10:$10)+100)/100</f>
        <v>1</v>
      </c>
      <c r="J453" s="2782"/>
      <c r="K453" s="478" t="n">
        <f aca="false">(SUMIF($11:$11,J453,$12:$12)-SUMIF($11:$11,$J$24,$12:$12)+100)/100</f>
        <v>1</v>
      </c>
      <c r="L453" s="2782"/>
      <c r="M453" s="478" t="n">
        <f aca="false">(SUMIF($13:$13,L453,$14:$14)-SUMIF($13:$13,$L$24,$14:$14)+100)/100</f>
        <v>1</v>
      </c>
      <c r="N453" s="2782"/>
      <c r="O453" s="478" t="n">
        <f aca="false">(SUMIF($15:$15,N453,$16:$16)-SUMIF($15:$15,$N$24,$16:$16)+100)/100</f>
        <v>1</v>
      </c>
      <c r="P453" s="2782"/>
      <c r="Q453" s="478" t="n">
        <f aca="false">(SUMIF($17:$17,P453,$18:$18)-SUMIF($17:$17,$P$24,$18:$18)+100)/100</f>
        <v>1</v>
      </c>
      <c r="R453" s="2772" t="n">
        <f aca="false">IF(B453="",0,ROUND($R$24*C453*E453*G453*I453*K453*M453*O453*Q453,0))</f>
        <v>0</v>
      </c>
      <c r="S453" s="2771" t="n">
        <f aca="false">ROUND(R453*B453/10000,0)</f>
        <v>0</v>
      </c>
    </row>
    <row r="454" customFormat="false" ht="12.75" hidden="false" customHeight="false" outlineLevel="0" collapsed="false">
      <c r="A454" s="1016"/>
      <c r="B454" s="2781"/>
      <c r="C454" s="478" t="n">
        <f aca="false">IF(B454="",1,(LOOKUP(B454,$3:$3,$4:$4)-LOOKUP($B$24,$3:$3,$4:$4)+100)/100)</f>
        <v>1</v>
      </c>
      <c r="D454" s="2782"/>
      <c r="E454" s="478" t="n">
        <f aca="false">(SUMIF($5:$5,D454,$6:$6)-SUMIF($5:$5,$D$24,$6:$6)+100)/100</f>
        <v>1</v>
      </c>
      <c r="F454" s="2782"/>
      <c r="G454" s="478" t="n">
        <f aca="false">(SUMIF($7:$7,F454,$8:$8)-SUMIF($7:$7,$F$24,$8:$8)+100)/100</f>
        <v>1</v>
      </c>
      <c r="H454" s="2782"/>
      <c r="I454" s="478" t="n">
        <f aca="false">(SUMIF($9:$9,H454,$10:$10)-SUMIF($9:$9,$H$24,$10:$10)+100)/100</f>
        <v>1</v>
      </c>
      <c r="J454" s="2782"/>
      <c r="K454" s="478" t="n">
        <f aca="false">(SUMIF($11:$11,J454,$12:$12)-SUMIF($11:$11,$J$24,$12:$12)+100)/100</f>
        <v>1</v>
      </c>
      <c r="L454" s="2782"/>
      <c r="M454" s="478" t="n">
        <f aca="false">(SUMIF($13:$13,L454,$14:$14)-SUMIF($13:$13,$L$24,$14:$14)+100)/100</f>
        <v>1</v>
      </c>
      <c r="N454" s="2782"/>
      <c r="O454" s="478" t="n">
        <f aca="false">(SUMIF($15:$15,N454,$16:$16)-SUMIF($15:$15,$N$24,$16:$16)+100)/100</f>
        <v>1</v>
      </c>
      <c r="P454" s="2782"/>
      <c r="Q454" s="478" t="n">
        <f aca="false">(SUMIF($17:$17,P454,$18:$18)-SUMIF($17:$17,$P$24,$18:$18)+100)/100</f>
        <v>1</v>
      </c>
      <c r="R454" s="2772" t="n">
        <f aca="false">IF(B454="",0,ROUND($R$24*C454*E454*G454*I454*K454*M454*O454*Q454,0))</f>
        <v>0</v>
      </c>
      <c r="S454" s="2771" t="n">
        <f aca="false">ROUND(R454*B454/10000,0)</f>
        <v>0</v>
      </c>
    </row>
    <row r="455" customFormat="false" ht="12.75" hidden="false" customHeight="false" outlineLevel="0" collapsed="false">
      <c r="A455" s="1016"/>
      <c r="B455" s="2781"/>
      <c r="C455" s="478" t="n">
        <f aca="false">IF(B455="",1,(LOOKUP(B455,$3:$3,$4:$4)-LOOKUP($B$24,$3:$3,$4:$4)+100)/100)</f>
        <v>1</v>
      </c>
      <c r="D455" s="2782"/>
      <c r="E455" s="478" t="n">
        <f aca="false">(SUMIF($5:$5,D455,$6:$6)-SUMIF($5:$5,$D$24,$6:$6)+100)/100</f>
        <v>1</v>
      </c>
      <c r="F455" s="2782"/>
      <c r="G455" s="478" t="n">
        <f aca="false">(SUMIF($7:$7,F455,$8:$8)-SUMIF($7:$7,$F$24,$8:$8)+100)/100</f>
        <v>1</v>
      </c>
      <c r="H455" s="2782"/>
      <c r="I455" s="478" t="n">
        <f aca="false">(SUMIF($9:$9,H455,$10:$10)-SUMIF($9:$9,$H$24,$10:$10)+100)/100</f>
        <v>1</v>
      </c>
      <c r="J455" s="2782"/>
      <c r="K455" s="478" t="n">
        <f aca="false">(SUMIF($11:$11,J455,$12:$12)-SUMIF($11:$11,$J$24,$12:$12)+100)/100</f>
        <v>1</v>
      </c>
      <c r="L455" s="2782"/>
      <c r="M455" s="478" t="n">
        <f aca="false">(SUMIF($13:$13,L455,$14:$14)-SUMIF($13:$13,$L$24,$14:$14)+100)/100</f>
        <v>1</v>
      </c>
      <c r="N455" s="2782"/>
      <c r="O455" s="478" t="n">
        <f aca="false">(SUMIF($15:$15,N455,$16:$16)-SUMIF($15:$15,$N$24,$16:$16)+100)/100</f>
        <v>1</v>
      </c>
      <c r="P455" s="2782"/>
      <c r="Q455" s="478" t="n">
        <f aca="false">(SUMIF($17:$17,P455,$18:$18)-SUMIF($17:$17,$P$24,$18:$18)+100)/100</f>
        <v>1</v>
      </c>
      <c r="R455" s="2772" t="n">
        <f aca="false">IF(B455="",0,ROUND($R$24*C455*E455*G455*I455*K455*M455*O455*Q455,0))</f>
        <v>0</v>
      </c>
      <c r="S455" s="2771" t="n">
        <f aca="false">ROUND(R455*B455/10000,0)</f>
        <v>0</v>
      </c>
    </row>
    <row r="456" customFormat="false" ht="12.75" hidden="false" customHeight="false" outlineLevel="0" collapsed="false">
      <c r="A456" s="1016"/>
      <c r="B456" s="2781"/>
      <c r="C456" s="478" t="n">
        <f aca="false">IF(B456="",1,(LOOKUP(B456,$3:$3,$4:$4)-LOOKUP($B$24,$3:$3,$4:$4)+100)/100)</f>
        <v>1</v>
      </c>
      <c r="D456" s="2782"/>
      <c r="E456" s="478" t="n">
        <f aca="false">(SUMIF($5:$5,D456,$6:$6)-SUMIF($5:$5,$D$24,$6:$6)+100)/100</f>
        <v>1</v>
      </c>
      <c r="F456" s="2782"/>
      <c r="G456" s="478" t="n">
        <f aca="false">(SUMIF($7:$7,F456,$8:$8)-SUMIF($7:$7,$F$24,$8:$8)+100)/100</f>
        <v>1</v>
      </c>
      <c r="H456" s="2782"/>
      <c r="I456" s="478" t="n">
        <f aca="false">(SUMIF($9:$9,H456,$10:$10)-SUMIF($9:$9,$H$24,$10:$10)+100)/100</f>
        <v>1</v>
      </c>
      <c r="J456" s="2782"/>
      <c r="K456" s="478" t="n">
        <f aca="false">(SUMIF($11:$11,J456,$12:$12)-SUMIF($11:$11,$J$24,$12:$12)+100)/100</f>
        <v>1</v>
      </c>
      <c r="L456" s="2782"/>
      <c r="M456" s="478" t="n">
        <f aca="false">(SUMIF($13:$13,L456,$14:$14)-SUMIF($13:$13,$L$24,$14:$14)+100)/100</f>
        <v>1</v>
      </c>
      <c r="N456" s="2782"/>
      <c r="O456" s="478" t="n">
        <f aca="false">(SUMIF($15:$15,N456,$16:$16)-SUMIF($15:$15,$N$24,$16:$16)+100)/100</f>
        <v>1</v>
      </c>
      <c r="P456" s="2782"/>
      <c r="Q456" s="478" t="n">
        <f aca="false">(SUMIF($17:$17,P456,$18:$18)-SUMIF($17:$17,$P$24,$18:$18)+100)/100</f>
        <v>1</v>
      </c>
      <c r="R456" s="2772" t="n">
        <f aca="false">IF(B456="",0,ROUND($R$24*C456*E456*G456*I456*K456*M456*O456*Q456,0))</f>
        <v>0</v>
      </c>
      <c r="S456" s="2771" t="n">
        <f aca="false">ROUND(R456*B456/10000,0)</f>
        <v>0</v>
      </c>
    </row>
    <row r="457" customFormat="false" ht="12.75" hidden="false" customHeight="false" outlineLevel="0" collapsed="false">
      <c r="A457" s="1016"/>
      <c r="B457" s="2781"/>
      <c r="C457" s="478" t="n">
        <f aca="false">IF(B457="",1,(LOOKUP(B457,$3:$3,$4:$4)-LOOKUP($B$24,$3:$3,$4:$4)+100)/100)</f>
        <v>1</v>
      </c>
      <c r="D457" s="2782"/>
      <c r="E457" s="478" t="n">
        <f aca="false">(SUMIF($5:$5,D457,$6:$6)-SUMIF($5:$5,$D$24,$6:$6)+100)/100</f>
        <v>1</v>
      </c>
      <c r="F457" s="2782"/>
      <c r="G457" s="478" t="n">
        <f aca="false">(SUMIF($7:$7,F457,$8:$8)-SUMIF($7:$7,$F$24,$8:$8)+100)/100</f>
        <v>1</v>
      </c>
      <c r="H457" s="2782"/>
      <c r="I457" s="478" t="n">
        <f aca="false">(SUMIF($9:$9,H457,$10:$10)-SUMIF($9:$9,$H$24,$10:$10)+100)/100</f>
        <v>1</v>
      </c>
      <c r="J457" s="2782"/>
      <c r="K457" s="478" t="n">
        <f aca="false">(SUMIF($11:$11,J457,$12:$12)-SUMIF($11:$11,$J$24,$12:$12)+100)/100</f>
        <v>1</v>
      </c>
      <c r="L457" s="2782"/>
      <c r="M457" s="478" t="n">
        <f aca="false">(SUMIF($13:$13,L457,$14:$14)-SUMIF($13:$13,$L$24,$14:$14)+100)/100</f>
        <v>1</v>
      </c>
      <c r="N457" s="2782"/>
      <c r="O457" s="478" t="n">
        <f aca="false">(SUMIF($15:$15,N457,$16:$16)-SUMIF($15:$15,$N$24,$16:$16)+100)/100</f>
        <v>1</v>
      </c>
      <c r="P457" s="2782"/>
      <c r="Q457" s="478" t="n">
        <f aca="false">(SUMIF($17:$17,P457,$18:$18)-SUMIF($17:$17,$P$24,$18:$18)+100)/100</f>
        <v>1</v>
      </c>
      <c r="R457" s="2772" t="n">
        <f aca="false">IF(B457="",0,ROUND($R$24*C457*E457*G457*I457*K457*M457*O457*Q457,0))</f>
        <v>0</v>
      </c>
      <c r="S457" s="2771" t="n">
        <f aca="false">ROUND(R457*B457/10000,0)</f>
        <v>0</v>
      </c>
    </row>
    <row r="458" customFormat="false" ht="12.75" hidden="false" customHeight="false" outlineLevel="0" collapsed="false">
      <c r="A458" s="1016"/>
      <c r="B458" s="2781"/>
      <c r="C458" s="478" t="n">
        <f aca="false">IF(B458="",1,(LOOKUP(B458,$3:$3,$4:$4)-LOOKUP($B$24,$3:$3,$4:$4)+100)/100)</f>
        <v>1</v>
      </c>
      <c r="D458" s="2782"/>
      <c r="E458" s="478" t="n">
        <f aca="false">(SUMIF($5:$5,D458,$6:$6)-SUMIF($5:$5,$D$24,$6:$6)+100)/100</f>
        <v>1</v>
      </c>
      <c r="F458" s="2782"/>
      <c r="G458" s="478" t="n">
        <f aca="false">(SUMIF($7:$7,F458,$8:$8)-SUMIF($7:$7,$F$24,$8:$8)+100)/100</f>
        <v>1</v>
      </c>
      <c r="H458" s="2782"/>
      <c r="I458" s="478" t="n">
        <f aca="false">(SUMIF($9:$9,H458,$10:$10)-SUMIF($9:$9,$H$24,$10:$10)+100)/100</f>
        <v>1</v>
      </c>
      <c r="J458" s="2782"/>
      <c r="K458" s="478" t="n">
        <f aca="false">(SUMIF($11:$11,J458,$12:$12)-SUMIF($11:$11,$J$24,$12:$12)+100)/100</f>
        <v>1</v>
      </c>
      <c r="L458" s="2782"/>
      <c r="M458" s="478" t="n">
        <f aca="false">(SUMIF($13:$13,L458,$14:$14)-SUMIF($13:$13,$L$24,$14:$14)+100)/100</f>
        <v>1</v>
      </c>
      <c r="N458" s="2782"/>
      <c r="O458" s="478" t="n">
        <f aca="false">(SUMIF($15:$15,N458,$16:$16)-SUMIF($15:$15,$N$24,$16:$16)+100)/100</f>
        <v>1</v>
      </c>
      <c r="P458" s="2782"/>
      <c r="Q458" s="478" t="n">
        <f aca="false">(SUMIF($17:$17,P458,$18:$18)-SUMIF($17:$17,$P$24,$18:$18)+100)/100</f>
        <v>1</v>
      </c>
      <c r="R458" s="2772" t="n">
        <f aca="false">IF(B458="",0,ROUND($R$24*C458*E458*G458*I458*K458*M458*O458*Q458,0))</f>
        <v>0</v>
      </c>
      <c r="S458" s="2771" t="n">
        <f aca="false">ROUND(R458*B458/10000,0)</f>
        <v>0</v>
      </c>
    </row>
    <row r="459" customFormat="false" ht="12.75" hidden="false" customHeight="false" outlineLevel="0" collapsed="false">
      <c r="A459" s="1016"/>
      <c r="B459" s="2781"/>
      <c r="C459" s="478" t="n">
        <f aca="false">IF(B459="",1,(LOOKUP(B459,$3:$3,$4:$4)-LOOKUP($B$24,$3:$3,$4:$4)+100)/100)</f>
        <v>1</v>
      </c>
      <c r="D459" s="2782"/>
      <c r="E459" s="478" t="n">
        <f aca="false">(SUMIF($5:$5,D459,$6:$6)-SUMIF($5:$5,$D$24,$6:$6)+100)/100</f>
        <v>1</v>
      </c>
      <c r="F459" s="2782"/>
      <c r="G459" s="478" t="n">
        <f aca="false">(SUMIF($7:$7,F459,$8:$8)-SUMIF($7:$7,$F$24,$8:$8)+100)/100</f>
        <v>1</v>
      </c>
      <c r="H459" s="2782"/>
      <c r="I459" s="478" t="n">
        <f aca="false">(SUMIF($9:$9,H459,$10:$10)-SUMIF($9:$9,$H$24,$10:$10)+100)/100</f>
        <v>1</v>
      </c>
      <c r="J459" s="2782"/>
      <c r="K459" s="478" t="n">
        <f aca="false">(SUMIF($11:$11,J459,$12:$12)-SUMIF($11:$11,$J$24,$12:$12)+100)/100</f>
        <v>1</v>
      </c>
      <c r="L459" s="2782"/>
      <c r="M459" s="478" t="n">
        <f aca="false">(SUMIF($13:$13,L459,$14:$14)-SUMIF($13:$13,$L$24,$14:$14)+100)/100</f>
        <v>1</v>
      </c>
      <c r="N459" s="2782"/>
      <c r="O459" s="478" t="n">
        <f aca="false">(SUMIF($15:$15,N459,$16:$16)-SUMIF($15:$15,$N$24,$16:$16)+100)/100</f>
        <v>1</v>
      </c>
      <c r="P459" s="2782"/>
      <c r="Q459" s="478" t="n">
        <f aca="false">(SUMIF($17:$17,P459,$18:$18)-SUMIF($17:$17,$P$24,$18:$18)+100)/100</f>
        <v>1</v>
      </c>
      <c r="R459" s="2772" t="n">
        <f aca="false">IF(B459="",0,ROUND($R$24*C459*E459*G459*I459*K459*M459*O459*Q459,0))</f>
        <v>0</v>
      </c>
      <c r="S459" s="2771" t="n">
        <f aca="false">ROUND(R459*B459/10000,0)</f>
        <v>0</v>
      </c>
    </row>
    <row r="460" customFormat="false" ht="12.75" hidden="false" customHeight="false" outlineLevel="0" collapsed="false">
      <c r="A460" s="1016"/>
      <c r="B460" s="2781"/>
      <c r="C460" s="478" t="n">
        <f aca="false">IF(B460="",1,(LOOKUP(B460,$3:$3,$4:$4)-LOOKUP($B$24,$3:$3,$4:$4)+100)/100)</f>
        <v>1</v>
      </c>
      <c r="D460" s="2782"/>
      <c r="E460" s="478" t="n">
        <f aca="false">(SUMIF($5:$5,D460,$6:$6)-SUMIF($5:$5,$D$24,$6:$6)+100)/100</f>
        <v>1</v>
      </c>
      <c r="F460" s="2782"/>
      <c r="G460" s="478" t="n">
        <f aca="false">(SUMIF($7:$7,F460,$8:$8)-SUMIF($7:$7,$F$24,$8:$8)+100)/100</f>
        <v>1</v>
      </c>
      <c r="H460" s="2782"/>
      <c r="I460" s="478" t="n">
        <f aca="false">(SUMIF($9:$9,H460,$10:$10)-SUMIF($9:$9,$H$24,$10:$10)+100)/100</f>
        <v>1</v>
      </c>
      <c r="J460" s="2782"/>
      <c r="K460" s="478" t="n">
        <f aca="false">(SUMIF($11:$11,J460,$12:$12)-SUMIF($11:$11,$J$24,$12:$12)+100)/100</f>
        <v>1</v>
      </c>
      <c r="L460" s="2782"/>
      <c r="M460" s="478" t="n">
        <f aca="false">(SUMIF($13:$13,L460,$14:$14)-SUMIF($13:$13,$L$24,$14:$14)+100)/100</f>
        <v>1</v>
      </c>
      <c r="N460" s="2782"/>
      <c r="O460" s="478" t="n">
        <f aca="false">(SUMIF($15:$15,N460,$16:$16)-SUMIF($15:$15,$N$24,$16:$16)+100)/100</f>
        <v>1</v>
      </c>
      <c r="P460" s="2782"/>
      <c r="Q460" s="478" t="n">
        <f aca="false">(SUMIF($17:$17,P460,$18:$18)-SUMIF($17:$17,$P$24,$18:$18)+100)/100</f>
        <v>1</v>
      </c>
      <c r="R460" s="2772" t="n">
        <f aca="false">IF(B460="",0,ROUND($R$24*C460*E460*G460*I460*K460*M460*O460*Q460,0))</f>
        <v>0</v>
      </c>
      <c r="S460" s="2771" t="n">
        <f aca="false">ROUND(R460*B460/10000,0)</f>
        <v>0</v>
      </c>
    </row>
    <row r="461" customFormat="false" ht="12.75" hidden="false" customHeight="false" outlineLevel="0" collapsed="false">
      <c r="A461" s="1016"/>
      <c r="B461" s="2781"/>
      <c r="C461" s="478" t="n">
        <f aca="false">IF(B461="",1,(LOOKUP(B461,$3:$3,$4:$4)-LOOKUP($B$24,$3:$3,$4:$4)+100)/100)</f>
        <v>1</v>
      </c>
      <c r="D461" s="2782"/>
      <c r="E461" s="478" t="n">
        <f aca="false">(SUMIF($5:$5,D461,$6:$6)-SUMIF($5:$5,$D$24,$6:$6)+100)/100</f>
        <v>1</v>
      </c>
      <c r="F461" s="2782"/>
      <c r="G461" s="478" t="n">
        <f aca="false">(SUMIF($7:$7,F461,$8:$8)-SUMIF($7:$7,$F$24,$8:$8)+100)/100</f>
        <v>1</v>
      </c>
      <c r="H461" s="2782"/>
      <c r="I461" s="478" t="n">
        <f aca="false">(SUMIF($9:$9,H461,$10:$10)-SUMIF($9:$9,$H$24,$10:$10)+100)/100</f>
        <v>1</v>
      </c>
      <c r="J461" s="2782"/>
      <c r="K461" s="478" t="n">
        <f aca="false">(SUMIF($11:$11,J461,$12:$12)-SUMIF($11:$11,$J$24,$12:$12)+100)/100</f>
        <v>1</v>
      </c>
      <c r="L461" s="2782"/>
      <c r="M461" s="478" t="n">
        <f aca="false">(SUMIF($13:$13,L461,$14:$14)-SUMIF($13:$13,$L$24,$14:$14)+100)/100</f>
        <v>1</v>
      </c>
      <c r="N461" s="2782"/>
      <c r="O461" s="478" t="n">
        <f aca="false">(SUMIF($15:$15,N461,$16:$16)-SUMIF($15:$15,$N$24,$16:$16)+100)/100</f>
        <v>1</v>
      </c>
      <c r="P461" s="2782"/>
      <c r="Q461" s="478" t="n">
        <f aca="false">(SUMIF($17:$17,P461,$18:$18)-SUMIF($17:$17,$P$24,$18:$18)+100)/100</f>
        <v>1</v>
      </c>
      <c r="R461" s="2772" t="n">
        <f aca="false">IF(B461="",0,ROUND($R$24*C461*E461*G461*I461*K461*M461*O461*Q461,0))</f>
        <v>0</v>
      </c>
      <c r="S461" s="2771" t="n">
        <f aca="false">ROUND(R461*B461/10000,0)</f>
        <v>0</v>
      </c>
    </row>
    <row r="462" customFormat="false" ht="12.75" hidden="false" customHeight="false" outlineLevel="0" collapsed="false">
      <c r="A462" s="1016"/>
      <c r="B462" s="2781"/>
      <c r="C462" s="478" t="n">
        <f aca="false">IF(B462="",1,(LOOKUP(B462,$3:$3,$4:$4)-LOOKUP($B$24,$3:$3,$4:$4)+100)/100)</f>
        <v>1</v>
      </c>
      <c r="D462" s="2782"/>
      <c r="E462" s="478" t="n">
        <f aca="false">(SUMIF($5:$5,D462,$6:$6)-SUMIF($5:$5,$D$24,$6:$6)+100)/100</f>
        <v>1</v>
      </c>
      <c r="F462" s="2782"/>
      <c r="G462" s="478" t="n">
        <f aca="false">(SUMIF($7:$7,F462,$8:$8)-SUMIF($7:$7,$F$24,$8:$8)+100)/100</f>
        <v>1</v>
      </c>
      <c r="H462" s="2782"/>
      <c r="I462" s="478" t="n">
        <f aca="false">(SUMIF($9:$9,H462,$10:$10)-SUMIF($9:$9,$H$24,$10:$10)+100)/100</f>
        <v>1</v>
      </c>
      <c r="J462" s="2782"/>
      <c r="K462" s="478" t="n">
        <f aca="false">(SUMIF($11:$11,J462,$12:$12)-SUMIF($11:$11,$J$24,$12:$12)+100)/100</f>
        <v>1</v>
      </c>
      <c r="L462" s="2782"/>
      <c r="M462" s="478" t="n">
        <f aca="false">(SUMIF($13:$13,L462,$14:$14)-SUMIF($13:$13,$L$24,$14:$14)+100)/100</f>
        <v>1</v>
      </c>
      <c r="N462" s="2782"/>
      <c r="O462" s="478" t="n">
        <f aca="false">(SUMIF($15:$15,N462,$16:$16)-SUMIF($15:$15,$N$24,$16:$16)+100)/100</f>
        <v>1</v>
      </c>
      <c r="P462" s="2782"/>
      <c r="Q462" s="478" t="n">
        <f aca="false">(SUMIF($17:$17,P462,$18:$18)-SUMIF($17:$17,$P$24,$18:$18)+100)/100</f>
        <v>1</v>
      </c>
      <c r="R462" s="2772" t="n">
        <f aca="false">IF(B462="",0,ROUND($R$24*C462*E462*G462*I462*K462*M462*O462*Q462,0))</f>
        <v>0</v>
      </c>
      <c r="S462" s="2771" t="n">
        <f aca="false">ROUND(R462*B462/10000,0)</f>
        <v>0</v>
      </c>
    </row>
    <row r="463" customFormat="false" ht="12.75" hidden="false" customHeight="false" outlineLevel="0" collapsed="false">
      <c r="A463" s="1016"/>
      <c r="B463" s="2781"/>
      <c r="C463" s="478" t="n">
        <f aca="false">IF(B463="",1,(LOOKUP(B463,$3:$3,$4:$4)-LOOKUP($B$24,$3:$3,$4:$4)+100)/100)</f>
        <v>1</v>
      </c>
      <c r="D463" s="2782"/>
      <c r="E463" s="478" t="n">
        <f aca="false">(SUMIF($5:$5,D463,$6:$6)-SUMIF($5:$5,$D$24,$6:$6)+100)/100</f>
        <v>1</v>
      </c>
      <c r="F463" s="2782"/>
      <c r="G463" s="478" t="n">
        <f aca="false">(SUMIF($7:$7,F463,$8:$8)-SUMIF($7:$7,$F$24,$8:$8)+100)/100</f>
        <v>1</v>
      </c>
      <c r="H463" s="2782"/>
      <c r="I463" s="478" t="n">
        <f aca="false">(SUMIF($9:$9,H463,$10:$10)-SUMIF($9:$9,$H$24,$10:$10)+100)/100</f>
        <v>1</v>
      </c>
      <c r="J463" s="2782"/>
      <c r="K463" s="478" t="n">
        <f aca="false">(SUMIF($11:$11,J463,$12:$12)-SUMIF($11:$11,$J$24,$12:$12)+100)/100</f>
        <v>1</v>
      </c>
      <c r="L463" s="2782"/>
      <c r="M463" s="478" t="n">
        <f aca="false">(SUMIF($13:$13,L463,$14:$14)-SUMIF($13:$13,$L$24,$14:$14)+100)/100</f>
        <v>1</v>
      </c>
      <c r="N463" s="2782"/>
      <c r="O463" s="478" t="n">
        <f aca="false">(SUMIF($15:$15,N463,$16:$16)-SUMIF($15:$15,$N$24,$16:$16)+100)/100</f>
        <v>1</v>
      </c>
      <c r="P463" s="2782"/>
      <c r="Q463" s="478" t="n">
        <f aca="false">(SUMIF($17:$17,P463,$18:$18)-SUMIF($17:$17,$P$24,$18:$18)+100)/100</f>
        <v>1</v>
      </c>
      <c r="R463" s="2772" t="n">
        <f aca="false">IF(B463="",0,ROUND($R$24*C463*E463*G463*I463*K463*M463*O463*Q463,0))</f>
        <v>0</v>
      </c>
      <c r="S463" s="2771" t="n">
        <f aca="false">ROUND(R463*B463/10000,0)</f>
        <v>0</v>
      </c>
    </row>
    <row r="464" customFormat="false" ht="12.75" hidden="false" customHeight="false" outlineLevel="0" collapsed="false">
      <c r="A464" s="1016"/>
      <c r="B464" s="2781"/>
      <c r="C464" s="478" t="n">
        <f aca="false">IF(B464="",1,(LOOKUP(B464,$3:$3,$4:$4)-LOOKUP($B$24,$3:$3,$4:$4)+100)/100)</f>
        <v>1</v>
      </c>
      <c r="D464" s="2782"/>
      <c r="E464" s="478" t="n">
        <f aca="false">(SUMIF($5:$5,D464,$6:$6)-SUMIF($5:$5,$D$24,$6:$6)+100)/100</f>
        <v>1</v>
      </c>
      <c r="F464" s="2782"/>
      <c r="G464" s="478" t="n">
        <f aca="false">(SUMIF($7:$7,F464,$8:$8)-SUMIF($7:$7,$F$24,$8:$8)+100)/100</f>
        <v>1</v>
      </c>
      <c r="H464" s="2782"/>
      <c r="I464" s="478" t="n">
        <f aca="false">(SUMIF($9:$9,H464,$10:$10)-SUMIF($9:$9,$H$24,$10:$10)+100)/100</f>
        <v>1</v>
      </c>
      <c r="J464" s="2782"/>
      <c r="K464" s="478" t="n">
        <f aca="false">(SUMIF($11:$11,J464,$12:$12)-SUMIF($11:$11,$J$24,$12:$12)+100)/100</f>
        <v>1</v>
      </c>
      <c r="L464" s="2782"/>
      <c r="M464" s="478" t="n">
        <f aca="false">(SUMIF($13:$13,L464,$14:$14)-SUMIF($13:$13,$L$24,$14:$14)+100)/100</f>
        <v>1</v>
      </c>
      <c r="N464" s="2782"/>
      <c r="O464" s="478" t="n">
        <f aca="false">(SUMIF($15:$15,N464,$16:$16)-SUMIF($15:$15,$N$24,$16:$16)+100)/100</f>
        <v>1</v>
      </c>
      <c r="P464" s="2782"/>
      <c r="Q464" s="478" t="n">
        <f aca="false">(SUMIF($17:$17,P464,$18:$18)-SUMIF($17:$17,$P$24,$18:$18)+100)/100</f>
        <v>1</v>
      </c>
      <c r="R464" s="2772" t="n">
        <f aca="false">IF(B464="",0,ROUND($R$24*C464*E464*G464*I464*K464*M464*O464*Q464,0))</f>
        <v>0</v>
      </c>
      <c r="S464" s="2771" t="n">
        <f aca="false">ROUND(R464*B464/10000,0)</f>
        <v>0</v>
      </c>
    </row>
    <row r="465" customFormat="false" ht="12.75" hidden="false" customHeight="false" outlineLevel="0" collapsed="false">
      <c r="A465" s="1016"/>
      <c r="B465" s="2781"/>
      <c r="C465" s="478" t="n">
        <f aca="false">IF(B465="",1,(LOOKUP(B465,$3:$3,$4:$4)-LOOKUP($B$24,$3:$3,$4:$4)+100)/100)</f>
        <v>1</v>
      </c>
      <c r="D465" s="2782"/>
      <c r="E465" s="478" t="n">
        <f aca="false">(SUMIF($5:$5,D465,$6:$6)-SUMIF($5:$5,$D$24,$6:$6)+100)/100</f>
        <v>1</v>
      </c>
      <c r="F465" s="2782"/>
      <c r="G465" s="478" t="n">
        <f aca="false">(SUMIF($7:$7,F465,$8:$8)-SUMIF($7:$7,$F$24,$8:$8)+100)/100</f>
        <v>1</v>
      </c>
      <c r="H465" s="2782"/>
      <c r="I465" s="478" t="n">
        <f aca="false">(SUMIF($9:$9,H465,$10:$10)-SUMIF($9:$9,$H$24,$10:$10)+100)/100</f>
        <v>1</v>
      </c>
      <c r="J465" s="2782"/>
      <c r="K465" s="478" t="n">
        <f aca="false">(SUMIF($11:$11,J465,$12:$12)-SUMIF($11:$11,$J$24,$12:$12)+100)/100</f>
        <v>1</v>
      </c>
      <c r="L465" s="2782"/>
      <c r="M465" s="478" t="n">
        <f aca="false">(SUMIF($13:$13,L465,$14:$14)-SUMIF($13:$13,$L$24,$14:$14)+100)/100</f>
        <v>1</v>
      </c>
      <c r="N465" s="2782"/>
      <c r="O465" s="478" t="n">
        <f aca="false">(SUMIF($15:$15,N465,$16:$16)-SUMIF($15:$15,$N$24,$16:$16)+100)/100</f>
        <v>1</v>
      </c>
      <c r="P465" s="2782"/>
      <c r="Q465" s="478" t="n">
        <f aca="false">(SUMIF($17:$17,P465,$18:$18)-SUMIF($17:$17,$P$24,$18:$18)+100)/100</f>
        <v>1</v>
      </c>
      <c r="R465" s="2772" t="n">
        <f aca="false">IF(B465="",0,ROUND($R$24*C465*E465*G465*I465*K465*M465*O465*Q465,0))</f>
        <v>0</v>
      </c>
      <c r="S465" s="2771" t="n">
        <f aca="false">ROUND(R465*B465/10000,0)</f>
        <v>0</v>
      </c>
    </row>
    <row r="466" customFormat="false" ht="12.75" hidden="false" customHeight="false" outlineLevel="0" collapsed="false">
      <c r="A466" s="1016"/>
      <c r="B466" s="2781"/>
      <c r="C466" s="478" t="n">
        <f aca="false">IF(B466="",1,(LOOKUP(B466,$3:$3,$4:$4)-LOOKUP($B$24,$3:$3,$4:$4)+100)/100)</f>
        <v>1</v>
      </c>
      <c r="D466" s="2782"/>
      <c r="E466" s="478" t="n">
        <f aca="false">(SUMIF($5:$5,D466,$6:$6)-SUMIF($5:$5,$D$24,$6:$6)+100)/100</f>
        <v>1</v>
      </c>
      <c r="F466" s="2782"/>
      <c r="G466" s="478" t="n">
        <f aca="false">(SUMIF($7:$7,F466,$8:$8)-SUMIF($7:$7,$F$24,$8:$8)+100)/100</f>
        <v>1</v>
      </c>
      <c r="H466" s="2782"/>
      <c r="I466" s="478" t="n">
        <f aca="false">(SUMIF($9:$9,H466,$10:$10)-SUMIF($9:$9,$H$24,$10:$10)+100)/100</f>
        <v>1</v>
      </c>
      <c r="J466" s="2782"/>
      <c r="K466" s="478" t="n">
        <f aca="false">(SUMIF($11:$11,J466,$12:$12)-SUMIF($11:$11,$J$24,$12:$12)+100)/100</f>
        <v>1</v>
      </c>
      <c r="L466" s="2782"/>
      <c r="M466" s="478" t="n">
        <f aca="false">(SUMIF($13:$13,L466,$14:$14)-SUMIF($13:$13,$L$24,$14:$14)+100)/100</f>
        <v>1</v>
      </c>
      <c r="N466" s="2782"/>
      <c r="O466" s="478" t="n">
        <f aca="false">(SUMIF($15:$15,N466,$16:$16)-SUMIF($15:$15,$N$24,$16:$16)+100)/100</f>
        <v>1</v>
      </c>
      <c r="P466" s="2782"/>
      <c r="Q466" s="478" t="n">
        <f aca="false">(SUMIF($17:$17,P466,$18:$18)-SUMIF($17:$17,$P$24,$18:$18)+100)/100</f>
        <v>1</v>
      </c>
      <c r="R466" s="2772" t="n">
        <f aca="false">IF(B466="",0,ROUND($R$24*C466*E466*G466*I466*K466*M466*O466*Q466,0))</f>
        <v>0</v>
      </c>
      <c r="S466" s="2771" t="n">
        <f aca="false">ROUND(R466*B466/10000,0)</f>
        <v>0</v>
      </c>
    </row>
    <row r="467" customFormat="false" ht="12.75" hidden="false" customHeight="false" outlineLevel="0" collapsed="false">
      <c r="A467" s="1016"/>
      <c r="B467" s="2781"/>
      <c r="C467" s="478" t="n">
        <f aca="false">IF(B467="",1,(LOOKUP(B467,$3:$3,$4:$4)-LOOKUP($B$24,$3:$3,$4:$4)+100)/100)</f>
        <v>1</v>
      </c>
      <c r="D467" s="2782"/>
      <c r="E467" s="478" t="n">
        <f aca="false">(SUMIF($5:$5,D467,$6:$6)-SUMIF($5:$5,$D$24,$6:$6)+100)/100</f>
        <v>1</v>
      </c>
      <c r="F467" s="2782"/>
      <c r="G467" s="478" t="n">
        <f aca="false">(SUMIF($7:$7,F467,$8:$8)-SUMIF($7:$7,$F$24,$8:$8)+100)/100</f>
        <v>1</v>
      </c>
      <c r="H467" s="2782"/>
      <c r="I467" s="478" t="n">
        <f aca="false">(SUMIF($9:$9,H467,$10:$10)-SUMIF($9:$9,$H$24,$10:$10)+100)/100</f>
        <v>1</v>
      </c>
      <c r="J467" s="2782"/>
      <c r="K467" s="478" t="n">
        <f aca="false">(SUMIF($11:$11,J467,$12:$12)-SUMIF($11:$11,$J$24,$12:$12)+100)/100</f>
        <v>1</v>
      </c>
      <c r="L467" s="2782"/>
      <c r="M467" s="478" t="n">
        <f aca="false">(SUMIF($13:$13,L467,$14:$14)-SUMIF($13:$13,$L$24,$14:$14)+100)/100</f>
        <v>1</v>
      </c>
      <c r="N467" s="2782"/>
      <c r="O467" s="478" t="n">
        <f aca="false">(SUMIF($15:$15,N467,$16:$16)-SUMIF($15:$15,$N$24,$16:$16)+100)/100</f>
        <v>1</v>
      </c>
      <c r="P467" s="2782"/>
      <c r="Q467" s="478" t="n">
        <f aca="false">(SUMIF($17:$17,P467,$18:$18)-SUMIF($17:$17,$P$24,$18:$18)+100)/100</f>
        <v>1</v>
      </c>
      <c r="R467" s="2772" t="n">
        <f aca="false">IF(B467="",0,ROUND($R$24*C467*E467*G467*I467*K467*M467*O467*Q467,0))</f>
        <v>0</v>
      </c>
      <c r="S467" s="2771" t="n">
        <f aca="false">ROUND(R467*B467/10000,0)</f>
        <v>0</v>
      </c>
    </row>
    <row r="468" customFormat="false" ht="12.75" hidden="false" customHeight="false" outlineLevel="0" collapsed="false">
      <c r="A468" s="1016"/>
      <c r="B468" s="2781"/>
      <c r="C468" s="478" t="n">
        <f aca="false">IF(B468="",1,(LOOKUP(B468,$3:$3,$4:$4)-LOOKUP($B$24,$3:$3,$4:$4)+100)/100)</f>
        <v>1</v>
      </c>
      <c r="D468" s="2782"/>
      <c r="E468" s="478" t="n">
        <f aca="false">(SUMIF($5:$5,D468,$6:$6)-SUMIF($5:$5,$D$24,$6:$6)+100)/100</f>
        <v>1</v>
      </c>
      <c r="F468" s="2782"/>
      <c r="G468" s="478" t="n">
        <f aca="false">(SUMIF($7:$7,F468,$8:$8)-SUMIF($7:$7,$F$24,$8:$8)+100)/100</f>
        <v>1</v>
      </c>
      <c r="H468" s="2782"/>
      <c r="I468" s="478" t="n">
        <f aca="false">(SUMIF($9:$9,H468,$10:$10)-SUMIF($9:$9,$H$24,$10:$10)+100)/100</f>
        <v>1</v>
      </c>
      <c r="J468" s="2782"/>
      <c r="K468" s="478" t="n">
        <f aca="false">(SUMIF($11:$11,J468,$12:$12)-SUMIF($11:$11,$J$24,$12:$12)+100)/100</f>
        <v>1</v>
      </c>
      <c r="L468" s="2782"/>
      <c r="M468" s="478" t="n">
        <f aca="false">(SUMIF($13:$13,L468,$14:$14)-SUMIF($13:$13,$L$24,$14:$14)+100)/100</f>
        <v>1</v>
      </c>
      <c r="N468" s="2782"/>
      <c r="O468" s="478" t="n">
        <f aca="false">(SUMIF($15:$15,N468,$16:$16)-SUMIF($15:$15,$N$24,$16:$16)+100)/100</f>
        <v>1</v>
      </c>
      <c r="P468" s="2782"/>
      <c r="Q468" s="478" t="n">
        <f aca="false">(SUMIF($17:$17,P468,$18:$18)-SUMIF($17:$17,$P$24,$18:$18)+100)/100</f>
        <v>1</v>
      </c>
      <c r="R468" s="2772" t="n">
        <f aca="false">IF(B468="",0,ROUND($R$24*C468*E468*G468*I468*K468*M468*O468*Q468,0))</f>
        <v>0</v>
      </c>
      <c r="S468" s="2771" t="n">
        <f aca="false">ROUND(R468*B468/10000,0)</f>
        <v>0</v>
      </c>
    </row>
    <row r="469" customFormat="false" ht="12.75" hidden="false" customHeight="false" outlineLevel="0" collapsed="false">
      <c r="A469" s="1016"/>
      <c r="B469" s="2781"/>
      <c r="C469" s="478" t="n">
        <f aca="false">IF(B469="",1,(LOOKUP(B469,$3:$3,$4:$4)-LOOKUP($B$24,$3:$3,$4:$4)+100)/100)</f>
        <v>1</v>
      </c>
      <c r="D469" s="2782"/>
      <c r="E469" s="478" t="n">
        <f aca="false">(SUMIF($5:$5,D469,$6:$6)-SUMIF($5:$5,$D$24,$6:$6)+100)/100</f>
        <v>1</v>
      </c>
      <c r="F469" s="2782"/>
      <c r="G469" s="478" t="n">
        <f aca="false">(SUMIF($7:$7,F469,$8:$8)-SUMIF($7:$7,$F$24,$8:$8)+100)/100</f>
        <v>1</v>
      </c>
      <c r="H469" s="2782"/>
      <c r="I469" s="478" t="n">
        <f aca="false">(SUMIF($9:$9,H469,$10:$10)-SUMIF($9:$9,$H$24,$10:$10)+100)/100</f>
        <v>1</v>
      </c>
      <c r="J469" s="2782"/>
      <c r="K469" s="478" t="n">
        <f aca="false">(SUMIF($11:$11,J469,$12:$12)-SUMIF($11:$11,$J$24,$12:$12)+100)/100</f>
        <v>1</v>
      </c>
      <c r="L469" s="2782"/>
      <c r="M469" s="478" t="n">
        <f aca="false">(SUMIF($13:$13,L469,$14:$14)-SUMIF($13:$13,$L$24,$14:$14)+100)/100</f>
        <v>1</v>
      </c>
      <c r="N469" s="2782"/>
      <c r="O469" s="478" t="n">
        <f aca="false">(SUMIF($15:$15,N469,$16:$16)-SUMIF($15:$15,$N$24,$16:$16)+100)/100</f>
        <v>1</v>
      </c>
      <c r="P469" s="2782"/>
      <c r="Q469" s="478" t="n">
        <f aca="false">(SUMIF($17:$17,P469,$18:$18)-SUMIF($17:$17,$P$24,$18:$18)+100)/100</f>
        <v>1</v>
      </c>
      <c r="R469" s="2772" t="n">
        <f aca="false">IF(B469="",0,ROUND($R$24*C469*E469*G469*I469*K469*M469*O469*Q469,0))</f>
        <v>0</v>
      </c>
      <c r="S469" s="2771" t="n">
        <f aca="false">ROUND(R469*B469/10000,0)</f>
        <v>0</v>
      </c>
    </row>
    <row r="470" customFormat="false" ht="12.75" hidden="false" customHeight="false" outlineLevel="0" collapsed="false">
      <c r="A470" s="1016"/>
      <c r="B470" s="2781"/>
      <c r="C470" s="478" t="n">
        <f aca="false">IF(B470="",1,(LOOKUP(B470,$3:$3,$4:$4)-LOOKUP($B$24,$3:$3,$4:$4)+100)/100)</f>
        <v>1</v>
      </c>
      <c r="D470" s="2782"/>
      <c r="E470" s="478" t="n">
        <f aca="false">(SUMIF($5:$5,D470,$6:$6)-SUMIF($5:$5,$D$24,$6:$6)+100)/100</f>
        <v>1</v>
      </c>
      <c r="F470" s="2782"/>
      <c r="G470" s="478" t="n">
        <f aca="false">(SUMIF($7:$7,F470,$8:$8)-SUMIF($7:$7,$F$24,$8:$8)+100)/100</f>
        <v>1</v>
      </c>
      <c r="H470" s="2782"/>
      <c r="I470" s="478" t="n">
        <f aca="false">(SUMIF($9:$9,H470,$10:$10)-SUMIF($9:$9,$H$24,$10:$10)+100)/100</f>
        <v>1</v>
      </c>
      <c r="J470" s="2782"/>
      <c r="K470" s="478" t="n">
        <f aca="false">(SUMIF($11:$11,J470,$12:$12)-SUMIF($11:$11,$J$24,$12:$12)+100)/100</f>
        <v>1</v>
      </c>
      <c r="L470" s="2782"/>
      <c r="M470" s="478" t="n">
        <f aca="false">(SUMIF($13:$13,L470,$14:$14)-SUMIF($13:$13,$L$24,$14:$14)+100)/100</f>
        <v>1</v>
      </c>
      <c r="N470" s="2782"/>
      <c r="O470" s="478" t="n">
        <f aca="false">(SUMIF($15:$15,N470,$16:$16)-SUMIF($15:$15,$N$24,$16:$16)+100)/100</f>
        <v>1</v>
      </c>
      <c r="P470" s="2782"/>
      <c r="Q470" s="478" t="n">
        <f aca="false">(SUMIF($17:$17,P470,$18:$18)-SUMIF($17:$17,$P$24,$18:$18)+100)/100</f>
        <v>1</v>
      </c>
      <c r="R470" s="2772" t="n">
        <f aca="false">IF(B470="",0,ROUND($R$24*C470*E470*G470*I470*K470*M470*O470*Q470,0))</f>
        <v>0</v>
      </c>
      <c r="S470" s="2771" t="n">
        <f aca="false">ROUND(R470*B470/10000,0)</f>
        <v>0</v>
      </c>
    </row>
    <row r="471" customFormat="false" ht="12.75" hidden="false" customHeight="false" outlineLevel="0" collapsed="false">
      <c r="A471" s="1016"/>
      <c r="B471" s="2781"/>
      <c r="C471" s="478" t="n">
        <f aca="false">IF(B471="",1,(LOOKUP(B471,$3:$3,$4:$4)-LOOKUP($B$24,$3:$3,$4:$4)+100)/100)</f>
        <v>1</v>
      </c>
      <c r="D471" s="2782"/>
      <c r="E471" s="478" t="n">
        <f aca="false">(SUMIF($5:$5,D471,$6:$6)-SUMIF($5:$5,$D$24,$6:$6)+100)/100</f>
        <v>1</v>
      </c>
      <c r="F471" s="2782"/>
      <c r="G471" s="478" t="n">
        <f aca="false">(SUMIF($7:$7,F471,$8:$8)-SUMIF($7:$7,$F$24,$8:$8)+100)/100</f>
        <v>1</v>
      </c>
      <c r="H471" s="2782"/>
      <c r="I471" s="478" t="n">
        <f aca="false">(SUMIF($9:$9,H471,$10:$10)-SUMIF($9:$9,$H$24,$10:$10)+100)/100</f>
        <v>1</v>
      </c>
      <c r="J471" s="2782"/>
      <c r="K471" s="478" t="n">
        <f aca="false">(SUMIF($11:$11,J471,$12:$12)-SUMIF($11:$11,$J$24,$12:$12)+100)/100</f>
        <v>1</v>
      </c>
      <c r="L471" s="2782"/>
      <c r="M471" s="478" t="n">
        <f aca="false">(SUMIF($13:$13,L471,$14:$14)-SUMIF($13:$13,$L$24,$14:$14)+100)/100</f>
        <v>1</v>
      </c>
      <c r="N471" s="2782"/>
      <c r="O471" s="478" t="n">
        <f aca="false">(SUMIF($15:$15,N471,$16:$16)-SUMIF($15:$15,$N$24,$16:$16)+100)/100</f>
        <v>1</v>
      </c>
      <c r="P471" s="2782"/>
      <c r="Q471" s="478" t="n">
        <f aca="false">(SUMIF($17:$17,P471,$18:$18)-SUMIF($17:$17,$P$24,$18:$18)+100)/100</f>
        <v>1</v>
      </c>
      <c r="R471" s="2772" t="n">
        <f aca="false">IF(B471="",0,ROUND($R$24*C471*E471*G471*I471*K471*M471*O471*Q471,0))</f>
        <v>0</v>
      </c>
      <c r="S471" s="2771" t="n">
        <f aca="false">ROUND(R471*B471/10000,0)</f>
        <v>0</v>
      </c>
    </row>
    <row r="472" customFormat="false" ht="12.75" hidden="false" customHeight="false" outlineLevel="0" collapsed="false">
      <c r="A472" s="1016"/>
      <c r="B472" s="2781"/>
      <c r="C472" s="478" t="n">
        <f aca="false">IF(B472="",1,(LOOKUP(B472,$3:$3,$4:$4)-LOOKUP($B$24,$3:$3,$4:$4)+100)/100)</f>
        <v>1</v>
      </c>
      <c r="D472" s="2782"/>
      <c r="E472" s="478" t="n">
        <f aca="false">(SUMIF($5:$5,D472,$6:$6)-SUMIF($5:$5,$D$24,$6:$6)+100)/100</f>
        <v>1</v>
      </c>
      <c r="F472" s="2782"/>
      <c r="G472" s="478" t="n">
        <f aca="false">(SUMIF($7:$7,F472,$8:$8)-SUMIF($7:$7,$F$24,$8:$8)+100)/100</f>
        <v>1</v>
      </c>
      <c r="H472" s="2782"/>
      <c r="I472" s="478" t="n">
        <f aca="false">(SUMIF($9:$9,H472,$10:$10)-SUMIF($9:$9,$H$24,$10:$10)+100)/100</f>
        <v>1</v>
      </c>
      <c r="J472" s="2782"/>
      <c r="K472" s="478" t="n">
        <f aca="false">(SUMIF($11:$11,J472,$12:$12)-SUMIF($11:$11,$J$24,$12:$12)+100)/100</f>
        <v>1</v>
      </c>
      <c r="L472" s="2782"/>
      <c r="M472" s="478" t="n">
        <f aca="false">(SUMIF($13:$13,L472,$14:$14)-SUMIF($13:$13,$L$24,$14:$14)+100)/100</f>
        <v>1</v>
      </c>
      <c r="N472" s="2782"/>
      <c r="O472" s="478" t="n">
        <f aca="false">(SUMIF($15:$15,N472,$16:$16)-SUMIF($15:$15,$N$24,$16:$16)+100)/100</f>
        <v>1</v>
      </c>
      <c r="P472" s="2782"/>
      <c r="Q472" s="478" t="n">
        <f aca="false">(SUMIF($17:$17,P472,$18:$18)-SUMIF($17:$17,$P$24,$18:$18)+100)/100</f>
        <v>1</v>
      </c>
      <c r="R472" s="2772" t="n">
        <f aca="false">IF(B472="",0,ROUND($R$24*C472*E472*G472*I472*K472*M472*O472*Q472,0))</f>
        <v>0</v>
      </c>
      <c r="S472" s="2771" t="n">
        <f aca="false">ROUND(R472*B472/10000,0)</f>
        <v>0</v>
      </c>
    </row>
    <row r="473" customFormat="false" ht="12.75" hidden="false" customHeight="false" outlineLevel="0" collapsed="false">
      <c r="A473" s="1016"/>
      <c r="B473" s="2781"/>
      <c r="C473" s="478" t="n">
        <f aca="false">IF(B473="",1,(LOOKUP(B473,$3:$3,$4:$4)-LOOKUP($B$24,$3:$3,$4:$4)+100)/100)</f>
        <v>1</v>
      </c>
      <c r="D473" s="2782"/>
      <c r="E473" s="478" t="n">
        <f aca="false">(SUMIF($5:$5,D473,$6:$6)-SUMIF($5:$5,$D$24,$6:$6)+100)/100</f>
        <v>1</v>
      </c>
      <c r="F473" s="2782"/>
      <c r="G473" s="478" t="n">
        <f aca="false">(SUMIF($7:$7,F473,$8:$8)-SUMIF($7:$7,$F$24,$8:$8)+100)/100</f>
        <v>1</v>
      </c>
      <c r="H473" s="2782"/>
      <c r="I473" s="478" t="n">
        <f aca="false">(SUMIF($9:$9,H473,$10:$10)-SUMIF($9:$9,$H$24,$10:$10)+100)/100</f>
        <v>1</v>
      </c>
      <c r="J473" s="2782"/>
      <c r="K473" s="478" t="n">
        <f aca="false">(SUMIF($11:$11,J473,$12:$12)-SUMIF($11:$11,$J$24,$12:$12)+100)/100</f>
        <v>1</v>
      </c>
      <c r="L473" s="2782"/>
      <c r="M473" s="478" t="n">
        <f aca="false">(SUMIF($13:$13,L473,$14:$14)-SUMIF($13:$13,$L$24,$14:$14)+100)/100</f>
        <v>1</v>
      </c>
      <c r="N473" s="2782"/>
      <c r="O473" s="478" t="n">
        <f aca="false">(SUMIF($15:$15,N473,$16:$16)-SUMIF($15:$15,$N$24,$16:$16)+100)/100</f>
        <v>1</v>
      </c>
      <c r="P473" s="2782"/>
      <c r="Q473" s="478" t="n">
        <f aca="false">(SUMIF($17:$17,P473,$18:$18)-SUMIF($17:$17,$P$24,$18:$18)+100)/100</f>
        <v>1</v>
      </c>
      <c r="R473" s="2772" t="n">
        <f aca="false">IF(B473="",0,ROUND($R$24*C473*E473*G473*I473*K473*M473*O473*Q473,0))</f>
        <v>0</v>
      </c>
      <c r="S473" s="2771" t="n">
        <f aca="false">ROUND(R473*B473/10000,0)</f>
        <v>0</v>
      </c>
    </row>
    <row r="474" customFormat="false" ht="12.75" hidden="false" customHeight="false" outlineLevel="0" collapsed="false">
      <c r="A474" s="1016"/>
      <c r="B474" s="2781"/>
      <c r="C474" s="478" t="n">
        <f aca="false">IF(B474="",1,(LOOKUP(B474,$3:$3,$4:$4)-LOOKUP($B$24,$3:$3,$4:$4)+100)/100)</f>
        <v>1</v>
      </c>
      <c r="D474" s="2782"/>
      <c r="E474" s="478" t="n">
        <f aca="false">(SUMIF($5:$5,D474,$6:$6)-SUMIF($5:$5,$D$24,$6:$6)+100)/100</f>
        <v>1</v>
      </c>
      <c r="F474" s="2782"/>
      <c r="G474" s="478" t="n">
        <f aca="false">(SUMIF($7:$7,F474,$8:$8)-SUMIF($7:$7,$F$24,$8:$8)+100)/100</f>
        <v>1</v>
      </c>
      <c r="H474" s="2782"/>
      <c r="I474" s="478" t="n">
        <f aca="false">(SUMIF($9:$9,H474,$10:$10)-SUMIF($9:$9,$H$24,$10:$10)+100)/100</f>
        <v>1</v>
      </c>
      <c r="J474" s="2782"/>
      <c r="K474" s="478" t="n">
        <f aca="false">(SUMIF($11:$11,J474,$12:$12)-SUMIF($11:$11,$J$24,$12:$12)+100)/100</f>
        <v>1</v>
      </c>
      <c r="L474" s="2782"/>
      <c r="M474" s="478" t="n">
        <f aca="false">(SUMIF($13:$13,L474,$14:$14)-SUMIF($13:$13,$L$24,$14:$14)+100)/100</f>
        <v>1</v>
      </c>
      <c r="N474" s="2782"/>
      <c r="O474" s="478" t="n">
        <f aca="false">(SUMIF($15:$15,N474,$16:$16)-SUMIF($15:$15,$N$24,$16:$16)+100)/100</f>
        <v>1</v>
      </c>
      <c r="P474" s="2782"/>
      <c r="Q474" s="478" t="n">
        <f aca="false">(SUMIF($17:$17,P474,$18:$18)-SUMIF($17:$17,$P$24,$18:$18)+100)/100</f>
        <v>1</v>
      </c>
      <c r="R474" s="2772" t="n">
        <f aca="false">IF(B474="",0,ROUND($R$24*C474*E474*G474*I474*K474*M474*O474*Q474,0))</f>
        <v>0</v>
      </c>
      <c r="S474" s="2771" t="n">
        <f aca="false">ROUND(R474*B474/10000,0)</f>
        <v>0</v>
      </c>
    </row>
    <row r="475" customFormat="false" ht="12.75" hidden="false" customHeight="false" outlineLevel="0" collapsed="false">
      <c r="A475" s="1016"/>
      <c r="B475" s="2781"/>
      <c r="C475" s="478" t="n">
        <f aca="false">IF(B475="",1,(LOOKUP(B475,$3:$3,$4:$4)-LOOKUP($B$24,$3:$3,$4:$4)+100)/100)</f>
        <v>1</v>
      </c>
      <c r="D475" s="2782"/>
      <c r="E475" s="478" t="n">
        <f aca="false">(SUMIF($5:$5,D475,$6:$6)-SUMIF($5:$5,$D$24,$6:$6)+100)/100</f>
        <v>1</v>
      </c>
      <c r="F475" s="2782"/>
      <c r="G475" s="478" t="n">
        <f aca="false">(SUMIF($7:$7,F475,$8:$8)-SUMIF($7:$7,$F$24,$8:$8)+100)/100</f>
        <v>1</v>
      </c>
      <c r="H475" s="2782"/>
      <c r="I475" s="478" t="n">
        <f aca="false">(SUMIF($9:$9,H475,$10:$10)-SUMIF($9:$9,$H$24,$10:$10)+100)/100</f>
        <v>1</v>
      </c>
      <c r="J475" s="2782"/>
      <c r="K475" s="478" t="n">
        <f aca="false">(SUMIF($11:$11,J475,$12:$12)-SUMIF($11:$11,$J$24,$12:$12)+100)/100</f>
        <v>1</v>
      </c>
      <c r="L475" s="2782"/>
      <c r="M475" s="478" t="n">
        <f aca="false">(SUMIF($13:$13,L475,$14:$14)-SUMIF($13:$13,$L$24,$14:$14)+100)/100</f>
        <v>1</v>
      </c>
      <c r="N475" s="2782"/>
      <c r="O475" s="478" t="n">
        <f aca="false">(SUMIF($15:$15,N475,$16:$16)-SUMIF($15:$15,$N$24,$16:$16)+100)/100</f>
        <v>1</v>
      </c>
      <c r="P475" s="2782"/>
      <c r="Q475" s="478" t="n">
        <f aca="false">(SUMIF($17:$17,P475,$18:$18)-SUMIF($17:$17,$P$24,$18:$18)+100)/100</f>
        <v>1</v>
      </c>
      <c r="R475" s="2772" t="n">
        <f aca="false">IF(B475="",0,ROUND($R$24*C475*E475*G475*I475*K475*M475*O475*Q475,0))</f>
        <v>0</v>
      </c>
      <c r="S475" s="2771" t="n">
        <f aca="false">ROUND(R475*B475/10000,0)</f>
        <v>0</v>
      </c>
    </row>
    <row r="476" customFormat="false" ht="12.75" hidden="false" customHeight="false" outlineLevel="0" collapsed="false">
      <c r="A476" s="1016"/>
      <c r="B476" s="2781"/>
      <c r="C476" s="478" t="n">
        <f aca="false">IF(B476="",1,(LOOKUP(B476,$3:$3,$4:$4)-LOOKUP($B$24,$3:$3,$4:$4)+100)/100)</f>
        <v>1</v>
      </c>
      <c r="D476" s="2782"/>
      <c r="E476" s="478" t="n">
        <f aca="false">(SUMIF($5:$5,D476,$6:$6)-SUMIF($5:$5,$D$24,$6:$6)+100)/100</f>
        <v>1</v>
      </c>
      <c r="F476" s="2782"/>
      <c r="G476" s="478" t="n">
        <f aca="false">(SUMIF($7:$7,F476,$8:$8)-SUMIF($7:$7,$F$24,$8:$8)+100)/100</f>
        <v>1</v>
      </c>
      <c r="H476" s="2782"/>
      <c r="I476" s="478" t="n">
        <f aca="false">(SUMIF($9:$9,H476,$10:$10)-SUMIF($9:$9,$H$24,$10:$10)+100)/100</f>
        <v>1</v>
      </c>
      <c r="J476" s="2782"/>
      <c r="K476" s="478" t="n">
        <f aca="false">(SUMIF($11:$11,J476,$12:$12)-SUMIF($11:$11,$J$24,$12:$12)+100)/100</f>
        <v>1</v>
      </c>
      <c r="L476" s="2782"/>
      <c r="M476" s="478" t="n">
        <f aca="false">(SUMIF($13:$13,L476,$14:$14)-SUMIF($13:$13,$L$24,$14:$14)+100)/100</f>
        <v>1</v>
      </c>
      <c r="N476" s="2782"/>
      <c r="O476" s="478" t="n">
        <f aca="false">(SUMIF($15:$15,N476,$16:$16)-SUMIF($15:$15,$N$24,$16:$16)+100)/100</f>
        <v>1</v>
      </c>
      <c r="P476" s="2782"/>
      <c r="Q476" s="478" t="n">
        <f aca="false">(SUMIF($17:$17,P476,$18:$18)-SUMIF($17:$17,$P$24,$18:$18)+100)/100</f>
        <v>1</v>
      </c>
      <c r="R476" s="2772" t="n">
        <f aca="false">IF(B476="",0,ROUND($R$24*C476*E476*G476*I476*K476*M476*O476*Q476,0))</f>
        <v>0</v>
      </c>
      <c r="S476" s="2771" t="n">
        <f aca="false">ROUND(R476*B476/10000,0)</f>
        <v>0</v>
      </c>
    </row>
    <row r="477" customFormat="false" ht="12.75" hidden="false" customHeight="false" outlineLevel="0" collapsed="false">
      <c r="A477" s="1016"/>
      <c r="B477" s="2781"/>
      <c r="C477" s="478" t="n">
        <f aca="false">IF(B477="",1,(LOOKUP(B477,$3:$3,$4:$4)-LOOKUP($B$24,$3:$3,$4:$4)+100)/100)</f>
        <v>1</v>
      </c>
      <c r="D477" s="2782"/>
      <c r="E477" s="478" t="n">
        <f aca="false">(SUMIF($5:$5,D477,$6:$6)-SUMIF($5:$5,$D$24,$6:$6)+100)/100</f>
        <v>1</v>
      </c>
      <c r="F477" s="2782"/>
      <c r="G477" s="478" t="n">
        <f aca="false">(SUMIF($7:$7,F477,$8:$8)-SUMIF($7:$7,$F$24,$8:$8)+100)/100</f>
        <v>1</v>
      </c>
      <c r="H477" s="2782"/>
      <c r="I477" s="478" t="n">
        <f aca="false">(SUMIF($9:$9,H477,$10:$10)-SUMIF($9:$9,$H$24,$10:$10)+100)/100</f>
        <v>1</v>
      </c>
      <c r="J477" s="2782"/>
      <c r="K477" s="478" t="n">
        <f aca="false">(SUMIF($11:$11,J477,$12:$12)-SUMIF($11:$11,$J$24,$12:$12)+100)/100</f>
        <v>1</v>
      </c>
      <c r="L477" s="2782"/>
      <c r="M477" s="478" t="n">
        <f aca="false">(SUMIF($13:$13,L477,$14:$14)-SUMIF($13:$13,$L$24,$14:$14)+100)/100</f>
        <v>1</v>
      </c>
      <c r="N477" s="2782"/>
      <c r="O477" s="478" t="n">
        <f aca="false">(SUMIF($15:$15,N477,$16:$16)-SUMIF($15:$15,$N$24,$16:$16)+100)/100</f>
        <v>1</v>
      </c>
      <c r="P477" s="2782"/>
      <c r="Q477" s="478" t="n">
        <f aca="false">(SUMIF($17:$17,P477,$18:$18)-SUMIF($17:$17,$P$24,$18:$18)+100)/100</f>
        <v>1</v>
      </c>
      <c r="R477" s="2772" t="n">
        <f aca="false">IF(B477="",0,ROUND($R$24*C477*E477*G477*I477*K477*M477*O477*Q477,0))</f>
        <v>0</v>
      </c>
      <c r="S477" s="2771" t="n">
        <f aca="false">ROUND(R477*B477/10000,0)</f>
        <v>0</v>
      </c>
    </row>
    <row r="478" customFormat="false" ht="12.75" hidden="false" customHeight="false" outlineLevel="0" collapsed="false">
      <c r="A478" s="1016"/>
      <c r="B478" s="2781"/>
      <c r="C478" s="478" t="n">
        <f aca="false">IF(B478="",1,(LOOKUP(B478,$3:$3,$4:$4)-LOOKUP($B$24,$3:$3,$4:$4)+100)/100)</f>
        <v>1</v>
      </c>
      <c r="D478" s="2782"/>
      <c r="E478" s="478" t="n">
        <f aca="false">(SUMIF($5:$5,D478,$6:$6)-SUMIF($5:$5,$D$24,$6:$6)+100)/100</f>
        <v>1</v>
      </c>
      <c r="F478" s="2782"/>
      <c r="G478" s="478" t="n">
        <f aca="false">(SUMIF($7:$7,F478,$8:$8)-SUMIF($7:$7,$F$24,$8:$8)+100)/100</f>
        <v>1</v>
      </c>
      <c r="H478" s="2782"/>
      <c r="I478" s="478" t="n">
        <f aca="false">(SUMIF($9:$9,H478,$10:$10)-SUMIF($9:$9,$H$24,$10:$10)+100)/100</f>
        <v>1</v>
      </c>
      <c r="J478" s="2782"/>
      <c r="K478" s="478" t="n">
        <f aca="false">(SUMIF($11:$11,J478,$12:$12)-SUMIF($11:$11,$J$24,$12:$12)+100)/100</f>
        <v>1</v>
      </c>
      <c r="L478" s="2782"/>
      <c r="M478" s="478" t="n">
        <f aca="false">(SUMIF($13:$13,L478,$14:$14)-SUMIF($13:$13,$L$24,$14:$14)+100)/100</f>
        <v>1</v>
      </c>
      <c r="N478" s="2782"/>
      <c r="O478" s="478" t="n">
        <f aca="false">(SUMIF($15:$15,N478,$16:$16)-SUMIF($15:$15,$N$24,$16:$16)+100)/100</f>
        <v>1</v>
      </c>
      <c r="P478" s="2782"/>
      <c r="Q478" s="478" t="n">
        <f aca="false">(SUMIF($17:$17,P478,$18:$18)-SUMIF($17:$17,$P$24,$18:$18)+100)/100</f>
        <v>1</v>
      </c>
      <c r="R478" s="2772" t="n">
        <f aca="false">IF(B478="",0,ROUND($R$24*C478*E478*G478*I478*K478*M478*O478*Q478,0))</f>
        <v>0</v>
      </c>
      <c r="S478" s="2771" t="n">
        <f aca="false">ROUND(R478*B478/10000,0)</f>
        <v>0</v>
      </c>
    </row>
    <row r="479" customFormat="false" ht="12.75" hidden="false" customHeight="false" outlineLevel="0" collapsed="false">
      <c r="A479" s="1016"/>
      <c r="B479" s="2781"/>
      <c r="C479" s="478" t="n">
        <f aca="false">IF(B479="",1,(LOOKUP(B479,$3:$3,$4:$4)-LOOKUP($B$24,$3:$3,$4:$4)+100)/100)</f>
        <v>1</v>
      </c>
      <c r="D479" s="2782"/>
      <c r="E479" s="478" t="n">
        <f aca="false">(SUMIF($5:$5,D479,$6:$6)-SUMIF($5:$5,$D$24,$6:$6)+100)/100</f>
        <v>1</v>
      </c>
      <c r="F479" s="2782"/>
      <c r="G479" s="478" t="n">
        <f aca="false">(SUMIF($7:$7,F479,$8:$8)-SUMIF($7:$7,$F$24,$8:$8)+100)/100</f>
        <v>1</v>
      </c>
      <c r="H479" s="2782"/>
      <c r="I479" s="478" t="n">
        <f aca="false">(SUMIF($9:$9,H479,$10:$10)-SUMIF($9:$9,$H$24,$10:$10)+100)/100</f>
        <v>1</v>
      </c>
      <c r="J479" s="2782"/>
      <c r="K479" s="478" t="n">
        <f aca="false">(SUMIF($11:$11,J479,$12:$12)-SUMIF($11:$11,$J$24,$12:$12)+100)/100</f>
        <v>1</v>
      </c>
      <c r="L479" s="2782"/>
      <c r="M479" s="478" t="n">
        <f aca="false">(SUMIF($13:$13,L479,$14:$14)-SUMIF($13:$13,$L$24,$14:$14)+100)/100</f>
        <v>1</v>
      </c>
      <c r="N479" s="2782"/>
      <c r="O479" s="478" t="n">
        <f aca="false">(SUMIF($15:$15,N479,$16:$16)-SUMIF($15:$15,$N$24,$16:$16)+100)/100</f>
        <v>1</v>
      </c>
      <c r="P479" s="2782"/>
      <c r="Q479" s="478" t="n">
        <f aca="false">(SUMIF($17:$17,P479,$18:$18)-SUMIF($17:$17,$P$24,$18:$18)+100)/100</f>
        <v>1</v>
      </c>
      <c r="R479" s="2772" t="n">
        <f aca="false">IF(B479="",0,ROUND($R$24*C479*E479*G479*I479*K479*M479*O479*Q479,0))</f>
        <v>0</v>
      </c>
      <c r="S479" s="2771" t="n">
        <f aca="false">ROUND(R479*B479/10000,0)</f>
        <v>0</v>
      </c>
    </row>
    <row r="480" customFormat="false" ht="12.75" hidden="false" customHeight="false" outlineLevel="0" collapsed="false">
      <c r="A480" s="1016"/>
      <c r="B480" s="2781"/>
      <c r="C480" s="478" t="n">
        <f aca="false">IF(B480="",1,(LOOKUP(B480,$3:$3,$4:$4)-LOOKUP($B$24,$3:$3,$4:$4)+100)/100)</f>
        <v>1</v>
      </c>
      <c r="D480" s="2782"/>
      <c r="E480" s="478" t="n">
        <f aca="false">(SUMIF($5:$5,D480,$6:$6)-SUMIF($5:$5,$D$24,$6:$6)+100)/100</f>
        <v>1</v>
      </c>
      <c r="F480" s="2782"/>
      <c r="G480" s="478" t="n">
        <f aca="false">(SUMIF($7:$7,F480,$8:$8)-SUMIF($7:$7,$F$24,$8:$8)+100)/100</f>
        <v>1</v>
      </c>
      <c r="H480" s="2782"/>
      <c r="I480" s="478" t="n">
        <f aca="false">(SUMIF($9:$9,H480,$10:$10)-SUMIF($9:$9,$H$24,$10:$10)+100)/100</f>
        <v>1</v>
      </c>
      <c r="J480" s="2782"/>
      <c r="K480" s="478" t="n">
        <f aca="false">(SUMIF($11:$11,J480,$12:$12)-SUMIF($11:$11,$J$24,$12:$12)+100)/100</f>
        <v>1</v>
      </c>
      <c r="L480" s="2782"/>
      <c r="M480" s="478" t="n">
        <f aca="false">(SUMIF($13:$13,L480,$14:$14)-SUMIF($13:$13,$L$24,$14:$14)+100)/100</f>
        <v>1</v>
      </c>
      <c r="N480" s="2782"/>
      <c r="O480" s="478" t="n">
        <f aca="false">(SUMIF($15:$15,N480,$16:$16)-SUMIF($15:$15,$N$24,$16:$16)+100)/100</f>
        <v>1</v>
      </c>
      <c r="P480" s="2782"/>
      <c r="Q480" s="478" t="n">
        <f aca="false">(SUMIF($17:$17,P480,$18:$18)-SUMIF($17:$17,$P$24,$18:$18)+100)/100</f>
        <v>1</v>
      </c>
      <c r="R480" s="2772" t="n">
        <f aca="false">IF(B480="",0,ROUND($R$24*C480*E480*G480*I480*K480*M480*O480*Q480,0))</f>
        <v>0</v>
      </c>
      <c r="S480" s="2771" t="n">
        <f aca="false">ROUND(R480*B480/10000,0)</f>
        <v>0</v>
      </c>
    </row>
    <row r="481" customFormat="false" ht="12.75" hidden="false" customHeight="false" outlineLevel="0" collapsed="false">
      <c r="A481" s="1016"/>
      <c r="B481" s="2781"/>
      <c r="C481" s="478" t="n">
        <f aca="false">IF(B481="",1,(LOOKUP(B481,$3:$3,$4:$4)-LOOKUP($B$24,$3:$3,$4:$4)+100)/100)</f>
        <v>1</v>
      </c>
      <c r="D481" s="2782"/>
      <c r="E481" s="478" t="n">
        <f aca="false">(SUMIF($5:$5,D481,$6:$6)-SUMIF($5:$5,$D$24,$6:$6)+100)/100</f>
        <v>1</v>
      </c>
      <c r="F481" s="2782"/>
      <c r="G481" s="478" t="n">
        <f aca="false">(SUMIF($7:$7,F481,$8:$8)-SUMIF($7:$7,$F$24,$8:$8)+100)/100</f>
        <v>1</v>
      </c>
      <c r="H481" s="2782"/>
      <c r="I481" s="478" t="n">
        <f aca="false">(SUMIF($9:$9,H481,$10:$10)-SUMIF($9:$9,$H$24,$10:$10)+100)/100</f>
        <v>1</v>
      </c>
      <c r="J481" s="2782"/>
      <c r="K481" s="478" t="n">
        <f aca="false">(SUMIF($11:$11,J481,$12:$12)-SUMIF($11:$11,$J$24,$12:$12)+100)/100</f>
        <v>1</v>
      </c>
      <c r="L481" s="2782"/>
      <c r="M481" s="478" t="n">
        <f aca="false">(SUMIF($13:$13,L481,$14:$14)-SUMIF($13:$13,$L$24,$14:$14)+100)/100</f>
        <v>1</v>
      </c>
      <c r="N481" s="2782"/>
      <c r="O481" s="478" t="n">
        <f aca="false">(SUMIF($15:$15,N481,$16:$16)-SUMIF($15:$15,$N$24,$16:$16)+100)/100</f>
        <v>1</v>
      </c>
      <c r="P481" s="2782"/>
      <c r="Q481" s="478" t="n">
        <f aca="false">(SUMIF($17:$17,P481,$18:$18)-SUMIF($17:$17,$P$24,$18:$18)+100)/100</f>
        <v>1</v>
      </c>
      <c r="R481" s="2772" t="n">
        <f aca="false">IF(B481="",0,ROUND($R$24*C481*E481*G481*I481*K481*M481*O481*Q481,0))</f>
        <v>0</v>
      </c>
      <c r="S481" s="2771" t="n">
        <f aca="false">ROUND(R481*B481/10000,0)</f>
        <v>0</v>
      </c>
    </row>
    <row r="482" customFormat="false" ht="12.75" hidden="false" customHeight="false" outlineLevel="0" collapsed="false">
      <c r="A482" s="1016"/>
      <c r="B482" s="2781"/>
      <c r="C482" s="478" t="n">
        <f aca="false">IF(B482="",1,(LOOKUP(B482,$3:$3,$4:$4)-LOOKUP($B$24,$3:$3,$4:$4)+100)/100)</f>
        <v>1</v>
      </c>
      <c r="D482" s="2782"/>
      <c r="E482" s="478" t="n">
        <f aca="false">(SUMIF($5:$5,D482,$6:$6)-SUMIF($5:$5,$D$24,$6:$6)+100)/100</f>
        <v>1</v>
      </c>
      <c r="F482" s="2782"/>
      <c r="G482" s="478" t="n">
        <f aca="false">(SUMIF($7:$7,F482,$8:$8)-SUMIF($7:$7,$F$24,$8:$8)+100)/100</f>
        <v>1</v>
      </c>
      <c r="H482" s="2782"/>
      <c r="I482" s="478" t="n">
        <f aca="false">(SUMIF($9:$9,H482,$10:$10)-SUMIF($9:$9,$H$24,$10:$10)+100)/100</f>
        <v>1</v>
      </c>
      <c r="J482" s="2782"/>
      <c r="K482" s="478" t="n">
        <f aca="false">(SUMIF($11:$11,J482,$12:$12)-SUMIF($11:$11,$J$24,$12:$12)+100)/100</f>
        <v>1</v>
      </c>
      <c r="L482" s="2782"/>
      <c r="M482" s="478" t="n">
        <f aca="false">(SUMIF($13:$13,L482,$14:$14)-SUMIF($13:$13,$L$24,$14:$14)+100)/100</f>
        <v>1</v>
      </c>
      <c r="N482" s="2782"/>
      <c r="O482" s="478" t="n">
        <f aca="false">(SUMIF($15:$15,N482,$16:$16)-SUMIF($15:$15,$N$24,$16:$16)+100)/100</f>
        <v>1</v>
      </c>
      <c r="P482" s="2782"/>
      <c r="Q482" s="478" t="n">
        <f aca="false">(SUMIF($17:$17,P482,$18:$18)-SUMIF($17:$17,$P$24,$18:$18)+100)/100</f>
        <v>1</v>
      </c>
      <c r="R482" s="2772" t="n">
        <f aca="false">IF(B482="",0,ROUND($R$24*C482*E482*G482*I482*K482*M482*O482*Q482,0))</f>
        <v>0</v>
      </c>
      <c r="S482" s="2771" t="n">
        <f aca="false">ROUND(R482*B482/10000,0)</f>
        <v>0</v>
      </c>
    </row>
    <row r="483" customFormat="false" ht="12.75" hidden="false" customHeight="false" outlineLevel="0" collapsed="false">
      <c r="A483" s="1016"/>
      <c r="B483" s="2781"/>
      <c r="C483" s="478" t="n">
        <f aca="false">IF(B483="",1,(LOOKUP(B483,$3:$3,$4:$4)-LOOKUP($B$24,$3:$3,$4:$4)+100)/100)</f>
        <v>1</v>
      </c>
      <c r="D483" s="2782"/>
      <c r="E483" s="478" t="n">
        <f aca="false">(SUMIF($5:$5,D483,$6:$6)-SUMIF($5:$5,$D$24,$6:$6)+100)/100</f>
        <v>1</v>
      </c>
      <c r="F483" s="2782"/>
      <c r="G483" s="478" t="n">
        <f aca="false">(SUMIF($7:$7,F483,$8:$8)-SUMIF($7:$7,$F$24,$8:$8)+100)/100</f>
        <v>1</v>
      </c>
      <c r="H483" s="2782"/>
      <c r="I483" s="478" t="n">
        <f aca="false">(SUMIF($9:$9,H483,$10:$10)-SUMIF($9:$9,$H$24,$10:$10)+100)/100</f>
        <v>1</v>
      </c>
      <c r="J483" s="2782"/>
      <c r="K483" s="478" t="n">
        <f aca="false">(SUMIF($11:$11,J483,$12:$12)-SUMIF($11:$11,$J$24,$12:$12)+100)/100</f>
        <v>1</v>
      </c>
      <c r="L483" s="2782"/>
      <c r="M483" s="478" t="n">
        <f aca="false">(SUMIF($13:$13,L483,$14:$14)-SUMIF($13:$13,$L$24,$14:$14)+100)/100</f>
        <v>1</v>
      </c>
      <c r="N483" s="2782"/>
      <c r="O483" s="478" t="n">
        <f aca="false">(SUMIF($15:$15,N483,$16:$16)-SUMIF($15:$15,$N$24,$16:$16)+100)/100</f>
        <v>1</v>
      </c>
      <c r="P483" s="2782"/>
      <c r="Q483" s="478" t="n">
        <f aca="false">(SUMIF($17:$17,P483,$18:$18)-SUMIF($17:$17,$P$24,$18:$18)+100)/100</f>
        <v>1</v>
      </c>
      <c r="R483" s="2772" t="n">
        <f aca="false">IF(B483="",0,ROUND($R$24*C483*E483*G483*I483*K483*M483*O483*Q483,0))</f>
        <v>0</v>
      </c>
      <c r="S483" s="2771" t="n">
        <f aca="false">ROUND(R483*B483/10000,0)</f>
        <v>0</v>
      </c>
    </row>
    <row r="484" customFormat="false" ht="12.75" hidden="false" customHeight="false" outlineLevel="0" collapsed="false">
      <c r="A484" s="1016"/>
      <c r="B484" s="2781"/>
      <c r="C484" s="478" t="n">
        <f aca="false">IF(B484="",1,(LOOKUP(B484,$3:$3,$4:$4)-LOOKUP($B$24,$3:$3,$4:$4)+100)/100)</f>
        <v>1</v>
      </c>
      <c r="D484" s="2782"/>
      <c r="E484" s="478" t="n">
        <f aca="false">(SUMIF($5:$5,D484,$6:$6)-SUMIF($5:$5,$D$24,$6:$6)+100)/100</f>
        <v>1</v>
      </c>
      <c r="F484" s="2782"/>
      <c r="G484" s="478" t="n">
        <f aca="false">(SUMIF($7:$7,F484,$8:$8)-SUMIF($7:$7,$F$24,$8:$8)+100)/100</f>
        <v>1</v>
      </c>
      <c r="H484" s="2782"/>
      <c r="I484" s="478" t="n">
        <f aca="false">(SUMIF($9:$9,H484,$10:$10)-SUMIF($9:$9,$H$24,$10:$10)+100)/100</f>
        <v>1</v>
      </c>
      <c r="J484" s="2782"/>
      <c r="K484" s="478" t="n">
        <f aca="false">(SUMIF($11:$11,J484,$12:$12)-SUMIF($11:$11,$J$24,$12:$12)+100)/100</f>
        <v>1</v>
      </c>
      <c r="L484" s="2782"/>
      <c r="M484" s="478" t="n">
        <f aca="false">(SUMIF($13:$13,L484,$14:$14)-SUMIF($13:$13,$L$24,$14:$14)+100)/100</f>
        <v>1</v>
      </c>
      <c r="N484" s="2782"/>
      <c r="O484" s="478" t="n">
        <f aca="false">(SUMIF($15:$15,N484,$16:$16)-SUMIF($15:$15,$N$24,$16:$16)+100)/100</f>
        <v>1</v>
      </c>
      <c r="P484" s="2782"/>
      <c r="Q484" s="478" t="n">
        <f aca="false">(SUMIF($17:$17,P484,$18:$18)-SUMIF($17:$17,$P$24,$18:$18)+100)/100</f>
        <v>1</v>
      </c>
      <c r="R484" s="2772" t="n">
        <f aca="false">IF(B484="",0,ROUND($R$24*C484*E484*G484*I484*K484*M484*O484*Q484,0))</f>
        <v>0</v>
      </c>
      <c r="S484" s="2771" t="n">
        <f aca="false">ROUND(R484*B484/10000,0)</f>
        <v>0</v>
      </c>
    </row>
    <row r="485" customFormat="false" ht="12.75" hidden="false" customHeight="false" outlineLevel="0" collapsed="false">
      <c r="A485" s="1016"/>
      <c r="B485" s="2781"/>
      <c r="C485" s="478" t="n">
        <f aca="false">IF(B485="",1,(LOOKUP(B485,$3:$3,$4:$4)-LOOKUP($B$24,$3:$3,$4:$4)+100)/100)</f>
        <v>1</v>
      </c>
      <c r="D485" s="2782"/>
      <c r="E485" s="478" t="n">
        <f aca="false">(SUMIF($5:$5,D485,$6:$6)-SUMIF($5:$5,$D$24,$6:$6)+100)/100</f>
        <v>1</v>
      </c>
      <c r="F485" s="2782"/>
      <c r="G485" s="478" t="n">
        <f aca="false">(SUMIF($7:$7,F485,$8:$8)-SUMIF($7:$7,$F$24,$8:$8)+100)/100</f>
        <v>1</v>
      </c>
      <c r="H485" s="2782"/>
      <c r="I485" s="478" t="n">
        <f aca="false">(SUMIF($9:$9,H485,$10:$10)-SUMIF($9:$9,$H$24,$10:$10)+100)/100</f>
        <v>1</v>
      </c>
      <c r="J485" s="2782"/>
      <c r="K485" s="478" t="n">
        <f aca="false">(SUMIF($11:$11,J485,$12:$12)-SUMIF($11:$11,$J$24,$12:$12)+100)/100</f>
        <v>1</v>
      </c>
      <c r="L485" s="2782"/>
      <c r="M485" s="478" t="n">
        <f aca="false">(SUMIF($13:$13,L485,$14:$14)-SUMIF($13:$13,$L$24,$14:$14)+100)/100</f>
        <v>1</v>
      </c>
      <c r="N485" s="2782"/>
      <c r="O485" s="478" t="n">
        <f aca="false">(SUMIF($15:$15,N485,$16:$16)-SUMIF($15:$15,$N$24,$16:$16)+100)/100</f>
        <v>1</v>
      </c>
      <c r="P485" s="2782"/>
      <c r="Q485" s="478" t="n">
        <f aca="false">(SUMIF($17:$17,P485,$18:$18)-SUMIF($17:$17,$P$24,$18:$18)+100)/100</f>
        <v>1</v>
      </c>
      <c r="R485" s="2772" t="n">
        <f aca="false">IF(B485="",0,ROUND($R$24*C485*E485*G485*I485*K485*M485*O485*Q485,0))</f>
        <v>0</v>
      </c>
      <c r="S485" s="2771" t="n">
        <f aca="false">ROUND(R485*B485/10000,0)</f>
        <v>0</v>
      </c>
    </row>
    <row r="486" customFormat="false" ht="12.75" hidden="false" customHeight="false" outlineLevel="0" collapsed="false">
      <c r="A486" s="1016"/>
      <c r="B486" s="2781"/>
      <c r="C486" s="478" t="n">
        <f aca="false">IF(B486="",1,(LOOKUP(B486,$3:$3,$4:$4)-LOOKUP($B$24,$3:$3,$4:$4)+100)/100)</f>
        <v>1</v>
      </c>
      <c r="D486" s="2782"/>
      <c r="E486" s="478" t="n">
        <f aca="false">(SUMIF($5:$5,D486,$6:$6)-SUMIF($5:$5,$D$24,$6:$6)+100)/100</f>
        <v>1</v>
      </c>
      <c r="F486" s="2782"/>
      <c r="G486" s="478" t="n">
        <f aca="false">(SUMIF($7:$7,F486,$8:$8)-SUMIF($7:$7,$F$24,$8:$8)+100)/100</f>
        <v>1</v>
      </c>
      <c r="H486" s="2782"/>
      <c r="I486" s="478" t="n">
        <f aca="false">(SUMIF($9:$9,H486,$10:$10)-SUMIF($9:$9,$H$24,$10:$10)+100)/100</f>
        <v>1</v>
      </c>
      <c r="J486" s="2782"/>
      <c r="K486" s="478" t="n">
        <f aca="false">(SUMIF($11:$11,J486,$12:$12)-SUMIF($11:$11,$J$24,$12:$12)+100)/100</f>
        <v>1</v>
      </c>
      <c r="L486" s="2782"/>
      <c r="M486" s="478" t="n">
        <f aca="false">(SUMIF($13:$13,L486,$14:$14)-SUMIF($13:$13,$L$24,$14:$14)+100)/100</f>
        <v>1</v>
      </c>
      <c r="N486" s="2782"/>
      <c r="O486" s="478" t="n">
        <f aca="false">(SUMIF($15:$15,N486,$16:$16)-SUMIF($15:$15,$N$24,$16:$16)+100)/100</f>
        <v>1</v>
      </c>
      <c r="P486" s="2782"/>
      <c r="Q486" s="478" t="n">
        <f aca="false">(SUMIF($17:$17,P486,$18:$18)-SUMIF($17:$17,$P$24,$18:$18)+100)/100</f>
        <v>1</v>
      </c>
      <c r="R486" s="2772" t="n">
        <f aca="false">IF(B486="",0,ROUND($R$24*C486*E486*G486*I486*K486*M486*O486*Q486,0))</f>
        <v>0</v>
      </c>
      <c r="S486" s="2771" t="n">
        <f aca="false">ROUND(R486*B486/10000,0)</f>
        <v>0</v>
      </c>
    </row>
    <row r="487" customFormat="false" ht="12.75" hidden="false" customHeight="false" outlineLevel="0" collapsed="false">
      <c r="A487" s="1016"/>
      <c r="B487" s="2781"/>
      <c r="C487" s="478" t="n">
        <f aca="false">IF(B487="",1,(LOOKUP(B487,$3:$3,$4:$4)-LOOKUP($B$24,$3:$3,$4:$4)+100)/100)</f>
        <v>1</v>
      </c>
      <c r="D487" s="2782"/>
      <c r="E487" s="478" t="n">
        <f aca="false">(SUMIF($5:$5,D487,$6:$6)-SUMIF($5:$5,$D$24,$6:$6)+100)/100</f>
        <v>1</v>
      </c>
      <c r="F487" s="2782"/>
      <c r="G487" s="478" t="n">
        <f aca="false">(SUMIF($7:$7,F487,$8:$8)-SUMIF($7:$7,$F$24,$8:$8)+100)/100</f>
        <v>1</v>
      </c>
      <c r="H487" s="2782"/>
      <c r="I487" s="478" t="n">
        <f aca="false">(SUMIF($9:$9,H487,$10:$10)-SUMIF($9:$9,$H$24,$10:$10)+100)/100</f>
        <v>1</v>
      </c>
      <c r="J487" s="2782"/>
      <c r="K487" s="478" t="n">
        <f aca="false">(SUMIF($11:$11,J487,$12:$12)-SUMIF($11:$11,$J$24,$12:$12)+100)/100</f>
        <v>1</v>
      </c>
      <c r="L487" s="2782"/>
      <c r="M487" s="478" t="n">
        <f aca="false">(SUMIF($13:$13,L487,$14:$14)-SUMIF($13:$13,$L$24,$14:$14)+100)/100</f>
        <v>1</v>
      </c>
      <c r="N487" s="2782"/>
      <c r="O487" s="478" t="n">
        <f aca="false">(SUMIF($15:$15,N487,$16:$16)-SUMIF($15:$15,$N$24,$16:$16)+100)/100</f>
        <v>1</v>
      </c>
      <c r="P487" s="2782"/>
      <c r="Q487" s="478" t="n">
        <f aca="false">(SUMIF($17:$17,P487,$18:$18)-SUMIF($17:$17,$P$24,$18:$18)+100)/100</f>
        <v>1</v>
      </c>
      <c r="R487" s="2772" t="n">
        <f aca="false">IF(B487="",0,ROUND($R$24*C487*E487*G487*I487*K487*M487*O487*Q487,0))</f>
        <v>0</v>
      </c>
      <c r="S487" s="2771" t="n">
        <f aca="false">ROUND(R487*B487/10000,0)</f>
        <v>0</v>
      </c>
    </row>
    <row r="488" customFormat="false" ht="12.75" hidden="false" customHeight="false" outlineLevel="0" collapsed="false">
      <c r="A488" s="1016"/>
      <c r="B488" s="2781"/>
      <c r="C488" s="478" t="n">
        <f aca="false">IF(B488="",1,(LOOKUP(B488,$3:$3,$4:$4)-LOOKUP($B$24,$3:$3,$4:$4)+100)/100)</f>
        <v>1</v>
      </c>
      <c r="D488" s="2782"/>
      <c r="E488" s="478" t="n">
        <f aca="false">(SUMIF($5:$5,D488,$6:$6)-SUMIF($5:$5,$D$24,$6:$6)+100)/100</f>
        <v>1</v>
      </c>
      <c r="F488" s="2782"/>
      <c r="G488" s="478" t="n">
        <f aca="false">(SUMIF($7:$7,F488,$8:$8)-SUMIF($7:$7,$F$24,$8:$8)+100)/100</f>
        <v>1</v>
      </c>
      <c r="H488" s="2782"/>
      <c r="I488" s="478" t="n">
        <f aca="false">(SUMIF($9:$9,H488,$10:$10)-SUMIF($9:$9,$H$24,$10:$10)+100)/100</f>
        <v>1</v>
      </c>
      <c r="J488" s="2782"/>
      <c r="K488" s="478" t="n">
        <f aca="false">(SUMIF($11:$11,J488,$12:$12)-SUMIF($11:$11,$J$24,$12:$12)+100)/100</f>
        <v>1</v>
      </c>
      <c r="L488" s="2782"/>
      <c r="M488" s="478" t="n">
        <f aca="false">(SUMIF($13:$13,L488,$14:$14)-SUMIF($13:$13,$L$24,$14:$14)+100)/100</f>
        <v>1</v>
      </c>
      <c r="N488" s="2782"/>
      <c r="O488" s="478" t="n">
        <f aca="false">(SUMIF($15:$15,N488,$16:$16)-SUMIF($15:$15,$N$24,$16:$16)+100)/100</f>
        <v>1</v>
      </c>
      <c r="P488" s="2782"/>
      <c r="Q488" s="478" t="n">
        <f aca="false">(SUMIF($17:$17,P488,$18:$18)-SUMIF($17:$17,$P$24,$18:$18)+100)/100</f>
        <v>1</v>
      </c>
      <c r="R488" s="2772" t="n">
        <f aca="false">IF(B488="",0,ROUND($R$24*C488*E488*G488*I488*K488*M488*O488*Q488,0))</f>
        <v>0</v>
      </c>
      <c r="S488" s="2771" t="n">
        <f aca="false">ROUND(R488*B488/10000,0)</f>
        <v>0</v>
      </c>
    </row>
    <row r="489" customFormat="false" ht="12.75" hidden="false" customHeight="false" outlineLevel="0" collapsed="false">
      <c r="A489" s="1016"/>
      <c r="B489" s="2781"/>
      <c r="C489" s="478" t="n">
        <f aca="false">IF(B489="",1,(LOOKUP(B489,$3:$3,$4:$4)-LOOKUP($B$24,$3:$3,$4:$4)+100)/100)</f>
        <v>1</v>
      </c>
      <c r="D489" s="2782"/>
      <c r="E489" s="478" t="n">
        <f aca="false">(SUMIF($5:$5,D489,$6:$6)-SUMIF($5:$5,$D$24,$6:$6)+100)/100</f>
        <v>1</v>
      </c>
      <c r="F489" s="2782"/>
      <c r="G489" s="478" t="n">
        <f aca="false">(SUMIF($7:$7,F489,$8:$8)-SUMIF($7:$7,$F$24,$8:$8)+100)/100</f>
        <v>1</v>
      </c>
      <c r="H489" s="2782"/>
      <c r="I489" s="478" t="n">
        <f aca="false">(SUMIF($9:$9,H489,$10:$10)-SUMIF($9:$9,$H$24,$10:$10)+100)/100</f>
        <v>1</v>
      </c>
      <c r="J489" s="2782"/>
      <c r="K489" s="478" t="n">
        <f aca="false">(SUMIF($11:$11,J489,$12:$12)-SUMIF($11:$11,$J$24,$12:$12)+100)/100</f>
        <v>1</v>
      </c>
      <c r="L489" s="2782"/>
      <c r="M489" s="478" t="n">
        <f aca="false">(SUMIF($13:$13,L489,$14:$14)-SUMIF($13:$13,$L$24,$14:$14)+100)/100</f>
        <v>1</v>
      </c>
      <c r="N489" s="2782"/>
      <c r="O489" s="478" t="n">
        <f aca="false">(SUMIF($15:$15,N489,$16:$16)-SUMIF($15:$15,$N$24,$16:$16)+100)/100</f>
        <v>1</v>
      </c>
      <c r="P489" s="2782"/>
      <c r="Q489" s="478" t="n">
        <f aca="false">(SUMIF($17:$17,P489,$18:$18)-SUMIF($17:$17,$P$24,$18:$18)+100)/100</f>
        <v>1</v>
      </c>
      <c r="R489" s="2772" t="n">
        <f aca="false">IF(B489="",0,ROUND($R$24*C489*E489*G489*I489*K489*M489*O489*Q489,0))</f>
        <v>0</v>
      </c>
      <c r="S489" s="2771" t="n">
        <f aca="false">ROUND(R489*B489/10000,0)</f>
        <v>0</v>
      </c>
    </row>
    <row r="490" customFormat="false" ht="12.75" hidden="false" customHeight="false" outlineLevel="0" collapsed="false">
      <c r="A490" s="1016"/>
      <c r="B490" s="2781"/>
      <c r="C490" s="478" t="n">
        <f aca="false">IF(B490="",1,(LOOKUP(B490,$3:$3,$4:$4)-LOOKUP($B$24,$3:$3,$4:$4)+100)/100)</f>
        <v>1</v>
      </c>
      <c r="D490" s="2782"/>
      <c r="E490" s="478" t="n">
        <f aca="false">(SUMIF($5:$5,D490,$6:$6)-SUMIF($5:$5,$D$24,$6:$6)+100)/100</f>
        <v>1</v>
      </c>
      <c r="F490" s="2782"/>
      <c r="G490" s="478" t="n">
        <f aca="false">(SUMIF($7:$7,F490,$8:$8)-SUMIF($7:$7,$F$24,$8:$8)+100)/100</f>
        <v>1</v>
      </c>
      <c r="H490" s="2782"/>
      <c r="I490" s="478" t="n">
        <f aca="false">(SUMIF($9:$9,H490,$10:$10)-SUMIF($9:$9,$H$24,$10:$10)+100)/100</f>
        <v>1</v>
      </c>
      <c r="J490" s="2782"/>
      <c r="K490" s="478" t="n">
        <f aca="false">(SUMIF($11:$11,J490,$12:$12)-SUMIF($11:$11,$J$24,$12:$12)+100)/100</f>
        <v>1</v>
      </c>
      <c r="L490" s="2782"/>
      <c r="M490" s="478" t="n">
        <f aca="false">(SUMIF($13:$13,L490,$14:$14)-SUMIF($13:$13,$L$24,$14:$14)+100)/100</f>
        <v>1</v>
      </c>
      <c r="N490" s="2782"/>
      <c r="O490" s="478" t="n">
        <f aca="false">(SUMIF($15:$15,N490,$16:$16)-SUMIF($15:$15,$N$24,$16:$16)+100)/100</f>
        <v>1</v>
      </c>
      <c r="P490" s="2782"/>
      <c r="Q490" s="478" t="n">
        <f aca="false">(SUMIF($17:$17,P490,$18:$18)-SUMIF($17:$17,$P$24,$18:$18)+100)/100</f>
        <v>1</v>
      </c>
      <c r="R490" s="2772" t="n">
        <f aca="false">IF(B490="",0,ROUND($R$24*C490*E490*G490*I490*K490*M490*O490*Q490,0))</f>
        <v>0</v>
      </c>
      <c r="S490" s="2771" t="n">
        <f aca="false">ROUND(R490*B490/10000,0)</f>
        <v>0</v>
      </c>
    </row>
    <row r="491" customFormat="false" ht="12.75" hidden="false" customHeight="false" outlineLevel="0" collapsed="false">
      <c r="A491" s="1016"/>
      <c r="B491" s="2781"/>
      <c r="C491" s="478" t="n">
        <f aca="false">IF(B491="",1,(LOOKUP(B491,$3:$3,$4:$4)-LOOKUP($B$24,$3:$3,$4:$4)+100)/100)</f>
        <v>1</v>
      </c>
      <c r="D491" s="2782"/>
      <c r="E491" s="478" t="n">
        <f aca="false">(SUMIF($5:$5,D491,$6:$6)-SUMIF($5:$5,$D$24,$6:$6)+100)/100</f>
        <v>1</v>
      </c>
      <c r="F491" s="2782"/>
      <c r="G491" s="478" t="n">
        <f aca="false">(SUMIF($7:$7,F491,$8:$8)-SUMIF($7:$7,$F$24,$8:$8)+100)/100</f>
        <v>1</v>
      </c>
      <c r="H491" s="2782"/>
      <c r="I491" s="478" t="n">
        <f aca="false">(SUMIF($9:$9,H491,$10:$10)-SUMIF($9:$9,$H$24,$10:$10)+100)/100</f>
        <v>1</v>
      </c>
      <c r="J491" s="2782"/>
      <c r="K491" s="478" t="n">
        <f aca="false">(SUMIF($11:$11,J491,$12:$12)-SUMIF($11:$11,$J$24,$12:$12)+100)/100</f>
        <v>1</v>
      </c>
      <c r="L491" s="2782"/>
      <c r="M491" s="478" t="n">
        <f aca="false">(SUMIF($13:$13,L491,$14:$14)-SUMIF($13:$13,$L$24,$14:$14)+100)/100</f>
        <v>1</v>
      </c>
      <c r="N491" s="2782"/>
      <c r="O491" s="478" t="n">
        <f aca="false">(SUMIF($15:$15,N491,$16:$16)-SUMIF($15:$15,$N$24,$16:$16)+100)/100</f>
        <v>1</v>
      </c>
      <c r="P491" s="2782"/>
      <c r="Q491" s="478" t="n">
        <f aca="false">(SUMIF($17:$17,P491,$18:$18)-SUMIF($17:$17,$P$24,$18:$18)+100)/100</f>
        <v>1</v>
      </c>
      <c r="R491" s="2772" t="n">
        <f aca="false">IF(B491="",0,ROUND($R$24*C491*E491*G491*I491*K491*M491*O491*Q491,0))</f>
        <v>0</v>
      </c>
      <c r="S491" s="2771" t="n">
        <f aca="false">ROUND(R491*B491/10000,0)</f>
        <v>0</v>
      </c>
    </row>
    <row r="492" customFormat="false" ht="12.75" hidden="false" customHeight="false" outlineLevel="0" collapsed="false">
      <c r="A492" s="1016"/>
      <c r="B492" s="2781"/>
      <c r="C492" s="478" t="n">
        <f aca="false">IF(B492="",1,(LOOKUP(B492,$3:$3,$4:$4)-LOOKUP($B$24,$3:$3,$4:$4)+100)/100)</f>
        <v>1</v>
      </c>
      <c r="D492" s="2782"/>
      <c r="E492" s="478" t="n">
        <f aca="false">(SUMIF($5:$5,D492,$6:$6)-SUMIF($5:$5,$D$24,$6:$6)+100)/100</f>
        <v>1</v>
      </c>
      <c r="F492" s="2782"/>
      <c r="G492" s="478" t="n">
        <f aca="false">(SUMIF($7:$7,F492,$8:$8)-SUMIF($7:$7,$F$24,$8:$8)+100)/100</f>
        <v>1</v>
      </c>
      <c r="H492" s="2782"/>
      <c r="I492" s="478" t="n">
        <f aca="false">(SUMIF($9:$9,H492,$10:$10)-SUMIF($9:$9,$H$24,$10:$10)+100)/100</f>
        <v>1</v>
      </c>
      <c r="J492" s="2782"/>
      <c r="K492" s="478" t="n">
        <f aca="false">(SUMIF($11:$11,J492,$12:$12)-SUMIF($11:$11,$J$24,$12:$12)+100)/100</f>
        <v>1</v>
      </c>
      <c r="L492" s="2782"/>
      <c r="M492" s="478" t="n">
        <f aca="false">(SUMIF($13:$13,L492,$14:$14)-SUMIF($13:$13,$L$24,$14:$14)+100)/100</f>
        <v>1</v>
      </c>
      <c r="N492" s="2782"/>
      <c r="O492" s="478" t="n">
        <f aca="false">(SUMIF($15:$15,N492,$16:$16)-SUMIF($15:$15,$N$24,$16:$16)+100)/100</f>
        <v>1</v>
      </c>
      <c r="P492" s="2782"/>
      <c r="Q492" s="478" t="n">
        <f aca="false">(SUMIF($17:$17,P492,$18:$18)-SUMIF($17:$17,$P$24,$18:$18)+100)/100</f>
        <v>1</v>
      </c>
      <c r="R492" s="2772" t="n">
        <f aca="false">IF(B492="",0,ROUND($R$24*C492*E492*G492*I492*K492*M492*O492*Q492,0))</f>
        <v>0</v>
      </c>
      <c r="S492" s="2771" t="n">
        <f aca="false">ROUND(R492*B492/10000,0)</f>
        <v>0</v>
      </c>
    </row>
    <row r="493" customFormat="false" ht="12.75" hidden="false" customHeight="false" outlineLevel="0" collapsed="false">
      <c r="A493" s="1016"/>
      <c r="B493" s="2781"/>
      <c r="C493" s="478" t="n">
        <f aca="false">IF(B493="",1,(LOOKUP(B493,$3:$3,$4:$4)-LOOKUP($B$24,$3:$3,$4:$4)+100)/100)</f>
        <v>1</v>
      </c>
      <c r="D493" s="2782"/>
      <c r="E493" s="478" t="n">
        <f aca="false">(SUMIF($5:$5,D493,$6:$6)-SUMIF($5:$5,$D$24,$6:$6)+100)/100</f>
        <v>1</v>
      </c>
      <c r="F493" s="2782"/>
      <c r="G493" s="478" t="n">
        <f aca="false">(SUMIF($7:$7,F493,$8:$8)-SUMIF($7:$7,$F$24,$8:$8)+100)/100</f>
        <v>1</v>
      </c>
      <c r="H493" s="2782"/>
      <c r="I493" s="478" t="n">
        <f aca="false">(SUMIF($9:$9,H493,$10:$10)-SUMIF($9:$9,$H$24,$10:$10)+100)/100</f>
        <v>1</v>
      </c>
      <c r="J493" s="2782"/>
      <c r="K493" s="478" t="n">
        <f aca="false">(SUMIF($11:$11,J493,$12:$12)-SUMIF($11:$11,$J$24,$12:$12)+100)/100</f>
        <v>1</v>
      </c>
      <c r="L493" s="2782"/>
      <c r="M493" s="478" t="n">
        <f aca="false">(SUMIF($13:$13,L493,$14:$14)-SUMIF($13:$13,$L$24,$14:$14)+100)/100</f>
        <v>1</v>
      </c>
      <c r="N493" s="2782"/>
      <c r="O493" s="478" t="n">
        <f aca="false">(SUMIF($15:$15,N493,$16:$16)-SUMIF($15:$15,$N$24,$16:$16)+100)/100</f>
        <v>1</v>
      </c>
      <c r="P493" s="2782"/>
      <c r="Q493" s="478" t="n">
        <f aca="false">(SUMIF($17:$17,P493,$18:$18)-SUMIF($17:$17,$P$24,$18:$18)+100)/100</f>
        <v>1</v>
      </c>
      <c r="R493" s="2772" t="n">
        <f aca="false">IF(B493="",0,ROUND($R$24*C493*E493*G493*I493*K493*M493*O493*Q493,0))</f>
        <v>0</v>
      </c>
      <c r="S493" s="2771" t="n">
        <f aca="false">ROUND(R493*B493/10000,0)</f>
        <v>0</v>
      </c>
    </row>
    <row r="494" customFormat="false" ht="12.75" hidden="false" customHeight="false" outlineLevel="0" collapsed="false">
      <c r="A494" s="1016"/>
      <c r="B494" s="2781"/>
      <c r="C494" s="478" t="n">
        <f aca="false">IF(B494="",1,(LOOKUP(B494,$3:$3,$4:$4)-LOOKUP($B$24,$3:$3,$4:$4)+100)/100)</f>
        <v>1</v>
      </c>
      <c r="D494" s="2782"/>
      <c r="E494" s="478" t="n">
        <f aca="false">(SUMIF($5:$5,D494,$6:$6)-SUMIF($5:$5,$D$24,$6:$6)+100)/100</f>
        <v>1</v>
      </c>
      <c r="F494" s="2782"/>
      <c r="G494" s="478" t="n">
        <f aca="false">(SUMIF($7:$7,F494,$8:$8)-SUMIF($7:$7,$F$24,$8:$8)+100)/100</f>
        <v>1</v>
      </c>
      <c r="H494" s="2782"/>
      <c r="I494" s="478" t="n">
        <f aca="false">(SUMIF($9:$9,H494,$10:$10)-SUMIF($9:$9,$H$24,$10:$10)+100)/100</f>
        <v>1</v>
      </c>
      <c r="J494" s="2782"/>
      <c r="K494" s="478" t="n">
        <f aca="false">(SUMIF($11:$11,J494,$12:$12)-SUMIF($11:$11,$J$24,$12:$12)+100)/100</f>
        <v>1</v>
      </c>
      <c r="L494" s="2782"/>
      <c r="M494" s="478" t="n">
        <f aca="false">(SUMIF($13:$13,L494,$14:$14)-SUMIF($13:$13,$L$24,$14:$14)+100)/100</f>
        <v>1</v>
      </c>
      <c r="N494" s="2782"/>
      <c r="O494" s="478" t="n">
        <f aca="false">(SUMIF($15:$15,N494,$16:$16)-SUMIF($15:$15,$N$24,$16:$16)+100)/100</f>
        <v>1</v>
      </c>
      <c r="P494" s="2782"/>
      <c r="Q494" s="478" t="n">
        <f aca="false">(SUMIF($17:$17,P494,$18:$18)-SUMIF($17:$17,$P$24,$18:$18)+100)/100</f>
        <v>1</v>
      </c>
      <c r="R494" s="2772" t="n">
        <f aca="false">IF(B494="",0,ROUND($R$24*C494*E494*G494*I494*K494*M494*O494*Q494,0))</f>
        <v>0</v>
      </c>
      <c r="S494" s="2771" t="n">
        <f aca="false">ROUND(R494*B494/10000,0)</f>
        <v>0</v>
      </c>
    </row>
    <row r="495" customFormat="false" ht="12.75" hidden="false" customHeight="false" outlineLevel="0" collapsed="false">
      <c r="A495" s="1016"/>
      <c r="B495" s="2781"/>
      <c r="C495" s="478" t="n">
        <f aca="false">IF(B495="",1,(LOOKUP(B495,$3:$3,$4:$4)-LOOKUP($B$24,$3:$3,$4:$4)+100)/100)</f>
        <v>1</v>
      </c>
      <c r="D495" s="2782"/>
      <c r="E495" s="478" t="n">
        <f aca="false">(SUMIF($5:$5,D495,$6:$6)-SUMIF($5:$5,$D$24,$6:$6)+100)/100</f>
        <v>1</v>
      </c>
      <c r="F495" s="2782"/>
      <c r="G495" s="478" t="n">
        <f aca="false">(SUMIF($7:$7,F495,$8:$8)-SUMIF($7:$7,$F$24,$8:$8)+100)/100</f>
        <v>1</v>
      </c>
      <c r="H495" s="2782"/>
      <c r="I495" s="478" t="n">
        <f aca="false">(SUMIF($9:$9,H495,$10:$10)-SUMIF($9:$9,$H$24,$10:$10)+100)/100</f>
        <v>1</v>
      </c>
      <c r="J495" s="2782"/>
      <c r="K495" s="478" t="n">
        <f aca="false">(SUMIF($11:$11,J495,$12:$12)-SUMIF($11:$11,$J$24,$12:$12)+100)/100</f>
        <v>1</v>
      </c>
      <c r="L495" s="2782"/>
      <c r="M495" s="478" t="n">
        <f aca="false">(SUMIF($13:$13,L495,$14:$14)-SUMIF($13:$13,$L$24,$14:$14)+100)/100</f>
        <v>1</v>
      </c>
      <c r="N495" s="2782"/>
      <c r="O495" s="478" t="n">
        <f aca="false">(SUMIF($15:$15,N495,$16:$16)-SUMIF($15:$15,$N$24,$16:$16)+100)/100</f>
        <v>1</v>
      </c>
      <c r="P495" s="2782"/>
      <c r="Q495" s="478" t="n">
        <f aca="false">(SUMIF($17:$17,P495,$18:$18)-SUMIF($17:$17,$P$24,$18:$18)+100)/100</f>
        <v>1</v>
      </c>
      <c r="R495" s="2772" t="n">
        <f aca="false">IF(B495="",0,ROUND($R$24*C495*E495*G495*I495*K495*M495*O495*Q495,0))</f>
        <v>0</v>
      </c>
      <c r="S495" s="2771" t="n">
        <f aca="false">ROUND(R495*B495/10000,0)</f>
        <v>0</v>
      </c>
    </row>
    <row r="496" customFormat="false" ht="12.75" hidden="false" customHeight="false" outlineLevel="0" collapsed="false">
      <c r="A496" s="1016"/>
      <c r="B496" s="2781"/>
      <c r="C496" s="478" t="n">
        <f aca="false">IF(B496="",1,(LOOKUP(B496,$3:$3,$4:$4)-LOOKUP($B$24,$3:$3,$4:$4)+100)/100)</f>
        <v>1</v>
      </c>
      <c r="D496" s="2782"/>
      <c r="E496" s="478" t="n">
        <f aca="false">(SUMIF($5:$5,D496,$6:$6)-SUMIF($5:$5,$D$24,$6:$6)+100)/100</f>
        <v>1</v>
      </c>
      <c r="F496" s="2782"/>
      <c r="G496" s="478" t="n">
        <f aca="false">(SUMIF($7:$7,F496,$8:$8)-SUMIF($7:$7,$F$24,$8:$8)+100)/100</f>
        <v>1</v>
      </c>
      <c r="H496" s="2782"/>
      <c r="I496" s="478" t="n">
        <f aca="false">(SUMIF($9:$9,H496,$10:$10)-SUMIF($9:$9,$H$24,$10:$10)+100)/100</f>
        <v>1</v>
      </c>
      <c r="J496" s="2782"/>
      <c r="K496" s="478" t="n">
        <f aca="false">(SUMIF($11:$11,J496,$12:$12)-SUMIF($11:$11,$J$24,$12:$12)+100)/100</f>
        <v>1</v>
      </c>
      <c r="L496" s="2782"/>
      <c r="M496" s="478" t="n">
        <f aca="false">(SUMIF($13:$13,L496,$14:$14)-SUMIF($13:$13,$L$24,$14:$14)+100)/100</f>
        <v>1</v>
      </c>
      <c r="N496" s="2782"/>
      <c r="O496" s="478" t="n">
        <f aca="false">(SUMIF($15:$15,N496,$16:$16)-SUMIF($15:$15,$N$24,$16:$16)+100)/100</f>
        <v>1</v>
      </c>
      <c r="P496" s="2782"/>
      <c r="Q496" s="478" t="n">
        <f aca="false">(SUMIF($17:$17,P496,$18:$18)-SUMIF($17:$17,$P$24,$18:$18)+100)/100</f>
        <v>1</v>
      </c>
      <c r="R496" s="2772" t="n">
        <f aca="false">IF(B496="",0,ROUND($R$24*C496*E496*G496*I496*K496*M496*O496*Q496,0))</f>
        <v>0</v>
      </c>
      <c r="S496" s="2771" t="n">
        <f aca="false">ROUND(R496*B496/10000,0)</f>
        <v>0</v>
      </c>
    </row>
    <row r="497" customFormat="false" ht="12.75" hidden="false" customHeight="false" outlineLevel="0" collapsed="false">
      <c r="A497" s="1016"/>
      <c r="B497" s="2781"/>
      <c r="C497" s="478" t="n">
        <f aca="false">IF(B497="",1,(LOOKUP(B497,$3:$3,$4:$4)-LOOKUP($B$24,$3:$3,$4:$4)+100)/100)</f>
        <v>1</v>
      </c>
      <c r="D497" s="2782"/>
      <c r="E497" s="478" t="n">
        <f aca="false">(SUMIF($5:$5,D497,$6:$6)-SUMIF($5:$5,$D$24,$6:$6)+100)/100</f>
        <v>1</v>
      </c>
      <c r="F497" s="2782"/>
      <c r="G497" s="478" t="n">
        <f aca="false">(SUMIF($7:$7,F497,$8:$8)-SUMIF($7:$7,$F$24,$8:$8)+100)/100</f>
        <v>1</v>
      </c>
      <c r="H497" s="2782"/>
      <c r="I497" s="478" t="n">
        <f aca="false">(SUMIF($9:$9,H497,$10:$10)-SUMIF($9:$9,$H$24,$10:$10)+100)/100</f>
        <v>1</v>
      </c>
      <c r="J497" s="2782"/>
      <c r="K497" s="478" t="n">
        <f aca="false">(SUMIF($11:$11,J497,$12:$12)-SUMIF($11:$11,$J$24,$12:$12)+100)/100</f>
        <v>1</v>
      </c>
      <c r="L497" s="2782"/>
      <c r="M497" s="478" t="n">
        <f aca="false">(SUMIF($13:$13,L497,$14:$14)-SUMIF($13:$13,$L$24,$14:$14)+100)/100</f>
        <v>1</v>
      </c>
      <c r="N497" s="2782"/>
      <c r="O497" s="478" t="n">
        <f aca="false">(SUMIF($15:$15,N497,$16:$16)-SUMIF($15:$15,$N$24,$16:$16)+100)/100</f>
        <v>1</v>
      </c>
      <c r="P497" s="2782"/>
      <c r="Q497" s="478" t="n">
        <f aca="false">(SUMIF($17:$17,P497,$18:$18)-SUMIF($17:$17,$P$24,$18:$18)+100)/100</f>
        <v>1</v>
      </c>
      <c r="R497" s="2772" t="n">
        <f aca="false">IF(B497="",0,ROUND($R$24*C497*E497*G497*I497*K497*M497*O497*Q497,0))</f>
        <v>0</v>
      </c>
      <c r="S497" s="2771" t="n">
        <f aca="false">ROUND(R497*B497/10000,0)</f>
        <v>0</v>
      </c>
    </row>
    <row r="498" customFormat="false" ht="12.75" hidden="false" customHeight="false" outlineLevel="0" collapsed="false">
      <c r="A498" s="1016"/>
      <c r="B498" s="2781"/>
      <c r="C498" s="478" t="n">
        <f aca="false">IF(B498="",1,(LOOKUP(B498,$3:$3,$4:$4)-LOOKUP($B$24,$3:$3,$4:$4)+100)/100)</f>
        <v>1</v>
      </c>
      <c r="D498" s="2782"/>
      <c r="E498" s="478" t="n">
        <f aca="false">(SUMIF($5:$5,D498,$6:$6)-SUMIF($5:$5,$D$24,$6:$6)+100)/100</f>
        <v>1</v>
      </c>
      <c r="F498" s="2782"/>
      <c r="G498" s="478" t="n">
        <f aca="false">(SUMIF($7:$7,F498,$8:$8)-SUMIF($7:$7,$F$24,$8:$8)+100)/100</f>
        <v>1</v>
      </c>
      <c r="H498" s="2782"/>
      <c r="I498" s="478" t="n">
        <f aca="false">(SUMIF($9:$9,H498,$10:$10)-SUMIF($9:$9,$H$24,$10:$10)+100)/100</f>
        <v>1</v>
      </c>
      <c r="J498" s="2782"/>
      <c r="K498" s="478" t="n">
        <f aca="false">(SUMIF($11:$11,J498,$12:$12)-SUMIF($11:$11,$J$24,$12:$12)+100)/100</f>
        <v>1</v>
      </c>
      <c r="L498" s="2782"/>
      <c r="M498" s="478" t="n">
        <f aca="false">(SUMIF($13:$13,L498,$14:$14)-SUMIF($13:$13,$L$24,$14:$14)+100)/100</f>
        <v>1</v>
      </c>
      <c r="N498" s="2782"/>
      <c r="O498" s="478" t="n">
        <f aca="false">(SUMIF($15:$15,N498,$16:$16)-SUMIF($15:$15,$N$24,$16:$16)+100)/100</f>
        <v>1</v>
      </c>
      <c r="P498" s="2782"/>
      <c r="Q498" s="478" t="n">
        <f aca="false">(SUMIF($17:$17,P498,$18:$18)-SUMIF($17:$17,$P$24,$18:$18)+100)/100</f>
        <v>1</v>
      </c>
      <c r="R498" s="2772" t="n">
        <f aca="false">IF(B498="",0,ROUND($R$24*C498*E498*G498*I498*K498*M498*O498*Q498,0))</f>
        <v>0</v>
      </c>
      <c r="S498" s="2771" t="n">
        <f aca="false">ROUND(R498*B498/10000,0)</f>
        <v>0</v>
      </c>
    </row>
    <row r="499" customFormat="false" ht="12.75" hidden="false" customHeight="false" outlineLevel="0" collapsed="false">
      <c r="A499" s="1016"/>
      <c r="B499" s="2781"/>
      <c r="C499" s="478" t="n">
        <f aca="false">IF(B499="",1,(LOOKUP(B499,$3:$3,$4:$4)-LOOKUP($B$24,$3:$3,$4:$4)+100)/100)</f>
        <v>1</v>
      </c>
      <c r="D499" s="2782"/>
      <c r="E499" s="478" t="n">
        <f aca="false">(SUMIF($5:$5,D499,$6:$6)-SUMIF($5:$5,$D$24,$6:$6)+100)/100</f>
        <v>1</v>
      </c>
      <c r="F499" s="2782"/>
      <c r="G499" s="478" t="n">
        <f aca="false">(SUMIF($7:$7,F499,$8:$8)-SUMIF($7:$7,$F$24,$8:$8)+100)/100</f>
        <v>1</v>
      </c>
      <c r="H499" s="2782"/>
      <c r="I499" s="478" t="n">
        <f aca="false">(SUMIF($9:$9,H499,$10:$10)-SUMIF($9:$9,$H$24,$10:$10)+100)/100</f>
        <v>1</v>
      </c>
      <c r="J499" s="2782"/>
      <c r="K499" s="478" t="n">
        <f aca="false">(SUMIF($11:$11,J499,$12:$12)-SUMIF($11:$11,$J$24,$12:$12)+100)/100</f>
        <v>1</v>
      </c>
      <c r="L499" s="2782"/>
      <c r="M499" s="478" t="n">
        <f aca="false">(SUMIF($13:$13,L499,$14:$14)-SUMIF($13:$13,$L$24,$14:$14)+100)/100</f>
        <v>1</v>
      </c>
      <c r="N499" s="2782"/>
      <c r="O499" s="478" t="n">
        <f aca="false">(SUMIF($15:$15,N499,$16:$16)-SUMIF($15:$15,$N$24,$16:$16)+100)/100</f>
        <v>1</v>
      </c>
      <c r="P499" s="2782"/>
      <c r="Q499" s="478" t="n">
        <f aca="false">(SUMIF($17:$17,P499,$18:$18)-SUMIF($17:$17,$P$24,$18:$18)+100)/100</f>
        <v>1</v>
      </c>
      <c r="R499" s="2772" t="n">
        <f aca="false">IF(B499="",0,ROUND($R$24*C499*E499*G499*I499*K499*M499*O499*Q499,0))</f>
        <v>0</v>
      </c>
      <c r="S499" s="2771" t="n">
        <f aca="false">ROUND(R499*B499/10000,0)</f>
        <v>0</v>
      </c>
    </row>
    <row r="500" customFormat="false" ht="12.75" hidden="false" customHeight="false" outlineLevel="0" collapsed="false">
      <c r="A500" s="1016"/>
      <c r="B500" s="2781"/>
      <c r="C500" s="478" t="n">
        <f aca="false">IF(B500="",1,(LOOKUP(B500,$3:$3,$4:$4)-LOOKUP($B$24,$3:$3,$4:$4)+100)/100)</f>
        <v>1</v>
      </c>
      <c r="D500" s="2782"/>
      <c r="E500" s="478" t="n">
        <f aca="false">(SUMIF($5:$5,D500,$6:$6)-SUMIF($5:$5,$D$24,$6:$6)+100)/100</f>
        <v>1</v>
      </c>
      <c r="F500" s="2782"/>
      <c r="G500" s="478" t="n">
        <f aca="false">(SUMIF($7:$7,F500,$8:$8)-SUMIF($7:$7,$F$24,$8:$8)+100)/100</f>
        <v>1</v>
      </c>
      <c r="H500" s="2782"/>
      <c r="I500" s="478" t="n">
        <f aca="false">(SUMIF($9:$9,H500,$10:$10)-SUMIF($9:$9,$H$24,$10:$10)+100)/100</f>
        <v>1</v>
      </c>
      <c r="J500" s="2782"/>
      <c r="K500" s="478" t="n">
        <f aca="false">(SUMIF($11:$11,J500,$12:$12)-SUMIF($11:$11,$J$24,$12:$12)+100)/100</f>
        <v>1</v>
      </c>
      <c r="L500" s="2782"/>
      <c r="M500" s="478" t="n">
        <f aca="false">(SUMIF($13:$13,L500,$14:$14)-SUMIF($13:$13,$L$24,$14:$14)+100)/100</f>
        <v>1</v>
      </c>
      <c r="N500" s="2782"/>
      <c r="O500" s="478" t="n">
        <f aca="false">(SUMIF($15:$15,N500,$16:$16)-SUMIF($15:$15,$N$24,$16:$16)+100)/100</f>
        <v>1</v>
      </c>
      <c r="P500" s="2782"/>
      <c r="Q500" s="478" t="n">
        <f aca="false">(SUMIF($17:$17,P500,$18:$18)-SUMIF($17:$17,$P$24,$18:$18)+100)/100</f>
        <v>1</v>
      </c>
      <c r="R500" s="2772" t="n">
        <f aca="false">IF(B500="",0,ROUND($R$24*C500*E500*G500*I500*K500*M500*O500*Q500,0))</f>
        <v>0</v>
      </c>
      <c r="S500" s="2771" t="n">
        <f aca="false">ROUND(R500*B500/10000,0)</f>
        <v>0</v>
      </c>
    </row>
    <row r="501" customFormat="false" ht="12.75" hidden="false" customHeight="false" outlineLevel="0" collapsed="false">
      <c r="A501" s="1016"/>
      <c r="B501" s="2781"/>
      <c r="C501" s="478" t="n">
        <f aca="false">IF(B501="",1,(LOOKUP(B501,$3:$3,$4:$4)-LOOKUP($B$24,$3:$3,$4:$4)+100)/100)</f>
        <v>1</v>
      </c>
      <c r="D501" s="2782"/>
      <c r="E501" s="478" t="n">
        <f aca="false">(SUMIF($5:$5,D501,$6:$6)-SUMIF($5:$5,$D$24,$6:$6)+100)/100</f>
        <v>1</v>
      </c>
      <c r="F501" s="2782"/>
      <c r="G501" s="478" t="n">
        <f aca="false">(SUMIF($7:$7,F501,$8:$8)-SUMIF($7:$7,$F$24,$8:$8)+100)/100</f>
        <v>1</v>
      </c>
      <c r="H501" s="2782"/>
      <c r="I501" s="478" t="n">
        <f aca="false">(SUMIF($9:$9,H501,$10:$10)-SUMIF($9:$9,$H$24,$10:$10)+100)/100</f>
        <v>1</v>
      </c>
      <c r="J501" s="2782"/>
      <c r="K501" s="478" t="n">
        <f aca="false">(SUMIF($11:$11,J501,$12:$12)-SUMIF($11:$11,$J$24,$12:$12)+100)/100</f>
        <v>1</v>
      </c>
      <c r="L501" s="2782"/>
      <c r="M501" s="478" t="n">
        <f aca="false">(SUMIF($13:$13,L501,$14:$14)-SUMIF($13:$13,$L$24,$14:$14)+100)/100</f>
        <v>1</v>
      </c>
      <c r="N501" s="2782"/>
      <c r="O501" s="478" t="n">
        <f aca="false">(SUMIF($15:$15,N501,$16:$16)-SUMIF($15:$15,$N$24,$16:$16)+100)/100</f>
        <v>1</v>
      </c>
      <c r="P501" s="2782"/>
      <c r="Q501" s="478" t="n">
        <f aca="false">(SUMIF($17:$17,P501,$18:$18)-SUMIF($17:$17,$P$24,$18:$18)+100)/100</f>
        <v>1</v>
      </c>
      <c r="R501" s="2772" t="n">
        <f aca="false">IF(B501="",0,ROUND($R$24*C501*E501*G501*I501*K501*M501*O501*Q501,0))</f>
        <v>0</v>
      </c>
      <c r="S501" s="2771" t="n">
        <f aca="false">ROUND(R501*B501/10000,0)</f>
        <v>0</v>
      </c>
    </row>
    <row r="502" customFormat="false" ht="12.75" hidden="false" customHeight="false" outlineLevel="0" collapsed="false">
      <c r="A502" s="1016"/>
      <c r="B502" s="2781"/>
      <c r="C502" s="478" t="n">
        <f aca="false">IF(B502="",1,(LOOKUP(B502,$3:$3,$4:$4)-LOOKUP($B$24,$3:$3,$4:$4)+100)/100)</f>
        <v>1</v>
      </c>
      <c r="D502" s="2782"/>
      <c r="E502" s="478" t="n">
        <f aca="false">(SUMIF($5:$5,D502,$6:$6)-SUMIF($5:$5,$D$24,$6:$6)+100)/100</f>
        <v>1</v>
      </c>
      <c r="F502" s="2782"/>
      <c r="G502" s="478" t="n">
        <f aca="false">(SUMIF($7:$7,F502,$8:$8)-SUMIF($7:$7,$F$24,$8:$8)+100)/100</f>
        <v>1</v>
      </c>
      <c r="H502" s="2782"/>
      <c r="I502" s="478" t="n">
        <f aca="false">(SUMIF($9:$9,H502,$10:$10)-SUMIF($9:$9,$H$24,$10:$10)+100)/100</f>
        <v>1</v>
      </c>
      <c r="J502" s="2782"/>
      <c r="K502" s="478" t="n">
        <f aca="false">(SUMIF($11:$11,J502,$12:$12)-SUMIF($11:$11,$J$24,$12:$12)+100)/100</f>
        <v>1</v>
      </c>
      <c r="L502" s="2782"/>
      <c r="M502" s="478" t="n">
        <f aca="false">(SUMIF($13:$13,L502,$14:$14)-SUMIF($13:$13,$L$24,$14:$14)+100)/100</f>
        <v>1</v>
      </c>
      <c r="N502" s="2782"/>
      <c r="O502" s="478" t="n">
        <f aca="false">(SUMIF($15:$15,N502,$16:$16)-SUMIF($15:$15,$N$24,$16:$16)+100)/100</f>
        <v>1</v>
      </c>
      <c r="P502" s="2782"/>
      <c r="Q502" s="478" t="n">
        <f aca="false">(SUMIF($17:$17,P502,$18:$18)-SUMIF($17:$17,$P$24,$18:$18)+100)/100</f>
        <v>1</v>
      </c>
      <c r="R502" s="2772" t="n">
        <f aca="false">IF(B502="",0,ROUND($R$24*C502*E502*G502*I502*K502*M502*O502*Q502,0))</f>
        <v>0</v>
      </c>
      <c r="S502" s="2771" t="n">
        <f aca="false">ROUND(R502*B502/10000,0)</f>
        <v>0</v>
      </c>
    </row>
    <row r="503" customFormat="false" ht="12.75" hidden="false" customHeight="false" outlineLevel="0" collapsed="false">
      <c r="A503" s="1016"/>
      <c r="B503" s="2781"/>
      <c r="C503" s="478" t="n">
        <f aca="false">IF(B503="",1,(LOOKUP(B503,$3:$3,$4:$4)-LOOKUP($B$24,$3:$3,$4:$4)+100)/100)</f>
        <v>1</v>
      </c>
      <c r="D503" s="2782"/>
      <c r="E503" s="478" t="n">
        <f aca="false">(SUMIF($5:$5,D503,$6:$6)-SUMIF($5:$5,$D$24,$6:$6)+100)/100</f>
        <v>1</v>
      </c>
      <c r="F503" s="2782"/>
      <c r="G503" s="478" t="n">
        <f aca="false">(SUMIF($7:$7,F503,$8:$8)-SUMIF($7:$7,$F$24,$8:$8)+100)/100</f>
        <v>1</v>
      </c>
      <c r="H503" s="2782"/>
      <c r="I503" s="478" t="n">
        <f aca="false">(SUMIF($9:$9,H503,$10:$10)-SUMIF($9:$9,$H$24,$10:$10)+100)/100</f>
        <v>1</v>
      </c>
      <c r="J503" s="2782"/>
      <c r="K503" s="478" t="n">
        <f aca="false">(SUMIF($11:$11,J503,$12:$12)-SUMIF($11:$11,$J$24,$12:$12)+100)/100</f>
        <v>1</v>
      </c>
      <c r="L503" s="2782"/>
      <c r="M503" s="478" t="n">
        <f aca="false">(SUMIF($13:$13,L503,$14:$14)-SUMIF($13:$13,$L$24,$14:$14)+100)/100</f>
        <v>1</v>
      </c>
      <c r="N503" s="2782"/>
      <c r="O503" s="478" t="n">
        <f aca="false">(SUMIF($15:$15,N503,$16:$16)-SUMIF($15:$15,$N$24,$16:$16)+100)/100</f>
        <v>1</v>
      </c>
      <c r="P503" s="2782"/>
      <c r="Q503" s="478" t="n">
        <f aca="false">(SUMIF($17:$17,P503,$18:$18)-SUMIF($17:$17,$P$24,$18:$18)+100)/100</f>
        <v>1</v>
      </c>
      <c r="R503" s="2772" t="n">
        <f aca="false">IF(B503="",0,ROUND($R$24*C503*E503*G503*I503*K503*M503*O503*Q503,0))</f>
        <v>0</v>
      </c>
      <c r="S503" s="2771" t="n">
        <f aca="false">ROUND(R503*B503/10000,0)</f>
        <v>0</v>
      </c>
    </row>
    <row r="504" customFormat="false" ht="12.75" hidden="false" customHeight="false" outlineLevel="0" collapsed="false">
      <c r="A504" s="1016"/>
      <c r="B504" s="2781"/>
      <c r="C504" s="478" t="n">
        <f aca="false">IF(B504="",1,(LOOKUP(B504,$3:$3,$4:$4)-LOOKUP($B$24,$3:$3,$4:$4)+100)/100)</f>
        <v>1</v>
      </c>
      <c r="D504" s="2782"/>
      <c r="E504" s="478" t="n">
        <f aca="false">(SUMIF($5:$5,D504,$6:$6)-SUMIF($5:$5,$D$24,$6:$6)+100)/100</f>
        <v>1</v>
      </c>
      <c r="F504" s="2782"/>
      <c r="G504" s="478" t="n">
        <f aca="false">(SUMIF($7:$7,F504,$8:$8)-SUMIF($7:$7,$F$24,$8:$8)+100)/100</f>
        <v>1</v>
      </c>
      <c r="H504" s="2782"/>
      <c r="I504" s="478" t="n">
        <f aca="false">(SUMIF($9:$9,H504,$10:$10)-SUMIF($9:$9,$H$24,$10:$10)+100)/100</f>
        <v>1</v>
      </c>
      <c r="J504" s="2782"/>
      <c r="K504" s="478" t="n">
        <f aca="false">(SUMIF($11:$11,J504,$12:$12)-SUMIF($11:$11,$J$24,$12:$12)+100)/100</f>
        <v>1</v>
      </c>
      <c r="L504" s="2782"/>
      <c r="M504" s="478" t="n">
        <f aca="false">(SUMIF($13:$13,L504,$14:$14)-SUMIF($13:$13,$L$24,$14:$14)+100)/100</f>
        <v>1</v>
      </c>
      <c r="N504" s="2782"/>
      <c r="O504" s="478" t="n">
        <f aca="false">(SUMIF($15:$15,N504,$16:$16)-SUMIF($15:$15,$N$24,$16:$16)+100)/100</f>
        <v>1</v>
      </c>
      <c r="P504" s="2782"/>
      <c r="Q504" s="478" t="n">
        <f aca="false">(SUMIF($17:$17,P504,$18:$18)-SUMIF($17:$17,$P$24,$18:$18)+100)/100</f>
        <v>1</v>
      </c>
      <c r="R504" s="2772" t="n">
        <f aca="false">IF(B504="",0,ROUND($R$24*C504*E504*G504*I504*K504*M504*O504*Q504,0))</f>
        <v>0</v>
      </c>
      <c r="S504" s="2771" t="n">
        <f aca="false">ROUND(R504*B504/10000,0)</f>
        <v>0</v>
      </c>
    </row>
    <row r="505" customFormat="false" ht="12.75" hidden="false" customHeight="false" outlineLevel="0" collapsed="false">
      <c r="A505" s="1016"/>
      <c r="B505" s="2781"/>
      <c r="C505" s="478" t="n">
        <f aca="false">IF(B505="",1,(LOOKUP(B505,$3:$3,$4:$4)-LOOKUP($B$24,$3:$3,$4:$4)+100)/100)</f>
        <v>1</v>
      </c>
      <c r="D505" s="2782"/>
      <c r="E505" s="478" t="n">
        <f aca="false">(SUMIF($5:$5,D505,$6:$6)-SUMIF($5:$5,$D$24,$6:$6)+100)/100</f>
        <v>1</v>
      </c>
      <c r="F505" s="2782"/>
      <c r="G505" s="478" t="n">
        <f aca="false">(SUMIF($7:$7,F505,$8:$8)-SUMIF($7:$7,$F$24,$8:$8)+100)/100</f>
        <v>1</v>
      </c>
      <c r="H505" s="2782"/>
      <c r="I505" s="478" t="n">
        <f aca="false">(SUMIF($9:$9,H505,$10:$10)-SUMIF($9:$9,$H$24,$10:$10)+100)/100</f>
        <v>1</v>
      </c>
      <c r="J505" s="2782"/>
      <c r="K505" s="478" t="n">
        <f aca="false">(SUMIF($11:$11,J505,$12:$12)-SUMIF($11:$11,$J$24,$12:$12)+100)/100</f>
        <v>1</v>
      </c>
      <c r="L505" s="2782"/>
      <c r="M505" s="478" t="n">
        <f aca="false">(SUMIF($13:$13,L505,$14:$14)-SUMIF($13:$13,$L$24,$14:$14)+100)/100</f>
        <v>1</v>
      </c>
      <c r="N505" s="2782"/>
      <c r="O505" s="478" t="n">
        <f aca="false">(SUMIF($15:$15,N505,$16:$16)-SUMIF($15:$15,$N$24,$16:$16)+100)/100</f>
        <v>1</v>
      </c>
      <c r="P505" s="2782"/>
      <c r="Q505" s="478" t="n">
        <f aca="false">(SUMIF($17:$17,P505,$18:$18)-SUMIF($17:$17,$P$24,$18:$18)+100)/100</f>
        <v>1</v>
      </c>
      <c r="R505" s="2772" t="n">
        <f aca="false">IF(B505="",0,ROUND($R$24*C505*E505*G505*I505*K505*M505*O505*Q505,0))</f>
        <v>0</v>
      </c>
      <c r="S505" s="2771" t="n">
        <f aca="false">ROUND(R505*B505/10000,0)</f>
        <v>0</v>
      </c>
    </row>
    <row r="506" customFormat="false" ht="12.75" hidden="false" customHeight="false" outlineLevel="0" collapsed="false">
      <c r="A506" s="1016"/>
      <c r="B506" s="2781"/>
      <c r="C506" s="478" t="n">
        <f aca="false">IF(B506="",1,(LOOKUP(B506,$3:$3,$4:$4)-LOOKUP($B$24,$3:$3,$4:$4)+100)/100)</f>
        <v>1</v>
      </c>
      <c r="D506" s="2782"/>
      <c r="E506" s="478" t="n">
        <f aca="false">(SUMIF($5:$5,D506,$6:$6)-SUMIF($5:$5,$D$24,$6:$6)+100)/100</f>
        <v>1</v>
      </c>
      <c r="F506" s="2782"/>
      <c r="G506" s="478" t="n">
        <f aca="false">(SUMIF($7:$7,F506,$8:$8)-SUMIF($7:$7,$F$24,$8:$8)+100)/100</f>
        <v>1</v>
      </c>
      <c r="H506" s="2782"/>
      <c r="I506" s="478" t="n">
        <f aca="false">(SUMIF($9:$9,H506,$10:$10)-SUMIF($9:$9,$H$24,$10:$10)+100)/100</f>
        <v>1</v>
      </c>
      <c r="J506" s="2782"/>
      <c r="K506" s="478" t="n">
        <f aca="false">(SUMIF($11:$11,J506,$12:$12)-SUMIF($11:$11,$J$24,$12:$12)+100)/100</f>
        <v>1</v>
      </c>
      <c r="L506" s="2782"/>
      <c r="M506" s="478" t="n">
        <f aca="false">(SUMIF($13:$13,L506,$14:$14)-SUMIF($13:$13,$L$24,$14:$14)+100)/100</f>
        <v>1</v>
      </c>
      <c r="N506" s="2782"/>
      <c r="O506" s="478" t="n">
        <f aca="false">(SUMIF($15:$15,N506,$16:$16)-SUMIF($15:$15,$N$24,$16:$16)+100)/100</f>
        <v>1</v>
      </c>
      <c r="P506" s="2782"/>
      <c r="Q506" s="478" t="n">
        <f aca="false">(SUMIF($17:$17,P506,$18:$18)-SUMIF($17:$17,$P$24,$18:$18)+100)/100</f>
        <v>1</v>
      </c>
      <c r="R506" s="2772" t="n">
        <f aca="false">IF(B506="",0,ROUND($R$24*C506*E506*G506*I506*K506*M506*O506*Q506,0))</f>
        <v>0</v>
      </c>
      <c r="S506" s="2771" t="n">
        <f aca="false">ROUND(R506*B506/10000,0)</f>
        <v>0</v>
      </c>
    </row>
    <row r="507" customFormat="false" ht="12.75" hidden="false" customHeight="false" outlineLevel="0" collapsed="false">
      <c r="A507" s="1016"/>
      <c r="B507" s="2781"/>
      <c r="C507" s="478" t="n">
        <f aca="false">IF(B507="",1,(LOOKUP(B507,$3:$3,$4:$4)-LOOKUP($B$24,$3:$3,$4:$4)+100)/100)</f>
        <v>1</v>
      </c>
      <c r="D507" s="2782"/>
      <c r="E507" s="478" t="n">
        <f aca="false">(SUMIF($5:$5,D507,$6:$6)-SUMIF($5:$5,$D$24,$6:$6)+100)/100</f>
        <v>1</v>
      </c>
      <c r="F507" s="2782"/>
      <c r="G507" s="478" t="n">
        <f aca="false">(SUMIF($7:$7,F507,$8:$8)-SUMIF($7:$7,$F$24,$8:$8)+100)/100</f>
        <v>1</v>
      </c>
      <c r="H507" s="2782"/>
      <c r="I507" s="478" t="n">
        <f aca="false">(SUMIF($9:$9,H507,$10:$10)-SUMIF($9:$9,$H$24,$10:$10)+100)/100</f>
        <v>1</v>
      </c>
      <c r="J507" s="2782"/>
      <c r="K507" s="478" t="n">
        <f aca="false">(SUMIF($11:$11,J507,$12:$12)-SUMIF($11:$11,$J$24,$12:$12)+100)/100</f>
        <v>1</v>
      </c>
      <c r="L507" s="2782"/>
      <c r="M507" s="478" t="n">
        <f aca="false">(SUMIF($13:$13,L507,$14:$14)-SUMIF($13:$13,$L$24,$14:$14)+100)/100</f>
        <v>1</v>
      </c>
      <c r="N507" s="2782"/>
      <c r="O507" s="478" t="n">
        <f aca="false">(SUMIF($15:$15,N507,$16:$16)-SUMIF($15:$15,$N$24,$16:$16)+100)/100</f>
        <v>1</v>
      </c>
      <c r="P507" s="2782"/>
      <c r="Q507" s="478" t="n">
        <f aca="false">(SUMIF($17:$17,P507,$18:$18)-SUMIF($17:$17,$P$24,$18:$18)+100)/100</f>
        <v>1</v>
      </c>
      <c r="R507" s="2772" t="n">
        <f aca="false">IF(B507="",0,ROUND($R$24*C507*E507*G507*I507*K507*M507*O507*Q507,0))</f>
        <v>0</v>
      </c>
      <c r="S507" s="2771" t="n">
        <f aca="false">ROUND(R507*B507/10000,0)</f>
        <v>0</v>
      </c>
    </row>
    <row r="508" customFormat="false" ht="12.75" hidden="false" customHeight="false" outlineLevel="0" collapsed="false">
      <c r="A508" s="1016"/>
      <c r="B508" s="2781"/>
      <c r="C508" s="478" t="n">
        <f aca="false">IF(B508="",1,(LOOKUP(B508,$3:$3,$4:$4)-LOOKUP($B$24,$3:$3,$4:$4)+100)/100)</f>
        <v>1</v>
      </c>
      <c r="D508" s="2782"/>
      <c r="E508" s="478" t="n">
        <f aca="false">(SUMIF($5:$5,D508,$6:$6)-SUMIF($5:$5,$D$24,$6:$6)+100)/100</f>
        <v>1</v>
      </c>
      <c r="F508" s="2782"/>
      <c r="G508" s="478" t="n">
        <f aca="false">(SUMIF($7:$7,F508,$8:$8)-SUMIF($7:$7,$F$24,$8:$8)+100)/100</f>
        <v>1</v>
      </c>
      <c r="H508" s="2782"/>
      <c r="I508" s="478" t="n">
        <f aca="false">(SUMIF($9:$9,H508,$10:$10)-SUMIF($9:$9,$H$24,$10:$10)+100)/100</f>
        <v>1</v>
      </c>
      <c r="J508" s="2782"/>
      <c r="K508" s="478" t="n">
        <f aca="false">(SUMIF($11:$11,J508,$12:$12)-SUMIF($11:$11,$J$24,$12:$12)+100)/100</f>
        <v>1</v>
      </c>
      <c r="L508" s="2782"/>
      <c r="M508" s="478" t="n">
        <f aca="false">(SUMIF($13:$13,L508,$14:$14)-SUMIF($13:$13,$L$24,$14:$14)+100)/100</f>
        <v>1</v>
      </c>
      <c r="N508" s="2782"/>
      <c r="O508" s="478" t="n">
        <f aca="false">(SUMIF($15:$15,N508,$16:$16)-SUMIF($15:$15,$N$24,$16:$16)+100)/100</f>
        <v>1</v>
      </c>
      <c r="P508" s="2782"/>
      <c r="Q508" s="478" t="n">
        <f aca="false">(SUMIF($17:$17,P508,$18:$18)-SUMIF($17:$17,$P$24,$18:$18)+100)/100</f>
        <v>1</v>
      </c>
      <c r="R508" s="2772" t="n">
        <f aca="false">IF(B508="",0,ROUND($R$24*C508*E508*G508*I508*K508*M508*O508*Q508,0))</f>
        <v>0</v>
      </c>
      <c r="S508" s="2771" t="n">
        <f aca="false">ROUND(R508*B508/10000,0)</f>
        <v>0</v>
      </c>
    </row>
    <row r="509" customFormat="false" ht="12.75" hidden="false" customHeight="false" outlineLevel="0" collapsed="false">
      <c r="A509" s="1016"/>
      <c r="B509" s="2781"/>
      <c r="C509" s="478" t="n">
        <f aca="false">IF(B509="",1,(LOOKUP(B509,$3:$3,$4:$4)-LOOKUP($B$24,$3:$3,$4:$4)+100)/100)</f>
        <v>1</v>
      </c>
      <c r="D509" s="2782"/>
      <c r="E509" s="478" t="n">
        <f aca="false">(SUMIF($5:$5,D509,$6:$6)-SUMIF($5:$5,$D$24,$6:$6)+100)/100</f>
        <v>1</v>
      </c>
      <c r="F509" s="2782"/>
      <c r="G509" s="478" t="n">
        <f aca="false">(SUMIF($7:$7,F509,$8:$8)-SUMIF($7:$7,$F$24,$8:$8)+100)/100</f>
        <v>1</v>
      </c>
      <c r="H509" s="2782"/>
      <c r="I509" s="478" t="n">
        <f aca="false">(SUMIF($9:$9,H509,$10:$10)-SUMIF($9:$9,$H$24,$10:$10)+100)/100</f>
        <v>1</v>
      </c>
      <c r="J509" s="2782"/>
      <c r="K509" s="478" t="n">
        <f aca="false">(SUMIF($11:$11,J509,$12:$12)-SUMIF($11:$11,$J$24,$12:$12)+100)/100</f>
        <v>1</v>
      </c>
      <c r="L509" s="2782"/>
      <c r="M509" s="478" t="n">
        <f aca="false">(SUMIF($13:$13,L509,$14:$14)-SUMIF($13:$13,$L$24,$14:$14)+100)/100</f>
        <v>1</v>
      </c>
      <c r="N509" s="2782"/>
      <c r="O509" s="478" t="n">
        <f aca="false">(SUMIF($15:$15,N509,$16:$16)-SUMIF($15:$15,$N$24,$16:$16)+100)/100</f>
        <v>1</v>
      </c>
      <c r="P509" s="2782"/>
      <c r="Q509" s="478" t="n">
        <f aca="false">(SUMIF($17:$17,P509,$18:$18)-SUMIF($17:$17,$P$24,$18:$18)+100)/100</f>
        <v>1</v>
      </c>
      <c r="R509" s="2772" t="n">
        <f aca="false">IF(B509="",0,ROUND($R$24*C509*E509*G509*I509*K509*M509*O509*Q509,0))</f>
        <v>0</v>
      </c>
      <c r="S509" s="2771" t="n">
        <f aca="false">ROUND(R509*B509/10000,0)</f>
        <v>0</v>
      </c>
    </row>
    <row r="510" customFormat="false" ht="12.75" hidden="false" customHeight="false" outlineLevel="0" collapsed="false">
      <c r="A510" s="1016"/>
      <c r="B510" s="2781"/>
      <c r="C510" s="478" t="n">
        <f aca="false">IF(B510="",1,(LOOKUP(B510,$3:$3,$4:$4)-LOOKUP($B$24,$3:$3,$4:$4)+100)/100)</f>
        <v>1</v>
      </c>
      <c r="D510" s="2782"/>
      <c r="E510" s="478" t="n">
        <f aca="false">(SUMIF($5:$5,D510,$6:$6)-SUMIF($5:$5,$D$24,$6:$6)+100)/100</f>
        <v>1</v>
      </c>
      <c r="F510" s="2782"/>
      <c r="G510" s="478" t="n">
        <f aca="false">(SUMIF($7:$7,F510,$8:$8)-SUMIF($7:$7,$F$24,$8:$8)+100)/100</f>
        <v>1</v>
      </c>
      <c r="H510" s="2782"/>
      <c r="I510" s="478" t="n">
        <f aca="false">(SUMIF($9:$9,H510,$10:$10)-SUMIF($9:$9,$H$24,$10:$10)+100)/100</f>
        <v>1</v>
      </c>
      <c r="J510" s="2782"/>
      <c r="K510" s="478" t="n">
        <f aca="false">(SUMIF($11:$11,J510,$12:$12)-SUMIF($11:$11,$J$24,$12:$12)+100)/100</f>
        <v>1</v>
      </c>
      <c r="L510" s="2782"/>
      <c r="M510" s="478" t="n">
        <f aca="false">(SUMIF($13:$13,L510,$14:$14)-SUMIF($13:$13,$L$24,$14:$14)+100)/100</f>
        <v>1</v>
      </c>
      <c r="N510" s="2782"/>
      <c r="O510" s="478" t="n">
        <f aca="false">(SUMIF($15:$15,N510,$16:$16)-SUMIF($15:$15,$N$24,$16:$16)+100)/100</f>
        <v>1</v>
      </c>
      <c r="P510" s="2782"/>
      <c r="Q510" s="478" t="n">
        <f aca="false">(SUMIF($17:$17,P510,$18:$18)-SUMIF($17:$17,$P$24,$18:$18)+100)/100</f>
        <v>1</v>
      </c>
      <c r="R510" s="2772" t="n">
        <f aca="false">IF(B510="",0,ROUND($R$24*C510*E510*G510*I510*K510*M510*O510*Q510,0))</f>
        <v>0</v>
      </c>
      <c r="S510" s="2771" t="n">
        <f aca="false">ROUND(R510*B510/10000,0)</f>
        <v>0</v>
      </c>
    </row>
    <row r="511" customFormat="false" ht="12.75" hidden="false" customHeight="false" outlineLevel="0" collapsed="false">
      <c r="A511" s="1016"/>
      <c r="B511" s="2781"/>
      <c r="C511" s="478" t="n">
        <f aca="false">IF(B511="",1,(LOOKUP(B511,$3:$3,$4:$4)-LOOKUP($B$24,$3:$3,$4:$4)+100)/100)</f>
        <v>1</v>
      </c>
      <c r="D511" s="2782"/>
      <c r="E511" s="478" t="n">
        <f aca="false">(SUMIF($5:$5,D511,$6:$6)-SUMIF($5:$5,$D$24,$6:$6)+100)/100</f>
        <v>1</v>
      </c>
      <c r="F511" s="2782"/>
      <c r="G511" s="478" t="n">
        <f aca="false">(SUMIF($7:$7,F511,$8:$8)-SUMIF($7:$7,$F$24,$8:$8)+100)/100</f>
        <v>1</v>
      </c>
      <c r="H511" s="2782"/>
      <c r="I511" s="478" t="n">
        <f aca="false">(SUMIF($9:$9,H511,$10:$10)-SUMIF($9:$9,$H$24,$10:$10)+100)/100</f>
        <v>1</v>
      </c>
      <c r="J511" s="2782"/>
      <c r="K511" s="478" t="n">
        <f aca="false">(SUMIF($11:$11,J511,$12:$12)-SUMIF($11:$11,$J$24,$12:$12)+100)/100</f>
        <v>1</v>
      </c>
      <c r="L511" s="2782"/>
      <c r="M511" s="478" t="n">
        <f aca="false">(SUMIF($13:$13,L511,$14:$14)-SUMIF($13:$13,$L$24,$14:$14)+100)/100</f>
        <v>1</v>
      </c>
      <c r="N511" s="2782"/>
      <c r="O511" s="478" t="n">
        <f aca="false">(SUMIF($15:$15,N511,$16:$16)-SUMIF($15:$15,$N$24,$16:$16)+100)/100</f>
        <v>1</v>
      </c>
      <c r="P511" s="2782"/>
      <c r="Q511" s="478" t="n">
        <f aca="false">(SUMIF($17:$17,P511,$18:$18)-SUMIF($17:$17,$P$24,$18:$18)+100)/100</f>
        <v>1</v>
      </c>
      <c r="R511" s="2772" t="n">
        <f aca="false">IF(B511="",0,ROUND($R$24*C511*E511*G511*I511*K511*M511*O511*Q511,0))</f>
        <v>0</v>
      </c>
      <c r="S511" s="2771" t="n">
        <f aca="false">ROUND(R511*B511/10000,0)</f>
        <v>0</v>
      </c>
    </row>
    <row r="512" customFormat="false" ht="12.75" hidden="false" customHeight="false" outlineLevel="0" collapsed="false">
      <c r="A512" s="1016"/>
      <c r="B512" s="2781"/>
      <c r="C512" s="478" t="n">
        <f aca="false">IF(B512="",1,(LOOKUP(B512,$3:$3,$4:$4)-LOOKUP($B$24,$3:$3,$4:$4)+100)/100)</f>
        <v>1</v>
      </c>
      <c r="D512" s="2782"/>
      <c r="E512" s="478" t="n">
        <f aca="false">(SUMIF($5:$5,D512,$6:$6)-SUMIF($5:$5,$D$24,$6:$6)+100)/100</f>
        <v>1</v>
      </c>
      <c r="F512" s="2782"/>
      <c r="G512" s="478" t="n">
        <f aca="false">(SUMIF($7:$7,F512,$8:$8)-SUMIF($7:$7,$F$24,$8:$8)+100)/100</f>
        <v>1</v>
      </c>
      <c r="H512" s="2782"/>
      <c r="I512" s="478" t="n">
        <f aca="false">(SUMIF($9:$9,H512,$10:$10)-SUMIF($9:$9,$H$24,$10:$10)+100)/100</f>
        <v>1</v>
      </c>
      <c r="J512" s="2782"/>
      <c r="K512" s="478" t="n">
        <f aca="false">(SUMIF($11:$11,J512,$12:$12)-SUMIF($11:$11,$J$24,$12:$12)+100)/100</f>
        <v>1</v>
      </c>
      <c r="L512" s="2782"/>
      <c r="M512" s="478" t="n">
        <f aca="false">(SUMIF($13:$13,L512,$14:$14)-SUMIF($13:$13,$L$24,$14:$14)+100)/100</f>
        <v>1</v>
      </c>
      <c r="N512" s="2782"/>
      <c r="O512" s="478" t="n">
        <f aca="false">(SUMIF($15:$15,N512,$16:$16)-SUMIF($15:$15,$N$24,$16:$16)+100)/100</f>
        <v>1</v>
      </c>
      <c r="P512" s="2782"/>
      <c r="Q512" s="478" t="n">
        <f aca="false">(SUMIF($17:$17,P512,$18:$18)-SUMIF($17:$17,$P$24,$18:$18)+100)/100</f>
        <v>1</v>
      </c>
      <c r="R512" s="2772" t="n">
        <f aca="false">IF(B512="",0,ROUND($R$24*C512*E512*G512*I512*K512*M512*O512*Q512,0))</f>
        <v>0</v>
      </c>
      <c r="S512" s="2771" t="n">
        <f aca="false">ROUND(R512*B512/10000,0)</f>
        <v>0</v>
      </c>
    </row>
    <row r="513" customFormat="false" ht="12.75" hidden="false" customHeight="false" outlineLevel="0" collapsed="false">
      <c r="A513" s="1016"/>
      <c r="B513" s="2781"/>
      <c r="C513" s="478" t="n">
        <f aca="false">IF(B513="",1,(LOOKUP(B513,$3:$3,$4:$4)-LOOKUP($B$24,$3:$3,$4:$4)+100)/100)</f>
        <v>1</v>
      </c>
      <c r="D513" s="2782"/>
      <c r="E513" s="478" t="n">
        <f aca="false">(SUMIF($5:$5,D513,$6:$6)-SUMIF($5:$5,$D$24,$6:$6)+100)/100</f>
        <v>1</v>
      </c>
      <c r="F513" s="2782"/>
      <c r="G513" s="478" t="n">
        <f aca="false">(SUMIF($7:$7,F513,$8:$8)-SUMIF($7:$7,$F$24,$8:$8)+100)/100</f>
        <v>1</v>
      </c>
      <c r="H513" s="2782"/>
      <c r="I513" s="478" t="n">
        <f aca="false">(SUMIF($9:$9,H513,$10:$10)-SUMIF($9:$9,$H$24,$10:$10)+100)/100</f>
        <v>1</v>
      </c>
      <c r="J513" s="2782"/>
      <c r="K513" s="478" t="n">
        <f aca="false">(SUMIF($11:$11,J513,$12:$12)-SUMIF($11:$11,$J$24,$12:$12)+100)/100</f>
        <v>1</v>
      </c>
      <c r="L513" s="2782"/>
      <c r="M513" s="478" t="n">
        <f aca="false">(SUMIF($13:$13,L513,$14:$14)-SUMIF($13:$13,$L$24,$14:$14)+100)/100</f>
        <v>1</v>
      </c>
      <c r="N513" s="2782"/>
      <c r="O513" s="478" t="n">
        <f aca="false">(SUMIF($15:$15,N513,$16:$16)-SUMIF($15:$15,$N$24,$16:$16)+100)/100</f>
        <v>1</v>
      </c>
      <c r="P513" s="2782"/>
      <c r="Q513" s="478" t="n">
        <f aca="false">(SUMIF($17:$17,P513,$18:$18)-SUMIF($17:$17,$P$24,$18:$18)+100)/100</f>
        <v>1</v>
      </c>
      <c r="R513" s="2772" t="n">
        <f aca="false">IF(B513="",0,ROUND($R$24*C513*E513*G513*I513*K513*M513*O513*Q513,0))</f>
        <v>0</v>
      </c>
      <c r="S513" s="2771" t="n">
        <f aca="false">ROUND(R513*B513/10000,0)</f>
        <v>0</v>
      </c>
    </row>
    <row r="514" customFormat="false" ht="12.75" hidden="false" customHeight="false" outlineLevel="0" collapsed="false">
      <c r="A514" s="1016"/>
      <c r="B514" s="2781"/>
      <c r="C514" s="478" t="n">
        <f aca="false">IF(B514="",1,(LOOKUP(B514,$3:$3,$4:$4)-LOOKUP($B$24,$3:$3,$4:$4)+100)/100)</f>
        <v>1</v>
      </c>
      <c r="D514" s="2782"/>
      <c r="E514" s="478" t="n">
        <f aca="false">(SUMIF($5:$5,D514,$6:$6)-SUMIF($5:$5,$D$24,$6:$6)+100)/100</f>
        <v>1</v>
      </c>
      <c r="F514" s="2782"/>
      <c r="G514" s="478" t="n">
        <f aca="false">(SUMIF($7:$7,F514,$8:$8)-SUMIF($7:$7,$F$24,$8:$8)+100)/100</f>
        <v>1</v>
      </c>
      <c r="H514" s="2782"/>
      <c r="I514" s="478" t="n">
        <f aca="false">(SUMIF($9:$9,H514,$10:$10)-SUMIF($9:$9,$H$24,$10:$10)+100)/100</f>
        <v>1</v>
      </c>
      <c r="J514" s="2782"/>
      <c r="K514" s="478" t="n">
        <f aca="false">(SUMIF($11:$11,J514,$12:$12)-SUMIF($11:$11,$J$24,$12:$12)+100)/100</f>
        <v>1</v>
      </c>
      <c r="L514" s="2782"/>
      <c r="M514" s="478" t="n">
        <f aca="false">(SUMIF($13:$13,L514,$14:$14)-SUMIF($13:$13,$L$24,$14:$14)+100)/100</f>
        <v>1</v>
      </c>
      <c r="N514" s="2782"/>
      <c r="O514" s="478" t="n">
        <f aca="false">(SUMIF($15:$15,N514,$16:$16)-SUMIF($15:$15,$N$24,$16:$16)+100)/100</f>
        <v>1</v>
      </c>
      <c r="P514" s="2782"/>
      <c r="Q514" s="478" t="n">
        <f aca="false">(SUMIF($17:$17,P514,$18:$18)-SUMIF($17:$17,$P$24,$18:$18)+100)/100</f>
        <v>1</v>
      </c>
      <c r="R514" s="2772" t="n">
        <f aca="false">IF(B514="",0,ROUND($R$24*C514*E514*G514*I514*K514*M514*O514*Q514,0))</f>
        <v>0</v>
      </c>
      <c r="S514" s="2771" t="n">
        <f aca="false">ROUND(R514*B514/10000,0)</f>
        <v>0</v>
      </c>
    </row>
    <row r="515" customFormat="false" ht="12.75" hidden="false" customHeight="false" outlineLevel="0" collapsed="false">
      <c r="A515" s="1016"/>
      <c r="B515" s="2781"/>
      <c r="C515" s="478" t="n">
        <f aca="false">IF(B515="",1,(LOOKUP(B515,$3:$3,$4:$4)-LOOKUP($B$24,$3:$3,$4:$4)+100)/100)</f>
        <v>1</v>
      </c>
      <c r="D515" s="2782"/>
      <c r="E515" s="478" t="n">
        <f aca="false">(SUMIF($5:$5,D515,$6:$6)-SUMIF($5:$5,$D$24,$6:$6)+100)/100</f>
        <v>1</v>
      </c>
      <c r="F515" s="2782"/>
      <c r="G515" s="478" t="n">
        <f aca="false">(SUMIF($7:$7,F515,$8:$8)-SUMIF($7:$7,$F$24,$8:$8)+100)/100</f>
        <v>1</v>
      </c>
      <c r="H515" s="2782"/>
      <c r="I515" s="478" t="n">
        <f aca="false">(SUMIF($9:$9,H515,$10:$10)-SUMIF($9:$9,$H$24,$10:$10)+100)/100</f>
        <v>1</v>
      </c>
      <c r="J515" s="2782"/>
      <c r="K515" s="478" t="n">
        <f aca="false">(SUMIF($11:$11,J515,$12:$12)-SUMIF($11:$11,$J$24,$12:$12)+100)/100</f>
        <v>1</v>
      </c>
      <c r="L515" s="2782"/>
      <c r="M515" s="478" t="n">
        <f aca="false">(SUMIF($13:$13,L515,$14:$14)-SUMIF($13:$13,$L$24,$14:$14)+100)/100</f>
        <v>1</v>
      </c>
      <c r="N515" s="2782"/>
      <c r="O515" s="478" t="n">
        <f aca="false">(SUMIF($15:$15,N515,$16:$16)-SUMIF($15:$15,$N$24,$16:$16)+100)/100</f>
        <v>1</v>
      </c>
      <c r="P515" s="2782"/>
      <c r="Q515" s="478" t="n">
        <f aca="false">(SUMIF($17:$17,P515,$18:$18)-SUMIF($17:$17,$P$24,$18:$18)+100)/100</f>
        <v>1</v>
      </c>
      <c r="R515" s="2772" t="n">
        <f aca="false">IF(B515="",0,ROUND($R$24*C515*E515*G515*I515*K515*M515*O515*Q515,0))</f>
        <v>0</v>
      </c>
      <c r="S515" s="2771" t="n">
        <f aca="false">ROUND(R515*B515/10000,0)</f>
        <v>0</v>
      </c>
    </row>
    <row r="516" customFormat="false" ht="12.75" hidden="false" customHeight="false" outlineLevel="0" collapsed="false">
      <c r="A516" s="1016"/>
      <c r="B516" s="2781"/>
      <c r="C516" s="478" t="n">
        <f aca="false">IF(B516="",1,(LOOKUP(B516,$3:$3,$4:$4)-LOOKUP($B$24,$3:$3,$4:$4)+100)/100)</f>
        <v>1</v>
      </c>
      <c r="D516" s="2782"/>
      <c r="E516" s="478" t="n">
        <f aca="false">(SUMIF($5:$5,D516,$6:$6)-SUMIF($5:$5,$D$24,$6:$6)+100)/100</f>
        <v>1</v>
      </c>
      <c r="F516" s="2782"/>
      <c r="G516" s="478" t="n">
        <f aca="false">(SUMIF($7:$7,F516,$8:$8)-SUMIF($7:$7,$F$24,$8:$8)+100)/100</f>
        <v>1</v>
      </c>
      <c r="H516" s="2782"/>
      <c r="I516" s="478" t="n">
        <f aca="false">(SUMIF($9:$9,H516,$10:$10)-SUMIF($9:$9,$H$24,$10:$10)+100)/100</f>
        <v>1</v>
      </c>
      <c r="J516" s="2782"/>
      <c r="K516" s="478" t="n">
        <f aca="false">(SUMIF($11:$11,J516,$12:$12)-SUMIF($11:$11,$J$24,$12:$12)+100)/100</f>
        <v>1</v>
      </c>
      <c r="L516" s="2782"/>
      <c r="M516" s="478" t="n">
        <f aca="false">(SUMIF($13:$13,L516,$14:$14)-SUMIF($13:$13,$L$24,$14:$14)+100)/100</f>
        <v>1</v>
      </c>
      <c r="N516" s="2782"/>
      <c r="O516" s="478" t="n">
        <f aca="false">(SUMIF($15:$15,N516,$16:$16)-SUMIF($15:$15,$N$24,$16:$16)+100)/100</f>
        <v>1</v>
      </c>
      <c r="P516" s="2782"/>
      <c r="Q516" s="478" t="n">
        <f aca="false">(SUMIF($17:$17,P516,$18:$18)-SUMIF($17:$17,$P$24,$18:$18)+100)/100</f>
        <v>1</v>
      </c>
      <c r="R516" s="2772" t="n">
        <f aca="false">IF(B516="",0,ROUND($R$24*C516*E516*G516*I516*K516*M516*O516*Q516,0))</f>
        <v>0</v>
      </c>
      <c r="S516" s="2771" t="n">
        <f aca="false">ROUND(R516*B516/10000,0)</f>
        <v>0</v>
      </c>
    </row>
    <row r="517" customFormat="false" ht="12.75" hidden="false" customHeight="false" outlineLevel="0" collapsed="false">
      <c r="A517" s="1016"/>
      <c r="B517" s="2781"/>
      <c r="C517" s="478" t="n">
        <f aca="false">IF(B517="",1,(LOOKUP(B517,$3:$3,$4:$4)-LOOKUP($B$24,$3:$3,$4:$4)+100)/100)</f>
        <v>1</v>
      </c>
      <c r="D517" s="2782"/>
      <c r="E517" s="478" t="n">
        <f aca="false">(SUMIF($5:$5,D517,$6:$6)-SUMIF($5:$5,$D$24,$6:$6)+100)/100</f>
        <v>1</v>
      </c>
      <c r="F517" s="2782"/>
      <c r="G517" s="478" t="n">
        <f aca="false">(SUMIF($7:$7,F517,$8:$8)-SUMIF($7:$7,$F$24,$8:$8)+100)/100</f>
        <v>1</v>
      </c>
      <c r="H517" s="2782"/>
      <c r="I517" s="478" t="n">
        <f aca="false">(SUMIF($9:$9,H517,$10:$10)-SUMIF($9:$9,$H$24,$10:$10)+100)/100</f>
        <v>1</v>
      </c>
      <c r="J517" s="2782"/>
      <c r="K517" s="478" t="n">
        <f aca="false">(SUMIF($11:$11,J517,$12:$12)-SUMIF($11:$11,$J$24,$12:$12)+100)/100</f>
        <v>1</v>
      </c>
      <c r="L517" s="2782"/>
      <c r="M517" s="478" t="n">
        <f aca="false">(SUMIF($13:$13,L517,$14:$14)-SUMIF($13:$13,$L$24,$14:$14)+100)/100</f>
        <v>1</v>
      </c>
      <c r="N517" s="2782"/>
      <c r="O517" s="478" t="n">
        <f aca="false">(SUMIF($15:$15,N517,$16:$16)-SUMIF($15:$15,$N$24,$16:$16)+100)/100</f>
        <v>1</v>
      </c>
      <c r="P517" s="2782"/>
      <c r="Q517" s="478" t="n">
        <f aca="false">(SUMIF($17:$17,P517,$18:$18)-SUMIF($17:$17,$P$24,$18:$18)+100)/100</f>
        <v>1</v>
      </c>
      <c r="R517" s="2772" t="n">
        <f aca="false">IF(B517="",0,ROUND($R$24*C517*E517*G517*I517*K517*M517*O517*Q517,0))</f>
        <v>0</v>
      </c>
      <c r="S517" s="2771" t="n">
        <f aca="false">ROUND(R517*B517/10000,0)</f>
        <v>0</v>
      </c>
    </row>
    <row r="518" customFormat="false" ht="12.75" hidden="false" customHeight="false" outlineLevel="0" collapsed="false">
      <c r="A518" s="1016"/>
      <c r="B518" s="2781"/>
      <c r="C518" s="478" t="n">
        <f aca="false">IF(B518="",1,(LOOKUP(B518,$3:$3,$4:$4)-LOOKUP($B$24,$3:$3,$4:$4)+100)/100)</f>
        <v>1</v>
      </c>
      <c r="D518" s="2782"/>
      <c r="E518" s="478" t="n">
        <f aca="false">(SUMIF($5:$5,D518,$6:$6)-SUMIF($5:$5,$D$24,$6:$6)+100)/100</f>
        <v>1</v>
      </c>
      <c r="F518" s="2782"/>
      <c r="G518" s="478" t="n">
        <f aca="false">(SUMIF($7:$7,F518,$8:$8)-SUMIF($7:$7,$F$24,$8:$8)+100)/100</f>
        <v>1</v>
      </c>
      <c r="H518" s="2782"/>
      <c r="I518" s="478" t="n">
        <f aca="false">(SUMIF($9:$9,H518,$10:$10)-SUMIF($9:$9,$H$24,$10:$10)+100)/100</f>
        <v>1</v>
      </c>
      <c r="J518" s="2782"/>
      <c r="K518" s="478" t="n">
        <f aca="false">(SUMIF($11:$11,J518,$12:$12)-SUMIF($11:$11,$J$24,$12:$12)+100)/100</f>
        <v>1</v>
      </c>
      <c r="L518" s="2782"/>
      <c r="M518" s="478" t="n">
        <f aca="false">(SUMIF($13:$13,L518,$14:$14)-SUMIF($13:$13,$L$24,$14:$14)+100)/100</f>
        <v>1</v>
      </c>
      <c r="N518" s="2782"/>
      <c r="O518" s="478" t="n">
        <f aca="false">(SUMIF($15:$15,N518,$16:$16)-SUMIF($15:$15,$N$24,$16:$16)+100)/100</f>
        <v>1</v>
      </c>
      <c r="P518" s="2782"/>
      <c r="Q518" s="478" t="n">
        <f aca="false">(SUMIF($17:$17,P518,$18:$18)-SUMIF($17:$17,$P$24,$18:$18)+100)/100</f>
        <v>1</v>
      </c>
      <c r="R518" s="2772" t="n">
        <f aca="false">IF(B518="",0,ROUND($R$24*C518*E518*G518*I518*K518*M518*O518*Q518,0))</f>
        <v>0</v>
      </c>
      <c r="S518" s="2771" t="n">
        <f aca="false">ROUND(R518*B518/10000,0)</f>
        <v>0</v>
      </c>
    </row>
    <row r="519" customFormat="false" ht="12.75" hidden="false" customHeight="false" outlineLevel="0" collapsed="false">
      <c r="A519" s="1016"/>
      <c r="B519" s="2781"/>
      <c r="C519" s="478" t="n">
        <f aca="false">IF(B519="",1,(LOOKUP(B519,$3:$3,$4:$4)-LOOKUP($B$24,$3:$3,$4:$4)+100)/100)</f>
        <v>1</v>
      </c>
      <c r="D519" s="2782"/>
      <c r="E519" s="478" t="n">
        <f aca="false">(SUMIF($5:$5,D519,$6:$6)-SUMIF($5:$5,$D$24,$6:$6)+100)/100</f>
        <v>1</v>
      </c>
      <c r="F519" s="2782"/>
      <c r="G519" s="478" t="n">
        <f aca="false">(SUMIF($7:$7,F519,$8:$8)-SUMIF($7:$7,$F$24,$8:$8)+100)/100</f>
        <v>1</v>
      </c>
      <c r="H519" s="2782"/>
      <c r="I519" s="478" t="n">
        <f aca="false">(SUMIF($9:$9,H519,$10:$10)-SUMIF($9:$9,$H$24,$10:$10)+100)/100</f>
        <v>1</v>
      </c>
      <c r="J519" s="2782"/>
      <c r="K519" s="478" t="n">
        <f aca="false">(SUMIF($11:$11,J519,$12:$12)-SUMIF($11:$11,$J$24,$12:$12)+100)/100</f>
        <v>1</v>
      </c>
      <c r="L519" s="2782"/>
      <c r="M519" s="478" t="n">
        <f aca="false">(SUMIF($13:$13,L519,$14:$14)-SUMIF($13:$13,$L$24,$14:$14)+100)/100</f>
        <v>1</v>
      </c>
      <c r="N519" s="2782"/>
      <c r="O519" s="478" t="n">
        <f aca="false">(SUMIF($15:$15,N519,$16:$16)-SUMIF($15:$15,$N$24,$16:$16)+100)/100</f>
        <v>1</v>
      </c>
      <c r="P519" s="2782"/>
      <c r="Q519" s="478" t="n">
        <f aca="false">(SUMIF($17:$17,P519,$18:$18)-SUMIF($17:$17,$P$24,$18:$18)+100)/100</f>
        <v>1</v>
      </c>
      <c r="R519" s="2772" t="n">
        <f aca="false">IF(B519="",0,ROUND($R$24*C519*E519*G519*I519*K519*M519*O519*Q519,0))</f>
        <v>0</v>
      </c>
      <c r="S519" s="2771" t="n">
        <f aca="false">ROUND(R519*B519/10000,0)</f>
        <v>0</v>
      </c>
    </row>
    <row r="520" customFormat="false" ht="12.75" hidden="false" customHeight="false" outlineLevel="0" collapsed="false">
      <c r="A520" s="1016"/>
      <c r="B520" s="2781"/>
      <c r="C520" s="478" t="n">
        <f aca="false">IF(B520="",1,(LOOKUP(B520,$3:$3,$4:$4)-LOOKUP($B$24,$3:$3,$4:$4)+100)/100)</f>
        <v>1</v>
      </c>
      <c r="D520" s="2782"/>
      <c r="E520" s="478" t="n">
        <f aca="false">(SUMIF($5:$5,D520,$6:$6)-SUMIF($5:$5,$D$24,$6:$6)+100)/100</f>
        <v>1</v>
      </c>
      <c r="F520" s="2782"/>
      <c r="G520" s="478" t="n">
        <f aca="false">(SUMIF($7:$7,F520,$8:$8)-SUMIF($7:$7,$F$24,$8:$8)+100)/100</f>
        <v>1</v>
      </c>
      <c r="H520" s="2782"/>
      <c r="I520" s="478" t="n">
        <f aca="false">(SUMIF($9:$9,H520,$10:$10)-SUMIF($9:$9,$H$24,$10:$10)+100)/100</f>
        <v>1</v>
      </c>
      <c r="J520" s="2782"/>
      <c r="K520" s="478" t="n">
        <f aca="false">(SUMIF($11:$11,J520,$12:$12)-SUMIF($11:$11,$J$24,$12:$12)+100)/100</f>
        <v>1</v>
      </c>
      <c r="L520" s="2782"/>
      <c r="M520" s="478" t="n">
        <f aca="false">(SUMIF($13:$13,L520,$14:$14)-SUMIF($13:$13,$L$24,$14:$14)+100)/100</f>
        <v>1</v>
      </c>
      <c r="N520" s="2782"/>
      <c r="O520" s="478" t="n">
        <f aca="false">(SUMIF($15:$15,N520,$16:$16)-SUMIF($15:$15,$N$24,$16:$16)+100)/100</f>
        <v>1</v>
      </c>
      <c r="P520" s="2782"/>
      <c r="Q520" s="478" t="n">
        <f aca="false">(SUMIF($17:$17,P520,$18:$18)-SUMIF($17:$17,$P$24,$18:$18)+100)/100</f>
        <v>1</v>
      </c>
      <c r="R520" s="2772" t="n">
        <f aca="false">IF(B520="",0,ROUND($R$24*C520*E520*G520*I520*K520*M520*O520*Q520,0))</f>
        <v>0</v>
      </c>
      <c r="S520" s="2771" t="n">
        <f aca="false">ROUND(R520*B520/10000,0)</f>
        <v>0</v>
      </c>
    </row>
    <row r="521" customFormat="false" ht="12.75" hidden="false" customHeight="false" outlineLevel="0" collapsed="false">
      <c r="A521" s="1016"/>
      <c r="B521" s="2781"/>
      <c r="C521" s="478" t="n">
        <f aca="false">IF(B521="",1,(LOOKUP(B521,$3:$3,$4:$4)-LOOKUP($B$24,$3:$3,$4:$4)+100)/100)</f>
        <v>1</v>
      </c>
      <c r="D521" s="2782"/>
      <c r="E521" s="478" t="n">
        <f aca="false">(SUMIF($5:$5,D521,$6:$6)-SUMIF($5:$5,$D$24,$6:$6)+100)/100</f>
        <v>1</v>
      </c>
      <c r="F521" s="2782"/>
      <c r="G521" s="478" t="n">
        <f aca="false">(SUMIF($7:$7,F521,$8:$8)-SUMIF($7:$7,$F$24,$8:$8)+100)/100</f>
        <v>1</v>
      </c>
      <c r="H521" s="2782"/>
      <c r="I521" s="478" t="n">
        <f aca="false">(SUMIF($9:$9,H521,$10:$10)-SUMIF($9:$9,$H$24,$10:$10)+100)/100</f>
        <v>1</v>
      </c>
      <c r="J521" s="2782"/>
      <c r="K521" s="478" t="n">
        <f aca="false">(SUMIF($11:$11,J521,$12:$12)-SUMIF($11:$11,$J$24,$12:$12)+100)/100</f>
        <v>1</v>
      </c>
      <c r="L521" s="2782"/>
      <c r="M521" s="478" t="n">
        <f aca="false">(SUMIF($13:$13,L521,$14:$14)-SUMIF($13:$13,$L$24,$14:$14)+100)/100</f>
        <v>1</v>
      </c>
      <c r="N521" s="2782"/>
      <c r="O521" s="478" t="n">
        <f aca="false">(SUMIF($15:$15,N521,$16:$16)-SUMIF($15:$15,$N$24,$16:$16)+100)/100</f>
        <v>1</v>
      </c>
      <c r="P521" s="2782"/>
      <c r="Q521" s="478" t="n">
        <f aca="false">(SUMIF($17:$17,P521,$18:$18)-SUMIF($17:$17,$P$24,$18:$18)+100)/100</f>
        <v>1</v>
      </c>
      <c r="R521" s="2772" t="n">
        <f aca="false">IF(B521="",0,ROUND($R$24*C521*E521*G521*I521*K521*M521*O521*Q521,0))</f>
        <v>0</v>
      </c>
      <c r="S521" s="2771" t="n">
        <f aca="false">ROUND(R521*B521/10000,0)</f>
        <v>0</v>
      </c>
    </row>
    <row r="522" customFormat="false" ht="12.75" hidden="false" customHeight="false" outlineLevel="0" collapsed="false">
      <c r="A522" s="1016"/>
      <c r="B522" s="2781"/>
      <c r="C522" s="478" t="n">
        <f aca="false">IF(B522="",1,(LOOKUP(B522,$3:$3,$4:$4)-LOOKUP($B$24,$3:$3,$4:$4)+100)/100)</f>
        <v>1</v>
      </c>
      <c r="D522" s="2782"/>
      <c r="E522" s="478" t="n">
        <f aca="false">(SUMIF($5:$5,D522,$6:$6)-SUMIF($5:$5,$D$24,$6:$6)+100)/100</f>
        <v>1</v>
      </c>
      <c r="F522" s="2782"/>
      <c r="G522" s="478" t="n">
        <f aca="false">(SUMIF($7:$7,F522,$8:$8)-SUMIF($7:$7,$F$24,$8:$8)+100)/100</f>
        <v>1</v>
      </c>
      <c r="H522" s="2782"/>
      <c r="I522" s="478" t="n">
        <f aca="false">(SUMIF($9:$9,H522,$10:$10)-SUMIF($9:$9,$H$24,$10:$10)+100)/100</f>
        <v>1</v>
      </c>
      <c r="J522" s="2782"/>
      <c r="K522" s="478" t="n">
        <f aca="false">(SUMIF($11:$11,J522,$12:$12)-SUMIF($11:$11,$J$24,$12:$12)+100)/100</f>
        <v>1</v>
      </c>
      <c r="L522" s="2782"/>
      <c r="M522" s="478" t="n">
        <f aca="false">(SUMIF($13:$13,L522,$14:$14)-SUMIF($13:$13,$L$24,$14:$14)+100)/100</f>
        <v>1</v>
      </c>
      <c r="N522" s="2782"/>
      <c r="O522" s="478" t="n">
        <f aca="false">(SUMIF($15:$15,N522,$16:$16)-SUMIF($15:$15,$N$24,$16:$16)+100)/100</f>
        <v>1</v>
      </c>
      <c r="P522" s="2782"/>
      <c r="Q522" s="478" t="n">
        <f aca="false">(SUMIF($17:$17,P522,$18:$18)-SUMIF($17:$17,$P$24,$18:$18)+100)/100</f>
        <v>1</v>
      </c>
      <c r="R522" s="2772" t="n">
        <f aca="false">IF(B522="",0,ROUND($R$24*C522*E522*G522*I522*K522*M522*O522*Q522,0))</f>
        <v>0</v>
      </c>
      <c r="S522" s="2771" t="n">
        <f aca="false">ROUND(R522*B522/10000,0)</f>
        <v>0</v>
      </c>
    </row>
    <row r="523" customFormat="false" ht="12.75" hidden="false" customHeight="false" outlineLevel="0" collapsed="false">
      <c r="A523" s="1016"/>
      <c r="B523" s="2781"/>
      <c r="C523" s="478" t="n">
        <f aca="false">IF(B523="",1,(LOOKUP(B523,$3:$3,$4:$4)-LOOKUP($B$24,$3:$3,$4:$4)+100)/100)</f>
        <v>1</v>
      </c>
      <c r="D523" s="2782"/>
      <c r="E523" s="478" t="n">
        <f aca="false">(SUMIF($5:$5,D523,$6:$6)-SUMIF($5:$5,$D$24,$6:$6)+100)/100</f>
        <v>1</v>
      </c>
      <c r="F523" s="2782"/>
      <c r="G523" s="478" t="n">
        <f aca="false">(SUMIF($7:$7,F523,$8:$8)-SUMIF($7:$7,$F$24,$8:$8)+100)/100</f>
        <v>1</v>
      </c>
      <c r="H523" s="2782"/>
      <c r="I523" s="478" t="n">
        <f aca="false">(SUMIF($9:$9,H523,$10:$10)-SUMIF($9:$9,$H$24,$10:$10)+100)/100</f>
        <v>1</v>
      </c>
      <c r="J523" s="2782"/>
      <c r="K523" s="478" t="n">
        <f aca="false">(SUMIF($11:$11,J523,$12:$12)-SUMIF($11:$11,$J$24,$12:$12)+100)/100</f>
        <v>1</v>
      </c>
      <c r="L523" s="2782"/>
      <c r="M523" s="478" t="n">
        <f aca="false">(SUMIF($13:$13,L523,$14:$14)-SUMIF($13:$13,$L$24,$14:$14)+100)/100</f>
        <v>1</v>
      </c>
      <c r="N523" s="2782"/>
      <c r="O523" s="478" t="n">
        <f aca="false">(SUMIF($15:$15,N523,$16:$16)-SUMIF($15:$15,$N$24,$16:$16)+100)/100</f>
        <v>1</v>
      </c>
      <c r="P523" s="2782"/>
      <c r="Q523" s="478" t="n">
        <f aca="false">(SUMIF($17:$17,P523,$18:$18)-SUMIF($17:$17,$P$24,$18:$18)+100)/100</f>
        <v>1</v>
      </c>
      <c r="R523" s="2772" t="n">
        <f aca="false">IF(B523="",0,ROUND($R$24*C523*E523*G523*I523*K523*M523*O523*Q523,0))</f>
        <v>0</v>
      </c>
      <c r="S523" s="2771" t="n">
        <f aca="false">ROUND(R523*B523/10000,0)</f>
        <v>0</v>
      </c>
    </row>
    <row r="524" customFormat="false" ht="12.75" hidden="false" customHeight="false" outlineLevel="0" collapsed="false">
      <c r="A524" s="1016"/>
      <c r="B524" s="2781"/>
      <c r="C524" s="478" t="n">
        <f aca="false">IF(B524="",1,(LOOKUP(B524,$3:$3,$4:$4)-LOOKUP($B$24,$3:$3,$4:$4)+100)/100)</f>
        <v>1</v>
      </c>
      <c r="D524" s="2782"/>
      <c r="E524" s="478" t="n">
        <f aca="false">(SUMIF($5:$5,D524,$6:$6)-SUMIF($5:$5,$D$24,$6:$6)+100)/100</f>
        <v>1</v>
      </c>
      <c r="F524" s="2782"/>
      <c r="G524" s="478" t="n">
        <f aca="false">(SUMIF($7:$7,F524,$8:$8)-SUMIF($7:$7,$F$24,$8:$8)+100)/100</f>
        <v>1</v>
      </c>
      <c r="H524" s="2782"/>
      <c r="I524" s="478" t="n">
        <f aca="false">(SUMIF($9:$9,H524,$10:$10)-SUMIF($9:$9,$H$24,$10:$10)+100)/100</f>
        <v>1</v>
      </c>
      <c r="J524" s="2782"/>
      <c r="K524" s="478" t="n">
        <f aca="false">(SUMIF($11:$11,J524,$12:$12)-SUMIF($11:$11,$J$24,$12:$12)+100)/100</f>
        <v>1</v>
      </c>
      <c r="L524" s="2782"/>
      <c r="M524" s="478" t="n">
        <f aca="false">(SUMIF($13:$13,L524,$14:$14)-SUMIF($13:$13,$L$24,$14:$14)+100)/100</f>
        <v>1</v>
      </c>
      <c r="N524" s="2782"/>
      <c r="O524" s="478" t="n">
        <f aca="false">(SUMIF($15:$15,N524,$16:$16)-SUMIF($15:$15,$N$24,$16:$16)+100)/100</f>
        <v>1</v>
      </c>
      <c r="P524" s="2782"/>
      <c r="Q524" s="478" t="n">
        <f aca="false">(SUMIF($17:$17,P524,$18:$18)-SUMIF($17:$17,$P$24,$18:$18)+100)/100</f>
        <v>1</v>
      </c>
      <c r="R524" s="2772" t="n">
        <f aca="false">IF(B524="",0,ROUND($R$24*C524*E524*G524*I524*K524*M524*O524*Q524,0))</f>
        <v>0</v>
      </c>
      <c r="S524" s="2771" t="n">
        <f aca="false">ROUND(R524*B524/10000,0)</f>
        <v>0</v>
      </c>
    </row>
  </sheetData>
  <sheetProtection sheet="true" password="cee9" objects="true" scenarios="true" formatCells="false" formatColumns="false" formatRows="false"/>
  <mergeCells count="2">
    <mergeCell ref="C1:S1"/>
    <mergeCell ref="C22:Q22"/>
  </mergeCells>
  <conditionalFormatting sqref="C24:C524 E24:E524 G24:G524 I24:I524 K24:K524 M24:M524 O24:O524 Q24:Q524">
    <cfRule type="cellIs" priority="2" operator="notEqual" aboveAverage="0" equalAverage="0" bottom="0" percent="0" rank="0" text="" dxfId="225">
      <formula>1</formula>
    </cfRule>
  </conditionalFormatting>
  <dataValidations count="9">
    <dataValidation allowBlank="true" operator="between" showDropDown="false" showErrorMessage="true" showInputMessage="true" sqref="P24:P524" type="list">
      <formula1>一修多修正项8</formula1>
      <formula2>0</formula2>
    </dataValidation>
    <dataValidation allowBlank="true" operator="between" showDropDown="false" showErrorMessage="true" showInputMessage="true" sqref="H24:H524" type="list">
      <formula1>一修多修正项4</formula1>
      <formula2>0</formula2>
    </dataValidation>
    <dataValidation allowBlank="true" operator="between" showDropDown="false" showErrorMessage="true" showInputMessage="true" sqref="H20" type="list">
      <formula1>估价方法</formula1>
      <formula2>0</formula2>
    </dataValidation>
    <dataValidation allowBlank="true" operator="between" showDropDown="false" showErrorMessage="true" showInputMessage="true" sqref="D20" type="list">
      <formula1>"需扣减承租人权益,——"</formula1>
      <formula2>0</formula2>
    </dataValidation>
    <dataValidation allowBlank="true" operator="between" showDropDown="false" showErrorMessage="true" showInputMessage="true" sqref="F24:F524" type="list">
      <formula1>一修多修正项3</formula1>
      <formula2>0</formula2>
    </dataValidation>
    <dataValidation allowBlank="true" operator="between" showDropDown="false" showErrorMessage="true" showInputMessage="true" sqref="D24:D524" type="list">
      <formula1>一修多修正项2</formula1>
      <formula2>0</formula2>
    </dataValidation>
    <dataValidation allowBlank="true" operator="between" showDropDown="false" showErrorMessage="true" showInputMessage="true" sqref="J24:J524" type="list">
      <formula1>一修多修正项5</formula1>
      <formula2>0</formula2>
    </dataValidation>
    <dataValidation allowBlank="true" operator="between" showDropDown="false" showErrorMessage="true" showInputMessage="true" sqref="L24:L524" type="list">
      <formula1>一修多修正项6</formula1>
      <formula2>0</formula2>
    </dataValidation>
    <dataValidation allowBlank="true" operator="between" showDropDown="false" showErrorMessage="true" showInputMessage="true" sqref="N24:N524" type="list">
      <formula1>一修多修正项7</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6.xml><?xml version="1.0" encoding="utf-8"?>
<worksheet xmlns="http://schemas.openxmlformats.org/spreadsheetml/2006/main" xmlns:r="http://schemas.openxmlformats.org/officeDocument/2006/relationships">
  <sheetPr filterMode="false">
    <pageSetUpPr fitToPage="false"/>
  </sheetPr>
  <dimension ref="A1:P21"/>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H3" activeCellId="0" sqref="H3"/>
    </sheetView>
  </sheetViews>
  <sheetFormatPr defaultRowHeight="14.25" zeroHeight="false" outlineLevelRow="0" outlineLevelCol="0"/>
  <cols>
    <col collapsed="false" customWidth="true" hidden="false" outlineLevel="0" max="1" min="1" style="24" width="23.38"/>
    <col collapsed="false" customWidth="true" hidden="false" outlineLevel="0" max="2" min="2" style="24" width="12.5"/>
    <col collapsed="false" customWidth="true" hidden="false" outlineLevel="0" max="3" min="3" style="24" width="12.12"/>
    <col collapsed="false" customWidth="true" hidden="false" outlineLevel="0" max="4" min="4" style="24" width="14.12"/>
    <col collapsed="false" customWidth="true" hidden="false" outlineLevel="0" max="5" min="5" style="24" width="12.5"/>
    <col collapsed="false" customWidth="true" hidden="false" outlineLevel="0" max="1025" min="6" style="24" width="9"/>
  </cols>
  <sheetData>
    <row r="1" customFormat="false" ht="21" hidden="false" customHeight="false" outlineLevel="0" collapsed="false">
      <c r="A1" s="1889" t="s">
        <v>1609</v>
      </c>
      <c r="B1" s="2783"/>
      <c r="C1" s="2783"/>
      <c r="D1" s="2783"/>
      <c r="E1" s="2783"/>
      <c r="F1" s="525"/>
      <c r="G1" s="525"/>
      <c r="H1" s="525"/>
      <c r="I1" s="525"/>
      <c r="J1" s="525"/>
      <c r="K1" s="525"/>
      <c r="L1" s="525"/>
      <c r="M1" s="525"/>
      <c r="N1" s="525"/>
      <c r="O1" s="525"/>
      <c r="P1" s="525"/>
    </row>
    <row r="2" customFormat="false" ht="15.75" hidden="false" customHeight="false" outlineLevel="0" collapsed="false">
      <c r="A2" s="2784" t="s">
        <v>97</v>
      </c>
      <c r="B2" s="1907" t="e">
        <f aca="false">SUMIF(B6:B13,"&lt;&gt;#ref!",B6:B13)</f>
        <v>#DIV/0!</v>
      </c>
      <c r="C2" s="2784" t="s">
        <v>722</v>
      </c>
      <c r="D2" s="2784" t="s">
        <v>1260</v>
      </c>
      <c r="E2" s="2785" t="n">
        <f aca="false">SUMIF(E6:E13,"&lt;&gt;#ref!",E6:E13)</f>
        <v>0</v>
      </c>
      <c r="F2" s="525"/>
      <c r="G2" s="525"/>
      <c r="H2" s="525"/>
      <c r="I2" s="525"/>
      <c r="J2" s="525"/>
      <c r="K2" s="525"/>
      <c r="L2" s="525"/>
      <c r="M2" s="525"/>
      <c r="N2" s="525"/>
      <c r="O2" s="525"/>
      <c r="P2" s="525"/>
    </row>
    <row r="3" customFormat="false" ht="15.75" hidden="false" customHeight="false" outlineLevel="0" collapsed="false">
      <c r="A3" s="2784" t="s">
        <v>110</v>
      </c>
      <c r="B3" s="1907" t="e">
        <f aca="false">ROUND(B2*10000/E2,0)</f>
        <v>#DIV/0!</v>
      </c>
      <c r="C3" s="2784" t="s">
        <v>966</v>
      </c>
      <c r="D3" s="525"/>
      <c r="E3" s="525"/>
      <c r="F3" s="525"/>
      <c r="G3" s="525"/>
      <c r="H3" s="525"/>
      <c r="I3" s="525"/>
      <c r="J3" s="525"/>
      <c r="K3" s="525"/>
      <c r="L3" s="525"/>
      <c r="M3" s="525"/>
      <c r="N3" s="525"/>
      <c r="O3" s="525"/>
      <c r="P3" s="525"/>
    </row>
    <row r="4" customFormat="false" ht="15.75" hidden="false" customHeight="false" outlineLevel="0" collapsed="false">
      <c r="A4" s="2786"/>
      <c r="B4" s="525"/>
      <c r="C4" s="525"/>
      <c r="D4" s="525"/>
      <c r="E4" s="525"/>
      <c r="F4" s="525"/>
      <c r="G4" s="525"/>
      <c r="H4" s="525"/>
      <c r="I4" s="525"/>
      <c r="J4" s="525"/>
      <c r="K4" s="525"/>
      <c r="L4" s="525"/>
      <c r="M4" s="525"/>
      <c r="N4" s="525"/>
      <c r="O4" s="525"/>
      <c r="P4" s="525"/>
    </row>
    <row r="5" customFormat="false" ht="28.5" hidden="false" customHeight="false" outlineLevel="0" collapsed="false">
      <c r="A5" s="2787" t="s">
        <v>1610</v>
      </c>
      <c r="B5" s="2788" t="s">
        <v>853</v>
      </c>
      <c r="C5" s="2789"/>
      <c r="D5" s="525"/>
      <c r="E5" s="2790" t="s">
        <v>107</v>
      </c>
      <c r="F5" s="525"/>
      <c r="G5" s="525"/>
      <c r="H5" s="525"/>
      <c r="I5" s="525"/>
      <c r="J5" s="525"/>
      <c r="K5" s="525"/>
      <c r="L5" s="525"/>
      <c r="M5" s="525"/>
      <c r="N5" s="525"/>
      <c r="O5" s="525"/>
      <c r="P5" s="525"/>
    </row>
    <row r="6" customFormat="false" ht="15.75" hidden="false" customHeight="false" outlineLevel="0" collapsed="false">
      <c r="A6" s="2791" t="s">
        <v>305</v>
      </c>
      <c r="B6" s="1907" t="e">
        <f aca="true">SUMIF(INDIRECT("'"&amp;A6&amp;"'"&amp;"!A:A"),"总价",INDIRECT("'"&amp;A6&amp;"'"&amp;"!B:B"))</f>
        <v>#DIV/0!</v>
      </c>
      <c r="C6" s="2784" t="s">
        <v>722</v>
      </c>
      <c r="D6" s="525"/>
      <c r="E6" s="2785" t="n">
        <f aca="true">SUMIF(INDIRECT("'"&amp;A6&amp;"'"&amp;"!C:C"),"建筑面积",INDIRECT("'"&amp;A6&amp;"'"&amp;"!D:D"))</f>
        <v>0</v>
      </c>
      <c r="F6" s="525"/>
      <c r="G6" s="525"/>
      <c r="H6" s="525"/>
      <c r="I6" s="525"/>
      <c r="J6" s="525"/>
      <c r="K6" s="525"/>
      <c r="L6" s="525"/>
      <c r="M6" s="525"/>
      <c r="N6" s="525"/>
      <c r="O6" s="525"/>
      <c r="P6" s="525"/>
    </row>
    <row r="7" customFormat="false" ht="15.75" hidden="false" customHeight="false" outlineLevel="0" collapsed="false">
      <c r="A7" s="2791"/>
      <c r="B7" s="1907" t="e">
        <f aca="true">SUMIF(INDIRECT("'"&amp;A7&amp;"'"&amp;"!A:A"),"总价",INDIRECT("'"&amp;A7&amp;"'"&amp;"!B:B"))</f>
        <v>#REF!</v>
      </c>
      <c r="C7" s="2784" t="s">
        <v>722</v>
      </c>
      <c r="D7" s="525"/>
      <c r="E7" s="2785" t="e">
        <f aca="true">SUMIF(INDIRECT("'"&amp;A7&amp;"'"&amp;"!C:C"),"建筑面积",INDIRECT("'"&amp;A7&amp;"'"&amp;"!D:D"))</f>
        <v>#REF!</v>
      </c>
      <c r="F7" s="525"/>
      <c r="G7" s="525"/>
      <c r="H7" s="525"/>
      <c r="I7" s="525"/>
      <c r="J7" s="525"/>
      <c r="K7" s="525"/>
      <c r="L7" s="525"/>
      <c r="M7" s="525"/>
      <c r="N7" s="525"/>
      <c r="O7" s="525"/>
      <c r="P7" s="525"/>
    </row>
    <row r="8" customFormat="false" ht="15.75" hidden="false" customHeight="false" outlineLevel="0" collapsed="false">
      <c r="A8" s="2791"/>
      <c r="B8" s="1907" t="e">
        <f aca="true">SUMIF(INDIRECT("'"&amp;A8&amp;"'"&amp;"!A:A"),"总价",INDIRECT("'"&amp;A8&amp;"'"&amp;"!B:B"))</f>
        <v>#REF!</v>
      </c>
      <c r="C8" s="2784" t="s">
        <v>722</v>
      </c>
      <c r="D8" s="525"/>
      <c r="E8" s="2785" t="e">
        <f aca="true">SUMIF(INDIRECT("'"&amp;A8&amp;"'"&amp;"!C:C"),"建筑面积",INDIRECT("'"&amp;A8&amp;"'"&amp;"!D:D"))</f>
        <v>#REF!</v>
      </c>
      <c r="F8" s="525"/>
      <c r="G8" s="525"/>
      <c r="H8" s="525"/>
      <c r="I8" s="525"/>
      <c r="J8" s="525"/>
      <c r="K8" s="525"/>
      <c r="L8" s="525"/>
      <c r="M8" s="525"/>
      <c r="N8" s="525"/>
      <c r="O8" s="525"/>
      <c r="P8" s="525"/>
    </row>
    <row r="9" customFormat="false" ht="15.75" hidden="false" customHeight="false" outlineLevel="0" collapsed="false">
      <c r="A9" s="2791"/>
      <c r="B9" s="1907" t="e">
        <f aca="true">SUMIF(INDIRECT("'"&amp;A9&amp;"'"&amp;"!A:A"),"总价",INDIRECT("'"&amp;A9&amp;"'"&amp;"!B:B"))</f>
        <v>#REF!</v>
      </c>
      <c r="C9" s="2784" t="s">
        <v>722</v>
      </c>
      <c r="D9" s="525"/>
      <c r="E9" s="2785" t="e">
        <f aca="true">SUMIF(INDIRECT("'"&amp;A9&amp;"'"&amp;"!C:C"),"建筑面积",INDIRECT("'"&amp;A9&amp;"'"&amp;"!D:D"))</f>
        <v>#REF!</v>
      </c>
      <c r="F9" s="525"/>
      <c r="G9" s="525"/>
      <c r="H9" s="525"/>
      <c r="I9" s="525"/>
      <c r="J9" s="525"/>
      <c r="K9" s="525"/>
      <c r="L9" s="525"/>
      <c r="M9" s="525"/>
      <c r="N9" s="525"/>
      <c r="O9" s="525"/>
      <c r="P9" s="525"/>
    </row>
    <row r="10" customFormat="false" ht="15.75" hidden="false" customHeight="false" outlineLevel="0" collapsed="false">
      <c r="A10" s="2791"/>
      <c r="B10" s="1907" t="e">
        <f aca="true">SUMIF(INDIRECT("'"&amp;A10&amp;"'"&amp;"!A:A"),"总价",INDIRECT("'"&amp;A10&amp;"'"&amp;"!B:B"))</f>
        <v>#REF!</v>
      </c>
      <c r="C10" s="2784" t="s">
        <v>722</v>
      </c>
      <c r="D10" s="525"/>
      <c r="E10" s="2785" t="e">
        <f aca="true">SUMIF(INDIRECT("'"&amp;A10&amp;"'"&amp;"!C:C"),"建筑面积",INDIRECT("'"&amp;A10&amp;"'"&amp;"!D:D"))</f>
        <v>#REF!</v>
      </c>
      <c r="F10" s="525"/>
      <c r="G10" s="525"/>
      <c r="H10" s="525"/>
      <c r="I10" s="525"/>
      <c r="J10" s="525"/>
      <c r="K10" s="525"/>
      <c r="L10" s="525"/>
      <c r="M10" s="525"/>
      <c r="N10" s="525"/>
      <c r="O10" s="525"/>
      <c r="P10" s="525"/>
    </row>
    <row r="11" customFormat="false" ht="15.75" hidden="false" customHeight="false" outlineLevel="0" collapsed="false">
      <c r="A11" s="2791"/>
      <c r="B11" s="1907" t="e">
        <f aca="true">SUMIF(INDIRECT("'"&amp;A11&amp;"'"&amp;"!A:A"),"总价",INDIRECT("'"&amp;A11&amp;"'"&amp;"!B:B"))</f>
        <v>#REF!</v>
      </c>
      <c r="C11" s="2784" t="s">
        <v>722</v>
      </c>
      <c r="D11" s="525"/>
      <c r="E11" s="2785" t="e">
        <f aca="true">SUMIF(INDIRECT("'"&amp;A11&amp;"'"&amp;"!C:C"),"建筑面积",INDIRECT("'"&amp;A11&amp;"'"&amp;"!D:D"))</f>
        <v>#REF!</v>
      </c>
      <c r="F11" s="525"/>
      <c r="G11" s="525"/>
      <c r="H11" s="525"/>
      <c r="I11" s="525"/>
      <c r="J11" s="525"/>
      <c r="K11" s="525"/>
      <c r="L11" s="525"/>
      <c r="M11" s="525"/>
      <c r="N11" s="525"/>
      <c r="O11" s="525"/>
      <c r="P11" s="525"/>
    </row>
    <row r="12" customFormat="false" ht="15.75" hidden="false" customHeight="false" outlineLevel="0" collapsed="false">
      <c r="A12" s="2791"/>
      <c r="B12" s="1907" t="e">
        <f aca="true">SUMIF(INDIRECT("'"&amp;A12&amp;"'"&amp;"!A:A"),"总价",INDIRECT("'"&amp;A12&amp;"'"&amp;"!B:B"))</f>
        <v>#REF!</v>
      </c>
      <c r="C12" s="2784" t="s">
        <v>722</v>
      </c>
      <c r="D12" s="525"/>
      <c r="E12" s="2785" t="e">
        <f aca="true">SUMIF(INDIRECT("'"&amp;A12&amp;"'"&amp;"!C:C"),"建筑面积",INDIRECT("'"&amp;A12&amp;"'"&amp;"!D:D"))</f>
        <v>#REF!</v>
      </c>
      <c r="F12" s="525"/>
      <c r="G12" s="525"/>
      <c r="H12" s="525"/>
      <c r="I12" s="525"/>
      <c r="J12" s="525"/>
      <c r="K12" s="525"/>
      <c r="L12" s="525"/>
      <c r="M12" s="525"/>
      <c r="N12" s="525"/>
      <c r="O12" s="525"/>
      <c r="P12" s="525"/>
    </row>
    <row r="13" customFormat="false" ht="15.75" hidden="false" customHeight="false" outlineLevel="0" collapsed="false">
      <c r="A13" s="2791"/>
      <c r="B13" s="1907" t="e">
        <f aca="true">SUMIF(INDIRECT("'"&amp;A13&amp;"'"&amp;"!A:A"),"总价",INDIRECT("'"&amp;A13&amp;"'"&amp;"!B:B"))</f>
        <v>#REF!</v>
      </c>
      <c r="C13" s="2784" t="s">
        <v>722</v>
      </c>
      <c r="D13" s="525"/>
      <c r="E13" s="2785" t="e">
        <f aca="true">SUMIF(INDIRECT("'"&amp;A13&amp;"'"&amp;"!C:C"),"建筑面积",INDIRECT("'"&amp;A13&amp;"'"&amp;"!D:D"))</f>
        <v>#REF!</v>
      </c>
      <c r="F13" s="525"/>
      <c r="G13" s="525"/>
      <c r="H13" s="525"/>
      <c r="I13" s="525"/>
      <c r="J13" s="525"/>
      <c r="K13" s="525"/>
      <c r="L13" s="525"/>
      <c r="M13" s="525"/>
      <c r="N13" s="525"/>
      <c r="O13" s="525"/>
      <c r="P13" s="525"/>
    </row>
    <row r="14" customFormat="false" ht="14.25" hidden="false" customHeight="false" outlineLevel="0" collapsed="false">
      <c r="A14" s="525"/>
      <c r="B14" s="525"/>
      <c r="C14" s="525"/>
      <c r="D14" s="525"/>
      <c r="E14" s="525"/>
      <c r="F14" s="525"/>
      <c r="G14" s="525"/>
      <c r="H14" s="525"/>
      <c r="I14" s="525"/>
      <c r="J14" s="525"/>
      <c r="K14" s="525"/>
      <c r="L14" s="525"/>
      <c r="M14" s="525"/>
      <c r="N14" s="525"/>
      <c r="O14" s="525"/>
      <c r="P14" s="525"/>
    </row>
    <row r="15" customFormat="false" ht="14.25" hidden="false" customHeight="false" outlineLevel="0" collapsed="false">
      <c r="A15" s="525"/>
      <c r="B15" s="525"/>
      <c r="C15" s="525"/>
      <c r="D15" s="525"/>
      <c r="E15" s="525"/>
      <c r="F15" s="525"/>
      <c r="G15" s="525"/>
      <c r="H15" s="525"/>
      <c r="I15" s="525"/>
      <c r="J15" s="525"/>
      <c r="K15" s="525"/>
      <c r="L15" s="525"/>
      <c r="M15" s="525"/>
      <c r="N15" s="525"/>
      <c r="O15" s="525"/>
      <c r="P15" s="525"/>
    </row>
    <row r="16" customFormat="false" ht="14.25" hidden="false" customHeight="false" outlineLevel="0" collapsed="false">
      <c r="A16" s="525"/>
      <c r="B16" s="525"/>
      <c r="C16" s="525"/>
      <c r="D16" s="525"/>
      <c r="E16" s="525"/>
      <c r="F16" s="525"/>
      <c r="G16" s="525"/>
      <c r="H16" s="525"/>
      <c r="I16" s="525"/>
      <c r="J16" s="525"/>
      <c r="K16" s="525"/>
      <c r="L16" s="525"/>
      <c r="M16" s="525"/>
      <c r="N16" s="525"/>
      <c r="O16" s="525"/>
      <c r="P16" s="525"/>
    </row>
    <row r="17" customFormat="false" ht="14.25" hidden="false" customHeight="false" outlineLevel="0" collapsed="false">
      <c r="A17" s="525"/>
      <c r="B17" s="525"/>
      <c r="C17" s="525"/>
      <c r="D17" s="525"/>
      <c r="E17" s="525"/>
      <c r="F17" s="525"/>
      <c r="G17" s="525"/>
      <c r="H17" s="525"/>
      <c r="I17" s="525"/>
      <c r="J17" s="525"/>
      <c r="K17" s="525"/>
      <c r="L17" s="525"/>
      <c r="M17" s="525"/>
      <c r="N17" s="525"/>
      <c r="O17" s="525"/>
      <c r="P17" s="525"/>
    </row>
    <row r="18" customFormat="false" ht="14.25" hidden="false" customHeight="false" outlineLevel="0" collapsed="false">
      <c r="A18" s="525"/>
      <c r="B18" s="525"/>
      <c r="C18" s="525"/>
      <c r="D18" s="525"/>
      <c r="E18" s="525"/>
      <c r="F18" s="525"/>
      <c r="G18" s="525"/>
      <c r="H18" s="525"/>
      <c r="I18" s="525"/>
      <c r="J18" s="525"/>
      <c r="K18" s="525"/>
      <c r="L18" s="525"/>
      <c r="M18" s="525"/>
      <c r="N18" s="525"/>
      <c r="O18" s="525"/>
      <c r="P18" s="525"/>
    </row>
    <row r="19" customFormat="false" ht="14.25" hidden="false" customHeight="false" outlineLevel="0" collapsed="false">
      <c r="A19" s="525"/>
      <c r="B19" s="525"/>
      <c r="C19" s="525"/>
      <c r="D19" s="525"/>
      <c r="E19" s="525"/>
      <c r="F19" s="525"/>
      <c r="G19" s="525"/>
      <c r="H19" s="525"/>
      <c r="I19" s="525"/>
      <c r="J19" s="525"/>
      <c r="K19" s="525"/>
      <c r="L19" s="525"/>
      <c r="M19" s="525"/>
      <c r="N19" s="525"/>
      <c r="O19" s="525"/>
      <c r="P19" s="525"/>
    </row>
    <row r="20" customFormat="false" ht="14.25" hidden="false" customHeight="false" outlineLevel="0" collapsed="false">
      <c r="A20" s="525"/>
      <c r="B20" s="525"/>
      <c r="C20" s="525"/>
      <c r="D20" s="525"/>
      <c r="E20" s="525"/>
      <c r="F20" s="525"/>
      <c r="G20" s="525"/>
      <c r="H20" s="525"/>
      <c r="I20" s="525"/>
      <c r="J20" s="525"/>
      <c r="K20" s="525"/>
      <c r="L20" s="525"/>
      <c r="M20" s="525"/>
      <c r="N20" s="525"/>
      <c r="O20" s="525"/>
      <c r="P20" s="525"/>
    </row>
    <row r="21" customFormat="false" ht="14.25" hidden="false" customHeight="false" outlineLevel="0" collapsed="false">
      <c r="A21" s="525"/>
      <c r="B21" s="525"/>
      <c r="C21" s="525"/>
      <c r="D21" s="525"/>
      <c r="E21" s="525"/>
      <c r="F21" s="525"/>
      <c r="G21" s="525"/>
      <c r="H21" s="525"/>
      <c r="I21" s="525"/>
      <c r="J21" s="525"/>
      <c r="K21" s="525"/>
      <c r="L21" s="525"/>
      <c r="M21" s="525"/>
      <c r="N21" s="525"/>
      <c r="O21" s="525"/>
      <c r="P21" s="525"/>
    </row>
  </sheetData>
  <sheetProtection sheet="true" password="cee9" objects="true" scenarios="true" formatCells="false" formatColumns="false" formatRows="false"/>
  <dataValidations count="1">
    <dataValidation allowBlank="true" operator="between" showDropDown="false" showErrorMessage="true" showInputMessage="true" sqref="A6:A13" type="list">
      <formula1>估价方法</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7.xml><?xml version="1.0" encoding="utf-8"?>
<worksheet xmlns="http://schemas.openxmlformats.org/spreadsheetml/2006/main" xmlns:r="http://schemas.openxmlformats.org/officeDocument/2006/relationships">
  <sheetPr filterMode="false">
    <pageSetUpPr fitToPage="false"/>
  </sheetPr>
  <dimension ref="A1:AK122"/>
  <sheetViews>
    <sheetView showFormulas="false" showGridLines="true" showRowColHeaders="true" showZeros="true" rightToLeft="false" tabSelected="false" showOutlineSymbols="true" defaultGridColor="true" view="pageBreakPreview" topLeftCell="A13" colorId="64" zoomScale="100" zoomScaleNormal="80" zoomScalePageLayoutView="100" workbookViewId="0">
      <selection pane="topLeft" activeCell="H3" activeCellId="0" sqref="H3"/>
    </sheetView>
  </sheetViews>
  <sheetFormatPr defaultRowHeight="12.75" zeroHeight="false" outlineLevelRow="0" outlineLevelCol="0"/>
  <cols>
    <col collapsed="false" customWidth="true" hidden="false" outlineLevel="0" max="1" min="1" style="2792" width="9.76"/>
    <col collapsed="false" customWidth="true" hidden="false" outlineLevel="0" max="2" min="2" style="2793" width="22.51"/>
    <col collapsed="false" customWidth="true" hidden="false" outlineLevel="0" max="3" min="3" style="2794" width="12"/>
    <col collapsed="false" customWidth="true" hidden="false" outlineLevel="0" max="4" min="4" style="2794" width="14.88"/>
    <col collapsed="false" customWidth="true" hidden="false" outlineLevel="0" max="5" min="5" style="2794" width="14.62"/>
    <col collapsed="false" customWidth="true" hidden="false" outlineLevel="0" max="8" min="6" style="2794" width="12"/>
    <col collapsed="false" customWidth="true" hidden="false" outlineLevel="0" max="9" min="9" style="2794" width="12.26"/>
    <col collapsed="false" customWidth="true" hidden="false" outlineLevel="0" max="10" min="10" style="2794" width="12"/>
    <col collapsed="false" customWidth="true" hidden="false" outlineLevel="0" max="11" min="11" style="2795" width="8.12"/>
    <col collapsed="false" customWidth="true" hidden="false" outlineLevel="0" max="12" min="12" style="2794" width="19.51"/>
    <col collapsed="false" customWidth="true" hidden="false" outlineLevel="0" max="13" min="13" style="2794" width="8.5"/>
    <col collapsed="false" customWidth="true" hidden="false" outlineLevel="0" max="14" min="14" style="2794" width="9.76"/>
    <col collapsed="false" customWidth="true" hidden="false" outlineLevel="0" max="25" min="15" style="2794" width="12"/>
    <col collapsed="false" customWidth="true" hidden="false" outlineLevel="0" max="26" min="26" style="2792" width="9.38"/>
    <col collapsed="false" customWidth="true" hidden="false" outlineLevel="0" max="32" min="27" style="2796" width="9.38"/>
    <col collapsed="false" customWidth="true" hidden="false" outlineLevel="0" max="36" min="33" style="2792" width="9.38"/>
    <col collapsed="false" customWidth="true" hidden="false" outlineLevel="0" max="38" min="37" style="2794" width="9.38"/>
    <col collapsed="false" customWidth="true" hidden="false" outlineLevel="0" max="1025" min="39" style="2794" width="12"/>
  </cols>
  <sheetData>
    <row r="1" customFormat="false" ht="28.5" hidden="false" customHeight="false" outlineLevel="0" collapsed="false">
      <c r="A1" s="1249" t="s">
        <v>1611</v>
      </c>
      <c r="B1" s="2797"/>
      <c r="C1" s="1254" t="s">
        <v>107</v>
      </c>
      <c r="D1" s="1696" t="n">
        <f aca="false">SUM(D33:D34,D37:D42)</f>
        <v>0</v>
      </c>
      <c r="E1" s="2798"/>
      <c r="F1" s="2798"/>
      <c r="G1" s="2798"/>
      <c r="H1" s="2798"/>
      <c r="I1" s="2798"/>
      <c r="J1" s="2798"/>
      <c r="K1" s="2799"/>
      <c r="L1" s="2800" t="s">
        <v>226</v>
      </c>
      <c r="M1" s="2801" t="n">
        <f aca="false">SUMPRODUCT((区片价!B5:B9=I2)*(区片价!C3:G3=E2)*(区片价!C5:G9))</f>
        <v>0</v>
      </c>
      <c r="N1" s="2802" t="n">
        <f aca="false">SUMPRODUCT((因素修正幅度!B5:B9=I2)*(因素修正幅度!C3:G3=E2)*(因素修正幅度!C5:G9))</f>
        <v>0</v>
      </c>
      <c r="O1" s="2803"/>
      <c r="P1" s="2803"/>
      <c r="Q1" s="2799"/>
      <c r="R1" s="2804" t="s">
        <v>1612</v>
      </c>
      <c r="S1" s="2804" t="s">
        <v>1613</v>
      </c>
      <c r="T1" s="2804" t="s">
        <v>1614</v>
      </c>
      <c r="U1" s="2804" t="s">
        <v>1615</v>
      </c>
      <c r="V1" s="2804" t="s">
        <v>100</v>
      </c>
      <c r="W1" s="2805"/>
      <c r="X1" s="2805"/>
      <c r="Y1" s="2805"/>
      <c r="Z1" s="2805"/>
      <c r="AA1" s="2805"/>
      <c r="AB1" s="2805"/>
      <c r="AC1" s="2806"/>
      <c r="AD1" s="2807"/>
      <c r="AE1" s="2807"/>
      <c r="AF1" s="2807"/>
      <c r="AG1" s="2807"/>
      <c r="AH1" s="2807"/>
      <c r="AI1" s="2807"/>
      <c r="AJ1" s="2808"/>
    </row>
    <row r="2" customFormat="false" ht="15.75" hidden="false" customHeight="false" outlineLevel="0" collapsed="false">
      <c r="A2" s="1254" t="s">
        <v>97</v>
      </c>
      <c r="B2" s="1262" t="e">
        <f aca="false">C30</f>
        <v>#DIV/0!</v>
      </c>
      <c r="C2" s="2809" t="s">
        <v>722</v>
      </c>
      <c r="D2" s="2810" t="s">
        <v>399</v>
      </c>
      <c r="E2" s="2811"/>
      <c r="F2" s="2810" t="s">
        <v>204</v>
      </c>
      <c r="G2" s="2812" t="n">
        <f aca="false">IF(E2="商业",项目基本情况!B37,IF(E2="办公",项目基本情况!C37,IF(E2="住宅",项目基本情况!D37,IF(E2="工业",项目基本情况!E37,项目基本情况!F37))))</f>
        <v>0</v>
      </c>
      <c r="H2" s="2810" t="s">
        <v>472</v>
      </c>
      <c r="I2" s="2812" t="n">
        <f aca="false">IF(E2="商业",项目基本情况!B38,IF(E2="办公",项目基本情况!C38,IF(E2="住宅",项目基本情况!D38,IF(E2="工业",项目基本情况!E38,项目基本情况!F38))))</f>
        <v>0</v>
      </c>
      <c r="J2" s="2813"/>
      <c r="K2" s="2799"/>
      <c r="L2" s="2814" t="s">
        <v>237</v>
      </c>
      <c r="M2" s="2815" t="n">
        <f aca="false">SUMPRODUCT((区片价!B10:B29=I2)*(区片价!C3:G3=E2)*(区片价!C10:G29))</f>
        <v>0</v>
      </c>
      <c r="N2" s="2802" t="n">
        <f aca="false">SUMPRODUCT((因素修正幅度!B10:B29=I2)*(因素修正幅度!C3:G3=E2)*(因素修正幅度!C10:G29))</f>
        <v>0</v>
      </c>
      <c r="O2" s="2799"/>
      <c r="P2" s="2799"/>
      <c r="Q2" s="2799"/>
      <c r="R2" s="2804" t="n">
        <v>1</v>
      </c>
      <c r="S2" s="2816" t="n">
        <f aca="false">ROUND(SUMPRODUCT((B106:B110=R2)*(C105:N105=G2)*(C106:N110)),4)</f>
        <v>0</v>
      </c>
      <c r="T2" s="2816" t="e">
        <f aca="false">ROUND($C$5*$C$22*$C$23*$C$24*S2*$C$28,0)</f>
        <v>#DIV/0!</v>
      </c>
      <c r="U2" s="2817"/>
      <c r="V2" s="2816" t="e">
        <f aca="false">ROUND(T2*U2/10000,0)</f>
        <v>#DIV/0!</v>
      </c>
      <c r="W2" s="2805"/>
      <c r="X2" s="2805"/>
      <c r="Y2" s="2805"/>
      <c r="Z2" s="2805"/>
      <c r="AA2" s="2805"/>
      <c r="AB2" s="2805"/>
      <c r="AC2" s="2806"/>
      <c r="AD2" s="2807"/>
      <c r="AE2" s="2807"/>
      <c r="AF2" s="2807"/>
      <c r="AG2" s="2807"/>
      <c r="AH2" s="2807"/>
      <c r="AI2" s="2807"/>
      <c r="AJ2" s="2808"/>
    </row>
    <row r="3" customFormat="false" ht="15.75" hidden="false" customHeight="false" outlineLevel="0" collapsed="false">
      <c r="A3" s="1261" t="s">
        <v>110</v>
      </c>
      <c r="B3" s="1262" t="e">
        <f aca="false">ROUND(B2*10000/D1,0)</f>
        <v>#DIV/0!</v>
      </c>
      <c r="C3" s="2809" t="s">
        <v>878</v>
      </c>
      <c r="D3" s="2810" t="s">
        <v>1616</v>
      </c>
      <c r="E3" s="2818"/>
      <c r="F3" s="2819"/>
      <c r="G3" s="2820" t="n">
        <f aca="false">IF(F3="宗地容积率",'数据-汇总表'!I4,IF(F3="估价对象容积率",'数据-汇总表'!I6,'数据-汇总表'!I7))</f>
        <v>0</v>
      </c>
      <c r="H3" s="1117" t="s">
        <v>1287</v>
      </c>
      <c r="I3" s="2821"/>
      <c r="J3" s="2822" t="s">
        <v>1617</v>
      </c>
      <c r="K3" s="2799"/>
      <c r="L3" s="2814" t="s">
        <v>247</v>
      </c>
      <c r="M3" s="2815" t="n">
        <f aca="false">SUMPRODUCT((区片价!B30:B54=I2)*(区片价!C3:G3=E2)*(区片价!C30:G54))</f>
        <v>0</v>
      </c>
      <c r="N3" s="2802" t="n">
        <f aca="false">SUMPRODUCT((因素修正幅度!B30:B54=I2)*(因素修正幅度!C3:G3=E2)*(因素修正幅度!C30:G54))</f>
        <v>0</v>
      </c>
      <c r="O3" s="2799"/>
      <c r="P3" s="2799"/>
      <c r="Q3" s="2799"/>
      <c r="R3" s="2804" t="n">
        <v>2</v>
      </c>
      <c r="S3" s="2816" t="n">
        <f aca="false">ROUND(SUMPRODUCT((B106:B110=R3)*(C105:N105=G2)*(C106:N110)),4)</f>
        <v>0</v>
      </c>
      <c r="T3" s="2816" t="e">
        <f aca="false">ROUND($C$5*$C$22*$C$23*$C$24*S3*$C$28,0)</f>
        <v>#DIV/0!</v>
      </c>
      <c r="U3" s="2817"/>
      <c r="V3" s="2816" t="e">
        <f aca="false">ROUND(T3*U3/10000,0)</f>
        <v>#DIV/0!</v>
      </c>
      <c r="W3" s="2805"/>
      <c r="X3" s="2805"/>
      <c r="Y3" s="2805"/>
      <c r="Z3" s="2805"/>
      <c r="AA3" s="2805"/>
      <c r="AB3" s="2805"/>
      <c r="AC3" s="2806"/>
      <c r="AD3" s="2807"/>
      <c r="AE3" s="2807"/>
      <c r="AF3" s="2807"/>
      <c r="AG3" s="2807"/>
      <c r="AH3" s="2807"/>
      <c r="AI3" s="2807"/>
      <c r="AJ3" s="2808"/>
    </row>
    <row r="4" customFormat="false" ht="15.75" hidden="false" customHeight="false" outlineLevel="0" collapsed="false">
      <c r="A4" s="2823"/>
      <c r="B4" s="2823"/>
      <c r="C4" s="2823"/>
      <c r="D4" s="2823"/>
      <c r="E4" s="2823"/>
      <c r="F4" s="2823"/>
      <c r="G4" s="2823"/>
      <c r="H4" s="2823"/>
      <c r="I4" s="2823"/>
      <c r="J4" s="2823"/>
      <c r="K4" s="2799"/>
      <c r="L4" s="2814" t="s">
        <v>255</v>
      </c>
      <c r="M4" s="2815" t="n">
        <f aca="false">SUMPRODUCT((区片价!B55:B86=I2)*(区片价!C3:G3=E2)*(区片价!C55:G86))</f>
        <v>0</v>
      </c>
      <c r="N4" s="2802" t="n">
        <f aca="false">SUMPRODUCT((因素修正幅度!B55:B86=I2)*(因素修正幅度!C3:G3=E2)*(因素修正幅度!C55:G86))</f>
        <v>0</v>
      </c>
      <c r="O4" s="2799"/>
      <c r="P4" s="2799"/>
      <c r="Q4" s="2799"/>
      <c r="R4" s="2804" t="n">
        <v>3</v>
      </c>
      <c r="S4" s="2816" t="n">
        <f aca="false">ROUND(SUMPRODUCT((B106:B110=R4)*(C105:N105=G2)*(C106:N110)),4)</f>
        <v>0</v>
      </c>
      <c r="T4" s="2816" t="e">
        <f aca="false">ROUND($C$5*$C$22*$C$23*$C$24*S4*$C$28,0)</f>
        <v>#DIV/0!</v>
      </c>
      <c r="U4" s="2817"/>
      <c r="V4" s="2816" t="e">
        <f aca="false">ROUND(T4*U4/10000,0)</f>
        <v>#DIV/0!</v>
      </c>
      <c r="W4" s="2805"/>
      <c r="X4" s="2805"/>
      <c r="Y4" s="2805"/>
      <c r="Z4" s="2805"/>
      <c r="AA4" s="2805"/>
      <c r="AB4" s="2805"/>
      <c r="AC4" s="2806"/>
      <c r="AD4" s="2807"/>
      <c r="AE4" s="2807"/>
      <c r="AF4" s="2807"/>
      <c r="AG4" s="2807"/>
      <c r="AH4" s="2807"/>
      <c r="AI4" s="2807"/>
      <c r="AJ4" s="2808"/>
    </row>
    <row r="5" s="2835" customFormat="true" ht="15" hidden="false" customHeight="false" outlineLevel="0" collapsed="false">
      <c r="A5" s="2824" t="s">
        <v>790</v>
      </c>
      <c r="B5" s="2825" t="s">
        <v>1618</v>
      </c>
      <c r="C5" s="2826" t="e">
        <f aca="false">ROUND(IF(E2="商业",C6*C7*C17+C20,(IF(E2="住宅",C6*C13*C17+C20,IF(E2="办公",C6*C12*C17+C20,C6+C20)))),0)</f>
        <v>#DIV/0!</v>
      </c>
      <c r="D5" s="2827" t="e">
        <f aca="false">ROUND(C6*C17+C20,0)</f>
        <v>#DIV/0!</v>
      </c>
      <c r="E5" s="2827"/>
      <c r="F5" s="2828"/>
      <c r="G5" s="2829"/>
      <c r="H5" s="2829"/>
      <c r="I5" s="2829"/>
      <c r="J5" s="2830"/>
      <c r="K5" s="2831"/>
      <c r="L5" s="2814" t="s">
        <v>263</v>
      </c>
      <c r="M5" s="2815" t="n">
        <f aca="false">SUMPRODUCT((区片价!B87:B126=I2)*(区片价!C3:G3=E2)*(区片价!C87:G126))</f>
        <v>0</v>
      </c>
      <c r="N5" s="2802" t="n">
        <f aca="false">SUMPRODUCT((因素修正幅度!B87:B126=I2)*(因素修正幅度!C3:G3=E2)*(因素修正幅度!C87:G126))</f>
        <v>0</v>
      </c>
      <c r="O5" s="2799"/>
      <c r="P5" s="2799"/>
      <c r="Q5" s="2799"/>
      <c r="R5" s="2804" t="n">
        <v>4</v>
      </c>
      <c r="S5" s="2816" t="n">
        <f aca="false">ROUND(SUMPRODUCT((B106:B110=R5)*(C105:N105=G2)*(C106:N110)),4)</f>
        <v>0</v>
      </c>
      <c r="T5" s="2816" t="e">
        <f aca="false">ROUND($C$5*$C$22*$C$23*$C$24*S5*$C$28,0)</f>
        <v>#DIV/0!</v>
      </c>
      <c r="U5" s="2817"/>
      <c r="V5" s="2816" t="e">
        <f aca="false">ROUND(T5*U5/10000,0)</f>
        <v>#DIV/0!</v>
      </c>
      <c r="W5" s="2805"/>
      <c r="X5" s="2805"/>
      <c r="Y5" s="2805"/>
      <c r="Z5" s="2805"/>
      <c r="AA5" s="2805"/>
      <c r="AB5" s="2805"/>
      <c r="AC5" s="2832"/>
      <c r="AD5" s="2833"/>
      <c r="AE5" s="2833"/>
      <c r="AF5" s="2833"/>
      <c r="AG5" s="2833"/>
      <c r="AH5" s="2833"/>
      <c r="AI5" s="2833"/>
      <c r="AJ5" s="2834"/>
    </row>
    <row r="6" customFormat="false" ht="15" hidden="false" customHeight="false" outlineLevel="0" collapsed="false">
      <c r="A6" s="2836" t="s">
        <v>880</v>
      </c>
      <c r="B6" s="2837" t="s">
        <v>1618</v>
      </c>
      <c r="C6" s="2838" t="n">
        <f aca="false">SUMIF(L1:L12,G2,M1:M12)</f>
        <v>0</v>
      </c>
      <c r="D6" s="2839"/>
      <c r="E6" s="2840"/>
      <c r="F6" s="2840"/>
      <c r="G6" s="2841"/>
      <c r="H6" s="2841"/>
      <c r="I6" s="2841"/>
      <c r="J6" s="2842"/>
      <c r="K6" s="1247"/>
      <c r="L6" s="2814" t="s">
        <v>269</v>
      </c>
      <c r="M6" s="2815" t="n">
        <f aca="false">SUMPRODUCT((区片价!B127:B189=I2)*(区片价!C3:G3=E2)*(区片价!C127:G189))</f>
        <v>0</v>
      </c>
      <c r="N6" s="2802" t="n">
        <f aca="false">SUMPRODUCT((因素修正幅度!B127:B189=I2)*(因素修正幅度!C3:G3=E2)*(因素修正幅度!C127:G189))</f>
        <v>0</v>
      </c>
      <c r="O6" s="2799"/>
      <c r="P6" s="2799"/>
      <c r="Q6" s="2799"/>
      <c r="R6" s="2804" t="n">
        <v>5</v>
      </c>
      <c r="S6" s="2816" t="n">
        <f aca="false">ROUND(SUMPRODUCT((B106:B110=R6)*(C105:N105=G2)*(C106:N110)),4)</f>
        <v>0</v>
      </c>
      <c r="T6" s="2816" t="e">
        <f aca="false">ROUND($C$5*$C$22*$C$23*$C$24*S6*$C$28,0)</f>
        <v>#DIV/0!</v>
      </c>
      <c r="U6" s="2817"/>
      <c r="V6" s="2816" t="e">
        <f aca="false">ROUND(T6*U6/10000,0)</f>
        <v>#DIV/0!</v>
      </c>
      <c r="W6" s="2805"/>
      <c r="X6" s="2805"/>
      <c r="Y6" s="2805"/>
      <c r="Z6" s="2805"/>
      <c r="AA6" s="2805"/>
      <c r="AB6" s="2805"/>
      <c r="AC6" s="2832"/>
      <c r="AD6" s="2833"/>
      <c r="AE6" s="2833"/>
      <c r="AF6" s="2833"/>
      <c r="AG6" s="2833"/>
      <c r="AH6" s="2833"/>
      <c r="AI6" s="2833"/>
      <c r="AJ6" s="2834"/>
    </row>
    <row r="7" customFormat="false" ht="24" hidden="false" customHeight="false" outlineLevel="0" collapsed="false">
      <c r="A7" s="2836" t="s">
        <v>1619</v>
      </c>
      <c r="B7" s="1108" t="s">
        <v>1620</v>
      </c>
      <c r="C7" s="2843" t="e">
        <f aca="false">IF(C8="不临65条商业街",1,ROUND(1+(1.6*E8+1.2*E9+0.8*E10+0.4*E11)*C9,4))</f>
        <v>#DIV/0!</v>
      </c>
      <c r="D7" s="2844" t="s">
        <v>1621</v>
      </c>
      <c r="E7" s="2845"/>
      <c r="F7" s="2846"/>
      <c r="G7" s="2847"/>
      <c r="H7" s="2847"/>
      <c r="I7" s="2847"/>
      <c r="J7" s="2848"/>
      <c r="K7" s="1247"/>
      <c r="L7" s="2814" t="s">
        <v>274</v>
      </c>
      <c r="M7" s="2815" t="n">
        <f aca="false">SUMPRODUCT((区片价!B190:B233=I2)*(区片价!C3:G3=E2)*(区片价!C190:G233))</f>
        <v>0</v>
      </c>
      <c r="N7" s="2802" t="n">
        <f aca="false">SUMPRODUCT((因素修正幅度!B190:B233=I2)*(因素修正幅度!C3:G3=E2)*(因素修正幅度!C190:G233))</f>
        <v>0</v>
      </c>
      <c r="O7" s="2799"/>
      <c r="P7" s="2799"/>
      <c r="Q7" s="2799"/>
      <c r="R7" s="2804" t="n">
        <v>6</v>
      </c>
      <c r="S7" s="2849"/>
      <c r="T7" s="2816" t="e">
        <f aca="false">ROUND($C$5*$C$22*$C$23*$C$24*S7*$C$28,0)</f>
        <v>#DIV/0!</v>
      </c>
      <c r="U7" s="2817"/>
      <c r="V7" s="2816" t="e">
        <f aca="false">ROUND(T7*U7/10000,0)</f>
        <v>#DIV/0!</v>
      </c>
      <c r="W7" s="2850" t="s">
        <v>1622</v>
      </c>
      <c r="X7" s="2851" t="n">
        <f aca="false">G2</f>
        <v>0</v>
      </c>
      <c r="Y7" s="2852" t="s">
        <v>524</v>
      </c>
      <c r="Z7" s="2853" t="n">
        <f aca="false">G3</f>
        <v>0</v>
      </c>
      <c r="AA7" s="2805"/>
      <c r="AB7" s="2805"/>
      <c r="AC7" s="2806"/>
      <c r="AD7" s="2807"/>
      <c r="AE7" s="2807"/>
      <c r="AF7" s="2807"/>
      <c r="AG7" s="2807"/>
      <c r="AH7" s="2807"/>
      <c r="AI7" s="2807"/>
      <c r="AJ7" s="2808"/>
    </row>
    <row r="8" customFormat="false" ht="15" hidden="false" customHeight="true" outlineLevel="0" collapsed="false">
      <c r="A8" s="2854"/>
      <c r="B8" s="1117" t="s">
        <v>1623</v>
      </c>
      <c r="C8" s="373"/>
      <c r="D8" s="2855" t="s">
        <v>1624</v>
      </c>
      <c r="E8" s="2856" t="e">
        <f aca="false">ROUND(C11/E7,4)</f>
        <v>#DIV/0!</v>
      </c>
      <c r="F8" s="2857" t="s">
        <v>1625</v>
      </c>
      <c r="G8" s="2858"/>
      <c r="H8" s="2858"/>
      <c r="I8" s="2858"/>
      <c r="J8" s="2859"/>
      <c r="K8" s="2799"/>
      <c r="L8" s="2814" t="s">
        <v>280</v>
      </c>
      <c r="M8" s="2815" t="n">
        <f aca="false">SUMPRODUCT((区片价!B234:B276=I2)*(区片价!C3:G3=E2)*(区片价!C234:G276))</f>
        <v>0</v>
      </c>
      <c r="N8" s="2802" t="n">
        <f aca="false">SUMPRODUCT((因素修正幅度!B234:B276=I2)*(因素修正幅度!C3:G3=E2)*(因素修正幅度!C234:G276))</f>
        <v>0</v>
      </c>
      <c r="O8" s="2799"/>
      <c r="P8" s="2799"/>
      <c r="Q8" s="2799"/>
      <c r="R8" s="2804" t="n">
        <v>7</v>
      </c>
      <c r="S8" s="2817"/>
      <c r="T8" s="2816" t="e">
        <f aca="false">ROUND($C$5*$C$22*$C$23*$C$24*S8*$C$28,0)</f>
        <v>#DIV/0!</v>
      </c>
      <c r="U8" s="2817"/>
      <c r="V8" s="2816" t="e">
        <f aca="false">ROUND(T8*U8/10000,0)</f>
        <v>#DIV/0!</v>
      </c>
      <c r="W8" s="2860" t="s">
        <v>1626</v>
      </c>
      <c r="X8" s="2860"/>
      <c r="Y8" s="2861" t="s">
        <v>226</v>
      </c>
      <c r="Z8" s="2861" t="s">
        <v>237</v>
      </c>
      <c r="AA8" s="2861" t="s">
        <v>247</v>
      </c>
      <c r="AB8" s="2861" t="s">
        <v>255</v>
      </c>
      <c r="AC8" s="2861" t="s">
        <v>263</v>
      </c>
      <c r="AD8" s="2861" t="s">
        <v>269</v>
      </c>
      <c r="AE8" s="2861" t="s">
        <v>274</v>
      </c>
      <c r="AF8" s="2861" t="s">
        <v>280</v>
      </c>
      <c r="AG8" s="2861" t="s">
        <v>284</v>
      </c>
      <c r="AH8" s="2861" t="s">
        <v>288</v>
      </c>
      <c r="AI8" s="2861" t="s">
        <v>292</v>
      </c>
      <c r="AJ8" s="2861" t="s">
        <v>296</v>
      </c>
    </row>
    <row r="9" customFormat="false" ht="15" hidden="false" customHeight="false" outlineLevel="0" collapsed="false">
      <c r="A9" s="2854"/>
      <c r="B9" s="1117" t="s">
        <v>1627</v>
      </c>
      <c r="C9" s="2862" t="n">
        <f aca="false">SUMIF(修正!C71:C138,C8,修正!E71:E138)</f>
        <v>0</v>
      </c>
      <c r="D9" s="2631" t="s">
        <v>1628</v>
      </c>
      <c r="E9" s="2631" t="e">
        <f aca="false">ROUND(C11/E7,4)</f>
        <v>#DIV/0!</v>
      </c>
      <c r="F9" s="2857" t="s">
        <v>1629</v>
      </c>
      <c r="G9" s="2858"/>
      <c r="H9" s="2858"/>
      <c r="I9" s="2858"/>
      <c r="J9" s="2859"/>
      <c r="K9" s="2799"/>
      <c r="L9" s="2814" t="s">
        <v>284</v>
      </c>
      <c r="M9" s="2815" t="n">
        <f aca="false">SUMPRODUCT((区片价!B277:B326=I2)*(区片价!C3:G3=E2)*(区片价!C277:G326))</f>
        <v>0</v>
      </c>
      <c r="N9" s="2802" t="n">
        <f aca="false">SUMPRODUCT((因素修正幅度!B277:B326=I2)*(因素修正幅度!C3:G3=E2)*(因素修正幅度!C277:G326))</f>
        <v>0</v>
      </c>
      <c r="O9" s="2799"/>
      <c r="P9" s="2799"/>
      <c r="Q9" s="2799"/>
      <c r="R9" s="2804" t="n">
        <v>8</v>
      </c>
      <c r="S9" s="2817"/>
      <c r="T9" s="2816" t="e">
        <f aca="false">ROUND($C$5*$C$22*$C$23*$C$24*S9*$C$28,0)</f>
        <v>#DIV/0!</v>
      </c>
      <c r="U9" s="2817"/>
      <c r="V9" s="2816" t="e">
        <f aca="false">ROUND(T9*U9/10000,0)</f>
        <v>#DIV/0!</v>
      </c>
      <c r="W9" s="2850"/>
      <c r="X9" s="2863" t="s">
        <v>1630</v>
      </c>
      <c r="Y9" s="2864" t="n">
        <v>6</v>
      </c>
      <c r="Z9" s="2865" t="n">
        <f aca="false">$Y$9</f>
        <v>6</v>
      </c>
      <c r="AA9" s="2865" t="n">
        <f aca="false">$Y$9</f>
        <v>6</v>
      </c>
      <c r="AB9" s="2865" t="n">
        <f aca="false">$Y$9</f>
        <v>6</v>
      </c>
      <c r="AC9" s="2865" t="n">
        <f aca="false">$Y$9</f>
        <v>6</v>
      </c>
      <c r="AD9" s="2865" t="n">
        <f aca="false">$Y$9</f>
        <v>6</v>
      </c>
      <c r="AE9" s="2865" t="n">
        <f aca="false">$Y$9</f>
        <v>6</v>
      </c>
      <c r="AF9" s="2865" t="n">
        <f aca="false">$Y$9</f>
        <v>6</v>
      </c>
      <c r="AG9" s="2865" t="n">
        <f aca="false">$Y$9</f>
        <v>6</v>
      </c>
      <c r="AH9" s="2865" t="n">
        <f aca="false">$Y$9</f>
        <v>6</v>
      </c>
      <c r="AI9" s="2865" t="n">
        <f aca="false">$Y$9</f>
        <v>6</v>
      </c>
      <c r="AJ9" s="2865" t="n">
        <f aca="false">$Y$9</f>
        <v>6</v>
      </c>
    </row>
    <row r="10" customFormat="false" ht="15" hidden="false" customHeight="false" outlineLevel="0" collapsed="false">
      <c r="A10" s="2854"/>
      <c r="B10" s="1117" t="s">
        <v>1631</v>
      </c>
      <c r="C10" s="2631" t="n">
        <f aca="false">SUMIF(修正!C71:C138,C8,修正!F71:F138)</f>
        <v>0</v>
      </c>
      <c r="D10" s="2631" t="s">
        <v>1632</v>
      </c>
      <c r="E10" s="2631" t="e">
        <f aca="false">ROUND(C11/E7,4)</f>
        <v>#DIV/0!</v>
      </c>
      <c r="F10" s="2857" t="s">
        <v>1633</v>
      </c>
      <c r="G10" s="2858"/>
      <c r="H10" s="2858"/>
      <c r="I10" s="2858"/>
      <c r="J10" s="2859"/>
      <c r="K10" s="2799"/>
      <c r="L10" s="2814" t="s">
        <v>288</v>
      </c>
      <c r="M10" s="2815" t="n">
        <f aca="false">SUMPRODUCT((区片价!B327:B357=I2)*(区片价!C3:G3=E2)*(区片价!C327:G357))</f>
        <v>0</v>
      </c>
      <c r="N10" s="2802" t="n">
        <f aca="false">SUMPRODUCT((因素修正幅度!B327:B357=I2)*(因素修正幅度!C3:G3=E2)*(因素修正幅度!C327:G357))</f>
        <v>0</v>
      </c>
      <c r="O10" s="2799"/>
      <c r="P10" s="2799"/>
      <c r="Q10" s="2799"/>
      <c r="R10" s="2804" t="n">
        <v>9</v>
      </c>
      <c r="S10" s="2817"/>
      <c r="T10" s="2816" t="e">
        <f aca="false">ROUND($C$5*$C$22*$C$23*$C$24*S10*$C$28,0)</f>
        <v>#DIV/0!</v>
      </c>
      <c r="U10" s="2817"/>
      <c r="V10" s="2816" t="e">
        <f aca="false">ROUND(T10*U10/10000,0)</f>
        <v>#DIV/0!</v>
      </c>
      <c r="W10" s="2850"/>
      <c r="X10" s="2863" t="n">
        <v>6</v>
      </c>
      <c r="Y10" s="2866" t="n">
        <f aca="false">ROUND((-0.5556*(Y9^2)-0.2719*Y9+8944)*(10^(-4)),4)</f>
        <v>0.8922</v>
      </c>
      <c r="Z10" s="2866" t="n">
        <f aca="false">ROUND((-0.5556*(Z9^2)-0.2719*Z9+8944)*(10^(-4)),4)</f>
        <v>0.8922</v>
      </c>
      <c r="AA10" s="2866" t="n">
        <f aca="false">ROUND((-0.7912*(AA9^2)-11.3794*AA9+8482)*(10^(-4)),4)</f>
        <v>0.8385</v>
      </c>
      <c r="AB10" s="2866" t="n">
        <f aca="false">ROUND((-0.7912*(AB9^2)-11.3794*AB9+8482)*(10^(-4)),4)</f>
        <v>0.8385</v>
      </c>
      <c r="AC10" s="2866" t="n">
        <f aca="false">ROUND((-0.7912*(AC9^2)-11.3794*AC9+8482)*(10^(-4)),4)</f>
        <v>0.8385</v>
      </c>
      <c r="AD10" s="2866" t="n">
        <f aca="false">ROUND((-0.7912*(AD9^2)-11.3794*AD9+8482)*(10^(-4)),4)</f>
        <v>0.8385</v>
      </c>
      <c r="AE10" s="2866" t="n">
        <f aca="false">ROUND((-0.7912*(AE9^2)-11.3794*AE9+8482)*(10^(-4)),4)</f>
        <v>0.8385</v>
      </c>
      <c r="AF10" s="2866" t="n">
        <f aca="false">ROUND((-0.989*(AF9^2)-63.78*AF9+7771)*(10^(-4)),4)</f>
        <v>0.7353</v>
      </c>
      <c r="AG10" s="2866" t="n">
        <f aca="false">ROUND((-0.989*(AG9^2)-63.78*AG9+7771)*(10^(-4)),4)</f>
        <v>0.7353</v>
      </c>
      <c r="AH10" s="2866" t="n">
        <f aca="false">ROUND((-0.989*(AH9^2)-63.78*AH9+7771)*(10^(-4)),4)</f>
        <v>0.7353</v>
      </c>
      <c r="AI10" s="2866" t="n">
        <f aca="false">ROUND((-0.989*(AI9^2)-63.78*AI9+7771)*(10^(-4)),4)</f>
        <v>0.7353</v>
      </c>
      <c r="AJ10" s="2866" t="n">
        <f aca="false">ROUND((-0.989*(AJ9^2)-63.78*AJ9+7771)*(10^(-4)),4)</f>
        <v>0.7353</v>
      </c>
    </row>
    <row r="11" customFormat="false" ht="15" hidden="false" customHeight="false" outlineLevel="0" collapsed="false">
      <c r="A11" s="2867"/>
      <c r="B11" s="2868" t="s">
        <v>1634</v>
      </c>
      <c r="C11" s="2869" t="n">
        <f aca="false">C10/4</f>
        <v>0</v>
      </c>
      <c r="D11" s="2869" t="s">
        <v>1635</v>
      </c>
      <c r="E11" s="2869" t="e">
        <f aca="false">ROUND(C11/E7,4)</f>
        <v>#DIV/0!</v>
      </c>
      <c r="F11" s="2870" t="s">
        <v>1636</v>
      </c>
      <c r="G11" s="2871"/>
      <c r="H11" s="2871"/>
      <c r="I11" s="2871"/>
      <c r="J11" s="2872"/>
      <c r="K11" s="2799"/>
      <c r="L11" s="2814" t="s">
        <v>292</v>
      </c>
      <c r="M11" s="2815" t="n">
        <f aca="false">SUMPRODUCT((区片价!B358:B377=I2)*(区片价!C3:G3=E2)*(区片价!C358:G377))</f>
        <v>0</v>
      </c>
      <c r="N11" s="2802" t="n">
        <f aca="false">SUMPRODUCT((因素修正幅度!B358:B377=I2)*(因素修正幅度!C3:G3=E2)*(因素修正幅度!C358:G377))</f>
        <v>0</v>
      </c>
      <c r="O11" s="2799"/>
      <c r="P11" s="2799"/>
      <c r="Q11" s="2799"/>
      <c r="R11" s="2804" t="n">
        <v>10</v>
      </c>
      <c r="S11" s="2817"/>
      <c r="T11" s="2816" t="e">
        <f aca="false">ROUND($C$5*$C$22*$C$23*$C$24*S11*$C$28,0)</f>
        <v>#DIV/0!</v>
      </c>
      <c r="U11" s="2817"/>
      <c r="V11" s="2816" t="e">
        <f aca="false">ROUND(T11*U11/10000,0)</f>
        <v>#DIV/0!</v>
      </c>
      <c r="W11" s="2805"/>
      <c r="X11" s="2805"/>
      <c r="Y11" s="2805"/>
      <c r="Z11" s="2805"/>
      <c r="AA11" s="2805"/>
      <c r="AB11" s="2805"/>
      <c r="AC11" s="2806"/>
      <c r="AD11" s="2873"/>
      <c r="AE11" s="2873"/>
      <c r="AF11" s="2873"/>
      <c r="AG11" s="2873"/>
      <c r="AH11" s="2873"/>
      <c r="AI11" s="2873"/>
      <c r="AJ11" s="2874"/>
    </row>
    <row r="12" customFormat="false" ht="24.75" hidden="false" customHeight="false" outlineLevel="0" collapsed="false">
      <c r="A12" s="2836" t="s">
        <v>1637</v>
      </c>
      <c r="B12" s="2875" t="s">
        <v>1638</v>
      </c>
      <c r="C12" s="2876"/>
      <c r="D12" s="2877" t="s">
        <v>1639</v>
      </c>
      <c r="E12" s="2878" t="s">
        <v>1640</v>
      </c>
      <c r="F12" s="2879"/>
      <c r="G12" s="2880"/>
      <c r="H12" s="2880"/>
      <c r="I12" s="2880"/>
      <c r="J12" s="2881"/>
      <c r="K12" s="2799"/>
      <c r="L12" s="2882" t="s">
        <v>296</v>
      </c>
      <c r="M12" s="2883" t="n">
        <f aca="false">SUMPRODUCT((区片价!B378:B384=I2)*(区片价!C3:G3=E2)*(区片价!C378:G384))</f>
        <v>0</v>
      </c>
      <c r="N12" s="2802" t="n">
        <f aca="false">SUMPRODUCT((因素修正幅度!B378:B384=I2)*(因素修正幅度!C3:G3=E2)*(因素修正幅度!C378:G384))</f>
        <v>0</v>
      </c>
      <c r="O12" s="2799"/>
      <c r="P12" s="2799"/>
      <c r="Q12" s="2799"/>
      <c r="R12" s="2804" t="n">
        <v>11</v>
      </c>
      <c r="S12" s="2817"/>
      <c r="T12" s="2816" t="e">
        <f aca="false">ROUND($C$5*$C$22*$C$23*$C$24*S12*$C$28,0)</f>
        <v>#DIV/0!</v>
      </c>
      <c r="U12" s="2817"/>
      <c r="V12" s="2816" t="e">
        <f aca="false">ROUND(T12*U12/10000,0)</f>
        <v>#DIV/0!</v>
      </c>
      <c r="W12" s="2805"/>
      <c r="X12" s="2805"/>
      <c r="Y12" s="2805"/>
      <c r="Z12" s="2805"/>
      <c r="AA12" s="2805"/>
      <c r="AB12" s="2805"/>
      <c r="AC12" s="2806"/>
      <c r="AD12" s="2873"/>
      <c r="AE12" s="2873"/>
      <c r="AF12" s="2873"/>
      <c r="AG12" s="2873"/>
      <c r="AH12" s="2873"/>
      <c r="AI12" s="2873"/>
      <c r="AJ12" s="2874"/>
    </row>
    <row r="13" customFormat="false" ht="15" hidden="false" customHeight="false" outlineLevel="0" collapsed="false">
      <c r="A13" s="2836" t="s">
        <v>1641</v>
      </c>
      <c r="B13" s="2884" t="s">
        <v>1642</v>
      </c>
      <c r="C13" s="2843" t="n">
        <f aca="false">ROUND(C16*D16*E16*F16*G16*H16*I16*J16,4)</f>
        <v>0</v>
      </c>
      <c r="D13" s="2885" t="s">
        <v>1643</v>
      </c>
      <c r="E13" s="2886"/>
      <c r="F13" s="2886"/>
      <c r="G13" s="2887"/>
      <c r="H13" s="2887"/>
      <c r="I13" s="2887"/>
      <c r="J13" s="2888"/>
      <c r="K13" s="2799"/>
      <c r="L13" s="2889"/>
      <c r="M13" s="2890"/>
      <c r="N13" s="2891"/>
      <c r="O13" s="2799"/>
      <c r="P13" s="2799"/>
      <c r="Q13" s="2799"/>
      <c r="R13" s="2804" t="n">
        <v>12</v>
      </c>
      <c r="S13" s="2817"/>
      <c r="T13" s="2816" t="e">
        <f aca="false">ROUND($C$5*$C$22*$C$23*$C$24*S13*$C$28,0)</f>
        <v>#DIV/0!</v>
      </c>
      <c r="U13" s="2817"/>
      <c r="V13" s="2816" t="e">
        <f aca="false">ROUND(T13*U13/10000,0)</f>
        <v>#DIV/0!</v>
      </c>
      <c r="W13" s="2805"/>
      <c r="X13" s="2805"/>
      <c r="Y13" s="2805"/>
      <c r="Z13" s="2805"/>
      <c r="AA13" s="2805"/>
      <c r="AB13" s="2805"/>
      <c r="AC13" s="2806"/>
      <c r="AD13" s="2873"/>
      <c r="AE13" s="2873"/>
      <c r="AF13" s="2873"/>
      <c r="AG13" s="2873"/>
      <c r="AH13" s="2873"/>
      <c r="AI13" s="2873"/>
      <c r="AJ13" s="2874"/>
    </row>
    <row r="14" customFormat="false" ht="15" hidden="false" customHeight="false" outlineLevel="0" collapsed="false">
      <c r="A14" s="2892"/>
      <c r="B14" s="1054" t="s">
        <v>1644</v>
      </c>
      <c r="C14" s="483" t="s">
        <v>1645</v>
      </c>
      <c r="D14" s="486" t="s">
        <v>1646</v>
      </c>
      <c r="E14" s="486" t="s">
        <v>1647</v>
      </c>
      <c r="F14" s="2893" t="s">
        <v>872</v>
      </c>
      <c r="G14" s="2893" t="s">
        <v>872</v>
      </c>
      <c r="H14" s="2893" t="s">
        <v>872</v>
      </c>
      <c r="I14" s="2893" t="s">
        <v>872</v>
      </c>
      <c r="J14" s="2893" t="s">
        <v>872</v>
      </c>
      <c r="K14" s="2799"/>
      <c r="L14" s="2799"/>
      <c r="M14" s="2799"/>
      <c r="N14" s="2799"/>
      <c r="O14" s="2799"/>
      <c r="P14" s="2799"/>
      <c r="Q14" s="2799"/>
      <c r="R14" s="2804" t="n">
        <v>13</v>
      </c>
      <c r="S14" s="2817"/>
      <c r="T14" s="2816" t="e">
        <f aca="false">ROUND($C$5*$C$22*$C$23*$C$24*S14*$C$28,0)</f>
        <v>#DIV/0!</v>
      </c>
      <c r="U14" s="2817"/>
      <c r="V14" s="2816" t="e">
        <f aca="false">ROUND(T14*U14/10000,0)</f>
        <v>#DIV/0!</v>
      </c>
      <c r="W14" s="2805"/>
      <c r="X14" s="2805"/>
      <c r="Y14" s="2805"/>
      <c r="Z14" s="2805"/>
      <c r="AA14" s="2805"/>
      <c r="AB14" s="2805"/>
      <c r="AC14" s="2806"/>
      <c r="AD14" s="2873"/>
      <c r="AE14" s="2873"/>
      <c r="AF14" s="2873"/>
      <c r="AG14" s="2873"/>
      <c r="AH14" s="2873"/>
      <c r="AI14" s="2873"/>
      <c r="AJ14" s="2874"/>
    </row>
    <row r="15" customFormat="false" ht="15" hidden="false" customHeight="false" outlineLevel="0" collapsed="false">
      <c r="A15" s="2892"/>
      <c r="B15" s="321"/>
      <c r="C15" s="365"/>
      <c r="D15" s="2894"/>
      <c r="E15" s="492"/>
      <c r="F15" s="2895" t="s">
        <v>1648</v>
      </c>
      <c r="G15" s="2896"/>
      <c r="H15" s="2897"/>
      <c r="I15" s="2898"/>
      <c r="J15" s="2899"/>
      <c r="K15" s="2799"/>
      <c r="L15" s="2799"/>
      <c r="M15" s="2799"/>
      <c r="N15" s="2799"/>
      <c r="O15" s="2799"/>
      <c r="P15" s="2799"/>
      <c r="Q15" s="2799"/>
      <c r="R15" s="2804" t="n">
        <v>14</v>
      </c>
      <c r="S15" s="2817"/>
      <c r="T15" s="2816" t="e">
        <f aca="false">ROUND($C$5*$C$22*$C$23*$C$24*S15*$C$28,0)</f>
        <v>#DIV/0!</v>
      </c>
      <c r="U15" s="2817"/>
      <c r="V15" s="2816" t="e">
        <f aca="false">ROUND(T15*U15/10000,0)</f>
        <v>#DIV/0!</v>
      </c>
      <c r="W15" s="2805"/>
      <c r="X15" s="2805"/>
      <c r="Y15" s="2805"/>
      <c r="Z15" s="2805"/>
      <c r="AA15" s="2805"/>
      <c r="AB15" s="2805"/>
      <c r="AC15" s="2806"/>
      <c r="AD15" s="2873"/>
      <c r="AE15" s="2873"/>
      <c r="AF15" s="2873"/>
      <c r="AG15" s="2873"/>
      <c r="AH15" s="2873"/>
      <c r="AI15" s="2873"/>
      <c r="AJ15" s="2874"/>
    </row>
    <row r="16" customFormat="false" ht="15" hidden="false" customHeight="false" outlineLevel="0" collapsed="false">
      <c r="A16" s="2892"/>
      <c r="B16" s="2900" t="s">
        <v>1599</v>
      </c>
      <c r="C16" s="2901"/>
      <c r="D16" s="2901"/>
      <c r="E16" s="2901"/>
      <c r="F16" s="2901" t="n">
        <v>1</v>
      </c>
      <c r="G16" s="2901" t="n">
        <v>1</v>
      </c>
      <c r="H16" s="2901" t="n">
        <v>1</v>
      </c>
      <c r="I16" s="2901" t="n">
        <v>1</v>
      </c>
      <c r="J16" s="2902" t="n">
        <v>1</v>
      </c>
      <c r="K16" s="2799"/>
      <c r="L16" s="2803"/>
      <c r="M16" s="2803"/>
      <c r="N16" s="2803"/>
      <c r="O16" s="2803"/>
      <c r="P16" s="2803"/>
      <c r="Q16" s="2799"/>
      <c r="R16" s="2804" t="n">
        <v>15</v>
      </c>
      <c r="S16" s="2817"/>
      <c r="T16" s="2816" t="e">
        <f aca="false">ROUND($C$5*$C$22*$C$23*$C$24*S16*$C$28,0)</f>
        <v>#DIV/0!</v>
      </c>
      <c r="U16" s="2817"/>
      <c r="V16" s="2816" t="e">
        <f aca="false">ROUND(T16*U16/10000,0)</f>
        <v>#DIV/0!</v>
      </c>
      <c r="W16" s="2805"/>
      <c r="X16" s="2805"/>
      <c r="Y16" s="2805"/>
      <c r="Z16" s="2805"/>
      <c r="AA16" s="2805"/>
      <c r="AB16" s="2805"/>
      <c r="AC16" s="2806"/>
      <c r="AD16" s="2873"/>
      <c r="AE16" s="2873"/>
      <c r="AF16" s="2873"/>
      <c r="AG16" s="2873"/>
      <c r="AH16" s="2873"/>
      <c r="AI16" s="2873"/>
      <c r="AJ16" s="2874"/>
    </row>
    <row r="17" customFormat="false" ht="12.75" hidden="false" customHeight="false" outlineLevel="0" collapsed="false">
      <c r="A17" s="2903" t="s">
        <v>1649</v>
      </c>
      <c r="B17" s="2904" t="s">
        <v>1650</v>
      </c>
      <c r="C17" s="2905" t="n">
        <f aca="false">ROUND(IF(OR(E2="工业",E2="公共服务"),1,IF(AND(E18=0,E19=0),1,IF(AND(E18=J24,E19=G19),0.8,IF(E19=0,1+E17*(-0.2),1+E17*G17*(-0.2))))),4)</f>
        <v>1</v>
      </c>
      <c r="D17" s="2906" t="s">
        <v>1651</v>
      </c>
      <c r="E17" s="2905" t="e">
        <f aca="false">ROUND(G18/I18,2)</f>
        <v>#DIV/0!</v>
      </c>
      <c r="F17" s="2906" t="s">
        <v>1652</v>
      </c>
      <c r="G17" s="2905" t="e">
        <f aca="false">ROUND(E19/G19,2)</f>
        <v>#DIV/0!</v>
      </c>
      <c r="H17" s="2905"/>
      <c r="I17" s="2905"/>
      <c r="J17" s="2907"/>
      <c r="K17" s="2799"/>
      <c r="L17" s="2803"/>
      <c r="M17" s="2803"/>
      <c r="N17" s="2803"/>
      <c r="O17" s="2803"/>
      <c r="P17" s="2803"/>
      <c r="Q17" s="2799"/>
      <c r="R17" s="2799"/>
      <c r="S17" s="2799"/>
      <c r="T17" s="2799"/>
      <c r="U17" s="2799"/>
      <c r="V17" s="2799"/>
      <c r="W17" s="2799"/>
      <c r="X17" s="2799"/>
      <c r="Y17" s="2799"/>
      <c r="Z17" s="2908"/>
      <c r="AA17" s="2908"/>
      <c r="AB17" s="2908"/>
      <c r="AC17" s="2908"/>
      <c r="AD17" s="2908"/>
      <c r="AE17" s="2799"/>
      <c r="AF17" s="2799"/>
      <c r="AG17" s="2803"/>
      <c r="AH17" s="2803"/>
      <c r="AI17" s="2803"/>
      <c r="AJ17" s="2803"/>
    </row>
    <row r="18" s="2835" customFormat="true" ht="14.25" hidden="false" customHeight="false" outlineLevel="0" collapsed="false">
      <c r="A18" s="2909"/>
      <c r="B18" s="314"/>
      <c r="C18" s="2910"/>
      <c r="D18" s="2911" t="s">
        <v>1653</v>
      </c>
      <c r="E18" s="2912"/>
      <c r="F18" s="2810" t="s">
        <v>1654</v>
      </c>
      <c r="G18" s="2910" t="n">
        <f aca="false">ROUND(1-(1/(POWER(1+G24,E18))),4)</f>
        <v>0</v>
      </c>
      <c r="H18" s="2810" t="s">
        <v>1655</v>
      </c>
      <c r="I18" s="2910" t="n">
        <f aca="false">ROUND(1-(1/(POWER(1+G24,J24))),4)</f>
        <v>0</v>
      </c>
      <c r="J18" s="2913"/>
      <c r="K18" s="2799"/>
      <c r="L18" s="2803"/>
      <c r="M18" s="2803"/>
      <c r="N18" s="2803"/>
      <c r="O18" s="2803"/>
      <c r="P18" s="2803"/>
      <c r="Q18" s="2799"/>
      <c r="R18" s="2914"/>
      <c r="S18" s="2914"/>
      <c r="T18" s="2908"/>
      <c r="U18" s="2908"/>
      <c r="V18" s="2908"/>
      <c r="W18" s="2799"/>
      <c r="X18" s="2799"/>
      <c r="Y18" s="2799"/>
      <c r="Z18" s="2915"/>
      <c r="AA18" s="2915"/>
      <c r="AB18" s="2915"/>
      <c r="AC18" s="2915"/>
      <c r="AD18" s="2915"/>
      <c r="AE18" s="2908"/>
      <c r="AF18" s="2908"/>
      <c r="AG18" s="2916"/>
      <c r="AH18" s="2916"/>
      <c r="AI18" s="2916"/>
      <c r="AJ18" s="2917"/>
    </row>
    <row r="19" s="2835" customFormat="true" ht="14.25" hidden="false" customHeight="false" outlineLevel="0" collapsed="false">
      <c r="A19" s="2918"/>
      <c r="B19" s="2919"/>
      <c r="C19" s="2920"/>
      <c r="D19" s="2920" t="s">
        <v>1656</v>
      </c>
      <c r="E19" s="2921"/>
      <c r="F19" s="2922" t="s">
        <v>1657</v>
      </c>
      <c r="G19" s="2921"/>
      <c r="H19" s="2920"/>
      <c r="I19" s="2920"/>
      <c r="J19" s="2923"/>
      <c r="K19" s="2799"/>
      <c r="L19" s="2803"/>
      <c r="M19" s="2803"/>
      <c r="N19" s="2803"/>
      <c r="O19" s="2803"/>
      <c r="P19" s="2803"/>
      <c r="Q19" s="2914"/>
      <c r="R19" s="2914"/>
      <c r="S19" s="2914"/>
      <c r="T19" s="2908"/>
      <c r="U19" s="2908"/>
      <c r="V19" s="2908"/>
      <c r="W19" s="2799"/>
      <c r="X19" s="2799"/>
      <c r="Y19" s="2799"/>
      <c r="Z19" s="2915"/>
      <c r="AA19" s="2915"/>
      <c r="AB19" s="2915"/>
      <c r="AC19" s="2915"/>
      <c r="AD19" s="2915"/>
      <c r="AE19" s="2915"/>
      <c r="AF19" s="2914"/>
      <c r="AG19" s="2924"/>
      <c r="AH19" s="2916"/>
      <c r="AI19" s="2925"/>
      <c r="AJ19" s="2925"/>
      <c r="AK19" s="2926"/>
    </row>
    <row r="20" s="2835" customFormat="true" ht="14.25" hidden="false" customHeight="true" outlineLevel="0" collapsed="false">
      <c r="A20" s="2927" t="s">
        <v>1658</v>
      </c>
      <c r="B20" s="1111" t="s">
        <v>1659</v>
      </c>
      <c r="C20" s="2928" t="e">
        <f aca="false">ROUND(IF(F21="与级别开发程度一致",0,(G21-E21)/C21),0)</f>
        <v>#DIV/0!</v>
      </c>
      <c r="D20" s="2929" t="s">
        <v>1660</v>
      </c>
      <c r="E20" s="2930"/>
      <c r="F20" s="2931" t="s">
        <v>1661</v>
      </c>
      <c r="G20" s="2931"/>
      <c r="H20" s="2932"/>
      <c r="I20" s="2932"/>
      <c r="J20" s="2933"/>
      <c r="K20" s="2934"/>
      <c r="L20" s="2934"/>
      <c r="M20" s="2934"/>
      <c r="N20" s="2934"/>
      <c r="O20" s="2935"/>
      <c r="P20" s="2803"/>
      <c r="Q20" s="2914"/>
      <c r="R20" s="2914"/>
      <c r="S20" s="2914"/>
      <c r="T20" s="2908"/>
      <c r="U20" s="2908"/>
      <c r="V20" s="2908"/>
      <c r="W20" s="2799"/>
      <c r="X20" s="2799"/>
      <c r="Y20" s="2799"/>
      <c r="Z20" s="2915"/>
      <c r="AA20" s="2915"/>
      <c r="AB20" s="2915"/>
      <c r="AC20" s="2915"/>
      <c r="AD20" s="2915"/>
      <c r="AE20" s="2915"/>
      <c r="AF20" s="2915"/>
      <c r="AG20" s="2917"/>
      <c r="AH20" s="2917"/>
      <c r="AI20" s="2917"/>
      <c r="AJ20" s="2917"/>
    </row>
    <row r="21" s="2835" customFormat="true" ht="14.25" hidden="false" customHeight="false" outlineLevel="0" collapsed="false">
      <c r="A21" s="2927"/>
      <c r="B21" s="2936" t="s">
        <v>1662</v>
      </c>
      <c r="C21" s="2937" t="n">
        <f aca="false">IF(E3="M4科研用地",SUMPRODUCT((修正!A2:A7=E3)*(修正!B1:M1=G2)*(修正!B2:M7)),SUMPRODUCT((修正!A2:A7=E2)*(修正!B1:M1=G2)*(修正!B2:M7)))</f>
        <v>0</v>
      </c>
      <c r="D21" s="2938" t="str">
        <f aca="false">IF(OR(G2="八级",G2="九级",G2="十级",G2="十一级",G2="十二级"),"五通一平","七通一平")</f>
        <v>七通一平</v>
      </c>
      <c r="E21" s="2939" t="n">
        <f aca="false">SUMPRODUCT((修正!B1:M1=G2)*(修正!B17:M17))</f>
        <v>0</v>
      </c>
      <c r="F21" s="2940"/>
      <c r="G21" s="2941" t="n">
        <f aca="false">SUM(H21:O21)</f>
        <v>0</v>
      </c>
      <c r="H21" s="2937" t="n">
        <f aca="false">SUMPRODUCT((七通一平=H20)*(修正!B1:M1=G2)*(修正!B8:M16))</f>
        <v>0</v>
      </c>
      <c r="I21" s="2937" t="n">
        <f aca="false">SUMPRODUCT((七通一平=I20)*(修正!B1:M1=G2)*(修正!B8:M16))</f>
        <v>0</v>
      </c>
      <c r="J21" s="2942" t="n">
        <f aca="false">SUMPRODUCT((七通一平=J20)*(修正!B1:M1=G2)*(修正!B8:M16))</f>
        <v>0</v>
      </c>
      <c r="K21" s="2937" t="n">
        <f aca="false">SUMPRODUCT((七通一平=K20)*(修正!B1:M1=G2)*(修正!B8:M16))</f>
        <v>0</v>
      </c>
      <c r="L21" s="2937" t="n">
        <f aca="false">SUMPRODUCT((七通一平=L20)*(修正!B1:M1=G2)*(修正!B8:M16))</f>
        <v>0</v>
      </c>
      <c r="M21" s="2937" t="n">
        <f aca="false">SUMPRODUCT((七通一平=M20)*(修正!B1:M1=G2)*(修正!B8:M16))</f>
        <v>0</v>
      </c>
      <c r="N21" s="2937" t="n">
        <f aca="false">SUMPRODUCT((七通一平=N20)*(修正!B1:M1=G2)*(修正!B8:M16))</f>
        <v>0</v>
      </c>
      <c r="O21" s="2943" t="n">
        <f aca="false">SUMPRODUCT((七通一平=O20)*(修正!B1:M1=G2)*(修正!B8:M16))</f>
        <v>0</v>
      </c>
      <c r="P21" s="2803"/>
      <c r="Q21" s="2917"/>
      <c r="R21" s="2914"/>
      <c r="S21" s="2914"/>
      <c r="T21" s="2908"/>
      <c r="U21" s="2908"/>
      <c r="V21" s="2908"/>
      <c r="W21" s="2799"/>
      <c r="X21" s="2799"/>
      <c r="Y21" s="2799"/>
      <c r="Z21" s="2915"/>
      <c r="AA21" s="2915"/>
      <c r="AB21" s="2915"/>
      <c r="AC21" s="2915"/>
      <c r="AD21" s="2915"/>
      <c r="AE21" s="2915"/>
      <c r="AF21" s="2915"/>
      <c r="AG21" s="2917"/>
      <c r="AH21" s="2917"/>
      <c r="AI21" s="2917"/>
      <c r="AJ21" s="2917"/>
    </row>
    <row r="22" s="2835" customFormat="true" ht="15" hidden="false" customHeight="false" outlineLevel="0" collapsed="false">
      <c r="A22" s="2944" t="s">
        <v>801</v>
      </c>
      <c r="B22" s="2945" t="s">
        <v>1663</v>
      </c>
      <c r="C22" s="2946" t="n">
        <f aca="false">SUMIF(修正!C20:C51,E3,修正!E20:E51)</f>
        <v>0</v>
      </c>
      <c r="D22" s="2947"/>
      <c r="E22" s="2948"/>
      <c r="F22" s="2948"/>
      <c r="G22" s="2948"/>
      <c r="H22" s="2948"/>
      <c r="I22" s="2948"/>
      <c r="J22" s="2949"/>
      <c r="K22" s="2915"/>
      <c r="L22" s="2917"/>
      <c r="M22" s="2917"/>
      <c r="N22" s="2917"/>
      <c r="O22" s="2950"/>
      <c r="P22" s="2950"/>
      <c r="Q22" s="2917"/>
      <c r="R22" s="2914"/>
      <c r="S22" s="2914"/>
      <c r="T22" s="2908"/>
      <c r="U22" s="2908"/>
      <c r="V22" s="2908"/>
      <c r="W22" s="2799"/>
      <c r="X22" s="2799"/>
      <c r="Y22" s="2799"/>
      <c r="Z22" s="2915"/>
      <c r="AA22" s="2915"/>
      <c r="AB22" s="2915"/>
      <c r="AC22" s="2915"/>
      <c r="AD22" s="2915"/>
      <c r="AE22" s="2915"/>
      <c r="AF22" s="2915"/>
      <c r="AG22" s="2917"/>
      <c r="AH22" s="2917"/>
      <c r="AI22" s="2917"/>
      <c r="AJ22" s="2917"/>
    </row>
    <row r="23" customFormat="false" ht="25.5" hidden="false" customHeight="false" outlineLevel="0" collapsed="false">
      <c r="A23" s="2951" t="s">
        <v>806</v>
      </c>
      <c r="B23" s="2952" t="s">
        <v>1664</v>
      </c>
      <c r="C23" s="2953" t="n">
        <f aca="false">ROUND(IF(J23="中心城区",SUMPRODUCT(('地价-分区'!A5:A16=YEAR(G23)&amp;"-"&amp;ROUNDUP(MONTH(G23)/3,0))*('地价-分区'!S2:W2=E2)*('地价-分区'!S5:W16)),IF(J23="中心城区以外",SUMPRODUCT(('地价-分区'!A25:A36=YEAR(G23)&amp;"-"&amp;ROUNDUP(MONTH(G23)/3,0))*('地价-分区'!S22:W22=E2)*('地价-分区'!S25:W36)),IF(J23="不用分区数据",IF(H23="按公示增长率计算",SUMPRODUCT((地价!A3:A16=YEAR(G23)&amp;"-"&amp;ROUNDUP(MONTH(G23)/3,0))*(地价!Y2:AD2=E2)*(地价!Y3:AD16)),IF(H23="地价指数",M24/M23,(1+I23)^O23))))),4)</f>
        <v>0</v>
      </c>
      <c r="D23" s="2954" t="s">
        <v>1665</v>
      </c>
      <c r="E23" s="2955" t="n">
        <v>44197</v>
      </c>
      <c r="F23" s="2954" t="s">
        <v>1666</v>
      </c>
      <c r="G23" s="2956" t="n">
        <f aca="false">'数据-取费表'!B2</f>
        <v>39031</v>
      </c>
      <c r="H23" s="2957" t="s">
        <v>1667</v>
      </c>
      <c r="I23" s="2958" t="str">
        <f aca="false">IF(H23="季度增幅（自定义）",SUMIF(N25:N28,E2,O25:O28),"")</f>
        <v/>
      </c>
      <c r="J23" s="2959" t="s">
        <v>1668</v>
      </c>
      <c r="K23" s="2915"/>
      <c r="L23" s="2960" t="s">
        <v>1669</v>
      </c>
      <c r="M23" s="2961" t="n">
        <f aca="false">ROUND(SUMIF(地价!B2:G2,E2,地价!B16:G16),0)</f>
        <v>0</v>
      </c>
      <c r="N23" s="2962" t="s">
        <v>1670</v>
      </c>
      <c r="O23" s="2963" t="e">
        <f aca="false">ROUNDDOWN(DATEDIF(E23,G23,"M")/3,0)</f>
        <v>#VALUE!</v>
      </c>
      <c r="P23" s="2964"/>
      <c r="Q23" s="2917"/>
      <c r="R23" s="2914"/>
      <c r="S23" s="2914"/>
      <c r="T23" s="2908"/>
      <c r="U23" s="2908"/>
      <c r="V23" s="2908"/>
      <c r="W23" s="2799"/>
      <c r="X23" s="2799"/>
      <c r="Y23" s="2799"/>
      <c r="Z23" s="2915"/>
      <c r="AA23" s="2915"/>
      <c r="AB23" s="2915"/>
      <c r="AC23" s="2915"/>
      <c r="AD23" s="2915"/>
      <c r="AE23" s="2908"/>
      <c r="AF23" s="2908"/>
      <c r="AG23" s="2916"/>
      <c r="AH23" s="2916"/>
      <c r="AI23" s="2916"/>
      <c r="AJ23" s="2916"/>
      <c r="AK23" s="2792"/>
    </row>
    <row r="24" s="2835" customFormat="true" ht="24" hidden="false" customHeight="false" outlineLevel="0" collapsed="false">
      <c r="A24" s="2965" t="s">
        <v>809</v>
      </c>
      <c r="B24" s="2966" t="s">
        <v>349</v>
      </c>
      <c r="C24" s="2967" t="e">
        <f aca="false">ROUND(POWER(1+G24,J24-I24)*(POWER(1+G24,I24)-1)/(POWER(1+G24,J24)-1),4)</f>
        <v>#DIV/0!</v>
      </c>
      <c r="D24" s="2968" t="s">
        <v>1671</v>
      </c>
      <c r="E24" s="2969" t="n">
        <f aca="false">存贷款利率!E23/100</f>
        <v>0.0435</v>
      </c>
      <c r="F24" s="2968" t="s">
        <v>1672</v>
      </c>
      <c r="G24" s="2970" t="n">
        <f aca="false">SUMIF(M30:Q30,E2,M33:Q33)</f>
        <v>0</v>
      </c>
      <c r="H24" s="2968" t="s">
        <v>1673</v>
      </c>
      <c r="I24" s="2971" t="e">
        <f aca="false">SUMIF('数据-取费表'!C6:C15,E2,'数据-取费表'!F6:F15)/COUNTIF('数据-取费表'!C6:C15,E2)</f>
        <v>#DIV/0!</v>
      </c>
      <c r="J24" s="2972" t="n">
        <f aca="false">IF(E2="住宅",70,IF(E2="商业",40,50))</f>
        <v>50</v>
      </c>
      <c r="K24" s="2915"/>
      <c r="L24" s="2973" t="s">
        <v>1674</v>
      </c>
      <c r="M24" s="2974" t="n">
        <f aca="false">ROUND(SUMPRODUCT((地价!A4:A16=YEAR(G23)&amp;"-"&amp;ROUNDUP(MONTH(G23)/3,0))*(地价!B2:G2=E2)*(地价!B4:G16)),0)</f>
        <v>0</v>
      </c>
      <c r="N24" s="2975" t="s">
        <v>1675</v>
      </c>
      <c r="O24" s="2976" t="s">
        <v>1676</v>
      </c>
      <c r="P24" s="2977" t="s">
        <v>1677</v>
      </c>
      <c r="Q24" s="2803"/>
      <c r="R24" s="2914"/>
      <c r="S24" s="2914"/>
      <c r="T24" s="2908"/>
      <c r="U24" s="2908"/>
      <c r="V24" s="2908"/>
      <c r="W24" s="2799"/>
      <c r="X24" s="2799"/>
      <c r="Y24" s="2799"/>
      <c r="Z24" s="2915"/>
      <c r="AA24" s="2915"/>
      <c r="AB24" s="2915"/>
      <c r="AC24" s="2915"/>
      <c r="AD24" s="2915"/>
      <c r="AE24" s="2915"/>
      <c r="AF24" s="2915"/>
      <c r="AG24" s="2917"/>
      <c r="AH24" s="2917"/>
      <c r="AI24" s="2917"/>
      <c r="AJ24" s="2917"/>
    </row>
    <row r="25" customFormat="false" ht="15" hidden="false" customHeight="false" outlineLevel="0" collapsed="false">
      <c r="A25" s="2978" t="s">
        <v>830</v>
      </c>
      <c r="B25" s="2979" t="s">
        <v>1678</v>
      </c>
      <c r="C25" s="2980" t="n">
        <f aca="false">IF(B25="容积率修正",IF(G3&lt;10,D26,J26),C27)</f>
        <v>0</v>
      </c>
      <c r="D25" s="2981"/>
      <c r="E25" s="2981"/>
      <c r="F25" s="2981"/>
      <c r="G25" s="2981"/>
      <c r="H25" s="2981"/>
      <c r="I25" s="2981"/>
      <c r="J25" s="2982"/>
      <c r="K25" s="2915"/>
      <c r="L25" s="2917"/>
      <c r="M25" s="2917"/>
      <c r="N25" s="2983" t="s">
        <v>157</v>
      </c>
      <c r="O25" s="2984"/>
      <c r="P25" s="2985" t="n">
        <f aca="false">SUMPRODUCT((地价!A3:A40=YEAR(G23)&amp;"-"&amp;ROUNDUP(MONTH(G23)/3,0))*(地价!AD2:AH2=N25)*(地价!AD3:AH40))</f>
        <v>0</v>
      </c>
      <c r="Q25" s="2917"/>
      <c r="R25" s="2914"/>
      <c r="S25" s="2914"/>
      <c r="T25" s="2908"/>
      <c r="U25" s="2908"/>
      <c r="V25" s="2908"/>
      <c r="W25" s="2799"/>
      <c r="X25" s="2799"/>
      <c r="Y25" s="2799"/>
      <c r="Z25" s="2915"/>
      <c r="AA25" s="2915"/>
      <c r="AB25" s="2915"/>
      <c r="AC25" s="2915"/>
      <c r="AD25" s="2915"/>
      <c r="AE25" s="2908"/>
      <c r="AF25" s="2908"/>
      <c r="AG25" s="2916"/>
      <c r="AH25" s="2916"/>
      <c r="AI25" s="2916"/>
      <c r="AJ25" s="2916"/>
    </row>
    <row r="26" customFormat="false" ht="14.25" hidden="false" customHeight="false" outlineLevel="0" collapsed="false">
      <c r="A26" s="2986" t="s">
        <v>1679</v>
      </c>
      <c r="B26" s="2987" t="s">
        <v>1680</v>
      </c>
      <c r="C26" s="2988" t="s">
        <v>1681</v>
      </c>
      <c r="D26" s="2033" t="n">
        <f aca="false">IF(E26=G26,F26,IF(G3&lt;10,ROUND(F26+(H26-F26)*(G3-E26)/(G26-E26),4),"——"))</f>
        <v>0</v>
      </c>
      <c r="E26" s="2820" t="n">
        <f aca="false">ROUNDDOWN(G3,1)</f>
        <v>0</v>
      </c>
      <c r="F26" s="2033" t="n">
        <f aca="false">IF(G3&lt;10,IF(E2="商业",SUMPRODUCT((容积率修正!A3:A92=ROUNDDOWN(G3,1))*(容积率修正!B2:M2=G2)*(容积率修正!B3:M92)),IF(E2="办公",SUMPRODUCT((容积率修正!A95:A184=ROUNDDOWN(G3,1))*(容积率修正!B2:M2=G2)*(容积率修正!B95:M184)),IF(E2="住宅",SUMPRODUCT((容积率修正!A187:A276=ROUNDDOWN(G3,1))*(容积率修正!B2:M2=G2)*(容积率修正!B187:M276)),IF(E2="公共服务",SUMPRODUCT((容积率修正!A371:A460=ROUNDDOWN(G3,1))*(容积率修正!B2:M2=G2)*(容积率修正!B371:M460)),IF(AND(E2="工业",E3="M4科研用地"),SUMPRODUCT((容积率修正!A371:A460=ROUNDDOWN(G3,1))*(容积率修正!B2:M2=G2)*(容积率修正!B371:M460)),SUMPRODUCT((容积率修正!A279:A368=ROUNDDOWN(G3,1))*(容积率修正!B2:M2=G2)*(容积率修正!B279:M368))))))),"--")</f>
        <v>0</v>
      </c>
      <c r="G26" s="2820" t="n">
        <f aca="false">ROUNDUP(G3,1)</f>
        <v>0</v>
      </c>
      <c r="H26" s="2033" t="n">
        <f aca="false">IF(G3&lt;10,IF(E2="商业",SUMPRODUCT((容积率修正!A3:A92=ROUNDUP(G3,1))*(容积率修正!B2:M2=G2)*(容积率修正!B3:M92)),IF(E2="办公",SUMPRODUCT((容积率修正!A95:A184=ROUNDUP(G3,1))*(容积率修正!B2:M2=G2)*(容积率修正!B95:M184)),IF(E2="住宅",SUMPRODUCT((容积率修正!A187:A276=ROUNDUP(G3,1))*(容积率修正!B2:M2=G2)*(容积率修正!B187:M276)),IF(E2="公共服务",SUMPRODUCT((容积率修正!A371:A460=ROUNDUP(G3,1))*(容积率修正!B2:M2=G2)*(容积率修正!B371:M460)),IF(AND(E2="工业",E3="M4科研用地"),SUMPRODUCT((容积率修正!A371:A460=ROUNDUP(G3,1))*(容积率修正!B2:M2=G2)*(容积率修正!B371:M460)),SUMPRODUCT((容积率修正!A279:A368=ROUNDUP(G3,1))*(容积率修正!B2:M2=G2)*(容积率修正!B279:M368))))))),"--")</f>
        <v>0</v>
      </c>
      <c r="I26" s="2988" t="s">
        <v>1682</v>
      </c>
      <c r="J26" s="2989" t="str">
        <f aca="false">IF(G3&gt;=10,D115,"——")</f>
        <v>——</v>
      </c>
      <c r="K26" s="2915"/>
      <c r="L26" s="2917"/>
      <c r="M26" s="2917"/>
      <c r="N26" s="2983" t="s">
        <v>158</v>
      </c>
      <c r="O26" s="2984"/>
      <c r="P26" s="2985" t="n">
        <f aca="false">SUMPRODUCT((地价!A3:A40=YEAR(G23)&amp;"-"&amp;ROUNDUP(MONTH(G23)/3,0))*(地价!AD2:AH2=N26)*(地价!AD3:AH40))</f>
        <v>0</v>
      </c>
      <c r="Q26" s="2803"/>
      <c r="R26" s="2914"/>
      <c r="S26" s="2914"/>
      <c r="T26" s="2908"/>
      <c r="U26" s="2908"/>
      <c r="V26" s="2908"/>
      <c r="W26" s="2799"/>
      <c r="X26" s="2799"/>
      <c r="Y26" s="2799"/>
      <c r="Z26" s="2915"/>
      <c r="AA26" s="2915"/>
      <c r="AB26" s="2915"/>
      <c r="AC26" s="2915"/>
      <c r="AD26" s="2915"/>
      <c r="AE26" s="2908"/>
      <c r="AF26" s="2908"/>
      <c r="AG26" s="2916"/>
      <c r="AH26" s="2916"/>
      <c r="AI26" s="2916"/>
      <c r="AJ26" s="2916"/>
    </row>
    <row r="27" customFormat="false" ht="15" hidden="false" customHeight="false" outlineLevel="0" collapsed="false">
      <c r="A27" s="2986" t="s">
        <v>1683</v>
      </c>
      <c r="B27" s="2990" t="s">
        <v>1684</v>
      </c>
      <c r="C27" s="2991" t="n">
        <f aca="false">ROUND(IF(I3&lt;6,SUMPRODUCT((B106:B110=I3)*(C105:N105=G2)*(C106:N110)),SUMIF(C105:N105,G2,C112:N112)),4)</f>
        <v>0</v>
      </c>
      <c r="D27" s="2992"/>
      <c r="E27" s="2992"/>
      <c r="F27" s="2993"/>
      <c r="G27" s="2994"/>
      <c r="H27" s="2995"/>
      <c r="I27" s="2996"/>
      <c r="J27" s="2997"/>
      <c r="K27" s="2799"/>
      <c r="L27" s="2803"/>
      <c r="M27" s="2803"/>
      <c r="N27" s="2983" t="s">
        <v>156</v>
      </c>
      <c r="O27" s="2984"/>
      <c r="P27" s="2985" t="n">
        <f aca="false">SUMPRODUCT((地价!A3:A40=YEAR(G23)&amp;"-"&amp;ROUNDUP(MONTH(G23)/3,0))*(地价!AD2:AH2=N27)*(地价!AD3:AH40))</f>
        <v>0</v>
      </c>
      <c r="Q27" s="2803"/>
      <c r="R27" s="2914"/>
      <c r="S27" s="2914"/>
      <c r="T27" s="2908"/>
      <c r="U27" s="2908"/>
      <c r="V27" s="2908"/>
      <c r="W27" s="2799"/>
      <c r="X27" s="2799"/>
      <c r="Y27" s="2799"/>
      <c r="Z27" s="2915"/>
      <c r="AA27" s="2915"/>
      <c r="AB27" s="2915"/>
      <c r="AC27" s="2915"/>
      <c r="AD27" s="2915"/>
      <c r="AE27" s="2908"/>
      <c r="AF27" s="2908"/>
      <c r="AG27" s="2916"/>
      <c r="AH27" s="2916"/>
      <c r="AI27" s="2916"/>
      <c r="AJ27" s="2916"/>
    </row>
    <row r="28" customFormat="false" ht="15" hidden="false" customHeight="false" outlineLevel="0" collapsed="false">
      <c r="A28" s="2965" t="s">
        <v>1685</v>
      </c>
      <c r="B28" s="2952" t="s">
        <v>1686</v>
      </c>
      <c r="C28" s="2953" t="n">
        <f aca="false">SUMIF(A47:A101,E2,B47:B101)</f>
        <v>0</v>
      </c>
      <c r="D28" s="2998"/>
      <c r="E28" s="2999"/>
      <c r="F28" s="2999"/>
      <c r="G28" s="2999"/>
      <c r="H28" s="2999"/>
      <c r="I28" s="2999"/>
      <c r="J28" s="3000"/>
      <c r="K28" s="2915"/>
      <c r="L28" s="2917"/>
      <c r="M28" s="2917"/>
      <c r="N28" s="3001" t="s">
        <v>159</v>
      </c>
      <c r="O28" s="3002"/>
      <c r="P28" s="3003" t="n">
        <f aca="false">SUMPRODUCT((地价!A3:A40=YEAR(G23)&amp;"-"&amp;ROUNDUP(MONTH(G23)/3,0))*(地价!AD2:AH2=N28)*(地价!AD3:AH40))</f>
        <v>0</v>
      </c>
      <c r="Q28" s="2914"/>
      <c r="R28" s="2914"/>
      <c r="S28" s="2914"/>
      <c r="T28" s="2908"/>
      <c r="U28" s="2908"/>
      <c r="V28" s="2908"/>
      <c r="W28" s="2799"/>
      <c r="X28" s="2799"/>
      <c r="Y28" s="2799"/>
      <c r="Z28" s="2915"/>
      <c r="AA28" s="2915"/>
      <c r="AB28" s="2915"/>
      <c r="AC28" s="2915"/>
      <c r="AD28" s="2915"/>
      <c r="AE28" s="2908"/>
      <c r="AF28" s="2908"/>
      <c r="AG28" s="2916"/>
      <c r="AH28" s="2916"/>
      <c r="AI28" s="2916"/>
      <c r="AJ28" s="2916"/>
    </row>
    <row r="29" customFormat="false" ht="15" hidden="false" customHeight="false" outlineLevel="0" collapsed="false">
      <c r="A29" s="2965" t="s">
        <v>1687</v>
      </c>
      <c r="B29" s="3004" t="s">
        <v>1688</v>
      </c>
      <c r="C29" s="3005"/>
      <c r="D29" s="2847"/>
      <c r="E29" s="2847"/>
      <c r="F29" s="3006"/>
      <c r="G29" s="2847"/>
      <c r="H29" s="2847"/>
      <c r="I29" s="2847"/>
      <c r="J29" s="2848"/>
      <c r="K29" s="2799"/>
      <c r="L29" s="2803"/>
      <c r="M29" s="2803"/>
      <c r="N29" s="3007" t="s">
        <v>1689</v>
      </c>
      <c r="O29" s="3008"/>
      <c r="P29" s="3009" t="n">
        <f aca="false">SUMPRODUCT((地价!A3:A40=YEAR(G23)&amp;"-"&amp;ROUNDUP(MONTH(G23)/3,0))*(地价!AD2:AH2=N29)*(地价!AD3:AH40))</f>
        <v>0</v>
      </c>
      <c r="Q29" s="2914"/>
      <c r="R29" s="2914"/>
      <c r="S29" s="2914"/>
      <c r="T29" s="2908"/>
      <c r="U29" s="2908"/>
      <c r="V29" s="2908"/>
      <c r="W29" s="2799"/>
      <c r="X29" s="2799"/>
      <c r="Y29" s="2799"/>
      <c r="Z29" s="2915"/>
      <c r="AA29" s="2915"/>
      <c r="AB29" s="2915"/>
      <c r="AC29" s="2915"/>
      <c r="AD29" s="2915"/>
      <c r="AE29" s="2799"/>
      <c r="AF29" s="2799"/>
      <c r="AG29" s="2803"/>
      <c r="AH29" s="2803"/>
      <c r="AI29" s="2803"/>
      <c r="AJ29" s="2803"/>
    </row>
    <row r="30" customFormat="false" ht="15" hidden="false" customHeight="false" outlineLevel="0" collapsed="false">
      <c r="A30" s="3010"/>
      <c r="B30" s="2987" t="s">
        <v>1690</v>
      </c>
      <c r="C30" s="3011" t="e">
        <f aca="false">IF(B25="容积率修正",E33+SUM(E37:E42),SUM(V2:V16)+SUM(E37:E42))</f>
        <v>#DIV/0!</v>
      </c>
      <c r="D30" s="3012"/>
      <c r="E30" s="2992"/>
      <c r="F30" s="3013"/>
      <c r="G30" s="2992"/>
      <c r="H30" s="2992"/>
      <c r="I30" s="2992"/>
      <c r="J30" s="3014"/>
      <c r="K30" s="2799"/>
      <c r="L30" s="3015" t="s">
        <v>399</v>
      </c>
      <c r="M30" s="3016" t="s">
        <v>157</v>
      </c>
      <c r="N30" s="3016" t="s">
        <v>158</v>
      </c>
      <c r="O30" s="3016" t="s">
        <v>156</v>
      </c>
      <c r="P30" s="3016" t="s">
        <v>159</v>
      </c>
      <c r="Q30" s="3017" t="s">
        <v>276</v>
      </c>
      <c r="R30" s="2914"/>
      <c r="S30" s="2914"/>
      <c r="T30" s="2908"/>
      <c r="U30" s="2908"/>
      <c r="V30" s="2908"/>
      <c r="W30" s="2799"/>
      <c r="X30" s="2799"/>
      <c r="Y30" s="2799"/>
      <c r="Z30" s="2915"/>
      <c r="AA30" s="2915"/>
      <c r="AB30" s="2915"/>
      <c r="AC30" s="2915"/>
      <c r="AD30" s="2915"/>
      <c r="AE30" s="2799"/>
      <c r="AF30" s="2799"/>
      <c r="AG30" s="2803"/>
      <c r="AH30" s="2803"/>
      <c r="AI30" s="2803"/>
      <c r="AJ30" s="2803"/>
    </row>
    <row r="31" customFormat="false" ht="15" hidden="false" customHeight="false" outlineLevel="0" collapsed="false">
      <c r="A31" s="3010"/>
      <c r="B31" s="3018" t="s">
        <v>1691</v>
      </c>
      <c r="C31" s="3019" t="e">
        <f aca="false">E34+SUM(I37:I42)</f>
        <v>#DIV/0!</v>
      </c>
      <c r="D31" s="3020"/>
      <c r="E31" s="3021"/>
      <c r="F31" s="3022"/>
      <c r="G31" s="3021"/>
      <c r="H31" s="3021"/>
      <c r="I31" s="3021"/>
      <c r="J31" s="3023"/>
      <c r="K31" s="2799"/>
      <c r="L31" s="3024" t="s">
        <v>1692</v>
      </c>
      <c r="M31" s="2810" t="n">
        <v>0.25</v>
      </c>
      <c r="N31" s="2810" t="n">
        <v>0.2</v>
      </c>
      <c r="O31" s="2810" t="n">
        <v>0.15</v>
      </c>
      <c r="P31" s="2810" t="n">
        <v>0.1</v>
      </c>
      <c r="Q31" s="3025" t="n">
        <v>0.15</v>
      </c>
      <c r="R31" s="2914"/>
      <c r="S31" s="2914"/>
      <c r="T31" s="2908"/>
      <c r="U31" s="2908"/>
      <c r="V31" s="2908"/>
      <c r="W31" s="2799"/>
      <c r="X31" s="2799"/>
      <c r="Y31" s="2799"/>
      <c r="Z31" s="2915"/>
      <c r="AA31" s="2915"/>
      <c r="AB31" s="2915"/>
      <c r="AC31" s="2915"/>
      <c r="AD31" s="2915"/>
      <c r="AE31" s="2799"/>
      <c r="AF31" s="2799"/>
      <c r="AG31" s="2803"/>
      <c r="AH31" s="2803"/>
      <c r="AI31" s="2803"/>
      <c r="AJ31" s="2803"/>
    </row>
    <row r="32" customFormat="false" ht="15" hidden="false" customHeight="false" outlineLevel="0" collapsed="false">
      <c r="A32" s="3026"/>
      <c r="B32" s="3027" t="s">
        <v>1693</v>
      </c>
      <c r="C32" s="3028" t="s">
        <v>99</v>
      </c>
      <c r="D32" s="3028" t="s">
        <v>107</v>
      </c>
      <c r="E32" s="3029" t="s">
        <v>100</v>
      </c>
      <c r="F32" s="3030"/>
      <c r="G32" s="2887"/>
      <c r="H32" s="2887"/>
      <c r="I32" s="2887"/>
      <c r="J32" s="2888"/>
      <c r="K32" s="2799"/>
      <c r="L32" s="3031" t="s">
        <v>1672</v>
      </c>
      <c r="M32" s="1131" t="n">
        <f aca="false">ROUND($E$24*(1+M31),3)</f>
        <v>0.054</v>
      </c>
      <c r="N32" s="1131" t="n">
        <f aca="false">ROUND($E$24*(1+N31),3)</f>
        <v>0.052</v>
      </c>
      <c r="O32" s="1131" t="n">
        <f aca="false">ROUND($E$24*(1+O31),3)</f>
        <v>0.05</v>
      </c>
      <c r="P32" s="1131" t="n">
        <f aca="false">ROUND($E$24*(1+P31),3)</f>
        <v>0.048</v>
      </c>
      <c r="Q32" s="3032" t="n">
        <f aca="false">ROUND($E$24*(1+Q31),3)</f>
        <v>0.05</v>
      </c>
      <c r="R32" s="2914"/>
      <c r="S32" s="2914"/>
      <c r="T32" s="2908"/>
      <c r="U32" s="2908"/>
      <c r="V32" s="2908"/>
      <c r="W32" s="2799"/>
      <c r="X32" s="2799"/>
      <c r="Y32" s="2799"/>
      <c r="Z32" s="2915"/>
      <c r="AA32" s="2915"/>
      <c r="AB32" s="2915"/>
      <c r="AC32" s="2915"/>
      <c r="AD32" s="2915"/>
      <c r="AE32" s="2799"/>
      <c r="AF32" s="2799"/>
      <c r="AG32" s="2803"/>
      <c r="AH32" s="2803"/>
      <c r="AI32" s="2803"/>
      <c r="AJ32" s="2803"/>
    </row>
    <row r="33" customFormat="false" ht="14.25" hidden="false" customHeight="false" outlineLevel="0" collapsed="false">
      <c r="A33" s="3033"/>
      <c r="B33" s="3034" t="s">
        <v>1694</v>
      </c>
      <c r="C33" s="3035" t="e">
        <f aca="false">ROUND(C5*C22*C23*C24*C25*C28,0)</f>
        <v>#DIV/0!</v>
      </c>
      <c r="D33" s="3036"/>
      <c r="E33" s="1528" t="e">
        <f aca="false">ROUND(C33*D33/10000,0)</f>
        <v>#DIV/0!</v>
      </c>
      <c r="F33" s="1368" t="s">
        <v>1695</v>
      </c>
      <c r="G33" s="1392"/>
      <c r="H33" s="1392"/>
      <c r="I33" s="1392"/>
      <c r="J33" s="953"/>
      <c r="K33" s="2799"/>
      <c r="L33" s="3037" t="s">
        <v>1696</v>
      </c>
      <c r="M33" s="3038" t="n">
        <v>0.055</v>
      </c>
      <c r="N33" s="3038" t="n">
        <v>0.055</v>
      </c>
      <c r="O33" s="3038" t="n">
        <v>0.05</v>
      </c>
      <c r="P33" s="3038" t="n">
        <v>0.05</v>
      </c>
      <c r="Q33" s="3038" t="n">
        <v>0.05</v>
      </c>
      <c r="R33" s="2914"/>
      <c r="S33" s="2914"/>
      <c r="T33" s="2908"/>
      <c r="U33" s="2908"/>
      <c r="V33" s="2908"/>
      <c r="W33" s="2799"/>
      <c r="X33" s="2799"/>
      <c r="Y33" s="2799"/>
      <c r="Z33" s="2915"/>
      <c r="AA33" s="2915"/>
      <c r="AB33" s="2915"/>
      <c r="AC33" s="2915"/>
      <c r="AD33" s="2915"/>
      <c r="AE33" s="2908"/>
      <c r="AF33" s="2908"/>
      <c r="AG33" s="2916"/>
      <c r="AH33" s="2916"/>
      <c r="AI33" s="2916"/>
      <c r="AJ33" s="2916"/>
    </row>
    <row r="34" customFormat="false" ht="24.75" hidden="false" customHeight="false" outlineLevel="0" collapsed="false">
      <c r="A34" s="3039"/>
      <c r="B34" s="3040" t="s">
        <v>1697</v>
      </c>
      <c r="C34" s="2938" t="e">
        <f aca="false">ROUND(IF(E2="工业",C33*M42,IF(B25="楼层修正",SUM(V2:V16)*M41*10000/D34,C33*M41)),0)</f>
        <v>#DIV/0!</v>
      </c>
      <c r="D34" s="3041"/>
      <c r="E34" s="1528" t="e">
        <f aca="false">ROUND(IF(B25="楼层修正",SUM(V2:V16)*M40,C34*D34/10000),0)</f>
        <v>#DIV/0!</v>
      </c>
      <c r="F34" s="3042" t="s">
        <v>1698</v>
      </c>
      <c r="G34" s="3043"/>
      <c r="H34" s="3043"/>
      <c r="I34" s="3043"/>
      <c r="J34" s="3044"/>
      <c r="K34" s="2799"/>
      <c r="L34" s="3037" t="s">
        <v>1699</v>
      </c>
      <c r="M34" s="3038" t="n">
        <v>0.065</v>
      </c>
      <c r="N34" s="3038" t="n">
        <v>0.065</v>
      </c>
      <c r="O34" s="3038" t="n">
        <v>0.06</v>
      </c>
      <c r="P34" s="3038" t="n">
        <v>0.06</v>
      </c>
      <c r="Q34" s="3038" t="n">
        <v>0.06</v>
      </c>
      <c r="R34" s="2914"/>
      <c r="S34" s="2914"/>
      <c r="T34" s="2908"/>
      <c r="U34" s="2908"/>
      <c r="V34" s="2908"/>
      <c r="W34" s="2799"/>
      <c r="X34" s="2799"/>
      <c r="Y34" s="2799"/>
      <c r="Z34" s="2915"/>
      <c r="AA34" s="2915"/>
      <c r="AB34" s="2915"/>
      <c r="AC34" s="2915"/>
      <c r="AD34" s="2915"/>
      <c r="AE34" s="2908"/>
      <c r="AF34" s="2908"/>
      <c r="AG34" s="2916"/>
      <c r="AH34" s="2916"/>
      <c r="AI34" s="2916"/>
      <c r="AJ34" s="2916"/>
    </row>
    <row r="35" customFormat="false" ht="12.75" hidden="false" customHeight="false" outlineLevel="0" collapsed="false">
      <c r="A35" s="3045"/>
      <c r="B35" s="3046" t="s">
        <v>1700</v>
      </c>
      <c r="C35" s="3047" t="s">
        <v>1701</v>
      </c>
      <c r="D35" s="2887"/>
      <c r="E35" s="3048"/>
      <c r="F35" s="3048"/>
      <c r="G35" s="2885" t="s">
        <v>1698</v>
      </c>
      <c r="H35" s="2887"/>
      <c r="I35" s="3049"/>
      <c r="J35" s="2888"/>
      <c r="K35" s="2799"/>
      <c r="L35" s="2799"/>
      <c r="M35" s="2799"/>
      <c r="N35" s="2799"/>
      <c r="O35" s="2950"/>
      <c r="P35" s="2950"/>
      <c r="Q35" s="2914"/>
      <c r="R35" s="2799"/>
      <c r="S35" s="2799"/>
      <c r="T35" s="2799"/>
      <c r="U35" s="2799"/>
      <c r="V35" s="2799"/>
      <c r="W35" s="2799"/>
      <c r="X35" s="2799"/>
      <c r="Y35" s="2799"/>
      <c r="Z35" s="2908"/>
      <c r="AA35" s="2908"/>
      <c r="AB35" s="2908"/>
      <c r="AC35" s="2908"/>
      <c r="AD35" s="2908"/>
      <c r="AE35" s="2908"/>
      <c r="AF35" s="2908"/>
      <c r="AG35" s="2916"/>
      <c r="AH35" s="2916"/>
      <c r="AI35" s="2916"/>
      <c r="AJ35" s="2916"/>
    </row>
    <row r="36" customFormat="false" ht="24" hidden="false" customHeight="false" outlineLevel="0" collapsed="false">
      <c r="A36" s="3033"/>
      <c r="B36" s="3050"/>
      <c r="C36" s="3051" t="s">
        <v>99</v>
      </c>
      <c r="D36" s="3052" t="s">
        <v>107</v>
      </c>
      <c r="E36" s="3052" t="s">
        <v>100</v>
      </c>
      <c r="F36" s="1696" t="s">
        <v>1702</v>
      </c>
      <c r="G36" s="3053" t="s">
        <v>99</v>
      </c>
      <c r="H36" s="3053" t="s">
        <v>107</v>
      </c>
      <c r="I36" s="3053" t="s">
        <v>100</v>
      </c>
      <c r="J36" s="1314"/>
      <c r="K36" s="3054" t="s">
        <v>1703</v>
      </c>
      <c r="L36" s="3055" t="n">
        <f aca="false">'数据-取费表'!B40</f>
        <v>0.063</v>
      </c>
      <c r="M36" s="3056" t="n">
        <f aca="false">ROUND($L$36*(1+M31),3)</f>
        <v>0.079</v>
      </c>
      <c r="N36" s="3056" t="n">
        <f aca="false">ROUND($L$36*(1+N31),3)</f>
        <v>0.076</v>
      </c>
      <c r="O36" s="3056" t="n">
        <f aca="false">ROUND($L$36*(1+O31),3)</f>
        <v>0.072</v>
      </c>
      <c r="P36" s="3056" t="n">
        <f aca="false">ROUND($L$36*(1+P31),3)</f>
        <v>0.069</v>
      </c>
      <c r="Q36" s="3056" t="n">
        <f aca="false">ROUND($L$36*(1+Q31),3)</f>
        <v>0.072</v>
      </c>
      <c r="R36" s="2799"/>
      <c r="S36" s="2799"/>
      <c r="T36" s="2799"/>
      <c r="U36" s="2799"/>
      <c r="V36" s="2799"/>
      <c r="W36" s="2799"/>
      <c r="X36" s="2799"/>
      <c r="Y36" s="2799"/>
      <c r="Z36" s="2908"/>
      <c r="AA36" s="2908"/>
      <c r="AB36" s="2908"/>
      <c r="AC36" s="2908"/>
      <c r="AD36" s="2908"/>
      <c r="AE36" s="2908"/>
      <c r="AF36" s="2908"/>
      <c r="AG36" s="2916"/>
      <c r="AH36" s="2916"/>
      <c r="AI36" s="2916"/>
      <c r="AJ36" s="2916"/>
    </row>
    <row r="37" customFormat="false" ht="24" hidden="false" customHeight="false" outlineLevel="0" collapsed="false">
      <c r="A37" s="3057"/>
      <c r="B37" s="3058" t="s">
        <v>1704</v>
      </c>
      <c r="C37" s="3035" t="e">
        <f aca="false">ROUND(D5*C22*C23*C24*C28*F37,0)</f>
        <v>#DIV/0!</v>
      </c>
      <c r="D37" s="3036"/>
      <c r="E37" s="2631" t="e">
        <f aca="false">ROUND(C37*D37/10000,0)</f>
        <v>#DIV/0!</v>
      </c>
      <c r="F37" s="2631" t="n">
        <f aca="false">SUMIF(修正!A57:A68,G2,修正!B57:B68)</f>
        <v>0</v>
      </c>
      <c r="G37" s="2631" t="e">
        <f aca="false">ROUND(IF(E2="工业",C37*$M$42,C37*$M$41),0)</f>
        <v>#DIV/0!</v>
      </c>
      <c r="H37" s="2631" t="n">
        <f aca="false">D37</f>
        <v>0</v>
      </c>
      <c r="I37" s="2631" t="e">
        <f aca="false">ROUND(G37*H37/10000,0)</f>
        <v>#DIV/0!</v>
      </c>
      <c r="J37" s="3059"/>
      <c r="K37" s="3060" t="s">
        <v>1705</v>
      </c>
      <c r="L37" s="3054" t="n">
        <f aca="false">L36+K38</f>
        <v>0.068</v>
      </c>
      <c r="M37" s="3056" t="n">
        <f aca="false">ROUND($L$37*(1+M31),3)</f>
        <v>0.085</v>
      </c>
      <c r="N37" s="3056" t="n">
        <f aca="false">ROUND($L$37*(1+N31),3)</f>
        <v>0.082</v>
      </c>
      <c r="O37" s="3056" t="n">
        <f aca="false">ROUND($L$37*(1+O31),3)</f>
        <v>0.078</v>
      </c>
      <c r="P37" s="3056" t="n">
        <f aca="false">ROUND($L$37*(1+P31),3)</f>
        <v>0.075</v>
      </c>
      <c r="Q37" s="3056" t="n">
        <f aca="false">ROUND($L$37*(1+Q31),3)</f>
        <v>0.078</v>
      </c>
      <c r="R37" s="2799"/>
      <c r="S37" s="2799"/>
      <c r="T37" s="2799"/>
      <c r="U37" s="2799"/>
      <c r="V37" s="2799"/>
      <c r="W37" s="2799"/>
      <c r="X37" s="2799"/>
      <c r="Y37" s="2799"/>
      <c r="Z37" s="2908"/>
      <c r="AA37" s="2908"/>
      <c r="AB37" s="2908"/>
      <c r="AC37" s="2908"/>
      <c r="AD37" s="2908"/>
      <c r="AE37" s="2908"/>
      <c r="AF37" s="2908"/>
      <c r="AG37" s="2916"/>
      <c r="AH37" s="2916"/>
      <c r="AI37" s="2916"/>
      <c r="AJ37" s="2916"/>
    </row>
    <row r="38" customFormat="false" ht="12.75" hidden="false" customHeight="false" outlineLevel="0" collapsed="false">
      <c r="A38" s="3057"/>
      <c r="B38" s="483" t="s">
        <v>1706</v>
      </c>
      <c r="C38" s="3035" t="e">
        <f aca="false">ROUND(D5*C22*C23*C24*C28*F38,0)</f>
        <v>#DIV/0!</v>
      </c>
      <c r="D38" s="3036"/>
      <c r="E38" s="2631" t="e">
        <f aca="false">ROUND(C38*D38/10000,0)</f>
        <v>#DIV/0!</v>
      </c>
      <c r="F38" s="2631" t="n">
        <f aca="false">SUMIF(修正!A57:A68,G2,修正!C57:C68)</f>
        <v>0</v>
      </c>
      <c r="G38" s="2631" t="e">
        <f aca="false">ROUND(IF(E2="工业",C38*$M$42,C38*$M$41),0)</f>
        <v>#DIV/0!</v>
      </c>
      <c r="H38" s="2631" t="n">
        <f aca="false">D38</f>
        <v>0</v>
      </c>
      <c r="I38" s="2631" t="e">
        <f aca="false">ROUND(G38*H38/10000,0)</f>
        <v>#DIV/0!</v>
      </c>
      <c r="J38" s="3061"/>
      <c r="K38" s="3054" t="n">
        <v>0.005</v>
      </c>
      <c r="L38" s="3054"/>
      <c r="M38" s="3054"/>
      <c r="N38" s="3054"/>
      <c r="O38" s="3054"/>
      <c r="P38" s="3054"/>
      <c r="Q38" s="3054"/>
      <c r="R38" s="2799"/>
      <c r="S38" s="2799"/>
      <c r="T38" s="2799"/>
      <c r="U38" s="2799"/>
      <c r="V38" s="2799"/>
      <c r="W38" s="2799"/>
      <c r="X38" s="2799"/>
      <c r="Y38" s="2799"/>
      <c r="Z38" s="2908"/>
      <c r="AA38" s="2908"/>
      <c r="AB38" s="2908"/>
      <c r="AC38" s="2908"/>
      <c r="AD38" s="2908"/>
    </row>
    <row r="39" customFormat="false" ht="12.75" hidden="false" customHeight="false" outlineLevel="0" collapsed="false">
      <c r="A39" s="3057"/>
      <c r="B39" s="483" t="s">
        <v>1707</v>
      </c>
      <c r="C39" s="3035" t="e">
        <f aca="false">ROUND(D5*C22*C23*C24*C28*F39,0)</f>
        <v>#DIV/0!</v>
      </c>
      <c r="D39" s="3036"/>
      <c r="E39" s="2631" t="e">
        <f aca="false">ROUND(C39*D39/10000,0)</f>
        <v>#DIV/0!</v>
      </c>
      <c r="F39" s="2631" t="n">
        <f aca="false">SUMIF(修正!A57:A68,G2,修正!D57:D68)</f>
        <v>0</v>
      </c>
      <c r="G39" s="2631" t="e">
        <f aca="false">ROUND(IF(E2="工业",C39*$M$42,C39*$M$41),0)</f>
        <v>#DIV/0!</v>
      </c>
      <c r="H39" s="2631" t="n">
        <f aca="false">D39</f>
        <v>0</v>
      </c>
      <c r="I39" s="2631" t="e">
        <f aca="false">ROUND(G39*H39/10000,0)</f>
        <v>#DIV/0!</v>
      </c>
      <c r="J39" s="3061"/>
      <c r="K39" s="2799"/>
      <c r="L39" s="2799"/>
      <c r="M39" s="2799"/>
      <c r="N39" s="2799"/>
      <c r="O39" s="2799"/>
      <c r="P39" s="2799"/>
      <c r="Q39" s="2799"/>
      <c r="R39" s="2799"/>
      <c r="S39" s="2799"/>
      <c r="T39" s="2799"/>
      <c r="U39" s="2799"/>
      <c r="V39" s="2799"/>
      <c r="W39" s="2799"/>
      <c r="X39" s="2799"/>
      <c r="Y39" s="2799"/>
      <c r="Z39" s="2908"/>
      <c r="AA39" s="2908"/>
      <c r="AB39" s="2908"/>
      <c r="AC39" s="2908"/>
      <c r="AD39" s="2908"/>
    </row>
    <row r="40" s="2799" customFormat="true" ht="12.75" hidden="false" customHeight="false" outlineLevel="0" collapsed="false">
      <c r="A40" s="3062"/>
      <c r="B40" s="483" t="s">
        <v>1708</v>
      </c>
      <c r="C40" s="2631" t="e">
        <f aca="false">ROUND(D5*C22*C23*C24*C28*F40,0)</f>
        <v>#DIV/0!</v>
      </c>
      <c r="D40" s="3036"/>
      <c r="E40" s="2631" t="e">
        <f aca="false">ROUND(C40*D40/10000,0)</f>
        <v>#DIV/0!</v>
      </c>
      <c r="F40" s="3035" t="n">
        <f aca="false">SUMIF(修正!A57:A68,G2,修正!E57:E68)</f>
        <v>0</v>
      </c>
      <c r="G40" s="2631" t="e">
        <f aca="false">ROUND(IF(E2="工业",C40*$M$42,C40*$M$41),0)</f>
        <v>#DIV/0!</v>
      </c>
      <c r="H40" s="2631" t="n">
        <f aca="false">D40</f>
        <v>0</v>
      </c>
      <c r="I40" s="2631" t="e">
        <f aca="false">ROUND(G40*H40/10000,0)</f>
        <v>#DIV/0!</v>
      </c>
      <c r="J40" s="3063"/>
      <c r="L40" s="3064" t="s">
        <v>1584</v>
      </c>
      <c r="M40" s="3065"/>
      <c r="Z40" s="2908"/>
      <c r="AA40" s="2908"/>
      <c r="AB40" s="2908"/>
      <c r="AC40" s="2908"/>
      <c r="AD40" s="2908"/>
      <c r="AE40" s="2908"/>
      <c r="AF40" s="2908"/>
      <c r="AG40" s="2908"/>
      <c r="AH40" s="2908"/>
      <c r="AI40" s="2908"/>
      <c r="AJ40" s="2908"/>
    </row>
    <row r="41" s="2799" customFormat="true" ht="12.75" hidden="false" customHeight="false" outlineLevel="0" collapsed="false">
      <c r="A41" s="3062"/>
      <c r="B41" s="483" t="s">
        <v>537</v>
      </c>
      <c r="C41" s="2631" t="e">
        <f aca="false">ROUND(D5*C22*C23*C44*C28*F41,0)</f>
        <v>#DIV/0!</v>
      </c>
      <c r="D41" s="3036"/>
      <c r="E41" s="2631" t="e">
        <f aca="false">ROUND(C41*D41/10000,0)</f>
        <v>#DIV/0!</v>
      </c>
      <c r="F41" s="3035" t="n">
        <f aca="false">SUMIF(修正!A57:A68,G2,修正!F57:F68)</f>
        <v>0</v>
      </c>
      <c r="G41" s="2631" t="e">
        <f aca="false">ROUND(IF(E2="工业",C41*$M$42,C41*$M$41),0)</f>
        <v>#DIV/0!</v>
      </c>
      <c r="H41" s="2631" t="n">
        <f aca="false">D41</f>
        <v>0</v>
      </c>
      <c r="I41" s="2631" t="e">
        <f aca="false">ROUND(G41*H41/10000,0)</f>
        <v>#DIV/0!</v>
      </c>
      <c r="J41" s="3063"/>
      <c r="L41" s="3066" t="s">
        <v>1709</v>
      </c>
      <c r="M41" s="3067" t="n">
        <v>0.25</v>
      </c>
      <c r="Z41" s="2908"/>
      <c r="AA41" s="2908"/>
      <c r="AB41" s="2908"/>
      <c r="AC41" s="2908"/>
      <c r="AD41" s="2908"/>
      <c r="AE41" s="2908"/>
      <c r="AF41" s="2908"/>
      <c r="AG41" s="2908"/>
      <c r="AH41" s="2908"/>
      <c r="AI41" s="2908"/>
      <c r="AJ41" s="2908"/>
    </row>
    <row r="42" s="2799" customFormat="true" ht="12.75" hidden="false" customHeight="false" outlineLevel="0" collapsed="false">
      <c r="A42" s="3039"/>
      <c r="B42" s="3068" t="s">
        <v>1592</v>
      </c>
      <c r="C42" s="2938" t="e">
        <f aca="false">ROUND(D5*C22*C23*C44*C28*F42,0)</f>
        <v>#DIV/0!</v>
      </c>
      <c r="D42" s="3041"/>
      <c r="E42" s="2938" t="e">
        <f aca="false">ROUND(C42*D42/10000,0)</f>
        <v>#DIV/0!</v>
      </c>
      <c r="F42" s="3069" t="n">
        <f aca="false">SUMIF(修正!A57:A68,G2,修正!G57:G68)</f>
        <v>0</v>
      </c>
      <c r="G42" s="2938" t="e">
        <f aca="false">ROUND(IF(E2="工业",C42*$M$42,C42*$M$41),0)</f>
        <v>#DIV/0!</v>
      </c>
      <c r="H42" s="2938" t="n">
        <f aca="false">D42</f>
        <v>0</v>
      </c>
      <c r="I42" s="2938" t="e">
        <f aca="false">ROUND(G42*H42/10000,0)</f>
        <v>#DIV/0!</v>
      </c>
      <c r="J42" s="3070"/>
      <c r="L42" s="3071" t="s">
        <v>159</v>
      </c>
      <c r="M42" s="3072" t="n">
        <v>0.15</v>
      </c>
      <c r="Z42" s="2908"/>
      <c r="AA42" s="2908"/>
      <c r="AB42" s="2908"/>
      <c r="AC42" s="2908"/>
      <c r="AD42" s="2908"/>
      <c r="AE42" s="2908"/>
      <c r="AF42" s="2908"/>
      <c r="AG42" s="2908"/>
      <c r="AH42" s="2908"/>
      <c r="AI42" s="2908"/>
      <c r="AJ42" s="2908"/>
    </row>
    <row r="43" s="2799" customFormat="true" ht="12.75" hidden="false" customHeight="false" outlineLevel="0" collapsed="false">
      <c r="Z43" s="2908"/>
      <c r="AA43" s="2908"/>
      <c r="AB43" s="2908"/>
      <c r="AC43" s="2908"/>
      <c r="AD43" s="2908"/>
      <c r="AE43" s="2908"/>
      <c r="AF43" s="2908"/>
      <c r="AG43" s="2908"/>
      <c r="AH43" s="2908"/>
      <c r="AI43" s="2908"/>
      <c r="AJ43" s="2908"/>
    </row>
    <row r="44" s="2799" customFormat="true" ht="12.75" hidden="false" customHeight="false" outlineLevel="0" collapsed="false">
      <c r="A44" s="2908"/>
      <c r="B44" s="1696" t="s">
        <v>1710</v>
      </c>
      <c r="C44" s="1696" t="e">
        <f aca="false">ROUND(POWER(1+E44,H44-G44)*(POWER(1+E44,G44)-1)/(POWER(1+E44,H44)-1),4)</f>
        <v>#DIV/0!</v>
      </c>
      <c r="D44" s="3073" t="s">
        <v>1672</v>
      </c>
      <c r="E44" s="3074" t="n">
        <f aca="false">G24</f>
        <v>0</v>
      </c>
      <c r="F44" s="3073" t="s">
        <v>1673</v>
      </c>
      <c r="G44" s="3075"/>
      <c r="H44" s="2631" t="n">
        <v>50</v>
      </c>
      <c r="Z44" s="2908"/>
      <c r="AA44" s="2908"/>
      <c r="AB44" s="2908"/>
      <c r="AC44" s="2908"/>
      <c r="AD44" s="2908"/>
      <c r="AE44" s="2908"/>
      <c r="AF44" s="2908"/>
      <c r="AG44" s="2908"/>
      <c r="AH44" s="2908"/>
      <c r="AI44" s="2908"/>
      <c r="AJ44" s="2908"/>
    </row>
    <row r="45" s="2799" customFormat="true" ht="12.75" hidden="false" customHeight="false" outlineLevel="0" collapsed="false">
      <c r="A45" s="2908"/>
      <c r="B45" s="3076"/>
      <c r="Z45" s="2908"/>
      <c r="AA45" s="2908"/>
      <c r="AB45" s="2908"/>
      <c r="AC45" s="2908"/>
      <c r="AD45" s="2908"/>
      <c r="AE45" s="2908"/>
      <c r="AF45" s="2908"/>
      <c r="AG45" s="2908"/>
      <c r="AH45" s="2908"/>
      <c r="AI45" s="2908"/>
      <c r="AJ45" s="2908"/>
    </row>
    <row r="46" s="2799" customFormat="true" ht="12.75" hidden="false" customHeight="false" outlineLevel="0" collapsed="false">
      <c r="A46" s="2908"/>
      <c r="B46" s="3076"/>
      <c r="AA46" s="2908"/>
      <c r="AB46" s="2908"/>
      <c r="AC46" s="2908"/>
      <c r="AD46" s="2908"/>
      <c r="AE46" s="2908"/>
      <c r="AF46" s="2908"/>
      <c r="AG46" s="2908"/>
      <c r="AH46" s="2908"/>
      <c r="AI46" s="2908"/>
      <c r="AJ46" s="2908"/>
      <c r="AK46" s="2908"/>
    </row>
    <row r="47" s="2799" customFormat="true" ht="15" hidden="false" customHeight="false" outlineLevel="0" collapsed="false">
      <c r="A47" s="3077" t="s">
        <v>1711</v>
      </c>
      <c r="B47" s="3078"/>
      <c r="C47" s="149"/>
      <c r="D47" s="149"/>
      <c r="E47" s="149"/>
      <c r="F47" s="150"/>
      <c r="G47" s="150"/>
      <c r="H47" s="150"/>
      <c r="I47" s="522"/>
      <c r="J47" s="522"/>
      <c r="K47" s="522"/>
      <c r="L47" s="522"/>
      <c r="M47" s="522"/>
      <c r="AA47" s="2908"/>
      <c r="AB47" s="2908"/>
      <c r="AC47" s="2908"/>
      <c r="AD47" s="2908"/>
      <c r="AE47" s="2908"/>
      <c r="AF47" s="2908"/>
      <c r="AG47" s="2908"/>
      <c r="AH47" s="2908"/>
      <c r="AI47" s="2908"/>
      <c r="AJ47" s="2908"/>
      <c r="AK47" s="2908"/>
    </row>
    <row r="48" s="2799" customFormat="true" ht="15" hidden="false" customHeight="false" outlineLevel="0" collapsed="false">
      <c r="A48" s="3079" t="s">
        <v>157</v>
      </c>
      <c r="B48" s="3080" t="n">
        <f aca="false">1+E50</f>
        <v>1</v>
      </c>
      <c r="C48" s="979"/>
      <c r="D48" s="3081"/>
      <c r="E48" s="3082"/>
      <c r="F48" s="3083"/>
      <c r="G48" s="150"/>
      <c r="H48" s="149"/>
      <c r="I48" s="522"/>
      <c r="J48" s="522"/>
      <c r="K48" s="522"/>
      <c r="L48" s="522"/>
      <c r="M48" s="522"/>
      <c r="AA48" s="2908"/>
      <c r="AB48" s="2908"/>
      <c r="AC48" s="2908"/>
      <c r="AD48" s="2908"/>
      <c r="AE48" s="2908"/>
      <c r="AF48" s="2908"/>
      <c r="AG48" s="2908"/>
      <c r="AH48" s="2908"/>
      <c r="AI48" s="2908"/>
      <c r="AJ48" s="2908"/>
      <c r="AK48" s="2908"/>
    </row>
    <row r="49" s="2799" customFormat="true" ht="24.75" hidden="false" customHeight="false" outlineLevel="0" collapsed="false">
      <c r="A49" s="3084" t="s">
        <v>1712</v>
      </c>
      <c r="B49" s="374" t="s">
        <v>1713</v>
      </c>
      <c r="C49" s="374" t="s">
        <v>1714</v>
      </c>
      <c r="D49" s="374" t="s">
        <v>376</v>
      </c>
      <c r="E49" s="3085" t="s">
        <v>345</v>
      </c>
      <c r="F49" s="3086" t="s">
        <v>1715</v>
      </c>
      <c r="G49" s="374" t="s">
        <v>1599</v>
      </c>
      <c r="H49" s="3087" t="s">
        <v>1716</v>
      </c>
      <c r="I49" s="374" t="s">
        <v>718</v>
      </c>
      <c r="J49" s="3088" t="s">
        <v>231</v>
      </c>
      <c r="K49" s="3088" t="s">
        <v>241</v>
      </c>
      <c r="L49" s="3088" t="s">
        <v>250</v>
      </c>
      <c r="M49" s="3088" t="s">
        <v>258</v>
      </c>
      <c r="N49" s="3088" t="s">
        <v>265</v>
      </c>
      <c r="AA49" s="2908"/>
      <c r="AB49" s="2908"/>
      <c r="AC49" s="2908"/>
      <c r="AD49" s="2908"/>
      <c r="AE49" s="2908"/>
      <c r="AF49" s="2908"/>
      <c r="AG49" s="2908"/>
      <c r="AH49" s="2908"/>
      <c r="AI49" s="2908"/>
      <c r="AJ49" s="2908"/>
      <c r="AK49" s="2908"/>
    </row>
    <row r="50" s="2799" customFormat="true" ht="38.25" hidden="false" customHeight="false" outlineLevel="0" collapsed="false">
      <c r="A50" s="3089" t="s">
        <v>1717</v>
      </c>
      <c r="B50" s="293" t="str">
        <f aca="false">估价对象房地状况!C4</f>
        <v>估价对象位于XX商圈，周边商业氛围成熟，人流量大，商业繁华度好</v>
      </c>
      <c r="C50" s="2894"/>
      <c r="D50" s="1425" t="n">
        <f aca="false">SUMIF($J$49:$N$49,C50,J50:N50)</f>
        <v>0</v>
      </c>
      <c r="E50" s="3090" t="n">
        <f aca="false">ROUND(SUM(D50:D58),4)</f>
        <v>0</v>
      </c>
      <c r="F50" s="3091" t="str">
        <f aca="false">IF(E2="商业",SUMIF(L1:L12,G2,N1:N12),"——")</f>
        <v>——</v>
      </c>
      <c r="G50" s="712"/>
      <c r="H50" s="3092" t="str">
        <f aca="false">IFERROR(ROUNDDOWN($F$50*I50/2,4),"——")</f>
        <v>——</v>
      </c>
      <c r="I50" s="3093" t="n">
        <v>0.3</v>
      </c>
      <c r="J50" s="3094" t="n">
        <f aca="false">K50+$G50</f>
        <v>0</v>
      </c>
      <c r="K50" s="3094" t="n">
        <f aca="false">$L50+$G50</f>
        <v>0</v>
      </c>
      <c r="L50" s="3094" t="n">
        <v>0</v>
      </c>
      <c r="M50" s="3094" t="n">
        <f aca="false">L50-$G50</f>
        <v>0</v>
      </c>
      <c r="N50" s="3094" t="n">
        <f aca="false">M50-$G50</f>
        <v>0</v>
      </c>
      <c r="AA50" s="2908"/>
      <c r="AB50" s="2908"/>
      <c r="AC50" s="2908"/>
      <c r="AD50" s="2908"/>
      <c r="AE50" s="2908"/>
      <c r="AF50" s="2908"/>
      <c r="AG50" s="2908"/>
      <c r="AH50" s="2908"/>
      <c r="AI50" s="2908"/>
      <c r="AJ50" s="2908"/>
      <c r="AK50" s="2908"/>
    </row>
    <row r="51" s="2799" customFormat="true" ht="38.25" hidden="false" customHeight="false" outlineLevel="0" collapsed="false">
      <c r="A51" s="3084" t="s">
        <v>216</v>
      </c>
      <c r="B51" s="376" t="str">
        <f aca="false">估价对象房地状况!C18</f>
        <v>估价对象周边道路状况、公共交通通达情况、停车便捷程度，综合评价交通便捷度较好</v>
      </c>
      <c r="C51" s="2894"/>
      <c r="D51" s="1425" t="n">
        <f aca="false">SUMIF($J$49:$N$49,C51,J51:N51)</f>
        <v>0</v>
      </c>
      <c r="E51" s="3095"/>
      <c r="F51" s="1136"/>
      <c r="G51" s="712"/>
      <c r="H51" s="3092" t="str">
        <f aca="false">IFERROR(ROUNDDOWN($F$50*I51/2,4),"——")</f>
        <v>——</v>
      </c>
      <c r="I51" s="3093" t="n">
        <v>0.22</v>
      </c>
      <c r="J51" s="3094" t="n">
        <f aca="false">K51+$G51</f>
        <v>0</v>
      </c>
      <c r="K51" s="3094" t="n">
        <f aca="false">$L51+$G51</f>
        <v>0</v>
      </c>
      <c r="L51" s="3094" t="n">
        <v>0</v>
      </c>
      <c r="M51" s="3094" t="n">
        <f aca="false">L51-$G51</f>
        <v>0</v>
      </c>
      <c r="N51" s="3094" t="n">
        <f aca="false">M51-$G51</f>
        <v>0</v>
      </c>
      <c r="AA51" s="2908"/>
      <c r="AB51" s="2908"/>
      <c r="AC51" s="2908"/>
      <c r="AD51" s="2908"/>
      <c r="AE51" s="2908"/>
      <c r="AF51" s="2908"/>
      <c r="AG51" s="2908"/>
      <c r="AH51" s="2908"/>
      <c r="AI51" s="2908"/>
      <c r="AJ51" s="2908"/>
      <c r="AK51" s="2908"/>
    </row>
    <row r="52" s="2799" customFormat="true" ht="36" hidden="false" customHeight="false" outlineLevel="0" collapsed="false">
      <c r="A52" s="3096" t="s">
        <v>1718</v>
      </c>
      <c r="B52" s="376" t="n">
        <f aca="false">估价对象房地状况!C19</f>
        <v>0</v>
      </c>
      <c r="C52" s="2894"/>
      <c r="D52" s="1425" t="n">
        <f aca="false">SUMIF($J$49:$N$49,C52,J52:N52)</f>
        <v>0</v>
      </c>
      <c r="E52" s="3095"/>
      <c r="F52" s="1136"/>
      <c r="G52" s="712"/>
      <c r="H52" s="3092" t="str">
        <f aca="false">IFERROR(ROUNDDOWN($F$50*I52/2,4),"——")</f>
        <v>——</v>
      </c>
      <c r="I52" s="3093" t="n">
        <v>0.12</v>
      </c>
      <c r="J52" s="3094" t="n">
        <f aca="false">K52+$G52</f>
        <v>0</v>
      </c>
      <c r="K52" s="3094" t="n">
        <f aca="false">$L52+$G52</f>
        <v>0</v>
      </c>
      <c r="L52" s="3094" t="n">
        <v>0</v>
      </c>
      <c r="M52" s="3094" t="n">
        <f aca="false">L52-$G52</f>
        <v>0</v>
      </c>
      <c r="N52" s="3094" t="n">
        <f aca="false">M52-$G52</f>
        <v>0</v>
      </c>
      <c r="AA52" s="2908"/>
      <c r="AB52" s="2908"/>
      <c r="AC52" s="2908"/>
      <c r="AD52" s="2908"/>
      <c r="AE52" s="2908"/>
      <c r="AF52" s="2908"/>
      <c r="AG52" s="2908"/>
      <c r="AH52" s="2908"/>
      <c r="AI52" s="2908"/>
      <c r="AJ52" s="2908"/>
      <c r="AK52" s="2908"/>
    </row>
    <row r="53" s="2799" customFormat="true" ht="36.75" hidden="false" customHeight="false" outlineLevel="0" collapsed="false">
      <c r="A53" s="3084" t="s">
        <v>1719</v>
      </c>
      <c r="B53" s="3097" t="s">
        <v>1720</v>
      </c>
      <c r="C53" s="2894"/>
      <c r="D53" s="1425" t="n">
        <f aca="false">SUMIF($J$49:$N$49,C53,J53:N53)</f>
        <v>0</v>
      </c>
      <c r="E53" s="3095"/>
      <c r="F53" s="1136"/>
      <c r="G53" s="712"/>
      <c r="H53" s="3092" t="str">
        <f aca="false">IFERROR(ROUNDDOWN($F$50*I53/2,4),"——")</f>
        <v>——</v>
      </c>
      <c r="I53" s="3093" t="n">
        <v>0.05</v>
      </c>
      <c r="J53" s="3094" t="n">
        <f aca="false">K53+$G53</f>
        <v>0</v>
      </c>
      <c r="K53" s="3094" t="n">
        <f aca="false">$L53+$G53</f>
        <v>0</v>
      </c>
      <c r="L53" s="3094" t="n">
        <v>0</v>
      </c>
      <c r="M53" s="3094" t="n">
        <f aca="false">L53-$G53</f>
        <v>0</v>
      </c>
      <c r="N53" s="3094" t="n">
        <f aca="false">M53-$G53</f>
        <v>0</v>
      </c>
      <c r="AA53" s="2908"/>
      <c r="AB53" s="2908"/>
      <c r="AC53" s="2908"/>
      <c r="AD53" s="2908"/>
      <c r="AE53" s="2908"/>
      <c r="AF53" s="2908"/>
      <c r="AG53" s="2908"/>
      <c r="AH53" s="2908"/>
      <c r="AI53" s="2908"/>
      <c r="AJ53" s="2908"/>
      <c r="AK53" s="2908"/>
    </row>
    <row r="54" s="2799" customFormat="true" ht="24" hidden="false" customHeight="false" outlineLevel="0" collapsed="false">
      <c r="A54" s="3084" t="s">
        <v>1721</v>
      </c>
      <c r="B54" s="376" t="n">
        <f aca="false">估价对象房地状况!C24</f>
        <v>0</v>
      </c>
      <c r="C54" s="2894"/>
      <c r="D54" s="1425" t="n">
        <f aca="false">SUMIF($J$49:$N$49,C54,J54:N54)</f>
        <v>0</v>
      </c>
      <c r="E54" s="3095"/>
      <c r="F54" s="1136"/>
      <c r="G54" s="712"/>
      <c r="H54" s="3092" t="str">
        <f aca="false">IFERROR(ROUNDDOWN($F$50*I54/2,4),"——")</f>
        <v>——</v>
      </c>
      <c r="I54" s="3093" t="n">
        <v>0.08</v>
      </c>
      <c r="J54" s="3094" t="n">
        <f aca="false">K54+$G54</f>
        <v>0</v>
      </c>
      <c r="K54" s="3094" t="n">
        <f aca="false">$L54+$G54</f>
        <v>0</v>
      </c>
      <c r="L54" s="3094" t="n">
        <v>0</v>
      </c>
      <c r="M54" s="3094" t="n">
        <f aca="false">L54-$G54</f>
        <v>0</v>
      </c>
      <c r="N54" s="3094" t="n">
        <f aca="false">M54-$G54</f>
        <v>0</v>
      </c>
      <c r="AA54" s="2908"/>
      <c r="AB54" s="2908"/>
      <c r="AC54" s="2908"/>
      <c r="AD54" s="2908"/>
      <c r="AE54" s="2908"/>
      <c r="AF54" s="2908"/>
      <c r="AG54" s="2908"/>
      <c r="AH54" s="2908"/>
      <c r="AI54" s="2908"/>
      <c r="AJ54" s="2908"/>
      <c r="AK54" s="2908"/>
    </row>
    <row r="55" s="2799" customFormat="true" ht="24" hidden="false" customHeight="false" outlineLevel="0" collapsed="false">
      <c r="A55" s="3084" t="s">
        <v>1722</v>
      </c>
      <c r="B55" s="3098" t="s">
        <v>1723</v>
      </c>
      <c r="C55" s="2894"/>
      <c r="D55" s="1425" t="n">
        <f aca="false">SUMIF($J$49:$N$49,C55,J55:N55)</f>
        <v>0</v>
      </c>
      <c r="E55" s="3095"/>
      <c r="F55" s="1136"/>
      <c r="G55" s="712"/>
      <c r="H55" s="3092" t="str">
        <f aca="false">IFERROR(ROUNDDOWN($F$50*I55/2,4),"——")</f>
        <v>——</v>
      </c>
      <c r="I55" s="3093" t="n">
        <v>0.05</v>
      </c>
      <c r="J55" s="3094" t="n">
        <f aca="false">K55+$G55</f>
        <v>0</v>
      </c>
      <c r="K55" s="3094" t="n">
        <f aca="false">$L55+$G55</f>
        <v>0</v>
      </c>
      <c r="L55" s="3094" t="n">
        <v>0</v>
      </c>
      <c r="M55" s="3094" t="n">
        <f aca="false">L55-$G55</f>
        <v>0</v>
      </c>
      <c r="N55" s="3094" t="n">
        <f aca="false">M55-$G55</f>
        <v>0</v>
      </c>
      <c r="AA55" s="2908"/>
      <c r="AB55" s="2908"/>
      <c r="AC55" s="2908"/>
      <c r="AD55" s="2908"/>
      <c r="AE55" s="2908"/>
      <c r="AF55" s="2908"/>
      <c r="AG55" s="2908"/>
      <c r="AH55" s="2908"/>
      <c r="AI55" s="2908"/>
      <c r="AJ55" s="2908"/>
      <c r="AK55" s="2908"/>
    </row>
    <row r="56" s="2799" customFormat="true" ht="25.5" hidden="false" customHeight="false" outlineLevel="0" collapsed="false">
      <c r="A56" s="3099" t="s">
        <v>1724</v>
      </c>
      <c r="B56" s="2731" t="str">
        <f aca="false">估价对象房地状况!C21</f>
        <v>估价对象所在区域公共配套设施齐备情况</v>
      </c>
      <c r="C56" s="2894"/>
      <c r="D56" s="1425" t="n">
        <f aca="false">SUMIF($J$49:$N$49,C56,J56:N56)</f>
        <v>0</v>
      </c>
      <c r="E56" s="3095"/>
      <c r="F56" s="1136"/>
      <c r="G56" s="712"/>
      <c r="H56" s="3092" t="str">
        <f aca="false">IFERROR(ROUNDDOWN($F$50*I56/2,4),"——")</f>
        <v>——</v>
      </c>
      <c r="I56" s="3093" t="n">
        <v>0.05</v>
      </c>
      <c r="J56" s="3094" t="n">
        <f aca="false">K56+$G56</f>
        <v>0</v>
      </c>
      <c r="K56" s="3094" t="n">
        <f aca="false">$L56+$G56</f>
        <v>0</v>
      </c>
      <c r="L56" s="3094" t="n">
        <v>0</v>
      </c>
      <c r="M56" s="3094" t="n">
        <f aca="false">L56-$G56</f>
        <v>0</v>
      </c>
      <c r="N56" s="3094" t="n">
        <f aca="false">M56-$G56</f>
        <v>0</v>
      </c>
      <c r="AA56" s="2908"/>
      <c r="AB56" s="2908"/>
      <c r="AC56" s="2908"/>
      <c r="AD56" s="2908"/>
      <c r="AE56" s="2908"/>
      <c r="AF56" s="2908"/>
      <c r="AG56" s="2908"/>
      <c r="AH56" s="2908"/>
      <c r="AI56" s="2908"/>
      <c r="AJ56" s="2908"/>
      <c r="AK56" s="2908"/>
    </row>
    <row r="57" s="2799" customFormat="true" ht="25.5" hidden="false" customHeight="false" outlineLevel="0" collapsed="false">
      <c r="A57" s="3099" t="s">
        <v>1725</v>
      </c>
      <c r="B57" s="376" t="str">
        <f aca="false">估价对象房地状况!C22</f>
        <v>估价对象所在区域基础设施水平</v>
      </c>
      <c r="C57" s="2894"/>
      <c r="D57" s="1425" t="n">
        <f aca="false">SUMIF($J$49:$N$49,C57,J57:N57)</f>
        <v>0</v>
      </c>
      <c r="E57" s="3095"/>
      <c r="F57" s="1136"/>
      <c r="G57" s="712"/>
      <c r="H57" s="3092" t="str">
        <f aca="false">IFERROR(ROUNDDOWN($F$50*I57/2,4),"——")</f>
        <v>——</v>
      </c>
      <c r="I57" s="3093" t="n">
        <v>0.08</v>
      </c>
      <c r="J57" s="3094" t="n">
        <f aca="false">K57+$G57</f>
        <v>0</v>
      </c>
      <c r="K57" s="3094" t="n">
        <f aca="false">$L57+$G57</f>
        <v>0</v>
      </c>
      <c r="L57" s="3094" t="n">
        <v>0</v>
      </c>
      <c r="M57" s="3094" t="n">
        <f aca="false">L57-$G57</f>
        <v>0</v>
      </c>
      <c r="N57" s="3094" t="n">
        <f aca="false">M57-$G57</f>
        <v>0</v>
      </c>
      <c r="AA57" s="2908"/>
      <c r="AB57" s="2908"/>
      <c r="AC57" s="2908"/>
      <c r="AD57" s="2908"/>
      <c r="AE57" s="2908"/>
      <c r="AF57" s="2908"/>
      <c r="AG57" s="2908"/>
      <c r="AH57" s="2908"/>
      <c r="AI57" s="2908"/>
      <c r="AJ57" s="2908"/>
      <c r="AK57" s="2908"/>
    </row>
    <row r="58" s="2799" customFormat="true" ht="25.5" hidden="false" customHeight="false" outlineLevel="0" collapsed="false">
      <c r="A58" s="3100" t="s">
        <v>1726</v>
      </c>
      <c r="B58" s="3101" t="str">
        <f aca="false">估价对象房地状况!C20</f>
        <v>区域自然环境：；人文环境；综合评价环境状况一般</v>
      </c>
      <c r="C58" s="2894"/>
      <c r="D58" s="1425" t="n">
        <f aca="false">SUMIF($J$49:$N$49,C58,J58:N58)</f>
        <v>0</v>
      </c>
      <c r="E58" s="3102"/>
      <c r="F58" s="1136"/>
      <c r="G58" s="712"/>
      <c r="H58" s="3092" t="str">
        <f aca="false">IFERROR(ROUNDDOWN($F$50*I58/2,4),"——")</f>
        <v>——</v>
      </c>
      <c r="I58" s="3103" t="n">
        <v>0.05</v>
      </c>
      <c r="J58" s="3094" t="n">
        <f aca="false">K58+$G58</f>
        <v>0</v>
      </c>
      <c r="K58" s="3094" t="n">
        <f aca="false">$L58+$G58</f>
        <v>0</v>
      </c>
      <c r="L58" s="3094" t="n">
        <v>0</v>
      </c>
      <c r="M58" s="3094" t="n">
        <f aca="false">L58-$G58</f>
        <v>0</v>
      </c>
      <c r="N58" s="3094" t="n">
        <f aca="false">M58-$G58</f>
        <v>0</v>
      </c>
      <c r="AA58" s="2908"/>
      <c r="AB58" s="2908"/>
      <c r="AC58" s="2908"/>
      <c r="AD58" s="2908"/>
      <c r="AE58" s="2908"/>
      <c r="AF58" s="2908"/>
      <c r="AG58" s="2908"/>
      <c r="AH58" s="2908"/>
      <c r="AI58" s="2908"/>
      <c r="AJ58" s="2908"/>
      <c r="AK58" s="2908"/>
    </row>
    <row r="59" s="2799" customFormat="true" ht="15" hidden="false" customHeight="false" outlineLevel="0" collapsed="false">
      <c r="A59" s="3079" t="s">
        <v>158</v>
      </c>
      <c r="B59" s="3080" t="n">
        <f aca="false">1+E61</f>
        <v>1</v>
      </c>
      <c r="C59" s="3081"/>
      <c r="D59" s="3081"/>
      <c r="E59" s="3082"/>
      <c r="F59" s="3083"/>
      <c r="G59" s="150"/>
      <c r="H59" s="150"/>
      <c r="I59" s="150"/>
      <c r="J59" s="149"/>
      <c r="K59" s="149"/>
      <c r="L59" s="149"/>
      <c r="M59" s="149"/>
      <c r="N59" s="149"/>
      <c r="AA59" s="2908"/>
      <c r="AB59" s="2908"/>
      <c r="AC59" s="2908"/>
      <c r="AD59" s="2908"/>
      <c r="AE59" s="2908"/>
      <c r="AF59" s="2908"/>
      <c r="AG59" s="2908"/>
      <c r="AH59" s="2908"/>
      <c r="AI59" s="2908"/>
      <c r="AJ59" s="2908"/>
      <c r="AK59" s="2908"/>
    </row>
    <row r="60" s="2799" customFormat="true" ht="24.75" hidden="false" customHeight="false" outlineLevel="0" collapsed="false">
      <c r="A60" s="3084" t="s">
        <v>1712</v>
      </c>
      <c r="B60" s="313"/>
      <c r="C60" s="374" t="s">
        <v>1714</v>
      </c>
      <c r="D60" s="374" t="s">
        <v>376</v>
      </c>
      <c r="E60" s="3085" t="s">
        <v>345</v>
      </c>
      <c r="F60" s="3086" t="s">
        <v>1727</v>
      </c>
      <c r="G60" s="374" t="s">
        <v>1599</v>
      </c>
      <c r="H60" s="3087" t="s">
        <v>1716</v>
      </c>
      <c r="I60" s="374" t="s">
        <v>718</v>
      </c>
      <c r="J60" s="3088" t="s">
        <v>231</v>
      </c>
      <c r="K60" s="3088" t="s">
        <v>241</v>
      </c>
      <c r="L60" s="3088" t="s">
        <v>250</v>
      </c>
      <c r="M60" s="3088" t="s">
        <v>258</v>
      </c>
      <c r="N60" s="3088" t="s">
        <v>265</v>
      </c>
      <c r="AA60" s="2908"/>
      <c r="AB60" s="2908"/>
      <c r="AC60" s="2908"/>
      <c r="AD60" s="2908"/>
      <c r="AE60" s="2908"/>
      <c r="AF60" s="2908"/>
      <c r="AG60" s="2908"/>
      <c r="AH60" s="2908"/>
      <c r="AI60" s="2908"/>
      <c r="AJ60" s="2908"/>
      <c r="AK60" s="2908"/>
    </row>
    <row r="61" s="2799" customFormat="true" ht="38.25" hidden="false" customHeight="false" outlineLevel="0" collapsed="false">
      <c r="A61" s="3084" t="s">
        <v>214</v>
      </c>
      <c r="B61" s="293" t="str">
        <f aca="false">估价对象房地状况!C17</f>
        <v>估价对象位于XX商圈，周边办公楼项目较多，入驻率高，办公集聚程度较好</v>
      </c>
      <c r="C61" s="2894"/>
      <c r="D61" s="1425" t="n">
        <f aca="false">SUMIF($J$60:$N$60,C61,J61:N61)</f>
        <v>0</v>
      </c>
      <c r="E61" s="3090" t="n">
        <f aca="false">ROUND(SUM(D61:D69),4)</f>
        <v>0</v>
      </c>
      <c r="F61" s="3091" t="str">
        <f aca="false">IF(E2="办公",SUMIF(L1:L12,G2,N1:N12),"——")</f>
        <v>——</v>
      </c>
      <c r="G61" s="712"/>
      <c r="H61" s="3092" t="str">
        <f aca="false">IFERROR(ROUNDDOWN($F$61*I61/2,4),"——")</f>
        <v>——</v>
      </c>
      <c r="I61" s="3093" t="n">
        <v>0.25</v>
      </c>
      <c r="J61" s="3094" t="n">
        <f aca="false">K61+$G61</f>
        <v>0</v>
      </c>
      <c r="K61" s="3094" t="n">
        <f aca="false">$L61+$G61</f>
        <v>0</v>
      </c>
      <c r="L61" s="3094" t="n">
        <v>0</v>
      </c>
      <c r="M61" s="3094" t="n">
        <f aca="false">L61-$G61</f>
        <v>0</v>
      </c>
      <c r="N61" s="3094" t="n">
        <f aca="false">M61-$G61</f>
        <v>0</v>
      </c>
      <c r="AA61" s="2908"/>
      <c r="AB61" s="2908"/>
      <c r="AC61" s="2908"/>
      <c r="AD61" s="2908"/>
      <c r="AE61" s="2908"/>
      <c r="AF61" s="2908"/>
      <c r="AG61" s="2908"/>
      <c r="AH61" s="2908"/>
      <c r="AI61" s="2908"/>
      <c r="AJ61" s="2908"/>
      <c r="AK61" s="2908"/>
    </row>
    <row r="62" s="2799" customFormat="true" ht="38.25" hidden="false" customHeight="false" outlineLevel="0" collapsed="false">
      <c r="A62" s="3084" t="s">
        <v>216</v>
      </c>
      <c r="B62" s="376" t="str">
        <f aca="false">估价对象房地状况!C18</f>
        <v>估价对象周边道路状况、公共交通通达情况、停车便捷程度，综合评价交通便捷度较好</v>
      </c>
      <c r="C62" s="2894"/>
      <c r="D62" s="1425" t="n">
        <f aca="false">SUMIF($J$60:$N$60,C62,J62:N62)</f>
        <v>0</v>
      </c>
      <c r="E62" s="3095"/>
      <c r="F62" s="1136"/>
      <c r="G62" s="712"/>
      <c r="H62" s="3092" t="str">
        <f aca="false">IFERROR(ROUNDDOWN($F$61*I62/2,4),"——")</f>
        <v>——</v>
      </c>
      <c r="I62" s="3093" t="n">
        <v>0.26</v>
      </c>
      <c r="J62" s="3094" t="n">
        <f aca="false">K62+$G62</f>
        <v>0</v>
      </c>
      <c r="K62" s="3094" t="n">
        <f aca="false">$L62+$G62</f>
        <v>0</v>
      </c>
      <c r="L62" s="3094" t="n">
        <v>0</v>
      </c>
      <c r="M62" s="3094" t="n">
        <f aca="false">L62-$G62</f>
        <v>0</v>
      </c>
      <c r="N62" s="3094" t="n">
        <f aca="false">M62-$G62</f>
        <v>0</v>
      </c>
      <c r="AA62" s="2908"/>
      <c r="AB62" s="2908"/>
      <c r="AC62" s="2908"/>
      <c r="AD62" s="2908"/>
      <c r="AE62" s="2908"/>
      <c r="AF62" s="2908"/>
      <c r="AG62" s="2908"/>
      <c r="AH62" s="2908"/>
      <c r="AI62" s="2908"/>
      <c r="AJ62" s="2908"/>
      <c r="AK62" s="2908"/>
    </row>
    <row r="63" s="2799" customFormat="true" ht="36" hidden="false" customHeight="false" outlineLevel="0" collapsed="false">
      <c r="A63" s="3096" t="s">
        <v>1718</v>
      </c>
      <c r="B63" s="376" t="n">
        <f aca="false">估价对象房地状况!C19</f>
        <v>0</v>
      </c>
      <c r="C63" s="2894"/>
      <c r="D63" s="1425" t="n">
        <f aca="false">SUMIF($J$60:$N$60,C63,J63:N63)</f>
        <v>0</v>
      </c>
      <c r="E63" s="3095"/>
      <c r="F63" s="1136"/>
      <c r="G63" s="712"/>
      <c r="H63" s="3092" t="str">
        <f aca="false">IFERROR(ROUNDDOWN($F$61*I63/2,4),"——")</f>
        <v>——</v>
      </c>
      <c r="I63" s="3093" t="n">
        <v>0.11</v>
      </c>
      <c r="J63" s="3094" t="n">
        <f aca="false">K63+$G63</f>
        <v>0</v>
      </c>
      <c r="K63" s="3094" t="n">
        <f aca="false">$L63+$G63</f>
        <v>0</v>
      </c>
      <c r="L63" s="3094" t="n">
        <v>0</v>
      </c>
      <c r="M63" s="3094" t="n">
        <f aca="false">L63-$G63</f>
        <v>0</v>
      </c>
      <c r="N63" s="3094" t="n">
        <f aca="false">M63-$G63</f>
        <v>0</v>
      </c>
      <c r="AA63" s="2908"/>
      <c r="AB63" s="2908"/>
      <c r="AC63" s="2908"/>
      <c r="AD63" s="2908"/>
      <c r="AE63" s="2908"/>
      <c r="AF63" s="2908"/>
      <c r="AG63" s="2908"/>
      <c r="AH63" s="2908"/>
      <c r="AI63" s="2908"/>
      <c r="AJ63" s="2908"/>
      <c r="AK63" s="2908"/>
    </row>
    <row r="64" s="2799" customFormat="true" ht="36.75" hidden="false" customHeight="false" outlineLevel="0" collapsed="false">
      <c r="A64" s="3084" t="s">
        <v>1719</v>
      </c>
      <c r="B64" s="3097" t="s">
        <v>1720</v>
      </c>
      <c r="C64" s="2894"/>
      <c r="D64" s="1425" t="n">
        <f aca="false">SUMIF($J$60:$N$60,C64,J64:N64)</f>
        <v>0</v>
      </c>
      <c r="E64" s="3095"/>
      <c r="F64" s="1136"/>
      <c r="G64" s="712"/>
      <c r="H64" s="3092" t="str">
        <f aca="false">IFERROR(ROUNDDOWN($F$61*I64/2,4),"——")</f>
        <v>——</v>
      </c>
      <c r="I64" s="3093" t="n">
        <v>0.05</v>
      </c>
      <c r="J64" s="3094" t="n">
        <f aca="false">K64+$G64</f>
        <v>0</v>
      </c>
      <c r="K64" s="3094" t="n">
        <f aca="false">$L64+$G64</f>
        <v>0</v>
      </c>
      <c r="L64" s="3094" t="n">
        <v>0</v>
      </c>
      <c r="M64" s="3094" t="n">
        <f aca="false">L64-$G64</f>
        <v>0</v>
      </c>
      <c r="N64" s="3094" t="n">
        <f aca="false">M64-$G64</f>
        <v>0</v>
      </c>
      <c r="AA64" s="2908"/>
      <c r="AB64" s="2908"/>
      <c r="AC64" s="2908"/>
      <c r="AD64" s="2908"/>
      <c r="AE64" s="2908"/>
      <c r="AF64" s="2908"/>
      <c r="AG64" s="2908"/>
      <c r="AH64" s="2908"/>
      <c r="AI64" s="2908"/>
      <c r="AJ64" s="2908"/>
      <c r="AK64" s="2908"/>
    </row>
    <row r="65" s="2799" customFormat="true" ht="24" hidden="false" customHeight="false" outlineLevel="0" collapsed="false">
      <c r="A65" s="3084" t="s">
        <v>1721</v>
      </c>
      <c r="B65" s="376" t="n">
        <f aca="false">估价对象房地状况!C24</f>
        <v>0</v>
      </c>
      <c r="C65" s="2894"/>
      <c r="D65" s="1425" t="n">
        <f aca="false">SUMIF($J$60:$N$60,C65,J65:N65)</f>
        <v>0</v>
      </c>
      <c r="E65" s="3095"/>
      <c r="F65" s="1136"/>
      <c r="G65" s="712"/>
      <c r="H65" s="3092" t="str">
        <f aca="false">IFERROR(ROUNDDOWN($F$61*I65/2,4),"——")</f>
        <v>——</v>
      </c>
      <c r="I65" s="3093" t="n">
        <v>0.05</v>
      </c>
      <c r="J65" s="3094" t="n">
        <f aca="false">K65+$G65</f>
        <v>0</v>
      </c>
      <c r="K65" s="3094" t="n">
        <f aca="false">$L65+$G65</f>
        <v>0</v>
      </c>
      <c r="L65" s="3094" t="n">
        <v>0</v>
      </c>
      <c r="M65" s="3094" t="n">
        <f aca="false">L65-$G65</f>
        <v>0</v>
      </c>
      <c r="N65" s="3094" t="n">
        <f aca="false">M65-$G65</f>
        <v>0</v>
      </c>
      <c r="AA65" s="2908"/>
      <c r="AB65" s="2908"/>
      <c r="AC65" s="2908"/>
      <c r="AD65" s="2908"/>
      <c r="AE65" s="2908"/>
      <c r="AF65" s="2908"/>
      <c r="AG65" s="2908"/>
      <c r="AH65" s="2908"/>
      <c r="AI65" s="2908"/>
      <c r="AJ65" s="2908"/>
      <c r="AK65" s="2908"/>
    </row>
    <row r="66" s="2799" customFormat="true" ht="24" hidden="false" customHeight="false" outlineLevel="0" collapsed="false">
      <c r="A66" s="3084" t="s">
        <v>1722</v>
      </c>
      <c r="B66" s="3098" t="s">
        <v>1723</v>
      </c>
      <c r="C66" s="2894"/>
      <c r="D66" s="1425" t="n">
        <f aca="false">SUMIF($J$60:$N$60,C66,J66:N66)</f>
        <v>0</v>
      </c>
      <c r="E66" s="3095"/>
      <c r="F66" s="1136"/>
      <c r="G66" s="712"/>
      <c r="H66" s="3092" t="str">
        <f aca="false">IFERROR(ROUNDDOWN($F$61*I66/2,4),"——")</f>
        <v>——</v>
      </c>
      <c r="I66" s="3093" t="n">
        <v>0.06</v>
      </c>
      <c r="J66" s="3094" t="n">
        <f aca="false">K66+$G66</f>
        <v>0</v>
      </c>
      <c r="K66" s="3094" t="n">
        <f aca="false">$L66+$G66</f>
        <v>0</v>
      </c>
      <c r="L66" s="3094" t="n">
        <v>0</v>
      </c>
      <c r="M66" s="3094" t="n">
        <f aca="false">L66-$G66</f>
        <v>0</v>
      </c>
      <c r="N66" s="3094" t="n">
        <f aca="false">M66-$G66</f>
        <v>0</v>
      </c>
      <c r="AA66" s="2908"/>
      <c r="AB66" s="2908"/>
      <c r="AC66" s="2908"/>
      <c r="AD66" s="2908"/>
      <c r="AE66" s="2908"/>
      <c r="AF66" s="2908"/>
      <c r="AG66" s="2908"/>
      <c r="AH66" s="2908"/>
      <c r="AI66" s="2908"/>
      <c r="AJ66" s="2908"/>
      <c r="AK66" s="2908"/>
    </row>
    <row r="67" s="2799" customFormat="true" ht="25.5" hidden="false" customHeight="false" outlineLevel="0" collapsed="false">
      <c r="A67" s="3084" t="s">
        <v>1724</v>
      </c>
      <c r="B67" s="2731" t="str">
        <f aca="false">估价对象房地状况!C21</f>
        <v>估价对象所在区域公共配套设施齐备情况</v>
      </c>
      <c r="C67" s="2894"/>
      <c r="D67" s="1425" t="n">
        <f aca="false">SUMIF($J$60:$N$60,C67,J67:N67)</f>
        <v>0</v>
      </c>
      <c r="E67" s="3095"/>
      <c r="F67" s="1136"/>
      <c r="G67" s="712"/>
      <c r="H67" s="3092" t="str">
        <f aca="false">IFERROR(ROUNDDOWN($F$61*I67/2,4),"——")</f>
        <v>——</v>
      </c>
      <c r="I67" s="3093" t="n">
        <v>0.06</v>
      </c>
      <c r="J67" s="3094" t="n">
        <f aca="false">K67+$G67</f>
        <v>0</v>
      </c>
      <c r="K67" s="3094" t="n">
        <f aca="false">$L67+$G67</f>
        <v>0</v>
      </c>
      <c r="L67" s="3094" t="n">
        <v>0</v>
      </c>
      <c r="M67" s="3094" t="n">
        <f aca="false">L67-$G67</f>
        <v>0</v>
      </c>
      <c r="N67" s="3094" t="n">
        <f aca="false">M67-$G67</f>
        <v>0</v>
      </c>
      <c r="AA67" s="2908"/>
      <c r="AB67" s="2908"/>
      <c r="AC67" s="2908"/>
      <c r="AD67" s="2908"/>
      <c r="AE67" s="2908"/>
      <c r="AF67" s="2908"/>
      <c r="AG67" s="2908"/>
      <c r="AH67" s="2908"/>
      <c r="AI67" s="2908"/>
      <c r="AJ67" s="2908"/>
      <c r="AK67" s="2908"/>
    </row>
    <row r="68" s="2799" customFormat="true" ht="25.5" hidden="false" customHeight="false" outlineLevel="0" collapsed="false">
      <c r="A68" s="3084" t="s">
        <v>1725</v>
      </c>
      <c r="B68" s="2731" t="str">
        <f aca="false">估价对象房地状况!C22</f>
        <v>估价对象所在区域基础设施水平</v>
      </c>
      <c r="C68" s="2894"/>
      <c r="D68" s="1425" t="n">
        <f aca="false">SUMIF($J$60:$N$60,C68,J68:N68)</f>
        <v>0</v>
      </c>
      <c r="E68" s="3095"/>
      <c r="F68" s="1136"/>
      <c r="G68" s="712"/>
      <c r="H68" s="3092" t="str">
        <f aca="false">IFERROR(ROUNDDOWN($F$61*I68/2,4),"——")</f>
        <v>——</v>
      </c>
      <c r="I68" s="3093" t="n">
        <v>0.09</v>
      </c>
      <c r="J68" s="3094" t="n">
        <f aca="false">K68+$G68</f>
        <v>0</v>
      </c>
      <c r="K68" s="3094" t="n">
        <f aca="false">$L68+$G68</f>
        <v>0</v>
      </c>
      <c r="L68" s="3094" t="n">
        <v>0</v>
      </c>
      <c r="M68" s="3094" t="n">
        <f aca="false">L68-$G68</f>
        <v>0</v>
      </c>
      <c r="N68" s="3094" t="n">
        <f aca="false">M68-$G68</f>
        <v>0</v>
      </c>
      <c r="AA68" s="2908"/>
      <c r="AB68" s="2908"/>
      <c r="AC68" s="2908"/>
      <c r="AD68" s="2908"/>
      <c r="AE68" s="2908"/>
      <c r="AF68" s="2908"/>
      <c r="AG68" s="2908"/>
      <c r="AH68" s="2908"/>
      <c r="AI68" s="2908"/>
      <c r="AJ68" s="2908"/>
      <c r="AK68" s="2908"/>
    </row>
    <row r="69" s="2799" customFormat="true" ht="25.5" hidden="false" customHeight="false" outlineLevel="0" collapsed="false">
      <c r="A69" s="3100" t="s">
        <v>1726</v>
      </c>
      <c r="B69" s="3104" t="str">
        <f aca="false">估价对象房地状况!C20</f>
        <v>区域自然环境：；人文环境；综合评价环境状况一般</v>
      </c>
      <c r="C69" s="2894"/>
      <c r="D69" s="1425" t="n">
        <f aca="false">SUMIF($J$60:$N$60,C69,J69:N69)</f>
        <v>0</v>
      </c>
      <c r="E69" s="3102"/>
      <c r="F69" s="1136"/>
      <c r="G69" s="712"/>
      <c r="H69" s="3092" t="str">
        <f aca="false">IFERROR(ROUNDDOWN($F$61*I69/2,4),"——")</f>
        <v>——</v>
      </c>
      <c r="I69" s="3103" t="n">
        <v>0.07</v>
      </c>
      <c r="J69" s="3094" t="n">
        <f aca="false">K69+$G69</f>
        <v>0</v>
      </c>
      <c r="K69" s="3094" t="n">
        <f aca="false">$L69+$G69</f>
        <v>0</v>
      </c>
      <c r="L69" s="3094" t="n">
        <v>0</v>
      </c>
      <c r="M69" s="3094" t="n">
        <f aca="false">L69-$G69</f>
        <v>0</v>
      </c>
      <c r="N69" s="3094" t="n">
        <f aca="false">M69-$G69</f>
        <v>0</v>
      </c>
      <c r="AA69" s="2908"/>
      <c r="AB69" s="2908"/>
      <c r="AC69" s="2908"/>
      <c r="AD69" s="2908"/>
      <c r="AE69" s="2908"/>
      <c r="AF69" s="2908"/>
      <c r="AG69" s="2908"/>
      <c r="AH69" s="2908"/>
      <c r="AI69" s="2908"/>
      <c r="AJ69" s="2908"/>
      <c r="AK69" s="2908"/>
    </row>
    <row r="70" s="2799" customFormat="true" ht="15" hidden="false" customHeight="false" outlineLevel="0" collapsed="false">
      <c r="A70" s="3079" t="s">
        <v>156</v>
      </c>
      <c r="B70" s="3080" t="n">
        <f aca="false">1+E72</f>
        <v>1</v>
      </c>
      <c r="C70" s="3081"/>
      <c r="D70" s="3081"/>
      <c r="E70" s="3082"/>
      <c r="F70" s="3083"/>
      <c r="G70" s="150"/>
      <c r="H70" s="150"/>
      <c r="I70" s="150"/>
      <c r="J70" s="149"/>
      <c r="K70" s="149"/>
      <c r="L70" s="149"/>
      <c r="M70" s="149"/>
      <c r="N70" s="149"/>
      <c r="AA70" s="2908"/>
      <c r="AB70" s="2908"/>
      <c r="AC70" s="2908"/>
      <c r="AD70" s="2908"/>
      <c r="AE70" s="2908"/>
      <c r="AF70" s="2908"/>
      <c r="AG70" s="2908"/>
      <c r="AH70" s="2908"/>
      <c r="AI70" s="2908"/>
      <c r="AJ70" s="2908"/>
      <c r="AK70" s="2908"/>
    </row>
    <row r="71" s="2799" customFormat="true" ht="24.75" hidden="false" customHeight="false" outlineLevel="0" collapsed="false">
      <c r="A71" s="3084" t="s">
        <v>1712</v>
      </c>
      <c r="B71" s="313"/>
      <c r="C71" s="374" t="s">
        <v>1714</v>
      </c>
      <c r="D71" s="374" t="s">
        <v>376</v>
      </c>
      <c r="E71" s="3085" t="s">
        <v>345</v>
      </c>
      <c r="F71" s="3086" t="s">
        <v>1727</v>
      </c>
      <c r="G71" s="374" t="s">
        <v>1599</v>
      </c>
      <c r="H71" s="3087" t="s">
        <v>1716</v>
      </c>
      <c r="I71" s="374" t="s">
        <v>718</v>
      </c>
      <c r="J71" s="3088" t="s">
        <v>231</v>
      </c>
      <c r="K71" s="3088" t="s">
        <v>241</v>
      </c>
      <c r="L71" s="3088" t="s">
        <v>250</v>
      </c>
      <c r="M71" s="3088" t="s">
        <v>258</v>
      </c>
      <c r="N71" s="3088" t="s">
        <v>265</v>
      </c>
      <c r="AA71" s="2908"/>
      <c r="AB71" s="2908"/>
      <c r="AC71" s="2908"/>
      <c r="AD71" s="2908"/>
      <c r="AE71" s="2908"/>
      <c r="AF71" s="2908"/>
      <c r="AG71" s="2908"/>
      <c r="AH71" s="2908"/>
      <c r="AI71" s="2908"/>
      <c r="AJ71" s="2908"/>
      <c r="AK71" s="2908"/>
    </row>
    <row r="72" s="2799" customFormat="true" ht="51" hidden="false" customHeight="false" outlineLevel="0" collapsed="false">
      <c r="A72" s="3084" t="s">
        <v>212</v>
      </c>
      <c r="B72" s="293" t="str">
        <f aca="false">估价对象房地状况!C15</f>
        <v>估价对象周边居住用地比例、居住小区规模和社区发展完善程度，综合评价居住社区成熟度一般</v>
      </c>
      <c r="C72" s="2894"/>
      <c r="D72" s="1425" t="n">
        <f aca="false">SUMIF($J$71:$N$71,C72,J72:N72)</f>
        <v>0</v>
      </c>
      <c r="E72" s="3090" t="n">
        <f aca="false">ROUND(SUM(D72:D80),4)</f>
        <v>0</v>
      </c>
      <c r="F72" s="3091" t="str">
        <f aca="false">IF(E2="住宅",SUMIF(L1:L12,G2,N1:N12),"——")</f>
        <v>——</v>
      </c>
      <c r="G72" s="712"/>
      <c r="H72" s="3092" t="str">
        <f aca="false">IFERROR(ROUNDDOWN($F$72*I72/2,4),"——")</f>
        <v>——</v>
      </c>
      <c r="I72" s="3093" t="n">
        <v>0.2</v>
      </c>
      <c r="J72" s="3094" t="n">
        <f aca="false">K72+$G72</f>
        <v>0</v>
      </c>
      <c r="K72" s="3094" t="n">
        <f aca="false">$L72+$G72</f>
        <v>0</v>
      </c>
      <c r="L72" s="3094" t="n">
        <v>0</v>
      </c>
      <c r="M72" s="3094" t="n">
        <f aca="false">L72-$G72</f>
        <v>0</v>
      </c>
      <c r="N72" s="3094" t="n">
        <f aca="false">M72-$G72</f>
        <v>0</v>
      </c>
      <c r="AA72" s="2908"/>
      <c r="AB72" s="2908"/>
      <c r="AC72" s="2908"/>
      <c r="AD72" s="2908"/>
      <c r="AE72" s="2908"/>
      <c r="AF72" s="2908"/>
      <c r="AG72" s="2908"/>
      <c r="AH72" s="2908"/>
      <c r="AI72" s="2908"/>
      <c r="AJ72" s="2908"/>
      <c r="AK72" s="2908"/>
    </row>
    <row r="73" s="2799" customFormat="true" ht="38.25" hidden="false" customHeight="false" outlineLevel="0" collapsed="false">
      <c r="A73" s="3084" t="s">
        <v>216</v>
      </c>
      <c r="B73" s="376" t="str">
        <f aca="false">估价对象房地状况!C18</f>
        <v>估价对象周边道路状况、公共交通通达情况、停车便捷程度，综合评价交通便捷度较好</v>
      </c>
      <c r="C73" s="2894"/>
      <c r="D73" s="1425" t="n">
        <f aca="false">SUMIF($J$71:$N$71,C73,J73:N73)</f>
        <v>0</v>
      </c>
      <c r="E73" s="3105"/>
      <c r="F73" s="1136"/>
      <c r="G73" s="712"/>
      <c r="H73" s="3092" t="str">
        <f aca="false">IFERROR(ROUNDDOWN($F$72*I73/2,4),"——")</f>
        <v>——</v>
      </c>
      <c r="I73" s="3093" t="n">
        <v>0.26</v>
      </c>
      <c r="J73" s="3094" t="n">
        <f aca="false">K73+$G73</f>
        <v>0</v>
      </c>
      <c r="K73" s="3094" t="n">
        <f aca="false">$L73+$G73</f>
        <v>0</v>
      </c>
      <c r="L73" s="3094" t="n">
        <v>0</v>
      </c>
      <c r="M73" s="3094" t="n">
        <f aca="false">L73-$G73</f>
        <v>0</v>
      </c>
      <c r="N73" s="3094" t="n">
        <f aca="false">M73-$G73</f>
        <v>0</v>
      </c>
      <c r="AA73" s="2908"/>
      <c r="AB73" s="2908"/>
      <c r="AC73" s="2908"/>
      <c r="AD73" s="2908"/>
      <c r="AE73" s="2908"/>
      <c r="AF73" s="2908"/>
      <c r="AG73" s="2908"/>
      <c r="AH73" s="2908"/>
      <c r="AI73" s="2908"/>
      <c r="AJ73" s="2908"/>
      <c r="AK73" s="2908"/>
    </row>
    <row r="74" s="2803" customFormat="true" ht="36" hidden="false" customHeight="false" outlineLevel="0" collapsed="false">
      <c r="A74" s="3096" t="s">
        <v>1718</v>
      </c>
      <c r="B74" s="376" t="n">
        <f aca="false">估价对象房地状况!C19</f>
        <v>0</v>
      </c>
      <c r="C74" s="2894"/>
      <c r="D74" s="1425" t="n">
        <f aca="false">SUMIF($J$71:$N$71,C74,J74:N74)</f>
        <v>0</v>
      </c>
      <c r="E74" s="3105"/>
      <c r="F74" s="1136"/>
      <c r="G74" s="712"/>
      <c r="H74" s="3092" t="str">
        <f aca="false">IFERROR(ROUNDDOWN($F$72*I74/2,4),"——")</f>
        <v>——</v>
      </c>
      <c r="I74" s="3093" t="n">
        <v>0.1</v>
      </c>
      <c r="J74" s="3094" t="n">
        <f aca="false">K74+$G74</f>
        <v>0</v>
      </c>
      <c r="K74" s="3094" t="n">
        <f aca="false">$L74+$G74</f>
        <v>0</v>
      </c>
      <c r="L74" s="3094" t="n">
        <v>0</v>
      </c>
      <c r="M74" s="3094" t="n">
        <f aca="false">L74-$G74</f>
        <v>0</v>
      </c>
      <c r="N74" s="3094" t="n">
        <f aca="false">M74-$G74</f>
        <v>0</v>
      </c>
      <c r="O74" s="2799"/>
      <c r="P74" s="2799"/>
      <c r="Q74" s="2799"/>
      <c r="AA74" s="2916"/>
      <c r="AB74" s="2908"/>
      <c r="AC74" s="2908"/>
      <c r="AD74" s="2908"/>
      <c r="AE74" s="2908"/>
      <c r="AF74" s="2908"/>
      <c r="AG74" s="2908"/>
      <c r="AH74" s="2916"/>
      <c r="AI74" s="2916"/>
      <c r="AJ74" s="2916"/>
      <c r="AK74" s="2916"/>
    </row>
    <row r="75" customFormat="false" ht="14.25" hidden="false" customHeight="false" outlineLevel="0" collapsed="false">
      <c r="A75" s="3084" t="s">
        <v>1728</v>
      </c>
      <c r="B75" s="376" t="n">
        <f aca="false">估价对象房地状况!C24</f>
        <v>0</v>
      </c>
      <c r="C75" s="2894"/>
      <c r="D75" s="1425" t="n">
        <f aca="false">SUMIF($J$71:$N$71,C75,J75:N75)</f>
        <v>0</v>
      </c>
      <c r="E75" s="3105"/>
      <c r="F75" s="1136"/>
      <c r="G75" s="712"/>
      <c r="H75" s="3092" t="str">
        <f aca="false">IFERROR(ROUNDDOWN($F$72*I75/2,4),"——")</f>
        <v>——</v>
      </c>
      <c r="I75" s="3093" t="n">
        <v>0.05</v>
      </c>
      <c r="J75" s="3094" t="n">
        <f aca="false">K75+$G75</f>
        <v>0</v>
      </c>
      <c r="K75" s="3094" t="n">
        <f aca="false">$L75+$G75</f>
        <v>0</v>
      </c>
      <c r="L75" s="3094" t="n">
        <v>0</v>
      </c>
      <c r="M75" s="3094" t="n">
        <f aca="false">L75-$G75</f>
        <v>0</v>
      </c>
      <c r="N75" s="3094" t="n">
        <f aca="false">M75-$G75</f>
        <v>0</v>
      </c>
      <c r="O75" s="2799"/>
      <c r="P75" s="2799"/>
      <c r="Q75" s="2803"/>
      <c r="Z75" s="2794"/>
      <c r="AA75" s="2792"/>
      <c r="AG75" s="2796"/>
      <c r="AK75" s="2792"/>
    </row>
    <row r="76" customFormat="false" ht="25.5" hidden="false" customHeight="false" outlineLevel="0" collapsed="false">
      <c r="A76" s="3084" t="s">
        <v>1724</v>
      </c>
      <c r="B76" s="2731" t="str">
        <f aca="false">估价对象房地状况!C21</f>
        <v>估价对象所在区域公共配套设施齐备情况</v>
      </c>
      <c r="C76" s="2894"/>
      <c r="D76" s="1425" t="n">
        <f aca="false">SUMIF($J$71:$N$71,C76,J76:N76)</f>
        <v>0</v>
      </c>
      <c r="E76" s="3105"/>
      <c r="F76" s="1136"/>
      <c r="G76" s="712"/>
      <c r="H76" s="3092" t="str">
        <f aca="false">IFERROR(ROUNDDOWN($F$72*I76/2,4),"——")</f>
        <v>——</v>
      </c>
      <c r="I76" s="3093" t="n">
        <v>0.08</v>
      </c>
      <c r="J76" s="3094" t="n">
        <f aca="false">K76+$G76</f>
        <v>0</v>
      </c>
      <c r="K76" s="3094" t="n">
        <f aca="false">$L76+$G76</f>
        <v>0</v>
      </c>
      <c r="L76" s="3094" t="n">
        <v>0</v>
      </c>
      <c r="M76" s="3094" t="n">
        <f aca="false">L76-$G76</f>
        <v>0</v>
      </c>
      <c r="N76" s="3094" t="n">
        <f aca="false">M76-$G76</f>
        <v>0</v>
      </c>
      <c r="O76" s="2799"/>
      <c r="P76" s="2799"/>
      <c r="Z76" s="2794"/>
      <c r="AA76" s="2792"/>
      <c r="AG76" s="2796"/>
      <c r="AK76" s="2792"/>
    </row>
    <row r="77" customFormat="false" ht="25.5" hidden="false" customHeight="false" outlineLevel="0" collapsed="false">
      <c r="A77" s="3084" t="s">
        <v>1725</v>
      </c>
      <c r="B77" s="2731" t="str">
        <f aca="false">估价对象房地状况!C22</f>
        <v>估价对象所在区域基础设施水平</v>
      </c>
      <c r="C77" s="2894"/>
      <c r="D77" s="1425" t="n">
        <f aca="false">SUMIF($J$71:$N$71,C77,J77:N77)</f>
        <v>0</v>
      </c>
      <c r="E77" s="3105"/>
      <c r="F77" s="1136"/>
      <c r="G77" s="712"/>
      <c r="H77" s="3092" t="str">
        <f aca="false">IFERROR(ROUNDDOWN($F$72*I77/2,4),"——")</f>
        <v>——</v>
      </c>
      <c r="I77" s="3093" t="n">
        <v>0.09</v>
      </c>
      <c r="J77" s="3094" t="n">
        <f aca="false">K77+$G77</f>
        <v>0</v>
      </c>
      <c r="K77" s="3094" t="n">
        <f aca="false">$L77+$G77</f>
        <v>0</v>
      </c>
      <c r="L77" s="3094" t="n">
        <v>0</v>
      </c>
      <c r="M77" s="3094" t="n">
        <f aca="false">L77-$G77</f>
        <v>0</v>
      </c>
      <c r="N77" s="3094" t="n">
        <f aca="false">M77-$G77</f>
        <v>0</v>
      </c>
      <c r="O77" s="2799"/>
      <c r="P77" s="2799"/>
      <c r="Z77" s="2794"/>
      <c r="AA77" s="2792"/>
      <c r="AG77" s="2796"/>
      <c r="AK77" s="2792"/>
    </row>
    <row r="78" customFormat="false" ht="24" hidden="false" customHeight="false" outlineLevel="0" collapsed="false">
      <c r="A78" s="3084" t="s">
        <v>1722</v>
      </c>
      <c r="B78" s="3098" t="s">
        <v>1723</v>
      </c>
      <c r="C78" s="2894"/>
      <c r="D78" s="1425" t="n">
        <f aca="false">SUMIF($J$71:$N$71,C78,J78:N78)</f>
        <v>0</v>
      </c>
      <c r="E78" s="3105"/>
      <c r="F78" s="1136"/>
      <c r="G78" s="712"/>
      <c r="H78" s="3092" t="str">
        <f aca="false">IFERROR(ROUNDDOWN($F$72*I78/2,4),"——")</f>
        <v>——</v>
      </c>
      <c r="I78" s="3093" t="n">
        <v>0.05</v>
      </c>
      <c r="J78" s="3094" t="n">
        <f aca="false">K78+$G78</f>
        <v>0</v>
      </c>
      <c r="K78" s="3094" t="n">
        <f aca="false">$L78+$G78</f>
        <v>0</v>
      </c>
      <c r="L78" s="3094" t="n">
        <v>0</v>
      </c>
      <c r="M78" s="3094" t="n">
        <f aca="false">L78-$G78</f>
        <v>0</v>
      </c>
      <c r="N78" s="3094" t="n">
        <f aca="false">M78-$G78</f>
        <v>0</v>
      </c>
      <c r="O78" s="2803"/>
      <c r="P78" s="2803"/>
      <c r="Z78" s="2794"/>
      <c r="AA78" s="2792"/>
      <c r="AG78" s="2796"/>
      <c r="AK78" s="2792"/>
    </row>
    <row r="79" customFormat="false" ht="25.5" hidden="false" customHeight="false" outlineLevel="0" collapsed="false">
      <c r="A79" s="3084" t="s">
        <v>1726</v>
      </c>
      <c r="B79" s="293" t="str">
        <f aca="false">估价对象房地状况!C20</f>
        <v>区域自然环境：；人文环境；综合评价环境状况一般</v>
      </c>
      <c r="C79" s="2894"/>
      <c r="D79" s="1425" t="n">
        <f aca="false">SUMIF($J$71:$N$71,C79,J79:N79)</f>
        <v>0</v>
      </c>
      <c r="E79" s="3105"/>
      <c r="F79" s="1136"/>
      <c r="G79" s="712"/>
      <c r="H79" s="3092" t="str">
        <f aca="false">IFERROR(ROUNDDOWN($F$72*I79/2,4),"——")</f>
        <v>——</v>
      </c>
      <c r="I79" s="3093" t="n">
        <v>0.12</v>
      </c>
      <c r="J79" s="3094" t="n">
        <f aca="false">K79+$G79</f>
        <v>0</v>
      </c>
      <c r="K79" s="3094" t="n">
        <f aca="false">$L79+$G79</f>
        <v>0</v>
      </c>
      <c r="L79" s="3094" t="n">
        <v>0</v>
      </c>
      <c r="M79" s="3094" t="n">
        <f aca="false">L79-$G79</f>
        <v>0</v>
      </c>
      <c r="N79" s="3094" t="n">
        <f aca="false">M79-$G79</f>
        <v>0</v>
      </c>
      <c r="Z79" s="2794"/>
      <c r="AA79" s="2792"/>
      <c r="AG79" s="2796"/>
      <c r="AK79" s="2792"/>
    </row>
    <row r="80" customFormat="false" ht="24" hidden="false" customHeight="false" outlineLevel="0" collapsed="false">
      <c r="A80" s="3100" t="s">
        <v>1729</v>
      </c>
      <c r="B80" s="3106"/>
      <c r="C80" s="2894"/>
      <c r="D80" s="1425" t="n">
        <f aca="false">SUMIF($J$71:$N$71,C80,J80:N80)</f>
        <v>0</v>
      </c>
      <c r="E80" s="3107"/>
      <c r="F80" s="1136"/>
      <c r="G80" s="712"/>
      <c r="H80" s="3092" t="str">
        <f aca="false">IFERROR(ROUNDDOWN($F$72*I80/2,4),"——")</f>
        <v>——</v>
      </c>
      <c r="I80" s="3103" t="n">
        <v>0.05</v>
      </c>
      <c r="J80" s="3094" t="n">
        <f aca="false">K80+$G80</f>
        <v>0</v>
      </c>
      <c r="K80" s="3094" t="n">
        <f aca="false">$L80+$G80</f>
        <v>0</v>
      </c>
      <c r="L80" s="3094" t="n">
        <v>0</v>
      </c>
      <c r="M80" s="3094" t="n">
        <f aca="false">L80-$G80</f>
        <v>0</v>
      </c>
      <c r="N80" s="3094" t="n">
        <f aca="false">M80-$G80</f>
        <v>0</v>
      </c>
      <c r="Z80" s="2794"/>
      <c r="AA80" s="2792"/>
      <c r="AG80" s="2796"/>
      <c r="AK80" s="2792"/>
    </row>
    <row r="81" customFormat="false" ht="15" hidden="false" customHeight="false" outlineLevel="0" collapsed="false">
      <c r="A81" s="3079" t="s">
        <v>159</v>
      </c>
      <c r="B81" s="3080" t="n">
        <f aca="false">1+E83</f>
        <v>1</v>
      </c>
      <c r="C81" s="3081"/>
      <c r="D81" s="3081"/>
      <c r="E81" s="3082"/>
      <c r="F81" s="3083"/>
      <c r="G81" s="150"/>
      <c r="H81" s="150"/>
      <c r="I81" s="150"/>
      <c r="J81" s="149"/>
      <c r="K81" s="149"/>
      <c r="L81" s="149"/>
      <c r="M81" s="149"/>
      <c r="N81" s="149"/>
      <c r="Z81" s="2794"/>
      <c r="AA81" s="2792"/>
      <c r="AG81" s="2796"/>
      <c r="AK81" s="2792"/>
    </row>
    <row r="82" customFormat="false" ht="24.75" hidden="false" customHeight="false" outlineLevel="0" collapsed="false">
      <c r="A82" s="3084" t="s">
        <v>1712</v>
      </c>
      <c r="B82" s="313"/>
      <c r="C82" s="374" t="s">
        <v>1714</v>
      </c>
      <c r="D82" s="374" t="s">
        <v>376</v>
      </c>
      <c r="E82" s="3085" t="s">
        <v>345</v>
      </c>
      <c r="F82" s="3086" t="s">
        <v>1727</v>
      </c>
      <c r="G82" s="374" t="s">
        <v>1599</v>
      </c>
      <c r="H82" s="3087" t="s">
        <v>1716</v>
      </c>
      <c r="I82" s="374" t="s">
        <v>718</v>
      </c>
      <c r="J82" s="3088" t="s">
        <v>231</v>
      </c>
      <c r="K82" s="3088" t="s">
        <v>241</v>
      </c>
      <c r="L82" s="3088" t="s">
        <v>250</v>
      </c>
      <c r="M82" s="3088" t="s">
        <v>258</v>
      </c>
      <c r="N82" s="3088" t="s">
        <v>265</v>
      </c>
      <c r="Z82" s="2794"/>
      <c r="AA82" s="2792"/>
      <c r="AG82" s="2796"/>
      <c r="AK82" s="2792"/>
    </row>
    <row r="83" customFormat="false" ht="38.25" hidden="false" customHeight="false" outlineLevel="0" collapsed="false">
      <c r="A83" s="3084" t="s">
        <v>215</v>
      </c>
      <c r="B83" s="376" t="str">
        <f aca="false">估价对象房地状况!G15</f>
        <v>估价对象位于XX开发区，园区建设成熟度XX，产业集聚程度XX</v>
      </c>
      <c r="C83" s="2894"/>
      <c r="D83" s="1425" t="n">
        <f aca="false">SUMIF($J$82:$N$82,C83,J83:N83)</f>
        <v>0</v>
      </c>
      <c r="E83" s="3090" t="n">
        <f aca="false">ROUND(SUM(D83:D90),4)</f>
        <v>0</v>
      </c>
      <c r="F83" s="3091" t="str">
        <f aca="false">IF(E2="工业",SUMIF(L1:L12,G2,N1:N12),"——")</f>
        <v>——</v>
      </c>
      <c r="G83" s="712"/>
      <c r="H83" s="3092" t="str">
        <f aca="false">IFERROR(ROUNDDOWN($F$83*I83/2,4),"——")</f>
        <v>——</v>
      </c>
      <c r="I83" s="3093" t="n">
        <v>0.26</v>
      </c>
      <c r="J83" s="3094" t="n">
        <f aca="false">K83+$G83</f>
        <v>0</v>
      </c>
      <c r="K83" s="3094" t="n">
        <f aca="false">$L83+$G83</f>
        <v>0</v>
      </c>
      <c r="L83" s="3094" t="n">
        <v>0</v>
      </c>
      <c r="M83" s="3094" t="n">
        <f aca="false">L83-$G83</f>
        <v>0</v>
      </c>
      <c r="N83" s="3094" t="n">
        <f aca="false">M83-$G83</f>
        <v>0</v>
      </c>
      <c r="Z83" s="2794"/>
      <c r="AA83" s="2792"/>
      <c r="AG83" s="2796"/>
      <c r="AK83" s="2792"/>
    </row>
    <row r="84" customFormat="false" ht="38.25" hidden="false" customHeight="false" outlineLevel="0" collapsed="false">
      <c r="A84" s="3084" t="s">
        <v>216</v>
      </c>
      <c r="B84" s="376" t="str">
        <f aca="false">估价对象房地状况!G16</f>
        <v>估价对象周边道路状况、公共交通通达情况、停车便捷程度，综合评价交通便捷度较好</v>
      </c>
      <c r="C84" s="2894"/>
      <c r="D84" s="1425" t="n">
        <f aca="false">SUMIF($J$82:$N$82,C84,J84:N84)</f>
        <v>0</v>
      </c>
      <c r="E84" s="3105"/>
      <c r="F84" s="1136"/>
      <c r="G84" s="712"/>
      <c r="H84" s="3092" t="str">
        <f aca="false">IFERROR(ROUNDDOWN($F$83*I84/2,4),"——")</f>
        <v>——</v>
      </c>
      <c r="I84" s="3093" t="n">
        <v>0.3</v>
      </c>
      <c r="J84" s="3094" t="n">
        <f aca="false">K84+$G84</f>
        <v>0</v>
      </c>
      <c r="K84" s="3094" t="n">
        <f aca="false">$L84+$G84</f>
        <v>0</v>
      </c>
      <c r="L84" s="3094" t="n">
        <v>0</v>
      </c>
      <c r="M84" s="3094" t="n">
        <f aca="false">L84-$G84</f>
        <v>0</v>
      </c>
      <c r="N84" s="3094" t="n">
        <f aca="false">M84-$G84</f>
        <v>0</v>
      </c>
      <c r="Z84" s="2794"/>
      <c r="AA84" s="2792"/>
      <c r="AG84" s="2796"/>
      <c r="AK84" s="2792"/>
    </row>
    <row r="85" customFormat="false" ht="36" hidden="false" customHeight="false" outlineLevel="0" collapsed="false">
      <c r="A85" s="3096" t="s">
        <v>1718</v>
      </c>
      <c r="B85" s="376" t="n">
        <f aca="false">估价对象房地状况!G17</f>
        <v>0</v>
      </c>
      <c r="C85" s="2894"/>
      <c r="D85" s="1425" t="n">
        <f aca="false">SUMIF($J$82:$N$82,C85,J85:N85)</f>
        <v>0</v>
      </c>
      <c r="E85" s="3105"/>
      <c r="F85" s="1136"/>
      <c r="G85" s="712"/>
      <c r="H85" s="3092" t="str">
        <f aca="false">IFERROR(ROUNDDOWN($F$83*I85/2,4),"——")</f>
        <v>——</v>
      </c>
      <c r="I85" s="3093" t="n">
        <v>0.1</v>
      </c>
      <c r="J85" s="3094" t="n">
        <f aca="false">K85+$G85</f>
        <v>0</v>
      </c>
      <c r="K85" s="3094" t="n">
        <f aca="false">$L85+$G85</f>
        <v>0</v>
      </c>
      <c r="L85" s="3094" t="n">
        <v>0</v>
      </c>
      <c r="M85" s="3094" t="n">
        <f aca="false">L85-$G85</f>
        <v>0</v>
      </c>
      <c r="N85" s="3094" t="n">
        <f aca="false">M85-$G85</f>
        <v>0</v>
      </c>
      <c r="Z85" s="2794"/>
      <c r="AA85" s="2792"/>
      <c r="AG85" s="2796"/>
      <c r="AK85" s="2792"/>
    </row>
    <row r="86" customFormat="false" ht="14.25" hidden="false" customHeight="false" outlineLevel="0" collapsed="false">
      <c r="A86" s="3084" t="s">
        <v>1728</v>
      </c>
      <c r="B86" s="376" t="n">
        <f aca="false">估价对象房地状况!G22</f>
        <v>0</v>
      </c>
      <c r="C86" s="2894"/>
      <c r="D86" s="1425" t="n">
        <f aca="false">SUMIF($J$82:$N$82,C86,J86:N86)</f>
        <v>0</v>
      </c>
      <c r="E86" s="3105"/>
      <c r="F86" s="1136"/>
      <c r="G86" s="712"/>
      <c r="H86" s="3092" t="str">
        <f aca="false">IFERROR(ROUNDDOWN($F$83*I86/2,4),"——")</f>
        <v>——</v>
      </c>
      <c r="I86" s="3093" t="n">
        <v>0.05</v>
      </c>
      <c r="J86" s="3094" t="n">
        <f aca="false">K86+$G86</f>
        <v>0</v>
      </c>
      <c r="K86" s="3094" t="n">
        <f aca="false">$L86+$G86</f>
        <v>0</v>
      </c>
      <c r="L86" s="3094" t="n">
        <v>0</v>
      </c>
      <c r="M86" s="3094" t="n">
        <f aca="false">L86-$G86</f>
        <v>0</v>
      </c>
      <c r="N86" s="3094" t="n">
        <f aca="false">M86-$G86</f>
        <v>0</v>
      </c>
      <c r="Z86" s="2794"/>
      <c r="AA86" s="2792"/>
      <c r="AG86" s="2796"/>
      <c r="AK86" s="2792"/>
    </row>
    <row r="87" customFormat="false" ht="25.5" hidden="false" customHeight="false" outlineLevel="0" collapsed="false">
      <c r="A87" s="3084" t="s">
        <v>1724</v>
      </c>
      <c r="B87" s="2731" t="str">
        <f aca="false">估价对象房地状况!G19</f>
        <v>估价对象所在区域公共配套设施齐备情况</v>
      </c>
      <c r="C87" s="2894"/>
      <c r="D87" s="1425" t="n">
        <f aca="false">SUMIF($J$82:$N$82,C87,J87:N87)</f>
        <v>0</v>
      </c>
      <c r="E87" s="3105"/>
      <c r="F87" s="1136"/>
      <c r="G87" s="712"/>
      <c r="H87" s="3092" t="str">
        <f aca="false">IFERROR(ROUNDDOWN($F$83*I87/2,4),"——")</f>
        <v>——</v>
      </c>
      <c r="I87" s="3093" t="n">
        <v>0.06</v>
      </c>
      <c r="J87" s="3094" t="n">
        <f aca="false">K87+$G87</f>
        <v>0</v>
      </c>
      <c r="K87" s="3094" t="n">
        <f aca="false">$L87+$G87</f>
        <v>0</v>
      </c>
      <c r="L87" s="3094" t="n">
        <v>0</v>
      </c>
      <c r="M87" s="3094" t="n">
        <f aca="false">L87-$G87</f>
        <v>0</v>
      </c>
      <c r="N87" s="3094" t="n">
        <f aca="false">M87-$G87</f>
        <v>0</v>
      </c>
    </row>
    <row r="88" customFormat="false" ht="25.5" hidden="false" customHeight="false" outlineLevel="0" collapsed="false">
      <c r="A88" s="3084" t="s">
        <v>1725</v>
      </c>
      <c r="B88" s="2731" t="str">
        <f aca="false">估价对象房地状况!G20</f>
        <v>估价对象所在区域基础设施水平</v>
      </c>
      <c r="C88" s="2894"/>
      <c r="D88" s="1425" t="n">
        <f aca="false">SUMIF($J$82:$N$82,C88,J88:N88)</f>
        <v>0</v>
      </c>
      <c r="E88" s="3105"/>
      <c r="F88" s="1136"/>
      <c r="G88" s="712"/>
      <c r="H88" s="3092" t="str">
        <f aca="false">IFERROR(ROUNDDOWN($F$83*I88/2,4),"——")</f>
        <v>——</v>
      </c>
      <c r="I88" s="3093" t="n">
        <v>0.12</v>
      </c>
      <c r="J88" s="3094" t="n">
        <f aca="false">K88+$G88</f>
        <v>0</v>
      </c>
      <c r="K88" s="3094" t="n">
        <f aca="false">$L88+$G88</f>
        <v>0</v>
      </c>
      <c r="L88" s="3094" t="n">
        <v>0</v>
      </c>
      <c r="M88" s="3094" t="n">
        <f aca="false">L88-$G88</f>
        <v>0</v>
      </c>
      <c r="N88" s="3094" t="n">
        <f aca="false">M88-$G88</f>
        <v>0</v>
      </c>
    </row>
    <row r="89" customFormat="false" ht="24" hidden="false" customHeight="false" outlineLevel="0" collapsed="false">
      <c r="A89" s="3084" t="s">
        <v>1722</v>
      </c>
      <c r="B89" s="3098" t="s">
        <v>1730</v>
      </c>
      <c r="C89" s="2894"/>
      <c r="D89" s="1425" t="n">
        <f aca="false">SUMIF($J$82:$N$82,C89,J89:N89)</f>
        <v>0</v>
      </c>
      <c r="E89" s="3105"/>
      <c r="F89" s="1136"/>
      <c r="G89" s="712"/>
      <c r="H89" s="3092" t="str">
        <f aca="false">IFERROR(ROUNDDOWN($F$83*I89/2,4),"——")</f>
        <v>——</v>
      </c>
      <c r="I89" s="3093" t="n">
        <v>0.06</v>
      </c>
      <c r="J89" s="3094" t="n">
        <f aca="false">K89+$G89</f>
        <v>0</v>
      </c>
      <c r="K89" s="3094" t="n">
        <f aca="false">$L89+$G89</f>
        <v>0</v>
      </c>
      <c r="L89" s="3094" t="n">
        <v>0</v>
      </c>
      <c r="M89" s="3094" t="n">
        <f aca="false">L89-$G89</f>
        <v>0</v>
      </c>
      <c r="N89" s="3094" t="n">
        <f aca="false">M89-$G89</f>
        <v>0</v>
      </c>
    </row>
    <row r="90" customFormat="false" ht="38.25" hidden="false" customHeight="false" outlineLevel="0" collapsed="false">
      <c r="A90" s="3100" t="s">
        <v>656</v>
      </c>
      <c r="B90" s="3108" t="str">
        <f aca="false">估价对象房地状况!G18</f>
        <v>该园区内是否有污染型企业，绿化情况，卫生条件，整体环境状况判断</v>
      </c>
      <c r="C90" s="2894"/>
      <c r="D90" s="1425" t="n">
        <f aca="false">SUMIF($J$82:$N$82,C90,J90:N90)</f>
        <v>0</v>
      </c>
      <c r="E90" s="3107"/>
      <c r="F90" s="1136"/>
      <c r="G90" s="712"/>
      <c r="H90" s="3092" t="str">
        <f aca="false">IFERROR(ROUNDDOWN($F$83*I90/2,4),"——")</f>
        <v>——</v>
      </c>
      <c r="I90" s="3103" t="n">
        <v>0.05</v>
      </c>
      <c r="J90" s="3094" t="n">
        <f aca="false">K90+$G90</f>
        <v>0</v>
      </c>
      <c r="K90" s="3094" t="n">
        <f aca="false">$L90+$G90</f>
        <v>0</v>
      </c>
      <c r="L90" s="3094" t="n">
        <v>0</v>
      </c>
      <c r="M90" s="3094" t="n">
        <f aca="false">L90-$G90</f>
        <v>0</v>
      </c>
      <c r="N90" s="3094" t="n">
        <f aca="false">M90-$G90</f>
        <v>0</v>
      </c>
    </row>
    <row r="91" customFormat="false" ht="15" hidden="false" customHeight="false" outlineLevel="0" collapsed="false">
      <c r="A91" s="3109" t="s">
        <v>276</v>
      </c>
      <c r="B91" s="3110" t="n">
        <f aca="false">1+E93</f>
        <v>1</v>
      </c>
      <c r="C91" s="3111"/>
      <c r="D91" s="3112"/>
      <c r="E91" s="1136"/>
      <c r="F91" s="1136"/>
      <c r="G91" s="3113"/>
      <c r="H91" s="3114"/>
      <c r="I91" s="3115"/>
      <c r="J91" s="3116"/>
      <c r="K91" s="3116"/>
      <c r="L91" s="3116"/>
      <c r="M91" s="3116"/>
      <c r="N91" s="3116"/>
    </row>
    <row r="92" customFormat="false" ht="24.75" hidden="false" customHeight="false" outlineLevel="0" collapsed="false">
      <c r="A92" s="3096" t="s">
        <v>1712</v>
      </c>
      <c r="B92" s="3117"/>
      <c r="C92" s="3118" t="s">
        <v>1714</v>
      </c>
      <c r="D92" s="3118" t="s">
        <v>376</v>
      </c>
      <c r="E92" s="3119" t="s">
        <v>345</v>
      </c>
      <c r="F92" s="3120" t="s">
        <v>1727</v>
      </c>
      <c r="G92" s="3118" t="s">
        <v>1599</v>
      </c>
      <c r="H92" s="3121" t="s">
        <v>1716</v>
      </c>
      <c r="I92" s="3118" t="s">
        <v>718</v>
      </c>
      <c r="J92" s="3122" t="s">
        <v>231</v>
      </c>
      <c r="K92" s="3122" t="s">
        <v>241</v>
      </c>
      <c r="L92" s="3122" t="s">
        <v>250</v>
      </c>
      <c r="M92" s="3122" t="s">
        <v>258</v>
      </c>
      <c r="N92" s="3122" t="s">
        <v>265</v>
      </c>
    </row>
    <row r="93" customFormat="false" ht="24" hidden="false" customHeight="false" outlineLevel="0" collapsed="false">
      <c r="A93" s="3096" t="s">
        <v>1731</v>
      </c>
      <c r="B93" s="2689"/>
      <c r="C93" s="2894"/>
      <c r="D93" s="3117" t="n">
        <f aca="false">SUMIF($J$92:$N$92,C93,J93:N93)</f>
        <v>0</v>
      </c>
      <c r="E93" s="3123" t="n">
        <f aca="false">ROUND(SUM(D93:D101),4)</f>
        <v>0</v>
      </c>
      <c r="F93" s="1136" t="str">
        <f aca="false">IF(E2="公共服务",SUMIF(L1:L12,G2,N1:N12),"——")</f>
        <v>——</v>
      </c>
      <c r="G93" s="3113"/>
      <c r="H93" s="3124" t="str">
        <f aca="false">IFERROR(ROUNDDOWN($F$93*I93/2,4),"——")</f>
        <v>——</v>
      </c>
      <c r="I93" s="3093" t="n">
        <v>0.25</v>
      </c>
      <c r="J93" s="2988" t="n">
        <f aca="false">K93+$G93</f>
        <v>0</v>
      </c>
      <c r="K93" s="2988" t="n">
        <f aca="false">$L93+$G93</f>
        <v>0</v>
      </c>
      <c r="L93" s="2988" t="n">
        <v>0</v>
      </c>
      <c r="M93" s="2988" t="n">
        <f aca="false">L93-$G93</f>
        <v>0</v>
      </c>
      <c r="N93" s="2988" t="n">
        <f aca="false">M93-$G93</f>
        <v>0</v>
      </c>
    </row>
    <row r="94" customFormat="false" ht="38.25" hidden="false" customHeight="false" outlineLevel="0" collapsed="false">
      <c r="A94" s="3096" t="s">
        <v>216</v>
      </c>
      <c r="B94" s="3125" t="str">
        <f aca="false">估价对象房地状况!C18</f>
        <v>估价对象周边道路状况、公共交通通达情况、停车便捷程度，综合评价交通便捷度较好</v>
      </c>
      <c r="C94" s="2894"/>
      <c r="D94" s="3117" t="n">
        <f aca="false">SUMIF($J$60:$N$60,C94,J94:N94)</f>
        <v>0</v>
      </c>
      <c r="E94" s="3126"/>
      <c r="F94" s="1136"/>
      <c r="G94" s="3113"/>
      <c r="H94" s="3124" t="str">
        <f aca="false">IFERROR(ROUNDDOWN($F$93*I94/2,4),"——")</f>
        <v>——</v>
      </c>
      <c r="I94" s="3093" t="n">
        <v>0.26</v>
      </c>
      <c r="J94" s="2988" t="n">
        <f aca="false">K94+$G94</f>
        <v>0</v>
      </c>
      <c r="K94" s="2988" t="n">
        <f aca="false">$L94+$G94</f>
        <v>0</v>
      </c>
      <c r="L94" s="2988" t="n">
        <v>0</v>
      </c>
      <c r="M94" s="2988" t="n">
        <f aca="false">L94-$G94</f>
        <v>0</v>
      </c>
      <c r="N94" s="2988" t="n">
        <f aca="false">M94-$G94</f>
        <v>0</v>
      </c>
    </row>
    <row r="95" customFormat="false" ht="36" hidden="false" customHeight="false" outlineLevel="0" collapsed="false">
      <c r="A95" s="3096" t="s">
        <v>1718</v>
      </c>
      <c r="B95" s="3125" t="n">
        <f aca="false">估价对象房地状况!C19</f>
        <v>0</v>
      </c>
      <c r="C95" s="2894"/>
      <c r="D95" s="3117" t="n">
        <f aca="false">SUMIF($J$60:$N$60,C95,J95:N95)</f>
        <v>0</v>
      </c>
      <c r="E95" s="3126"/>
      <c r="F95" s="1136"/>
      <c r="G95" s="3113"/>
      <c r="H95" s="3124" t="str">
        <f aca="false">IFERROR(ROUNDDOWN($F$93*I95/2,4),"——")</f>
        <v>——</v>
      </c>
      <c r="I95" s="3093" t="n">
        <v>0.11</v>
      </c>
      <c r="J95" s="2988" t="n">
        <f aca="false">K95+$G95</f>
        <v>0</v>
      </c>
      <c r="K95" s="2988" t="n">
        <f aca="false">$L95+$G95</f>
        <v>0</v>
      </c>
      <c r="L95" s="2988" t="n">
        <v>0</v>
      </c>
      <c r="M95" s="2988" t="n">
        <f aca="false">L95-$G95</f>
        <v>0</v>
      </c>
      <c r="N95" s="2988" t="n">
        <f aca="false">M95-$G95</f>
        <v>0</v>
      </c>
    </row>
    <row r="96" customFormat="false" ht="36.75" hidden="false" customHeight="false" outlineLevel="0" collapsed="false">
      <c r="A96" s="3096" t="s">
        <v>1719</v>
      </c>
      <c r="B96" s="3127" t="s">
        <v>1720</v>
      </c>
      <c r="C96" s="2894"/>
      <c r="D96" s="3117" t="n">
        <f aca="false">SUMIF($J$60:$N$60,C96,J96:N96)</f>
        <v>0</v>
      </c>
      <c r="E96" s="3126"/>
      <c r="F96" s="1136"/>
      <c r="G96" s="3113"/>
      <c r="H96" s="3124" t="str">
        <f aca="false">IFERROR(ROUNDDOWN($F$93*I96/2,4),"——")</f>
        <v>——</v>
      </c>
      <c r="I96" s="3093" t="n">
        <v>0.05</v>
      </c>
      <c r="J96" s="2988" t="n">
        <f aca="false">K96+$G96</f>
        <v>0</v>
      </c>
      <c r="K96" s="2988" t="n">
        <f aca="false">$L96+$G96</f>
        <v>0</v>
      </c>
      <c r="L96" s="2988" t="n">
        <v>0</v>
      </c>
      <c r="M96" s="2988" t="n">
        <f aca="false">L96-$G96</f>
        <v>0</v>
      </c>
      <c r="N96" s="2988" t="n">
        <f aca="false">M96-$G96</f>
        <v>0</v>
      </c>
    </row>
    <row r="97" customFormat="false" ht="24" hidden="false" customHeight="false" outlineLevel="0" collapsed="false">
      <c r="A97" s="3096" t="s">
        <v>1721</v>
      </c>
      <c r="B97" s="3125" t="n">
        <f aca="false">估价对象房地状况!C24</f>
        <v>0</v>
      </c>
      <c r="C97" s="2894"/>
      <c r="D97" s="3117" t="n">
        <f aca="false">SUMIF($J$60:$N$60,C97,J97:N97)</f>
        <v>0</v>
      </c>
      <c r="E97" s="3126"/>
      <c r="F97" s="1136"/>
      <c r="G97" s="3113"/>
      <c r="H97" s="3124" t="str">
        <f aca="false">IFERROR(ROUNDDOWN($F$93*I97/2,4),"——")</f>
        <v>——</v>
      </c>
      <c r="I97" s="3093" t="n">
        <v>0.05</v>
      </c>
      <c r="J97" s="2988" t="n">
        <f aca="false">K97+$G97</f>
        <v>0</v>
      </c>
      <c r="K97" s="2988" t="n">
        <f aca="false">$L97+$G97</f>
        <v>0</v>
      </c>
      <c r="L97" s="2988" t="n">
        <v>0</v>
      </c>
      <c r="M97" s="2988" t="n">
        <f aca="false">L97-$G97</f>
        <v>0</v>
      </c>
      <c r="N97" s="2988" t="n">
        <f aca="false">M97-$G97</f>
        <v>0</v>
      </c>
    </row>
    <row r="98" customFormat="false" ht="24" hidden="false" customHeight="false" outlineLevel="0" collapsed="false">
      <c r="A98" s="3096" t="s">
        <v>1722</v>
      </c>
      <c r="B98" s="3128" t="s">
        <v>1723</v>
      </c>
      <c r="C98" s="2894"/>
      <c r="D98" s="3117" t="n">
        <f aca="false">SUMIF($J$60:$N$60,C98,J98:N98)</f>
        <v>0</v>
      </c>
      <c r="E98" s="3126"/>
      <c r="F98" s="1136"/>
      <c r="G98" s="3113"/>
      <c r="H98" s="3124" t="str">
        <f aca="false">IFERROR(ROUNDDOWN($F$93*I98/2,4),"——")</f>
        <v>——</v>
      </c>
      <c r="I98" s="3093" t="n">
        <v>0.06</v>
      </c>
      <c r="J98" s="2988" t="n">
        <f aca="false">K98+$G98</f>
        <v>0</v>
      </c>
      <c r="K98" s="2988" t="n">
        <f aca="false">$L98+$G98</f>
        <v>0</v>
      </c>
      <c r="L98" s="2988" t="n">
        <v>0</v>
      </c>
      <c r="M98" s="2988" t="n">
        <f aca="false">L98-$G98</f>
        <v>0</v>
      </c>
      <c r="N98" s="2988" t="n">
        <f aca="false">M98-$G98</f>
        <v>0</v>
      </c>
    </row>
    <row r="99" customFormat="false" ht="25.5" hidden="false" customHeight="false" outlineLevel="0" collapsed="false">
      <c r="A99" s="3096" t="s">
        <v>1724</v>
      </c>
      <c r="B99" s="3125" t="str">
        <f aca="false">估价对象房地状况!C21</f>
        <v>估价对象所在区域公共配套设施齐备情况</v>
      </c>
      <c r="C99" s="2894"/>
      <c r="D99" s="3117" t="n">
        <f aca="false">SUMIF($J$60:$N$60,C99,J99:N99)</f>
        <v>0</v>
      </c>
      <c r="E99" s="3126"/>
      <c r="F99" s="1136"/>
      <c r="G99" s="3113"/>
      <c r="H99" s="3124" t="str">
        <f aca="false">IFERROR(ROUNDDOWN($F$93*I99/2,4),"——")</f>
        <v>——</v>
      </c>
      <c r="I99" s="3093" t="n">
        <v>0.06</v>
      </c>
      <c r="J99" s="2988" t="n">
        <f aca="false">K99+$G99</f>
        <v>0</v>
      </c>
      <c r="K99" s="2988" t="n">
        <f aca="false">$L99+$G99</f>
        <v>0</v>
      </c>
      <c r="L99" s="2988" t="n">
        <v>0</v>
      </c>
      <c r="M99" s="2988" t="n">
        <f aca="false">L99-$G99</f>
        <v>0</v>
      </c>
      <c r="N99" s="2988" t="n">
        <f aca="false">M99-$G99</f>
        <v>0</v>
      </c>
    </row>
    <row r="100" customFormat="false" ht="25.5" hidden="false" customHeight="false" outlineLevel="0" collapsed="false">
      <c r="A100" s="3096" t="s">
        <v>1725</v>
      </c>
      <c r="B100" s="3125" t="str">
        <f aca="false">估价对象房地状况!C22</f>
        <v>估价对象所在区域基础设施水平</v>
      </c>
      <c r="C100" s="2894"/>
      <c r="D100" s="3117" t="n">
        <f aca="false">SUMIF($J$60:$N$60,C100,J100:N100)</f>
        <v>0</v>
      </c>
      <c r="E100" s="3126"/>
      <c r="F100" s="1136"/>
      <c r="G100" s="3113"/>
      <c r="H100" s="3124" t="str">
        <f aca="false">IFERROR(ROUNDDOWN($F$93*I100/2,4),"——")</f>
        <v>——</v>
      </c>
      <c r="I100" s="3093" t="n">
        <v>0.09</v>
      </c>
      <c r="J100" s="2988" t="n">
        <f aca="false">K100+$G100</f>
        <v>0</v>
      </c>
      <c r="K100" s="2988" t="n">
        <f aca="false">$L100+$G100</f>
        <v>0</v>
      </c>
      <c r="L100" s="2988" t="n">
        <v>0</v>
      </c>
      <c r="M100" s="2988" t="n">
        <f aca="false">L100-$G100</f>
        <v>0</v>
      </c>
      <c r="N100" s="2988" t="n">
        <f aca="false">M100-$G100</f>
        <v>0</v>
      </c>
    </row>
    <row r="101" customFormat="false" ht="25.5" hidden="false" customHeight="false" outlineLevel="0" collapsed="false">
      <c r="A101" s="3129" t="s">
        <v>1726</v>
      </c>
      <c r="B101" s="3130" t="str">
        <f aca="false">估价对象房地状况!C20</f>
        <v>区域自然环境：；人文环境；综合评价环境状况一般</v>
      </c>
      <c r="C101" s="2894"/>
      <c r="D101" s="3117" t="n">
        <f aca="false">SUMIF($J$60:$N$60,C101,J101:N101)</f>
        <v>0</v>
      </c>
      <c r="E101" s="3131"/>
      <c r="F101" s="1136"/>
      <c r="G101" s="3113"/>
      <c r="H101" s="3124" t="str">
        <f aca="false">IFERROR(ROUNDDOWN($F$93*I101/2,4),"——")</f>
        <v>——</v>
      </c>
      <c r="I101" s="3103" t="n">
        <v>0.07</v>
      </c>
      <c r="J101" s="2988" t="n">
        <f aca="false">K101+$G101</f>
        <v>0</v>
      </c>
      <c r="K101" s="2988" t="n">
        <f aca="false">$L101+$G101</f>
        <v>0</v>
      </c>
      <c r="L101" s="2988" t="n">
        <v>0</v>
      </c>
      <c r="M101" s="2988" t="n">
        <f aca="false">L101-$G101</f>
        <v>0</v>
      </c>
      <c r="N101" s="2988" t="n">
        <f aca="false">M101-$G101</f>
        <v>0</v>
      </c>
    </row>
    <row r="103" customFormat="false" ht="12.75" hidden="false" customHeight="false" outlineLevel="0" collapsed="false">
      <c r="A103" s="3132" t="s">
        <v>1732</v>
      </c>
      <c r="B103" s="3132"/>
      <c r="C103" s="3132"/>
      <c r="D103" s="3132"/>
      <c r="E103" s="3132"/>
      <c r="F103" s="3132"/>
      <c r="G103" s="3132"/>
      <c r="H103" s="3132"/>
      <c r="I103" s="3132"/>
      <c r="J103" s="3132"/>
      <c r="K103" s="3133"/>
      <c r="L103" s="3133"/>
      <c r="M103" s="3133"/>
      <c r="N103" s="3133"/>
    </row>
    <row r="104" customFormat="false" ht="12.75" hidden="false" customHeight="false" outlineLevel="0" collapsed="false">
      <c r="A104" s="3134" t="s">
        <v>399</v>
      </c>
      <c r="B104" s="3134" t="s">
        <v>1341</v>
      </c>
      <c r="C104" s="3135" t="s">
        <v>1613</v>
      </c>
      <c r="D104" s="3136"/>
      <c r="E104" s="3136"/>
      <c r="F104" s="3136"/>
      <c r="G104" s="3136"/>
      <c r="H104" s="3136"/>
      <c r="I104" s="3136"/>
      <c r="J104" s="3137"/>
      <c r="K104" s="3138"/>
      <c r="L104" s="3138"/>
      <c r="M104" s="3138"/>
      <c r="N104" s="3138"/>
    </row>
    <row r="105" customFormat="false" ht="12.75" hidden="false" customHeight="false" outlineLevel="0" collapsed="false">
      <c r="A105" s="3134"/>
      <c r="B105" s="3134"/>
      <c r="C105" s="3134" t="s">
        <v>226</v>
      </c>
      <c r="D105" s="3134" t="s">
        <v>237</v>
      </c>
      <c r="E105" s="3134" t="s">
        <v>247</v>
      </c>
      <c r="F105" s="3134" t="s">
        <v>255</v>
      </c>
      <c r="G105" s="3134" t="s">
        <v>263</v>
      </c>
      <c r="H105" s="3134" t="s">
        <v>269</v>
      </c>
      <c r="I105" s="3134" t="s">
        <v>274</v>
      </c>
      <c r="J105" s="3134" t="s">
        <v>280</v>
      </c>
      <c r="K105" s="3134" t="s">
        <v>284</v>
      </c>
      <c r="L105" s="3134" t="s">
        <v>288</v>
      </c>
      <c r="M105" s="3134" t="s">
        <v>292</v>
      </c>
      <c r="N105" s="3134" t="s">
        <v>296</v>
      </c>
    </row>
    <row r="106" customFormat="false" ht="12.75" hidden="false" customHeight="false" outlineLevel="0" collapsed="false">
      <c r="A106" s="3134" t="s">
        <v>1733</v>
      </c>
      <c r="B106" s="3134" t="n">
        <v>1</v>
      </c>
      <c r="C106" s="3134" t="n">
        <v>1.5206</v>
      </c>
      <c r="D106" s="3134" t="n">
        <v>1.5206</v>
      </c>
      <c r="E106" s="3134" t="n">
        <v>1.5019</v>
      </c>
      <c r="F106" s="3134" t="n">
        <v>1.5019</v>
      </c>
      <c r="G106" s="3134" t="n">
        <v>1.5019</v>
      </c>
      <c r="H106" s="3134" t="n">
        <v>1.5019</v>
      </c>
      <c r="I106" s="3134" t="n">
        <v>1.5019</v>
      </c>
      <c r="J106" s="3134" t="n">
        <v>1.5418</v>
      </c>
      <c r="K106" s="3134" t="n">
        <v>1.5418</v>
      </c>
      <c r="L106" s="3134" t="n">
        <v>1.5418</v>
      </c>
      <c r="M106" s="3134" t="n">
        <v>1.5418</v>
      </c>
      <c r="N106" s="3134" t="n">
        <v>1.5418</v>
      </c>
    </row>
    <row r="107" customFormat="false" ht="12.75" hidden="false" customHeight="false" outlineLevel="0" collapsed="false">
      <c r="A107" s="3134"/>
      <c r="B107" s="3134" t="n">
        <v>2</v>
      </c>
      <c r="C107" s="3134" t="n">
        <v>1.2072</v>
      </c>
      <c r="D107" s="3134" t="n">
        <v>1.2072</v>
      </c>
      <c r="E107" s="3134" t="n">
        <v>1.1838</v>
      </c>
      <c r="F107" s="3134" t="n">
        <v>1.1838</v>
      </c>
      <c r="G107" s="3134" t="n">
        <v>1.1838</v>
      </c>
      <c r="H107" s="3134" t="n">
        <v>1.1838</v>
      </c>
      <c r="I107" s="3134" t="n">
        <v>1.1838</v>
      </c>
      <c r="J107" s="3134" t="n">
        <v>1.1884</v>
      </c>
      <c r="K107" s="3134" t="n">
        <v>1.1884</v>
      </c>
      <c r="L107" s="3134" t="n">
        <v>1.1884</v>
      </c>
      <c r="M107" s="3134" t="n">
        <v>1.1884</v>
      </c>
      <c r="N107" s="3134" t="n">
        <v>1.1884</v>
      </c>
    </row>
    <row r="108" customFormat="false" ht="12.75" hidden="false" customHeight="false" outlineLevel="0" collapsed="false">
      <c r="A108" s="3134"/>
      <c r="B108" s="3134" t="n">
        <v>3</v>
      </c>
      <c r="C108" s="3134" t="n">
        <v>1.0431</v>
      </c>
      <c r="D108" s="3134" t="n">
        <v>1.0431</v>
      </c>
      <c r="E108" s="3134" t="n">
        <v>1.0005</v>
      </c>
      <c r="F108" s="3134" t="n">
        <v>1.0005</v>
      </c>
      <c r="G108" s="3134" t="n">
        <v>1.0005</v>
      </c>
      <c r="H108" s="3134" t="n">
        <v>1.0005</v>
      </c>
      <c r="I108" s="3134" t="n">
        <v>1.0005</v>
      </c>
      <c r="J108" s="3134" t="n">
        <v>0.9694</v>
      </c>
      <c r="K108" s="3134" t="n">
        <v>0.9694</v>
      </c>
      <c r="L108" s="3134" t="n">
        <v>0.9694</v>
      </c>
      <c r="M108" s="3134" t="n">
        <v>0.9694</v>
      </c>
      <c r="N108" s="3134" t="n">
        <v>0.9694</v>
      </c>
    </row>
    <row r="109" customFormat="false" ht="12.75" hidden="false" customHeight="false" outlineLevel="0" collapsed="false">
      <c r="A109" s="3134"/>
      <c r="B109" s="3134" t="n">
        <v>4</v>
      </c>
      <c r="C109" s="3134" t="n">
        <v>0.9439</v>
      </c>
      <c r="D109" s="3134" t="n">
        <v>0.9439</v>
      </c>
      <c r="E109" s="3134" t="n">
        <v>0.8824</v>
      </c>
      <c r="F109" s="3134" t="n">
        <v>0.8824</v>
      </c>
      <c r="G109" s="3134" t="n">
        <v>0.8824</v>
      </c>
      <c r="H109" s="3134" t="n">
        <v>0.8824</v>
      </c>
      <c r="I109" s="3134" t="n">
        <v>0.8824</v>
      </c>
      <c r="J109" s="3134" t="n">
        <v>0.823</v>
      </c>
      <c r="K109" s="3134" t="n">
        <v>0.823</v>
      </c>
      <c r="L109" s="3134" t="n">
        <v>0.823</v>
      </c>
      <c r="M109" s="3134" t="n">
        <v>0.823</v>
      </c>
      <c r="N109" s="3134" t="n">
        <v>0.823</v>
      </c>
    </row>
    <row r="110" customFormat="false" ht="12.75" hidden="false" customHeight="false" outlineLevel="0" collapsed="false">
      <c r="A110" s="3134"/>
      <c r="B110" s="3134" t="n">
        <v>5</v>
      </c>
      <c r="C110" s="3134" t="n">
        <v>0.8996</v>
      </c>
      <c r="D110" s="3134" t="n">
        <v>0.8996</v>
      </c>
      <c r="E110" s="3134" t="n">
        <v>0.848</v>
      </c>
      <c r="F110" s="3134" t="n">
        <v>0.848</v>
      </c>
      <c r="G110" s="3134" t="n">
        <v>0.848</v>
      </c>
      <c r="H110" s="3134" t="n">
        <v>0.848</v>
      </c>
      <c r="I110" s="3134" t="n">
        <v>0.848</v>
      </c>
      <c r="J110" s="3134" t="n">
        <v>0.7498</v>
      </c>
      <c r="K110" s="3134" t="n">
        <v>0.7498</v>
      </c>
      <c r="L110" s="3134" t="n">
        <v>0.7498</v>
      </c>
      <c r="M110" s="3134" t="n">
        <v>0.7498</v>
      </c>
      <c r="N110" s="3134" t="n">
        <v>0.7498</v>
      </c>
    </row>
    <row r="111" customFormat="false" ht="12.75" hidden="false" customHeight="false" outlineLevel="0" collapsed="false">
      <c r="A111" s="3134"/>
      <c r="B111" s="3139" t="s">
        <v>1630</v>
      </c>
      <c r="C111" s="3140" t="n">
        <f aca="false">$I$3</f>
        <v>0</v>
      </c>
      <c r="D111" s="3140" t="n">
        <f aca="false">$I$3</f>
        <v>0</v>
      </c>
      <c r="E111" s="3140" t="n">
        <f aca="false">$I$3</f>
        <v>0</v>
      </c>
      <c r="F111" s="3140" t="n">
        <f aca="false">$I$3</f>
        <v>0</v>
      </c>
      <c r="G111" s="3140" t="n">
        <f aca="false">$I$3</f>
        <v>0</v>
      </c>
      <c r="H111" s="3140" t="n">
        <f aca="false">$I$3</f>
        <v>0</v>
      </c>
      <c r="I111" s="3140" t="n">
        <f aca="false">$I$3</f>
        <v>0</v>
      </c>
      <c r="J111" s="3140" t="n">
        <f aca="false">$I$3</f>
        <v>0</v>
      </c>
      <c r="K111" s="3140" t="n">
        <f aca="false">$I$3</f>
        <v>0</v>
      </c>
      <c r="L111" s="3140" t="n">
        <f aca="false">$I$3</f>
        <v>0</v>
      </c>
      <c r="M111" s="3140" t="n">
        <f aca="false">$I$3</f>
        <v>0</v>
      </c>
      <c r="N111" s="3140" t="n">
        <f aca="false">$I$3</f>
        <v>0</v>
      </c>
    </row>
    <row r="112" customFormat="false" ht="12.75" hidden="false" customHeight="false" outlineLevel="0" collapsed="false">
      <c r="A112" s="3134"/>
      <c r="B112" s="3134" t="n">
        <v>6</v>
      </c>
      <c r="C112" s="3121" t="n">
        <f aca="false">(-0.5556*(C111^2)-0.2719*C111+8944)*(10^(-4))</f>
        <v>0.8944</v>
      </c>
      <c r="D112" s="3121" t="n">
        <f aca="false">(-0.5556*(D111^2)-0.2719*D111+8944)*(10^(-4))</f>
        <v>0.8944</v>
      </c>
      <c r="E112" s="3121" t="n">
        <f aca="false">(-0.7912*(E111^2)-11.3794*E111+8482)*(10^(-4))</f>
        <v>0.8482</v>
      </c>
      <c r="F112" s="3121" t="n">
        <f aca="false">(-0.7912*(F111^2)-11.3794*F111+8482)*(10^(-4))</f>
        <v>0.8482</v>
      </c>
      <c r="G112" s="3121" t="n">
        <f aca="false">(-0.7912*(G111^2)-11.3794*G111+8482)*(10^(-4))</f>
        <v>0.8482</v>
      </c>
      <c r="H112" s="3121" t="n">
        <f aca="false">(-0.7912*(H111^2)-11.3794*H111+8482)*(10^(-4))</f>
        <v>0.8482</v>
      </c>
      <c r="I112" s="3121" t="n">
        <f aca="false">(-0.7912*(I111^2)-11.3794*I111+8482)*(10^(-4))</f>
        <v>0.8482</v>
      </c>
      <c r="J112" s="3121" t="n">
        <f aca="false">(-0.989*(J111^2)-63.78*J111+7771)*(10^(-4))</f>
        <v>0.7771</v>
      </c>
      <c r="K112" s="3121" t="n">
        <f aca="false">(-0.989*(K111^2)-63.78*K111+7771)*(10^(-4))</f>
        <v>0.7771</v>
      </c>
      <c r="L112" s="3121" t="n">
        <f aca="false">(-0.989*(L111^2)-63.78*L111+7771)*(10^(-4))</f>
        <v>0.7771</v>
      </c>
      <c r="M112" s="3121" t="n">
        <f aca="false">(-0.989*(M111^2)-63.78*M111+7771)*(10^(-4))</f>
        <v>0.7771</v>
      </c>
      <c r="N112" s="3121" t="n">
        <f aca="false">(-0.989*(N111^2)-63.78*N111+7771)*(10^(-4))</f>
        <v>0.7771</v>
      </c>
    </row>
    <row r="113" customFormat="false" ht="12.75" hidden="false" customHeight="false" outlineLevel="0" collapsed="false">
      <c r="A113" s="3141" t="s">
        <v>1734</v>
      </c>
      <c r="B113" s="3141"/>
      <c r="C113" s="3141"/>
      <c r="D113" s="3141"/>
      <c r="E113" s="3141"/>
      <c r="F113" s="3141"/>
      <c r="G113" s="3141"/>
      <c r="H113" s="3141"/>
      <c r="I113" s="3141"/>
      <c r="J113" s="3141"/>
      <c r="K113" s="3142"/>
      <c r="L113" s="3142"/>
      <c r="M113" s="3142"/>
      <c r="N113" s="3142"/>
    </row>
    <row r="114" customFormat="false" ht="12.75" hidden="false" customHeight="false" outlineLevel="0" collapsed="false">
      <c r="A114" s="3143"/>
      <c r="B114" s="3143"/>
      <c r="C114" s="3143"/>
      <c r="D114" s="3143"/>
      <c r="E114" s="3143"/>
      <c r="F114" s="3143"/>
      <c r="G114" s="3143"/>
      <c r="H114" s="3143"/>
      <c r="I114" s="3143"/>
      <c r="J114" s="3143"/>
      <c r="K114" s="3054"/>
      <c r="L114" s="3143"/>
      <c r="M114" s="3143"/>
      <c r="N114" s="3143"/>
    </row>
    <row r="115" customFormat="false" ht="12.75" hidden="false" customHeight="false" outlineLevel="0" collapsed="false">
      <c r="A115" s="3143"/>
      <c r="B115" s="3143"/>
      <c r="C115" s="3143"/>
      <c r="D115" s="3143"/>
      <c r="E115" s="3143"/>
      <c r="F115" s="3143"/>
      <c r="G115" s="3143"/>
      <c r="H115" s="3143"/>
      <c r="I115" s="3143"/>
      <c r="J115" s="3143"/>
      <c r="K115" s="3054"/>
      <c r="L115" s="3143"/>
      <c r="M115" s="3143"/>
      <c r="N115" s="3143"/>
    </row>
    <row r="116" customFormat="false" ht="24.75" hidden="false" customHeight="false" outlineLevel="0" collapsed="false">
      <c r="A116" s="3144" t="s">
        <v>1735</v>
      </c>
      <c r="B116" s="3145" t="n">
        <f aca="false">G3</f>
        <v>0</v>
      </c>
      <c r="C116" s="3146" t="s">
        <v>1599</v>
      </c>
      <c r="D116" s="3147" t="n">
        <f aca="false">SUMPRODUCT((A118:A122=F116)*(B117:M117=H116)*B118:M122)</f>
        <v>0</v>
      </c>
      <c r="E116" s="2810" t="s">
        <v>399</v>
      </c>
      <c r="F116" s="3148" t="n">
        <f aca="false">E2</f>
        <v>0</v>
      </c>
      <c r="G116" s="2810" t="s">
        <v>204</v>
      </c>
      <c r="H116" s="3148" t="n">
        <f aca="false">G2</f>
        <v>0</v>
      </c>
      <c r="I116" s="2810"/>
      <c r="J116" s="3149"/>
      <c r="K116" s="3149"/>
      <c r="L116" s="3149"/>
      <c r="M116" s="3149"/>
      <c r="N116" s="3143"/>
    </row>
    <row r="117" customFormat="false" ht="12.75" hidden="false" customHeight="false" outlineLevel="0" collapsed="false">
      <c r="A117" s="3150"/>
      <c r="B117" s="3151" t="s">
        <v>226</v>
      </c>
      <c r="C117" s="3151" t="s">
        <v>237</v>
      </c>
      <c r="D117" s="3151" t="s">
        <v>247</v>
      </c>
      <c r="E117" s="3152" t="s">
        <v>255</v>
      </c>
      <c r="F117" s="3152" t="s">
        <v>263</v>
      </c>
      <c r="G117" s="3152" t="s">
        <v>269</v>
      </c>
      <c r="H117" s="3153" t="s">
        <v>274</v>
      </c>
      <c r="I117" s="3153" t="s">
        <v>280</v>
      </c>
      <c r="J117" s="3154" t="s">
        <v>284</v>
      </c>
      <c r="K117" s="3154" t="s">
        <v>288</v>
      </c>
      <c r="L117" s="3154" t="s">
        <v>292</v>
      </c>
      <c r="M117" s="3155" t="s">
        <v>296</v>
      </c>
      <c r="N117" s="3143"/>
    </row>
    <row r="118" customFormat="false" ht="12.75" hidden="false" customHeight="false" outlineLevel="0" collapsed="false">
      <c r="A118" s="3156" t="s">
        <v>157</v>
      </c>
      <c r="B118" s="3121" t="n">
        <f aca="false">ROUND(0.9968-0.011*B116,4)</f>
        <v>0.9968</v>
      </c>
      <c r="C118" s="3121" t="n">
        <f aca="false">B118</f>
        <v>0.9968</v>
      </c>
      <c r="D118" s="3121" t="n">
        <f aca="false">ROUND(0.949-0.014*B116,4)</f>
        <v>0.949</v>
      </c>
      <c r="E118" s="3121" t="n">
        <f aca="false">D118</f>
        <v>0.949</v>
      </c>
      <c r="F118" s="3121" t="n">
        <f aca="false">E118</f>
        <v>0.949</v>
      </c>
      <c r="G118" s="3121" t="n">
        <f aca="false">F118</f>
        <v>0.949</v>
      </c>
      <c r="H118" s="3121" t="n">
        <f aca="false">G118</f>
        <v>0.949</v>
      </c>
      <c r="I118" s="3121" t="n">
        <f aca="false">ROUND(0.8486-0.018*B116,4)</f>
        <v>0.8486</v>
      </c>
      <c r="J118" s="3121" t="n">
        <f aca="false">I118</f>
        <v>0.8486</v>
      </c>
      <c r="K118" s="3121" t="n">
        <f aca="false">J118</f>
        <v>0.8486</v>
      </c>
      <c r="L118" s="3121" t="n">
        <f aca="false">K118</f>
        <v>0.8486</v>
      </c>
      <c r="M118" s="3157" t="n">
        <f aca="false">L118</f>
        <v>0.8486</v>
      </c>
      <c r="N118" s="3143"/>
    </row>
    <row r="119" customFormat="false" ht="12.75" hidden="false" customHeight="false" outlineLevel="0" collapsed="false">
      <c r="A119" s="3156" t="s">
        <v>158</v>
      </c>
      <c r="B119" s="3121" t="n">
        <f aca="false">ROUND(0.993-0.0112*B116,4)</f>
        <v>0.993</v>
      </c>
      <c r="C119" s="3121" t="n">
        <f aca="false">B119</f>
        <v>0.993</v>
      </c>
      <c r="D119" s="3121" t="n">
        <f aca="false">ROUND(0.9415-0.0142*B116,4)</f>
        <v>0.9415</v>
      </c>
      <c r="E119" s="3121" t="n">
        <f aca="false">D119</f>
        <v>0.9415</v>
      </c>
      <c r="F119" s="3121" t="n">
        <f aca="false">E119</f>
        <v>0.9415</v>
      </c>
      <c r="G119" s="3121" t="n">
        <f aca="false">F119</f>
        <v>0.9415</v>
      </c>
      <c r="H119" s="3121" t="n">
        <f aca="false">G119</f>
        <v>0.9415</v>
      </c>
      <c r="I119" s="3121" t="n">
        <f aca="false">ROUND(0.838-0.0182*B116,4)</f>
        <v>0.838</v>
      </c>
      <c r="J119" s="3121" t="n">
        <f aca="false">I119</f>
        <v>0.838</v>
      </c>
      <c r="K119" s="3121" t="n">
        <f aca="false">J119</f>
        <v>0.838</v>
      </c>
      <c r="L119" s="3121" t="n">
        <f aca="false">K119</f>
        <v>0.838</v>
      </c>
      <c r="M119" s="3157" t="n">
        <f aca="false">L119</f>
        <v>0.838</v>
      </c>
      <c r="N119" s="3143"/>
    </row>
    <row r="120" customFormat="false" ht="12.75" hidden="false" customHeight="false" outlineLevel="0" collapsed="false">
      <c r="A120" s="3156" t="s">
        <v>156</v>
      </c>
      <c r="B120" s="3121" t="n">
        <f aca="false">ROUND(0.9448-0.0115*B116,4)</f>
        <v>0.9448</v>
      </c>
      <c r="C120" s="3121" t="n">
        <f aca="false">B120</f>
        <v>0.9448</v>
      </c>
      <c r="D120" s="3121" t="n">
        <f aca="false">ROUND(0.937-0.0145*B116,4)</f>
        <v>0.937</v>
      </c>
      <c r="E120" s="3121" t="n">
        <f aca="false">D120</f>
        <v>0.937</v>
      </c>
      <c r="F120" s="3121" t="n">
        <f aca="false">E120</f>
        <v>0.937</v>
      </c>
      <c r="G120" s="3121" t="n">
        <f aca="false">F120</f>
        <v>0.937</v>
      </c>
      <c r="H120" s="3121" t="n">
        <f aca="false">G120</f>
        <v>0.937</v>
      </c>
      <c r="I120" s="3121" t="n">
        <f aca="false">ROUND(0.7965-0.0185*B116,4)</f>
        <v>0.7965</v>
      </c>
      <c r="J120" s="3121" t="n">
        <f aca="false">I120</f>
        <v>0.7965</v>
      </c>
      <c r="K120" s="3121" t="n">
        <f aca="false">J120</f>
        <v>0.7965</v>
      </c>
      <c r="L120" s="3121" t="n">
        <f aca="false">K120</f>
        <v>0.7965</v>
      </c>
      <c r="M120" s="3157" t="n">
        <f aca="false">L120</f>
        <v>0.7965</v>
      </c>
      <c r="N120" s="3143"/>
    </row>
    <row r="121" customFormat="false" ht="12.75" hidden="false" customHeight="false" outlineLevel="0" collapsed="false">
      <c r="A121" s="3158" t="s">
        <v>159</v>
      </c>
      <c r="B121" s="3159" t="n">
        <f aca="false">ROUND(0.7836-0.012*B116,4)</f>
        <v>0.7836</v>
      </c>
      <c r="C121" s="3159" t="n">
        <f aca="false">B121</f>
        <v>0.7836</v>
      </c>
      <c r="D121" s="3159" t="n">
        <f aca="false">ROUND(0.753-0.015*B116,4)</f>
        <v>0.753</v>
      </c>
      <c r="E121" s="3159" t="n">
        <f aca="false">D121</f>
        <v>0.753</v>
      </c>
      <c r="F121" s="3159" t="n">
        <f aca="false">E121</f>
        <v>0.753</v>
      </c>
      <c r="G121" s="3159" t="n">
        <f aca="false">ROUND(0.6612-0.018*B116,4)</f>
        <v>0.6612</v>
      </c>
      <c r="H121" s="3159" t="n">
        <f aca="false">G121</f>
        <v>0.6612</v>
      </c>
      <c r="I121" s="3159" t="n">
        <f aca="false">ROUND(0.5905-0.019*B116,4)</f>
        <v>0.5905</v>
      </c>
      <c r="J121" s="3159" t="n">
        <f aca="false">I121</f>
        <v>0.5905</v>
      </c>
      <c r="K121" s="3159" t="n">
        <f aca="false">J121</f>
        <v>0.5905</v>
      </c>
      <c r="L121" s="3159" t="n">
        <f aca="false">K121</f>
        <v>0.5905</v>
      </c>
      <c r="M121" s="3160" t="n">
        <f aca="false">L121</f>
        <v>0.5905</v>
      </c>
      <c r="N121" s="3143"/>
    </row>
    <row r="122" customFormat="false" ht="12.75" hidden="false" customHeight="false" outlineLevel="0" collapsed="false">
      <c r="A122" s="3161" t="s">
        <v>276</v>
      </c>
      <c r="B122" s="3121" t="n">
        <f aca="false">ROUND(0.9404-0.0106*B116,4)</f>
        <v>0.9404</v>
      </c>
      <c r="C122" s="3121" t="n">
        <f aca="false">B122</f>
        <v>0.9404</v>
      </c>
      <c r="D122" s="3121" t="n">
        <f aca="false">ROUND(0.8955-0.0135*B116,4)</f>
        <v>0.8955</v>
      </c>
      <c r="E122" s="3121" t="n">
        <f aca="false">D122</f>
        <v>0.8955</v>
      </c>
      <c r="F122" s="3121" t="n">
        <f aca="false">E122</f>
        <v>0.8955</v>
      </c>
      <c r="G122" s="3121" t="n">
        <f aca="false">F122</f>
        <v>0.8955</v>
      </c>
      <c r="H122" s="3121" t="n">
        <f aca="false">G122</f>
        <v>0.8955</v>
      </c>
      <c r="I122" s="3121" t="n">
        <f aca="false">ROUND(0.7632-0.0166*B116,4)</f>
        <v>0.7632</v>
      </c>
      <c r="J122" s="3121" t="n">
        <f aca="false">I122</f>
        <v>0.7632</v>
      </c>
      <c r="K122" s="3121" t="n">
        <f aca="false">J122</f>
        <v>0.7632</v>
      </c>
      <c r="L122" s="3121" t="n">
        <f aca="false">K122</f>
        <v>0.7632</v>
      </c>
      <c r="M122" s="3157" t="n">
        <f aca="false">L122</f>
        <v>0.7632</v>
      </c>
      <c r="N122" s="3143"/>
    </row>
  </sheetData>
  <sheetProtection sheet="true" password="cee9" objects="true" scenarios="true" formatCells="false" formatColumns="false" formatRows="false"/>
  <mergeCells count="11">
    <mergeCell ref="A4:J4"/>
    <mergeCell ref="W8:X8"/>
    <mergeCell ref="W9:W10"/>
    <mergeCell ref="A20:A21"/>
    <mergeCell ref="F20:G20"/>
    <mergeCell ref="A37:A39"/>
    <mergeCell ref="A103:J103"/>
    <mergeCell ref="A104:A105"/>
    <mergeCell ref="B104:B105"/>
    <mergeCell ref="A106:A112"/>
    <mergeCell ref="A113:J113"/>
  </mergeCells>
  <conditionalFormatting sqref="F50">
    <cfRule type="cellIs" priority="2" operator="notEqual" aboveAverage="0" equalAverage="0" bottom="0" percent="0" rank="0" text="" dxfId="226">
      <formula>"——"</formula>
    </cfRule>
  </conditionalFormatting>
  <conditionalFormatting sqref="F61">
    <cfRule type="cellIs" priority="3" operator="notEqual" aboveAverage="0" equalAverage="0" bottom="0" percent="0" rank="0" text="" dxfId="227">
      <formula>"——"</formula>
    </cfRule>
  </conditionalFormatting>
  <conditionalFormatting sqref="F72">
    <cfRule type="cellIs" priority="4" operator="notEqual" aboveAverage="0" equalAverage="0" bottom="0" percent="0" rank="0" text="" dxfId="228">
      <formula>"——"</formula>
    </cfRule>
  </conditionalFormatting>
  <conditionalFormatting sqref="F83">
    <cfRule type="cellIs" priority="5" operator="notEqual" aboveAverage="0" equalAverage="0" bottom="0" percent="0" rank="0" text="" dxfId="229">
      <formula>"——"</formula>
    </cfRule>
  </conditionalFormatting>
  <conditionalFormatting sqref="H93:H101">
    <cfRule type="cellIs" priority="6" operator="notEqual" aboveAverage="0" equalAverage="0" bottom="0" percent="0" rank="0" text="" dxfId="230">
      <formula>"——"</formula>
    </cfRule>
  </conditionalFormatting>
  <conditionalFormatting sqref="H50:H58 H61:H69 H72:H80 H83:H91">
    <cfRule type="cellIs" priority="7" operator="notEqual" aboveAverage="0" equalAverage="0" bottom="0" percent="0" rank="0" text="" dxfId="231">
      <formula>"——"</formula>
    </cfRule>
  </conditionalFormatting>
  <dataValidations count="12">
    <dataValidation allowBlank="true" operator="between" showDropDown="false" showErrorMessage="true" showInputMessage="true" sqref="E15" type="list">
      <formula1>"500米范围内,500-1000米,1000米以外"</formula1>
      <formula2>0</formula2>
    </dataValidation>
    <dataValidation allowBlank="true" operator="between" showDropDown="false" showErrorMessage="true" showInputMessage="true" sqref="C8" type="list">
      <formula1>商业街名称</formula1>
      <formula2>0</formula2>
    </dataValidation>
    <dataValidation allowBlank="true" operator="between" showDropDown="false" showErrorMessage="true" showInputMessage="true" sqref="E2" type="list">
      <formula1>"商业,办公,住宅,工业,公共服务"</formula1>
      <formula2>0</formula2>
    </dataValidation>
    <dataValidation allowBlank="true" operator="between" showDropDown="false" showErrorMessage="true" showInputMessage="true" sqref="E3" type="list">
      <formula1>二级分类</formula1>
      <formula2>0</formula2>
    </dataValidation>
    <dataValidation allowBlank="true" operator="between" showDropDown="false" showErrorMessage="true" showInputMessage="true" sqref="F3" type="list">
      <formula1>"宗地容积率,估价对象容积率,自定义容积率"</formula1>
      <formula2>0</formula2>
    </dataValidation>
    <dataValidation allowBlank="true" operator="between" showDropDown="false" showErrorMessage="true" showInputMessage="true" sqref="C15:D15" type="list">
      <formula1>"有,无"</formula1>
      <formula2>0</formula2>
    </dataValidation>
    <dataValidation allowBlank="true" operator="between" showDropDown="false" showErrorMessage="true" showInputMessage="true" sqref="F21" type="list">
      <formula1>"与级别开发程度一致,与级别开发程度不一致"</formula1>
      <formula2>0</formula2>
    </dataValidation>
    <dataValidation allowBlank="true" operator="between" showDropDown="false" showErrorMessage="true" showInputMessage="true" sqref="H20:O20" type="list">
      <formula1>七通一平</formula1>
      <formula2>0</formula2>
    </dataValidation>
    <dataValidation allowBlank="true" operator="between" showDropDown="false" showErrorMessage="true" showInputMessage="true" sqref="H23" type="list">
      <formula1>"地价指数,季度增幅（自定义）,按公示增长率计算"</formula1>
      <formula2>0</formula2>
    </dataValidation>
    <dataValidation allowBlank="true" operator="between" showDropDown="false" showErrorMessage="true" showInputMessage="true" sqref="J23" type="list">
      <formula1>"不用分区数据,中心城区,中心城区以外"</formula1>
      <formula2>0</formula2>
    </dataValidation>
    <dataValidation allowBlank="true" operator="between" showDropDown="false" showErrorMessage="true" showInputMessage="true" sqref="B25" type="list">
      <formula1>"容积率修正,楼层修正"</formula1>
      <formula2>0</formula2>
    </dataValidation>
    <dataValidation allowBlank="true" operator="between" showDropDown="false" showErrorMessage="true" showInputMessage="true" sqref="C50:C58 C61:C69 C72:C80 C83:C91 C93:C101" type="list">
      <formula1>五等判定</formula1>
      <formula2>0</formula2>
    </dataValidation>
  </dataValidations>
  <printOptions headings="false" gridLines="false" gridLinesSet="true" horizontalCentered="false" verticalCentered="false"/>
  <pageMargins left="0.7" right="0.7" top="0.75" bottom="0.75" header="0.511805555555555" footer="0.511805555555555"/>
  <pageSetup paperSize="9" scale="43"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10" man="true" max="65535" min="0"/>
  </colBreaks>
  <legacyDrawing r:id="rId2"/>
</worksheet>
</file>

<file path=xl/worksheets/sheet38.xml><?xml version="1.0" encoding="utf-8"?>
<worksheet xmlns="http://schemas.openxmlformats.org/spreadsheetml/2006/main" xmlns:r="http://schemas.openxmlformats.org/officeDocument/2006/relationships">
  <sheetPr filterMode="false">
    <pageSetUpPr fitToPage="false"/>
  </sheetPr>
  <dimension ref="A1:M138"/>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A1" activeCellId="0" sqref="A1"/>
    </sheetView>
  </sheetViews>
  <sheetFormatPr defaultRowHeight="19.5" zeroHeight="false" outlineLevelRow="0" outlineLevelCol="0"/>
  <cols>
    <col collapsed="false" customWidth="true" hidden="false" outlineLevel="0" max="13" min="1" style="3162" width="15.26"/>
    <col collapsed="false" customWidth="true" hidden="false" outlineLevel="0" max="14" min="14" style="3162" width="10"/>
    <col collapsed="false" customWidth="true" hidden="false" outlineLevel="0" max="16" min="15" style="3162" width="8.26"/>
    <col collapsed="false" customWidth="true" hidden="false" outlineLevel="0" max="17" min="17" style="3162" width="34.12"/>
    <col collapsed="false" customWidth="true" hidden="false" outlineLevel="0" max="19" min="18" style="3162" width="8.26"/>
    <col collapsed="false" customWidth="true" hidden="false" outlineLevel="0" max="20" min="20" style="3162" width="11.62"/>
    <col collapsed="false" customWidth="true" hidden="false" outlineLevel="0" max="1025" min="21" style="3162" width="8.26"/>
  </cols>
  <sheetData>
    <row r="1" customFormat="false" ht="19.5" hidden="false" customHeight="true" outlineLevel="0" collapsed="false">
      <c r="A1" s="3163" t="s">
        <v>204</v>
      </c>
      <c r="B1" s="3164" t="s">
        <v>226</v>
      </c>
      <c r="C1" s="3164" t="s">
        <v>237</v>
      </c>
      <c r="D1" s="3164" t="s">
        <v>247</v>
      </c>
      <c r="E1" s="3164" t="s">
        <v>255</v>
      </c>
      <c r="F1" s="3164" t="s">
        <v>263</v>
      </c>
      <c r="G1" s="3164" t="s">
        <v>269</v>
      </c>
      <c r="H1" s="3164" t="s">
        <v>274</v>
      </c>
      <c r="I1" s="3164" t="s">
        <v>280</v>
      </c>
      <c r="J1" s="3164" t="s">
        <v>284</v>
      </c>
      <c r="K1" s="3164" t="s">
        <v>288</v>
      </c>
      <c r="L1" s="3164" t="s">
        <v>292</v>
      </c>
      <c r="M1" s="3165" t="s">
        <v>296</v>
      </c>
    </row>
    <row r="2" customFormat="false" ht="19.5" hidden="false" customHeight="true" outlineLevel="0" collapsed="false">
      <c r="A2" s="3166" t="s">
        <v>157</v>
      </c>
      <c r="B2" s="3167" t="n">
        <v>3.5</v>
      </c>
      <c r="C2" s="3167" t="n">
        <v>3.5</v>
      </c>
      <c r="D2" s="3168" t="n">
        <v>2.5</v>
      </c>
      <c r="E2" s="3168" t="n">
        <v>2.5</v>
      </c>
      <c r="F2" s="3168" t="n">
        <v>2.5</v>
      </c>
      <c r="G2" s="3168" t="n">
        <v>2.5</v>
      </c>
      <c r="H2" s="3168" t="n">
        <v>2.5</v>
      </c>
      <c r="I2" s="3167" t="n">
        <v>2</v>
      </c>
      <c r="J2" s="3167" t="n">
        <v>2</v>
      </c>
      <c r="K2" s="3167" t="n">
        <v>2</v>
      </c>
      <c r="L2" s="3167" t="n">
        <v>2</v>
      </c>
      <c r="M2" s="3169" t="n">
        <v>2</v>
      </c>
    </row>
    <row r="3" customFormat="false" ht="19.5" hidden="false" customHeight="true" outlineLevel="0" collapsed="false">
      <c r="A3" s="179" t="s">
        <v>158</v>
      </c>
      <c r="B3" s="181" t="n">
        <v>3.5</v>
      </c>
      <c r="C3" s="181" t="n">
        <v>3.5</v>
      </c>
      <c r="D3" s="3170" t="n">
        <v>2.5</v>
      </c>
      <c r="E3" s="3170" t="n">
        <v>2.5</v>
      </c>
      <c r="F3" s="3170" t="n">
        <v>2.5</v>
      </c>
      <c r="G3" s="3170" t="n">
        <v>2.5</v>
      </c>
      <c r="H3" s="3170" t="n">
        <v>2.5</v>
      </c>
      <c r="I3" s="181" t="n">
        <v>2</v>
      </c>
      <c r="J3" s="181" t="n">
        <v>2</v>
      </c>
      <c r="K3" s="181" t="n">
        <v>2</v>
      </c>
      <c r="L3" s="181" t="n">
        <v>2</v>
      </c>
      <c r="M3" s="187" t="n">
        <v>2</v>
      </c>
    </row>
    <row r="4" customFormat="false" ht="19.5" hidden="false" customHeight="true" outlineLevel="0" collapsed="false">
      <c r="A4" s="179" t="s">
        <v>156</v>
      </c>
      <c r="B4" s="3170" t="n">
        <v>2.5</v>
      </c>
      <c r="C4" s="3170" t="n">
        <v>2.5</v>
      </c>
      <c r="D4" s="3170" t="n">
        <v>2.5</v>
      </c>
      <c r="E4" s="3170" t="n">
        <v>2.5</v>
      </c>
      <c r="F4" s="3170" t="n">
        <v>2.5</v>
      </c>
      <c r="G4" s="3170" t="n">
        <v>2.5</v>
      </c>
      <c r="H4" s="3170" t="n">
        <v>2.5</v>
      </c>
      <c r="I4" s="181" t="n">
        <v>1.5</v>
      </c>
      <c r="J4" s="181" t="n">
        <v>1.5</v>
      </c>
      <c r="K4" s="181" t="n">
        <v>1.5</v>
      </c>
      <c r="L4" s="181" t="n">
        <v>1.5</v>
      </c>
      <c r="M4" s="187" t="n">
        <v>1.5</v>
      </c>
    </row>
    <row r="5" customFormat="false" ht="19.5" hidden="false" customHeight="true" outlineLevel="0" collapsed="false">
      <c r="A5" s="179" t="s">
        <v>159</v>
      </c>
      <c r="B5" s="181" t="n">
        <v>1.5</v>
      </c>
      <c r="C5" s="181" t="n">
        <v>1.5</v>
      </c>
      <c r="D5" s="181" t="n">
        <v>1.5</v>
      </c>
      <c r="E5" s="181" t="n">
        <v>1.5</v>
      </c>
      <c r="F5" s="181" t="n">
        <v>1.5</v>
      </c>
      <c r="G5" s="181" t="n">
        <v>1.2</v>
      </c>
      <c r="H5" s="181" t="n">
        <v>1.2</v>
      </c>
      <c r="I5" s="181" t="n">
        <v>1</v>
      </c>
      <c r="J5" s="181" t="n">
        <v>1</v>
      </c>
      <c r="K5" s="181" t="n">
        <v>1</v>
      </c>
      <c r="L5" s="181" t="n">
        <v>1</v>
      </c>
      <c r="M5" s="187" t="n">
        <v>1</v>
      </c>
    </row>
    <row r="6" customFormat="false" ht="19.5" hidden="false" customHeight="true" outlineLevel="0" collapsed="false">
      <c r="A6" s="3171" t="s">
        <v>1736</v>
      </c>
      <c r="B6" s="3172" t="n">
        <v>2.5</v>
      </c>
      <c r="C6" s="3172" t="n">
        <v>2.5</v>
      </c>
      <c r="D6" s="3172" t="n">
        <v>2</v>
      </c>
      <c r="E6" s="3172" t="n">
        <v>2</v>
      </c>
      <c r="F6" s="3172" t="n">
        <v>2</v>
      </c>
      <c r="G6" s="3172" t="n">
        <v>2</v>
      </c>
      <c r="H6" s="3172" t="n">
        <v>2</v>
      </c>
      <c r="I6" s="3173" t="n">
        <v>1.5</v>
      </c>
      <c r="J6" s="3173" t="n">
        <v>1.5</v>
      </c>
      <c r="K6" s="3173" t="n">
        <v>1.5</v>
      </c>
      <c r="L6" s="3173" t="n">
        <v>1.5</v>
      </c>
      <c r="M6" s="3174" t="n">
        <v>1.5</v>
      </c>
    </row>
    <row r="7" customFormat="false" ht="19.5" hidden="false" customHeight="true" outlineLevel="0" collapsed="false">
      <c r="A7" s="192" t="s">
        <v>276</v>
      </c>
      <c r="B7" s="3175" t="n">
        <v>2.5</v>
      </c>
      <c r="C7" s="3175" t="n">
        <v>2.5</v>
      </c>
      <c r="D7" s="3175" t="n">
        <v>2</v>
      </c>
      <c r="E7" s="3175" t="n">
        <v>2</v>
      </c>
      <c r="F7" s="3175" t="n">
        <v>2</v>
      </c>
      <c r="G7" s="3175" t="n">
        <v>2</v>
      </c>
      <c r="H7" s="3175" t="n">
        <v>2</v>
      </c>
      <c r="I7" s="193" t="n">
        <v>1.5</v>
      </c>
      <c r="J7" s="193" t="n">
        <v>1.5</v>
      </c>
      <c r="K7" s="193" t="n">
        <v>1.5</v>
      </c>
      <c r="L7" s="193" t="n">
        <v>1.5</v>
      </c>
      <c r="M7" s="3176" t="n">
        <v>1.5</v>
      </c>
    </row>
    <row r="8" customFormat="false" ht="19.5" hidden="false" customHeight="true" outlineLevel="0" collapsed="false">
      <c r="A8" s="3177" t="s">
        <v>337</v>
      </c>
      <c r="B8" s="3178" t="n">
        <v>80</v>
      </c>
      <c r="C8" s="3178" t="n">
        <v>80</v>
      </c>
      <c r="D8" s="3178" t="n">
        <v>70</v>
      </c>
      <c r="E8" s="3178" t="n">
        <v>70</v>
      </c>
      <c r="F8" s="3178" t="n">
        <v>70</v>
      </c>
      <c r="G8" s="3178" t="n">
        <v>70</v>
      </c>
      <c r="H8" s="3178" t="n">
        <v>70</v>
      </c>
      <c r="I8" s="3178" t="n">
        <v>60</v>
      </c>
      <c r="J8" s="3178" t="n">
        <v>60</v>
      </c>
      <c r="K8" s="3178" t="n">
        <v>60</v>
      </c>
      <c r="L8" s="3178" t="n">
        <v>60</v>
      </c>
      <c r="M8" s="3179" t="n">
        <v>60</v>
      </c>
    </row>
    <row r="9" customFormat="false" ht="19.5" hidden="false" customHeight="true" outlineLevel="0" collapsed="false">
      <c r="A9" s="3096" t="s">
        <v>338</v>
      </c>
      <c r="B9" s="3118" t="n">
        <v>70</v>
      </c>
      <c r="C9" s="3118" t="n">
        <v>70</v>
      </c>
      <c r="D9" s="3118" t="n">
        <v>60</v>
      </c>
      <c r="E9" s="3118" t="n">
        <v>60</v>
      </c>
      <c r="F9" s="3118" t="n">
        <v>60</v>
      </c>
      <c r="G9" s="3118" t="n">
        <v>60</v>
      </c>
      <c r="H9" s="3118" t="n">
        <v>60</v>
      </c>
      <c r="I9" s="3118" t="n">
        <v>50</v>
      </c>
      <c r="J9" s="3118" t="n">
        <v>50</v>
      </c>
      <c r="K9" s="3118" t="n">
        <v>50</v>
      </c>
      <c r="L9" s="3118" t="n">
        <v>50</v>
      </c>
      <c r="M9" s="3180" t="n">
        <v>50</v>
      </c>
    </row>
    <row r="10" customFormat="false" ht="19.5" hidden="false" customHeight="true" outlineLevel="0" collapsed="false">
      <c r="A10" s="3096" t="s">
        <v>339</v>
      </c>
      <c r="B10" s="3118" t="n">
        <v>20</v>
      </c>
      <c r="C10" s="3118" t="n">
        <v>20</v>
      </c>
      <c r="D10" s="3118" t="n">
        <v>15</v>
      </c>
      <c r="E10" s="3118" t="n">
        <v>15</v>
      </c>
      <c r="F10" s="3118" t="n">
        <v>15</v>
      </c>
      <c r="G10" s="3118" t="n">
        <v>15</v>
      </c>
      <c r="H10" s="3118" t="n">
        <v>15</v>
      </c>
      <c r="I10" s="3118" t="n">
        <v>10</v>
      </c>
      <c r="J10" s="3118" t="n">
        <v>10</v>
      </c>
      <c r="K10" s="3118" t="n">
        <v>10</v>
      </c>
      <c r="L10" s="3118" t="n">
        <v>10</v>
      </c>
      <c r="M10" s="3180" t="n">
        <v>10</v>
      </c>
    </row>
    <row r="11" customFormat="false" ht="19.5" hidden="false" customHeight="true" outlineLevel="0" collapsed="false">
      <c r="A11" s="3096" t="s">
        <v>340</v>
      </c>
      <c r="B11" s="3118" t="n">
        <v>30</v>
      </c>
      <c r="C11" s="3118" t="n">
        <v>30</v>
      </c>
      <c r="D11" s="3118" t="n">
        <v>25</v>
      </c>
      <c r="E11" s="3118" t="n">
        <v>25</v>
      </c>
      <c r="F11" s="3118" t="n">
        <v>25</v>
      </c>
      <c r="G11" s="3118" t="n">
        <v>25</v>
      </c>
      <c r="H11" s="3118" t="n">
        <v>25</v>
      </c>
      <c r="I11" s="3118" t="n">
        <v>20</v>
      </c>
      <c r="J11" s="3118" t="n">
        <v>20</v>
      </c>
      <c r="K11" s="3118" t="n">
        <v>20</v>
      </c>
      <c r="L11" s="3118" t="n">
        <v>20</v>
      </c>
      <c r="M11" s="3180" t="n">
        <v>20</v>
      </c>
    </row>
    <row r="12" customFormat="false" ht="19.5" hidden="false" customHeight="true" outlineLevel="0" collapsed="false">
      <c r="A12" s="3096" t="s">
        <v>341</v>
      </c>
      <c r="B12" s="3118" t="n">
        <v>45</v>
      </c>
      <c r="C12" s="3118" t="n">
        <v>45</v>
      </c>
      <c r="D12" s="3118" t="n">
        <v>40</v>
      </c>
      <c r="E12" s="3118" t="n">
        <v>40</v>
      </c>
      <c r="F12" s="3118" t="n">
        <v>40</v>
      </c>
      <c r="G12" s="3118" t="n">
        <v>40</v>
      </c>
      <c r="H12" s="3118" t="n">
        <v>40</v>
      </c>
      <c r="I12" s="3118" t="n">
        <v>35</v>
      </c>
      <c r="J12" s="3118" t="n">
        <v>35</v>
      </c>
      <c r="K12" s="3118" t="n">
        <v>35</v>
      </c>
      <c r="L12" s="3118" t="n">
        <v>35</v>
      </c>
      <c r="M12" s="3180" t="n">
        <v>35</v>
      </c>
    </row>
    <row r="13" customFormat="false" ht="19.5" hidden="false" customHeight="true" outlineLevel="0" collapsed="false">
      <c r="A13" s="3096" t="s">
        <v>342</v>
      </c>
      <c r="B13" s="3118" t="n">
        <v>60</v>
      </c>
      <c r="C13" s="3118" t="n">
        <v>60</v>
      </c>
      <c r="D13" s="3118" t="n">
        <v>50</v>
      </c>
      <c r="E13" s="3118" t="n">
        <v>50</v>
      </c>
      <c r="F13" s="3118" t="n">
        <v>50</v>
      </c>
      <c r="G13" s="3118" t="n">
        <v>50</v>
      </c>
      <c r="H13" s="3118" t="n">
        <v>50</v>
      </c>
      <c r="I13" s="3118" t="n">
        <v>40</v>
      </c>
      <c r="J13" s="3118" t="n">
        <v>40</v>
      </c>
      <c r="K13" s="3118" t="n">
        <v>40</v>
      </c>
      <c r="L13" s="3118" t="n">
        <v>40</v>
      </c>
      <c r="M13" s="3180" t="n">
        <v>40</v>
      </c>
    </row>
    <row r="14" customFormat="false" ht="19.5" hidden="false" customHeight="true" outlineLevel="0" collapsed="false">
      <c r="A14" s="3096" t="s">
        <v>1737</v>
      </c>
      <c r="B14" s="3118" t="n">
        <v>50</v>
      </c>
      <c r="C14" s="3118" t="n">
        <v>50</v>
      </c>
      <c r="D14" s="3118" t="n">
        <v>40</v>
      </c>
      <c r="E14" s="3118" t="n">
        <v>40</v>
      </c>
      <c r="F14" s="3118" t="n">
        <v>40</v>
      </c>
      <c r="G14" s="3118" t="n">
        <v>40</v>
      </c>
      <c r="H14" s="3118" t="n">
        <v>40</v>
      </c>
      <c r="I14" s="3118" t="n">
        <v>30</v>
      </c>
      <c r="J14" s="3118" t="n">
        <v>30</v>
      </c>
      <c r="K14" s="3118" t="n">
        <v>30</v>
      </c>
      <c r="L14" s="3118" t="n">
        <v>30</v>
      </c>
      <c r="M14" s="3180" t="n">
        <v>30</v>
      </c>
    </row>
    <row r="15" customFormat="false" ht="19.5" hidden="false" customHeight="true" outlineLevel="0" collapsed="false">
      <c r="A15" s="3181" t="s">
        <v>344</v>
      </c>
      <c r="B15" s="3182" t="n">
        <v>20</v>
      </c>
      <c r="C15" s="3182" t="n">
        <v>20</v>
      </c>
      <c r="D15" s="3182" t="n">
        <v>15</v>
      </c>
      <c r="E15" s="3182" t="n">
        <v>15</v>
      </c>
      <c r="F15" s="3182" t="n">
        <v>15</v>
      </c>
      <c r="G15" s="3182" t="n">
        <v>15</v>
      </c>
      <c r="H15" s="3182" t="n">
        <v>15</v>
      </c>
      <c r="I15" s="3182" t="n">
        <v>10</v>
      </c>
      <c r="J15" s="3182" t="n">
        <v>10</v>
      </c>
      <c r="K15" s="3182" t="n">
        <v>10</v>
      </c>
      <c r="L15" s="3182" t="n">
        <v>10</v>
      </c>
      <c r="M15" s="3183" t="n">
        <v>10</v>
      </c>
    </row>
    <row r="16" customFormat="false" ht="19.5" hidden="false" customHeight="true" outlineLevel="0" collapsed="false">
      <c r="A16" s="3118" t="s">
        <v>122</v>
      </c>
      <c r="B16" s="181" t="n">
        <v>0</v>
      </c>
      <c r="C16" s="181" t="n">
        <v>0</v>
      </c>
      <c r="D16" s="181" t="n">
        <v>0</v>
      </c>
      <c r="E16" s="181" t="n">
        <v>0</v>
      </c>
      <c r="F16" s="181" t="n">
        <v>0</v>
      </c>
      <c r="G16" s="181" t="n">
        <v>0</v>
      </c>
      <c r="H16" s="181" t="n">
        <v>0</v>
      </c>
      <c r="I16" s="181" t="n">
        <v>0</v>
      </c>
      <c r="J16" s="181" t="n">
        <v>0</v>
      </c>
      <c r="K16" s="181" t="n">
        <v>0</v>
      </c>
      <c r="L16" s="181" t="n">
        <v>0</v>
      </c>
      <c r="M16" s="181" t="n">
        <v>0</v>
      </c>
    </row>
    <row r="17" customFormat="false" ht="19.5" hidden="false" customHeight="true" outlineLevel="0" collapsed="false">
      <c r="A17" s="3118" t="s">
        <v>1660</v>
      </c>
      <c r="B17" s="181" t="n">
        <f aca="false">SUM(B8:B15)</f>
        <v>375</v>
      </c>
      <c r="C17" s="181" t="n">
        <f aca="false">SUM(C8:C15)</f>
        <v>375</v>
      </c>
      <c r="D17" s="181" t="n">
        <f aca="false">SUM(D8:D15)</f>
        <v>315</v>
      </c>
      <c r="E17" s="181" t="n">
        <f aca="false">SUM(E8:E15)</f>
        <v>315</v>
      </c>
      <c r="F17" s="181" t="n">
        <f aca="false">SUM(F8:F15)</f>
        <v>315</v>
      </c>
      <c r="G17" s="181" t="n">
        <f aca="false">SUM(G8:G15)</f>
        <v>315</v>
      </c>
      <c r="H17" s="181" t="n">
        <f aca="false">SUM(H8:H15)</f>
        <v>315</v>
      </c>
      <c r="I17" s="181" t="n">
        <f aca="false">SUM(I8:I15)-I13-I14</f>
        <v>185</v>
      </c>
      <c r="J17" s="181" t="n">
        <f aca="false">SUM(J8:J15)-J13-J14</f>
        <v>185</v>
      </c>
      <c r="K17" s="181" t="n">
        <f aca="false">SUM(K8:K15)-K13-K14</f>
        <v>185</v>
      </c>
      <c r="L17" s="181" t="n">
        <f aca="false">SUM(L8:L15)-L13-L14</f>
        <v>185</v>
      </c>
      <c r="M17" s="181" t="n">
        <f aca="false">SUM(M8:M15)-M13-M14</f>
        <v>185</v>
      </c>
    </row>
    <row r="18" s="3186" customFormat="true" ht="19.5" hidden="false" customHeight="true" outlineLevel="0" collapsed="false">
      <c r="A18" s="3184" t="s">
        <v>1738</v>
      </c>
      <c r="B18" s="3184"/>
      <c r="C18" s="3185"/>
      <c r="D18" s="3185"/>
      <c r="E18" s="3184"/>
      <c r="F18" s="3185"/>
      <c r="G18" s="3185"/>
    </row>
    <row r="19" customFormat="false" ht="19.5" hidden="false" customHeight="true" outlineLevel="0" collapsed="false">
      <c r="A19" s="3182" t="s">
        <v>1739</v>
      </c>
      <c r="B19" s="3187" t="s">
        <v>1740</v>
      </c>
      <c r="C19" s="3187" t="s">
        <v>1741</v>
      </c>
      <c r="D19" s="3188"/>
      <c r="E19" s="3182" t="s">
        <v>1663</v>
      </c>
      <c r="F19" s="3189"/>
      <c r="G19" s="3189"/>
    </row>
    <row r="20" customFormat="false" ht="19.5" hidden="false" customHeight="true" outlineLevel="0" collapsed="false">
      <c r="A20" s="3190" t="s">
        <v>157</v>
      </c>
      <c r="B20" s="3191" t="s">
        <v>1742</v>
      </c>
      <c r="C20" s="3192" t="s">
        <v>1743</v>
      </c>
      <c r="D20" s="3193"/>
      <c r="E20" s="3194" t="n">
        <v>1</v>
      </c>
      <c r="F20" s="3195" t="s">
        <v>1744</v>
      </c>
      <c r="G20" s="3195"/>
    </row>
    <row r="21" customFormat="false" ht="19.5" hidden="false" customHeight="true" outlineLevel="0" collapsed="false">
      <c r="A21" s="3190"/>
      <c r="B21" s="3191"/>
      <c r="C21" s="3135" t="s">
        <v>1745</v>
      </c>
      <c r="D21" s="3196"/>
      <c r="E21" s="3197" t="n">
        <v>1</v>
      </c>
      <c r="F21" s="3195" t="s">
        <v>1746</v>
      </c>
      <c r="G21" s="3195"/>
    </row>
    <row r="22" customFormat="false" ht="19.5" hidden="false" customHeight="true" outlineLevel="0" collapsed="false">
      <c r="A22" s="3190"/>
      <c r="B22" s="3191"/>
      <c r="C22" s="3135" t="s">
        <v>1747</v>
      </c>
      <c r="D22" s="3196"/>
      <c r="E22" s="3197" t="n">
        <v>0.9</v>
      </c>
      <c r="F22" s="3195" t="s">
        <v>1748</v>
      </c>
      <c r="G22" s="3195"/>
    </row>
    <row r="23" customFormat="false" ht="19.5" hidden="false" customHeight="true" outlineLevel="0" collapsed="false">
      <c r="A23" s="3190"/>
      <c r="B23" s="3191"/>
      <c r="C23" s="3135" t="s">
        <v>1749</v>
      </c>
      <c r="D23" s="3196"/>
      <c r="E23" s="3197" t="n">
        <v>0.9</v>
      </c>
      <c r="F23" s="3195" t="s">
        <v>1750</v>
      </c>
      <c r="G23" s="3195"/>
    </row>
    <row r="24" customFormat="false" ht="19.5" hidden="false" customHeight="true" outlineLevel="0" collapsed="false">
      <c r="A24" s="3190"/>
      <c r="B24" s="3191"/>
      <c r="C24" s="3135" t="s">
        <v>1751</v>
      </c>
      <c r="D24" s="3196"/>
      <c r="E24" s="3197" t="n">
        <v>0.8</v>
      </c>
      <c r="F24" s="3195" t="s">
        <v>1752</v>
      </c>
      <c r="G24" s="3195"/>
    </row>
    <row r="25" customFormat="false" ht="19.5" hidden="false" customHeight="true" outlineLevel="0" collapsed="false">
      <c r="A25" s="3190"/>
      <c r="B25" s="3191"/>
      <c r="C25" s="3198" t="s">
        <v>1753</v>
      </c>
      <c r="D25" s="3199"/>
      <c r="E25" s="3200" t="n">
        <v>0.8</v>
      </c>
      <c r="F25" s="3195" t="s">
        <v>1754</v>
      </c>
      <c r="G25" s="3195"/>
    </row>
    <row r="26" customFormat="false" ht="19.5" hidden="false" customHeight="true" outlineLevel="0" collapsed="false">
      <c r="A26" s="3190" t="s">
        <v>158</v>
      </c>
      <c r="B26" s="3191" t="s">
        <v>1742</v>
      </c>
      <c r="C26" s="3201" t="s">
        <v>1755</v>
      </c>
      <c r="D26" s="3202"/>
      <c r="E26" s="3203" t="n">
        <v>1</v>
      </c>
      <c r="F26" s="3195" t="s">
        <v>1756</v>
      </c>
      <c r="G26" s="3195"/>
    </row>
    <row r="27" customFormat="false" ht="19.5" hidden="false" customHeight="true" outlineLevel="0" collapsed="false">
      <c r="A27" s="3190" t="s">
        <v>276</v>
      </c>
      <c r="B27" s="3204" t="s">
        <v>276</v>
      </c>
      <c r="C27" s="3192" t="s">
        <v>1757</v>
      </c>
      <c r="D27" s="3193"/>
      <c r="E27" s="3194" t="n">
        <v>1</v>
      </c>
      <c r="F27" s="3195" t="s">
        <v>1758</v>
      </c>
      <c r="G27" s="3195"/>
    </row>
    <row r="28" customFormat="false" ht="19.5" hidden="false" customHeight="true" outlineLevel="0" collapsed="false">
      <c r="A28" s="3190"/>
      <c r="B28" s="3204"/>
      <c r="C28" s="3135" t="s">
        <v>1759</v>
      </c>
      <c r="D28" s="3196"/>
      <c r="E28" s="3197" t="n">
        <v>1</v>
      </c>
      <c r="F28" s="3195" t="s">
        <v>1760</v>
      </c>
      <c r="G28" s="3195"/>
    </row>
    <row r="29" customFormat="false" ht="19.5" hidden="false" customHeight="true" outlineLevel="0" collapsed="false">
      <c r="A29" s="3190"/>
      <c r="B29" s="3204"/>
      <c r="C29" s="3135" t="s">
        <v>1761</v>
      </c>
      <c r="D29" s="3196"/>
      <c r="E29" s="3197" t="n">
        <v>0.8</v>
      </c>
      <c r="F29" s="3195" t="s">
        <v>1762</v>
      </c>
      <c r="G29" s="3195"/>
    </row>
    <row r="30" customFormat="false" ht="19.5" hidden="false" customHeight="true" outlineLevel="0" collapsed="false">
      <c r="A30" s="3190"/>
      <c r="B30" s="3204"/>
      <c r="C30" s="3135" t="s">
        <v>1763</v>
      </c>
      <c r="D30" s="3196"/>
      <c r="E30" s="3197" t="n">
        <v>0.8</v>
      </c>
      <c r="F30" s="3195" t="s">
        <v>1764</v>
      </c>
      <c r="G30" s="3195"/>
    </row>
    <row r="31" customFormat="false" ht="19.5" hidden="false" customHeight="true" outlineLevel="0" collapsed="false">
      <c r="A31" s="3190"/>
      <c r="B31" s="3204"/>
      <c r="C31" s="3135" t="s">
        <v>1765</v>
      </c>
      <c r="D31" s="3196"/>
      <c r="E31" s="3197" t="n">
        <v>0.8</v>
      </c>
      <c r="F31" s="3195" t="s">
        <v>1766</v>
      </c>
      <c r="G31" s="3195"/>
    </row>
    <row r="32" customFormat="false" ht="19.5" hidden="false" customHeight="true" outlineLevel="0" collapsed="false">
      <c r="A32" s="3190"/>
      <c r="B32" s="3204"/>
      <c r="C32" s="3135" t="s">
        <v>1767</v>
      </c>
      <c r="D32" s="3196"/>
      <c r="E32" s="3197" t="n">
        <v>0.7</v>
      </c>
      <c r="F32" s="3195" t="s">
        <v>1768</v>
      </c>
      <c r="G32" s="3195"/>
    </row>
    <row r="33" customFormat="false" ht="19.5" hidden="false" customHeight="true" outlineLevel="0" collapsed="false">
      <c r="A33" s="3190"/>
      <c r="B33" s="3204"/>
      <c r="C33" s="3135" t="s">
        <v>1769</v>
      </c>
      <c r="D33" s="3196"/>
      <c r="E33" s="3197" t="n">
        <v>0.8</v>
      </c>
      <c r="F33" s="3195" t="s">
        <v>1770</v>
      </c>
      <c r="G33" s="3195"/>
    </row>
    <row r="34" customFormat="false" ht="19.5" hidden="false" customHeight="true" outlineLevel="0" collapsed="false">
      <c r="A34" s="3190"/>
      <c r="B34" s="3204"/>
      <c r="C34" s="3135" t="s">
        <v>1771</v>
      </c>
      <c r="D34" s="3196"/>
      <c r="E34" s="3197" t="n">
        <v>0.6</v>
      </c>
      <c r="F34" s="3195" t="s">
        <v>1772</v>
      </c>
      <c r="G34" s="3195"/>
    </row>
    <row r="35" customFormat="false" ht="19.5" hidden="false" customHeight="true" outlineLevel="0" collapsed="false">
      <c r="A35" s="3190"/>
      <c r="B35" s="3204"/>
      <c r="C35" s="3135" t="s">
        <v>1773</v>
      </c>
      <c r="D35" s="3196"/>
      <c r="E35" s="3197" t="n">
        <v>0.2</v>
      </c>
      <c r="F35" s="3195" t="s">
        <v>1774</v>
      </c>
      <c r="G35" s="3195"/>
    </row>
    <row r="36" customFormat="false" ht="19.5" hidden="false" customHeight="true" outlineLevel="0" collapsed="false">
      <c r="A36" s="3190"/>
      <c r="B36" s="3204"/>
      <c r="C36" s="3135" t="s">
        <v>1775</v>
      </c>
      <c r="D36" s="3196"/>
      <c r="E36" s="3197" t="n">
        <v>0.2</v>
      </c>
      <c r="F36" s="3195" t="s">
        <v>1776</v>
      </c>
      <c r="G36" s="3195"/>
    </row>
    <row r="37" customFormat="false" ht="19.5" hidden="false" customHeight="true" outlineLevel="0" collapsed="false">
      <c r="A37" s="3190"/>
      <c r="B37" s="3205" t="s">
        <v>1777</v>
      </c>
      <c r="C37" s="3135" t="s">
        <v>1778</v>
      </c>
      <c r="D37" s="3196"/>
      <c r="E37" s="3197" t="n">
        <v>0.6</v>
      </c>
      <c r="F37" s="3195" t="s">
        <v>1779</v>
      </c>
      <c r="G37" s="3195"/>
    </row>
    <row r="38" customFormat="false" ht="19.5" hidden="false" customHeight="true" outlineLevel="0" collapsed="false">
      <c r="A38" s="3190"/>
      <c r="B38" s="3205"/>
      <c r="C38" s="3135" t="s">
        <v>1780</v>
      </c>
      <c r="D38" s="3196"/>
      <c r="E38" s="3197" t="n">
        <v>0.6</v>
      </c>
      <c r="F38" s="3195" t="s">
        <v>1781</v>
      </c>
      <c r="G38" s="3195"/>
    </row>
    <row r="39" customFormat="false" ht="19.5" hidden="false" customHeight="true" outlineLevel="0" collapsed="false">
      <c r="A39" s="3190"/>
      <c r="B39" s="3205"/>
      <c r="C39" s="3198" t="s">
        <v>1782</v>
      </c>
      <c r="D39" s="3199"/>
      <c r="E39" s="3200" t="n">
        <v>0.6</v>
      </c>
      <c r="F39" s="3195" t="s">
        <v>1783</v>
      </c>
      <c r="G39" s="3195"/>
    </row>
    <row r="40" customFormat="false" ht="19.5" hidden="false" customHeight="true" outlineLevel="0" collapsed="false">
      <c r="A40" s="3190" t="s">
        <v>156</v>
      </c>
      <c r="B40" s="3191" t="s">
        <v>156</v>
      </c>
      <c r="C40" s="3201" t="s">
        <v>1784</v>
      </c>
      <c r="D40" s="3202"/>
      <c r="E40" s="3203" t="n">
        <v>1</v>
      </c>
      <c r="F40" s="3195" t="s">
        <v>1785</v>
      </c>
      <c r="G40" s="3195"/>
    </row>
    <row r="41" customFormat="false" ht="19.5" hidden="false" customHeight="true" outlineLevel="0" collapsed="false">
      <c r="A41" s="3190" t="s">
        <v>159</v>
      </c>
      <c r="B41" s="3206" t="s">
        <v>1786</v>
      </c>
      <c r="C41" s="3192" t="s">
        <v>1787</v>
      </c>
      <c r="D41" s="3193"/>
      <c r="E41" s="3194" t="n">
        <v>1</v>
      </c>
      <c r="F41" s="3195" t="s">
        <v>1788</v>
      </c>
      <c r="G41" s="3195"/>
    </row>
    <row r="42" customFormat="false" ht="19.5" hidden="false" customHeight="true" outlineLevel="0" collapsed="false">
      <c r="A42" s="3190"/>
      <c r="B42" s="3206"/>
      <c r="C42" s="3135" t="s">
        <v>1789</v>
      </c>
      <c r="D42" s="3196"/>
      <c r="E42" s="3197" t="n">
        <v>1</v>
      </c>
      <c r="F42" s="3195" t="s">
        <v>1790</v>
      </c>
      <c r="G42" s="3195"/>
    </row>
    <row r="43" customFormat="false" ht="19.5" hidden="false" customHeight="true" outlineLevel="0" collapsed="false">
      <c r="A43" s="3190"/>
      <c r="B43" s="3206"/>
      <c r="C43" s="3135" t="s">
        <v>1791</v>
      </c>
      <c r="D43" s="3196"/>
      <c r="E43" s="3197" t="n">
        <v>1.5</v>
      </c>
      <c r="F43" s="3195" t="s">
        <v>1792</v>
      </c>
      <c r="G43" s="3195"/>
    </row>
    <row r="44" customFormat="false" ht="19.5" hidden="false" customHeight="true" outlineLevel="0" collapsed="false">
      <c r="A44" s="3190"/>
      <c r="B44" s="3134" t="s">
        <v>276</v>
      </c>
      <c r="C44" s="3135" t="s">
        <v>1736</v>
      </c>
      <c r="D44" s="3196"/>
      <c r="E44" s="3197" t="n">
        <v>2</v>
      </c>
      <c r="F44" s="3195" t="s">
        <v>1793</v>
      </c>
      <c r="G44" s="3195"/>
    </row>
    <row r="45" customFormat="false" ht="19.5" hidden="false" customHeight="true" outlineLevel="0" collapsed="false">
      <c r="A45" s="3190"/>
      <c r="B45" s="3205" t="s">
        <v>1794</v>
      </c>
      <c r="C45" s="3135" t="s">
        <v>1795</v>
      </c>
      <c r="D45" s="3196"/>
      <c r="E45" s="3197" t="n">
        <v>1</v>
      </c>
      <c r="F45" s="3195" t="s">
        <v>1796</v>
      </c>
      <c r="G45" s="3195"/>
    </row>
    <row r="46" customFormat="false" ht="19.5" hidden="false" customHeight="true" outlineLevel="0" collapsed="false">
      <c r="A46" s="3190"/>
      <c r="B46" s="3205"/>
      <c r="C46" s="3135" t="s">
        <v>1797</v>
      </c>
      <c r="D46" s="3196"/>
      <c r="E46" s="3197" t="n">
        <v>1</v>
      </c>
      <c r="F46" s="3195" t="s">
        <v>1798</v>
      </c>
      <c r="G46" s="3195"/>
    </row>
    <row r="47" customFormat="false" ht="19.5" hidden="false" customHeight="true" outlineLevel="0" collapsed="false">
      <c r="A47" s="3190"/>
      <c r="B47" s="3205"/>
      <c r="C47" s="3135" t="s">
        <v>1799</v>
      </c>
      <c r="D47" s="3196"/>
      <c r="E47" s="3197" t="n">
        <v>1</v>
      </c>
      <c r="F47" s="3195" t="s">
        <v>1800</v>
      </c>
      <c r="G47" s="3195"/>
    </row>
    <row r="48" customFormat="false" ht="19.5" hidden="false" customHeight="true" outlineLevel="0" collapsed="false">
      <c r="A48" s="3190"/>
      <c r="B48" s="3205"/>
      <c r="C48" s="3135" t="s">
        <v>1801</v>
      </c>
      <c r="D48" s="3196"/>
      <c r="E48" s="3197" t="n">
        <v>1</v>
      </c>
      <c r="F48" s="3195" t="s">
        <v>1802</v>
      </c>
      <c r="G48" s="3195"/>
    </row>
    <row r="49" customFormat="false" ht="19.5" hidden="false" customHeight="true" outlineLevel="0" collapsed="false">
      <c r="A49" s="3190"/>
      <c r="B49" s="3205"/>
      <c r="C49" s="3135" t="s">
        <v>1803</v>
      </c>
      <c r="D49" s="3196"/>
      <c r="E49" s="3197" t="n">
        <v>1</v>
      </c>
      <c r="F49" s="3195" t="s">
        <v>1804</v>
      </c>
      <c r="G49" s="3195"/>
    </row>
    <row r="50" customFormat="false" ht="19.5" hidden="false" customHeight="true" outlineLevel="0" collapsed="false">
      <c r="A50" s="3190"/>
      <c r="B50" s="3205"/>
      <c r="C50" s="3135" t="s">
        <v>1805</v>
      </c>
      <c r="D50" s="3196"/>
      <c r="E50" s="3197" t="n">
        <v>1</v>
      </c>
      <c r="F50" s="3195" t="s">
        <v>1806</v>
      </c>
      <c r="G50" s="3195"/>
    </row>
    <row r="51" customFormat="false" ht="19.5" hidden="false" customHeight="true" outlineLevel="0" collapsed="false">
      <c r="A51" s="3190"/>
      <c r="B51" s="3205"/>
      <c r="C51" s="3198" t="s">
        <v>1807</v>
      </c>
      <c r="D51" s="3199"/>
      <c r="E51" s="3200" t="n">
        <v>1</v>
      </c>
      <c r="F51" s="3195" t="s">
        <v>1808</v>
      </c>
      <c r="G51" s="3195"/>
    </row>
    <row r="52" customFormat="false" ht="19.5" hidden="false" customHeight="true" outlineLevel="0" collapsed="false">
      <c r="A52" s="3141"/>
      <c r="B52" s="3141"/>
      <c r="C52" s="3141"/>
      <c r="D52" s="3141"/>
      <c r="E52" s="3141"/>
      <c r="F52" s="3141"/>
      <c r="G52" s="3141"/>
    </row>
    <row r="54" customFormat="false" ht="19.5" hidden="false" customHeight="true" outlineLevel="0" collapsed="false">
      <c r="A54" s="3207"/>
      <c r="B54" s="3118" t="s">
        <v>248</v>
      </c>
      <c r="C54" s="3118" t="s">
        <v>248</v>
      </c>
      <c r="D54" s="3118" t="s">
        <v>248</v>
      </c>
      <c r="E54" s="3182" t="s">
        <v>248</v>
      </c>
      <c r="F54" s="3182" t="s">
        <v>537</v>
      </c>
      <c r="G54" s="3182" t="s">
        <v>248</v>
      </c>
    </row>
    <row r="55" customFormat="false" ht="19.5" hidden="false" customHeight="true" outlineLevel="0" collapsed="false">
      <c r="A55" s="3208"/>
      <c r="B55" s="3182" t="s">
        <v>157</v>
      </c>
      <c r="C55" s="3182" t="s">
        <v>157</v>
      </c>
      <c r="D55" s="3182" t="s">
        <v>157</v>
      </c>
      <c r="E55" s="3118" t="s">
        <v>158</v>
      </c>
      <c r="F55" s="3118" t="s">
        <v>159</v>
      </c>
      <c r="G55" s="3118" t="s">
        <v>256</v>
      </c>
    </row>
    <row r="56" customFormat="false" ht="19.5" hidden="false" customHeight="true" outlineLevel="0" collapsed="false">
      <c r="A56" s="3209"/>
      <c r="B56" s="3118" t="n">
        <v>1</v>
      </c>
      <c r="C56" s="3118" t="n">
        <v>2</v>
      </c>
      <c r="D56" s="3118" t="n">
        <v>3</v>
      </c>
      <c r="E56" s="3210" t="s">
        <v>1809</v>
      </c>
      <c r="F56" s="3210" t="s">
        <v>1809</v>
      </c>
      <c r="G56" s="3210" t="s">
        <v>1809</v>
      </c>
    </row>
    <row r="57" customFormat="false" ht="19.5" hidden="false" customHeight="true" outlineLevel="0" collapsed="false">
      <c r="A57" s="3211" t="s">
        <v>226</v>
      </c>
      <c r="B57" s="3118" t="n">
        <v>0.7</v>
      </c>
      <c r="C57" s="3118" t="n">
        <v>0.4</v>
      </c>
      <c r="D57" s="3118" t="n">
        <v>0.3</v>
      </c>
      <c r="E57" s="3210" t="n">
        <v>0.3</v>
      </c>
      <c r="F57" s="3118" t="n">
        <v>0.3</v>
      </c>
      <c r="G57" s="3118" t="n">
        <v>0.2</v>
      </c>
    </row>
    <row r="58" customFormat="false" ht="19.5" hidden="false" customHeight="true" outlineLevel="0" collapsed="false">
      <c r="A58" s="3211" t="s">
        <v>237</v>
      </c>
      <c r="B58" s="3118" t="n">
        <v>0.7</v>
      </c>
      <c r="C58" s="3118" t="n">
        <v>0.4</v>
      </c>
      <c r="D58" s="3118" t="n">
        <v>0.3</v>
      </c>
      <c r="E58" s="3118" t="n">
        <v>0.3</v>
      </c>
      <c r="F58" s="3118" t="n">
        <v>0.3</v>
      </c>
      <c r="G58" s="3118" t="n">
        <v>0.2</v>
      </c>
    </row>
    <row r="59" customFormat="false" ht="19.5" hidden="false" customHeight="true" outlineLevel="0" collapsed="false">
      <c r="A59" s="3211" t="s">
        <v>247</v>
      </c>
      <c r="B59" s="3118" t="n">
        <v>0.6</v>
      </c>
      <c r="C59" s="3118" t="n">
        <v>0.3</v>
      </c>
      <c r="D59" s="3118" t="n">
        <v>0.25</v>
      </c>
      <c r="E59" s="3118" t="n">
        <v>0.25</v>
      </c>
      <c r="F59" s="3118" t="n">
        <v>0.25</v>
      </c>
      <c r="G59" s="3118" t="n">
        <v>0.15</v>
      </c>
    </row>
    <row r="60" customFormat="false" ht="19.5" hidden="false" customHeight="true" outlineLevel="0" collapsed="false">
      <c r="A60" s="3211" t="s">
        <v>255</v>
      </c>
      <c r="B60" s="3118" t="n">
        <v>0.6</v>
      </c>
      <c r="C60" s="3118" t="n">
        <v>0.3</v>
      </c>
      <c r="D60" s="3118" t="n">
        <v>0.25</v>
      </c>
      <c r="E60" s="3118" t="n">
        <v>0.25</v>
      </c>
      <c r="F60" s="3118" t="n">
        <v>0.25</v>
      </c>
      <c r="G60" s="3118" t="n">
        <v>0.15</v>
      </c>
    </row>
    <row r="61" customFormat="false" ht="19.5" hidden="false" customHeight="true" outlineLevel="0" collapsed="false">
      <c r="A61" s="3211" t="s">
        <v>263</v>
      </c>
      <c r="B61" s="3118" t="n">
        <v>0.6</v>
      </c>
      <c r="C61" s="3118" t="n">
        <v>0.3</v>
      </c>
      <c r="D61" s="3118" t="n">
        <v>0.25</v>
      </c>
      <c r="E61" s="3118" t="n">
        <v>0.25</v>
      </c>
      <c r="F61" s="3118" t="n">
        <v>0.25</v>
      </c>
      <c r="G61" s="3118" t="n">
        <v>0.15</v>
      </c>
    </row>
    <row r="62" customFormat="false" ht="19.5" hidden="false" customHeight="true" outlineLevel="0" collapsed="false">
      <c r="A62" s="3211" t="s">
        <v>269</v>
      </c>
      <c r="B62" s="3118" t="n">
        <v>0.6</v>
      </c>
      <c r="C62" s="3118" t="n">
        <v>0.3</v>
      </c>
      <c r="D62" s="3118" t="n">
        <v>0.25</v>
      </c>
      <c r="E62" s="3118" t="n">
        <v>0.25</v>
      </c>
      <c r="F62" s="3118" t="n">
        <v>0.25</v>
      </c>
      <c r="G62" s="3118" t="n">
        <v>0.15</v>
      </c>
    </row>
    <row r="63" customFormat="false" ht="19.5" hidden="false" customHeight="true" outlineLevel="0" collapsed="false">
      <c r="A63" s="3211" t="s">
        <v>274</v>
      </c>
      <c r="B63" s="3118" t="n">
        <v>0.6</v>
      </c>
      <c r="C63" s="3118" t="n">
        <v>0.3</v>
      </c>
      <c r="D63" s="3118" t="n">
        <v>0.25</v>
      </c>
      <c r="E63" s="3118" t="n">
        <v>0.25</v>
      </c>
      <c r="F63" s="3118" t="n">
        <v>0.25</v>
      </c>
      <c r="G63" s="3118" t="n">
        <v>0.15</v>
      </c>
    </row>
    <row r="64" customFormat="false" ht="19.5" hidden="false" customHeight="true" outlineLevel="0" collapsed="false">
      <c r="A64" s="3211" t="s">
        <v>280</v>
      </c>
      <c r="B64" s="3118" t="n">
        <v>0.5</v>
      </c>
      <c r="C64" s="3118" t="n">
        <v>0.2</v>
      </c>
      <c r="D64" s="3118" t="n">
        <v>0.2</v>
      </c>
      <c r="E64" s="3118" t="n">
        <v>0.2</v>
      </c>
      <c r="F64" s="3118" t="n">
        <v>0.2</v>
      </c>
      <c r="G64" s="3118" t="n">
        <v>0.1</v>
      </c>
    </row>
    <row r="65" customFormat="false" ht="19.5" hidden="false" customHeight="true" outlineLevel="0" collapsed="false">
      <c r="A65" s="3211" t="s">
        <v>284</v>
      </c>
      <c r="B65" s="3118" t="n">
        <v>0.5</v>
      </c>
      <c r="C65" s="3118" t="n">
        <v>0.2</v>
      </c>
      <c r="D65" s="3118" t="n">
        <v>0.2</v>
      </c>
      <c r="E65" s="3118" t="n">
        <v>0.2</v>
      </c>
      <c r="F65" s="3118" t="n">
        <v>0.2</v>
      </c>
      <c r="G65" s="3118" t="n">
        <v>0.1</v>
      </c>
    </row>
    <row r="66" customFormat="false" ht="19.5" hidden="false" customHeight="true" outlineLevel="0" collapsed="false">
      <c r="A66" s="3211" t="s">
        <v>288</v>
      </c>
      <c r="B66" s="3118" t="n">
        <v>0.5</v>
      </c>
      <c r="C66" s="3118" t="n">
        <v>0.2</v>
      </c>
      <c r="D66" s="3118" t="n">
        <v>0.2</v>
      </c>
      <c r="E66" s="3118" t="n">
        <v>0.2</v>
      </c>
      <c r="F66" s="3118" t="n">
        <v>0.2</v>
      </c>
      <c r="G66" s="3118" t="n">
        <v>0.1</v>
      </c>
    </row>
    <row r="67" customFormat="false" ht="19.5" hidden="false" customHeight="true" outlineLevel="0" collapsed="false">
      <c r="A67" s="3211" t="s">
        <v>292</v>
      </c>
      <c r="B67" s="3118" t="n">
        <v>0.5</v>
      </c>
      <c r="C67" s="3118" t="n">
        <v>0.2</v>
      </c>
      <c r="D67" s="3118" t="n">
        <v>0.2</v>
      </c>
      <c r="E67" s="3118" t="n">
        <v>0.2</v>
      </c>
      <c r="F67" s="3118" t="n">
        <v>0.2</v>
      </c>
      <c r="G67" s="3118" t="n">
        <v>0.1</v>
      </c>
    </row>
    <row r="68" customFormat="false" ht="19.5" hidden="false" customHeight="true" outlineLevel="0" collapsed="false">
      <c r="A68" s="3211" t="s">
        <v>296</v>
      </c>
      <c r="B68" s="3118" t="n">
        <v>0.5</v>
      </c>
      <c r="C68" s="3118" t="n">
        <v>0.2</v>
      </c>
      <c r="D68" s="3118" t="n">
        <v>0.2</v>
      </c>
      <c r="E68" s="3118" t="n">
        <v>0.2</v>
      </c>
      <c r="F68" s="3118" t="n">
        <v>0.2</v>
      </c>
      <c r="G68" s="3118" t="n">
        <v>0.1</v>
      </c>
    </row>
    <row r="70" customFormat="false" ht="19.5" hidden="false" customHeight="true" outlineLevel="0" collapsed="false">
      <c r="A70" s="3212"/>
      <c r="B70" s="3213"/>
      <c r="C70" s="3213"/>
      <c r="D70" s="3213" t="s">
        <v>1810</v>
      </c>
      <c r="E70" s="3213"/>
      <c r="F70" s="3213"/>
    </row>
    <row r="71" customFormat="false" ht="19.5" hidden="false" customHeight="true" outlineLevel="0" collapsed="false">
      <c r="A71" s="3134" t="s">
        <v>765</v>
      </c>
      <c r="B71" s="3134" t="s">
        <v>1811</v>
      </c>
      <c r="C71" s="3134" t="s">
        <v>1812</v>
      </c>
      <c r="D71" s="3134" t="s">
        <v>1813</v>
      </c>
      <c r="E71" s="3134" t="s">
        <v>1627</v>
      </c>
      <c r="F71" s="3134" t="s">
        <v>1814</v>
      </c>
    </row>
    <row r="72" customFormat="false" ht="13.5" hidden="false" customHeight="false" outlineLevel="0" collapsed="false">
      <c r="A72" s="3134"/>
      <c r="B72" s="3134"/>
      <c r="C72" s="3134" t="s">
        <v>1815</v>
      </c>
      <c r="D72" s="3134"/>
      <c r="E72" s="3134" t="s">
        <v>122</v>
      </c>
      <c r="F72" s="3134" t="s">
        <v>122</v>
      </c>
    </row>
    <row r="73" customFormat="false" ht="13.5" hidden="false" customHeight="false" outlineLevel="0" collapsed="false">
      <c r="A73" s="3134" t="n">
        <v>1</v>
      </c>
      <c r="B73" s="3134" t="s">
        <v>1816</v>
      </c>
      <c r="C73" s="3118" t="s">
        <v>1817</v>
      </c>
      <c r="D73" s="3118" t="s">
        <v>1818</v>
      </c>
      <c r="E73" s="3134" t="n">
        <v>0.2</v>
      </c>
      <c r="F73" s="3134" t="n">
        <v>25</v>
      </c>
    </row>
    <row r="74" customFormat="false" ht="24" hidden="false" customHeight="false" outlineLevel="0" collapsed="false">
      <c r="A74" s="3134" t="n">
        <v>2</v>
      </c>
      <c r="B74" s="3134"/>
      <c r="C74" s="3118" t="s">
        <v>1819</v>
      </c>
      <c r="D74" s="3118" t="s">
        <v>1820</v>
      </c>
      <c r="E74" s="3134" t="n">
        <v>0.2</v>
      </c>
      <c r="F74" s="3134" t="n">
        <v>25</v>
      </c>
    </row>
    <row r="75" customFormat="false" ht="24" hidden="false" customHeight="false" outlineLevel="0" collapsed="false">
      <c r="A75" s="3134" t="n">
        <v>3</v>
      </c>
      <c r="B75" s="3134"/>
      <c r="C75" s="3118" t="s">
        <v>1821</v>
      </c>
      <c r="D75" s="3118" t="s">
        <v>1822</v>
      </c>
      <c r="E75" s="3134" t="n">
        <v>0.2</v>
      </c>
      <c r="F75" s="3134" t="n">
        <v>25</v>
      </c>
    </row>
    <row r="76" customFormat="false" ht="13.5" hidden="false" customHeight="false" outlineLevel="0" collapsed="false">
      <c r="A76" s="3134" t="n">
        <v>4</v>
      </c>
      <c r="B76" s="3134"/>
      <c r="C76" s="3118" t="s">
        <v>1823</v>
      </c>
      <c r="D76" s="3118" t="s">
        <v>1824</v>
      </c>
      <c r="E76" s="3134" t="n">
        <v>0.15</v>
      </c>
      <c r="F76" s="3134" t="n">
        <v>20</v>
      </c>
    </row>
    <row r="77" customFormat="false" ht="24" hidden="false" customHeight="false" outlineLevel="0" collapsed="false">
      <c r="A77" s="3134" t="n">
        <v>5</v>
      </c>
      <c r="B77" s="3134"/>
      <c r="C77" s="3118" t="s">
        <v>1825</v>
      </c>
      <c r="D77" s="3118" t="s">
        <v>1826</v>
      </c>
      <c r="E77" s="3134" t="n">
        <v>0.15</v>
      </c>
      <c r="F77" s="3134" t="n">
        <v>20</v>
      </c>
    </row>
    <row r="78" customFormat="false" ht="24" hidden="false" customHeight="false" outlineLevel="0" collapsed="false">
      <c r="A78" s="3134" t="n">
        <v>6</v>
      </c>
      <c r="B78" s="3134"/>
      <c r="C78" s="3118" t="s">
        <v>1827</v>
      </c>
      <c r="D78" s="3118" t="s">
        <v>1828</v>
      </c>
      <c r="E78" s="3134" t="n">
        <v>0.15</v>
      </c>
      <c r="F78" s="3134" t="n">
        <v>20</v>
      </c>
    </row>
    <row r="79" customFormat="false" ht="24" hidden="false" customHeight="false" outlineLevel="0" collapsed="false">
      <c r="A79" s="3134" t="n">
        <v>7</v>
      </c>
      <c r="B79" s="3134"/>
      <c r="C79" s="3118" t="s">
        <v>1829</v>
      </c>
      <c r="D79" s="3118" t="s">
        <v>1830</v>
      </c>
      <c r="E79" s="3134" t="n">
        <v>0.15</v>
      </c>
      <c r="F79" s="3134" t="n">
        <v>20</v>
      </c>
    </row>
    <row r="80" customFormat="false" ht="24" hidden="false" customHeight="false" outlineLevel="0" collapsed="false">
      <c r="A80" s="3134" t="n">
        <v>8</v>
      </c>
      <c r="B80" s="3134"/>
      <c r="C80" s="3118" t="s">
        <v>1831</v>
      </c>
      <c r="D80" s="3118" t="s">
        <v>1832</v>
      </c>
      <c r="E80" s="3134" t="n">
        <v>0.1</v>
      </c>
      <c r="F80" s="3134" t="n">
        <v>15</v>
      </c>
    </row>
    <row r="81" customFormat="false" ht="24" hidden="false" customHeight="false" outlineLevel="0" collapsed="false">
      <c r="A81" s="3134" t="n">
        <v>9</v>
      </c>
      <c r="B81" s="3134"/>
      <c r="C81" s="3118" t="s">
        <v>1833</v>
      </c>
      <c r="D81" s="3118" t="s">
        <v>1834</v>
      </c>
      <c r="E81" s="3134" t="n">
        <v>0.1</v>
      </c>
      <c r="F81" s="3134" t="n">
        <v>15</v>
      </c>
    </row>
    <row r="82" customFormat="false" ht="24" hidden="false" customHeight="false" outlineLevel="0" collapsed="false">
      <c r="A82" s="3134" t="n">
        <v>10</v>
      </c>
      <c r="B82" s="3134"/>
      <c r="C82" s="3118" t="s">
        <v>1835</v>
      </c>
      <c r="D82" s="3118" t="s">
        <v>1836</v>
      </c>
      <c r="E82" s="3134" t="n">
        <v>0.1</v>
      </c>
      <c r="F82" s="3134" t="n">
        <v>15</v>
      </c>
    </row>
    <row r="83" customFormat="false" ht="24" hidden="false" customHeight="false" outlineLevel="0" collapsed="false">
      <c r="A83" s="3134" t="n">
        <v>11</v>
      </c>
      <c r="B83" s="3134"/>
      <c r="C83" s="3118" t="s">
        <v>1837</v>
      </c>
      <c r="D83" s="3118" t="s">
        <v>1838</v>
      </c>
      <c r="E83" s="3134" t="n">
        <v>0.1</v>
      </c>
      <c r="F83" s="3134" t="n">
        <v>15</v>
      </c>
    </row>
    <row r="84" customFormat="false" ht="24" hidden="false" customHeight="false" outlineLevel="0" collapsed="false">
      <c r="A84" s="3134" t="n">
        <v>12</v>
      </c>
      <c r="B84" s="3134"/>
      <c r="C84" s="3118" t="s">
        <v>1839</v>
      </c>
      <c r="D84" s="3118" t="s">
        <v>1840</v>
      </c>
      <c r="E84" s="3134" t="n">
        <v>0.1</v>
      </c>
      <c r="F84" s="3134" t="n">
        <v>15</v>
      </c>
    </row>
    <row r="85" customFormat="false" ht="13.5" hidden="false" customHeight="false" outlineLevel="0" collapsed="false">
      <c r="A85" s="3134" t="n">
        <v>13</v>
      </c>
      <c r="B85" s="3134"/>
      <c r="C85" s="3118" t="s">
        <v>1841</v>
      </c>
      <c r="D85" s="3118" t="s">
        <v>1842</v>
      </c>
      <c r="E85" s="3134" t="n">
        <v>0.1</v>
      </c>
      <c r="F85" s="3134" t="n">
        <v>15</v>
      </c>
    </row>
    <row r="86" customFormat="false" ht="13.5" hidden="false" customHeight="false" outlineLevel="0" collapsed="false">
      <c r="A86" s="3134" t="n">
        <v>14</v>
      </c>
      <c r="B86" s="3134"/>
      <c r="C86" s="3118" t="s">
        <v>1843</v>
      </c>
      <c r="D86" s="3118" t="s">
        <v>1844</v>
      </c>
      <c r="E86" s="3134" t="n">
        <v>0.1</v>
      </c>
      <c r="F86" s="3134" t="n">
        <v>15</v>
      </c>
    </row>
    <row r="87" customFormat="false" ht="13.5" hidden="false" customHeight="false" outlineLevel="0" collapsed="false">
      <c r="A87" s="3134" t="n">
        <v>15</v>
      </c>
      <c r="B87" s="3134"/>
      <c r="C87" s="3118" t="s">
        <v>1845</v>
      </c>
      <c r="D87" s="3118" t="s">
        <v>1846</v>
      </c>
      <c r="E87" s="3134" t="n">
        <v>0.1</v>
      </c>
      <c r="F87" s="3134" t="n">
        <v>15</v>
      </c>
    </row>
    <row r="88" customFormat="false" ht="24" hidden="false" customHeight="false" outlineLevel="0" collapsed="false">
      <c r="A88" s="3134" t="n">
        <v>16</v>
      </c>
      <c r="B88" s="3134"/>
      <c r="C88" s="3118" t="s">
        <v>1847</v>
      </c>
      <c r="D88" s="3118" t="s">
        <v>1848</v>
      </c>
      <c r="E88" s="3134" t="n">
        <v>0.1</v>
      </c>
      <c r="F88" s="3134" t="n">
        <v>15</v>
      </c>
    </row>
    <row r="89" customFormat="false" ht="24" hidden="false" customHeight="false" outlineLevel="0" collapsed="false">
      <c r="A89" s="3134" t="n">
        <v>17</v>
      </c>
      <c r="B89" s="3134"/>
      <c r="C89" s="3118" t="s">
        <v>1849</v>
      </c>
      <c r="D89" s="3118" t="s">
        <v>1850</v>
      </c>
      <c r="E89" s="3134" t="n">
        <v>0.1</v>
      </c>
      <c r="F89" s="3134" t="n">
        <v>15</v>
      </c>
    </row>
    <row r="90" customFormat="false" ht="13.5" hidden="false" customHeight="false" outlineLevel="0" collapsed="false">
      <c r="A90" s="3134" t="n">
        <v>18</v>
      </c>
      <c r="B90" s="3134" t="s">
        <v>1851</v>
      </c>
      <c r="C90" s="3118" t="s">
        <v>1852</v>
      </c>
      <c r="D90" s="3118" t="s">
        <v>1853</v>
      </c>
      <c r="E90" s="3134" t="n">
        <v>0.2</v>
      </c>
      <c r="F90" s="3134" t="n">
        <v>25</v>
      </c>
    </row>
    <row r="91" customFormat="false" ht="24" hidden="false" customHeight="false" outlineLevel="0" collapsed="false">
      <c r="A91" s="3134" t="n">
        <v>19</v>
      </c>
      <c r="B91" s="3134"/>
      <c r="C91" s="3118" t="s">
        <v>1854</v>
      </c>
      <c r="D91" s="3118" t="s">
        <v>1855</v>
      </c>
      <c r="E91" s="3134" t="n">
        <v>0.2</v>
      </c>
      <c r="F91" s="3134" t="n">
        <v>25</v>
      </c>
    </row>
    <row r="92" customFormat="false" ht="13.5" hidden="false" customHeight="false" outlineLevel="0" collapsed="false">
      <c r="A92" s="3134" t="n">
        <v>20</v>
      </c>
      <c r="B92" s="3134"/>
      <c r="C92" s="3118" t="s">
        <v>1856</v>
      </c>
      <c r="D92" s="3118" t="s">
        <v>1857</v>
      </c>
      <c r="E92" s="3134" t="n">
        <v>0.15</v>
      </c>
      <c r="F92" s="3134" t="n">
        <v>20</v>
      </c>
    </row>
    <row r="93" customFormat="false" ht="13.5" hidden="false" customHeight="false" outlineLevel="0" collapsed="false">
      <c r="A93" s="3134" t="n">
        <v>21</v>
      </c>
      <c r="B93" s="3134"/>
      <c r="C93" s="3118" t="s">
        <v>1858</v>
      </c>
      <c r="D93" s="3118" t="s">
        <v>1859</v>
      </c>
      <c r="E93" s="3134" t="n">
        <v>0.15</v>
      </c>
      <c r="F93" s="3134" t="n">
        <v>20</v>
      </c>
    </row>
    <row r="94" customFormat="false" ht="13.5" hidden="false" customHeight="false" outlineLevel="0" collapsed="false">
      <c r="A94" s="3134" t="n">
        <v>22</v>
      </c>
      <c r="B94" s="3134"/>
      <c r="C94" s="3118" t="s">
        <v>1860</v>
      </c>
      <c r="D94" s="3118" t="s">
        <v>1861</v>
      </c>
      <c r="E94" s="3134" t="n">
        <v>0.15</v>
      </c>
      <c r="F94" s="3134" t="n">
        <v>20</v>
      </c>
    </row>
    <row r="95" customFormat="false" ht="36" hidden="false" customHeight="false" outlineLevel="0" collapsed="false">
      <c r="A95" s="3134" t="n">
        <v>23</v>
      </c>
      <c r="B95" s="3134"/>
      <c r="C95" s="3118" t="s">
        <v>1862</v>
      </c>
      <c r="D95" s="3118" t="s">
        <v>1863</v>
      </c>
      <c r="E95" s="3134" t="n">
        <v>0.15</v>
      </c>
      <c r="F95" s="3134" t="n">
        <v>20</v>
      </c>
    </row>
    <row r="96" customFormat="false" ht="13.5" hidden="false" customHeight="false" outlineLevel="0" collapsed="false">
      <c r="A96" s="3134" t="n">
        <v>24</v>
      </c>
      <c r="B96" s="3134"/>
      <c r="C96" s="3118" t="s">
        <v>1864</v>
      </c>
      <c r="D96" s="3118" t="s">
        <v>1865</v>
      </c>
      <c r="E96" s="3134" t="n">
        <v>0.1</v>
      </c>
      <c r="F96" s="3134" t="n">
        <v>15</v>
      </c>
    </row>
    <row r="97" customFormat="false" ht="13.5" hidden="false" customHeight="false" outlineLevel="0" collapsed="false">
      <c r="A97" s="3134" t="n">
        <v>25</v>
      </c>
      <c r="B97" s="3134"/>
      <c r="C97" s="3118" t="s">
        <v>1866</v>
      </c>
      <c r="D97" s="3118" t="s">
        <v>1867</v>
      </c>
      <c r="E97" s="3134" t="n">
        <v>0.1</v>
      </c>
      <c r="F97" s="3134" t="n">
        <v>15</v>
      </c>
    </row>
    <row r="98" customFormat="false" ht="24" hidden="false" customHeight="false" outlineLevel="0" collapsed="false">
      <c r="A98" s="3134" t="n">
        <v>26</v>
      </c>
      <c r="B98" s="3134"/>
      <c r="C98" s="3118" t="s">
        <v>1868</v>
      </c>
      <c r="D98" s="3118" t="s">
        <v>1869</v>
      </c>
      <c r="E98" s="3134" t="n">
        <v>0.1</v>
      </c>
      <c r="F98" s="3134" t="n">
        <v>15</v>
      </c>
    </row>
    <row r="99" customFormat="false" ht="24" hidden="false" customHeight="false" outlineLevel="0" collapsed="false">
      <c r="A99" s="3134" t="n">
        <v>27</v>
      </c>
      <c r="B99" s="3134"/>
      <c r="C99" s="3118" t="s">
        <v>1870</v>
      </c>
      <c r="D99" s="3118" t="s">
        <v>1871</v>
      </c>
      <c r="E99" s="3134" t="n">
        <v>0.1</v>
      </c>
      <c r="F99" s="3134" t="n">
        <v>15</v>
      </c>
    </row>
    <row r="100" customFormat="false" ht="13.5" hidden="false" customHeight="false" outlineLevel="0" collapsed="false">
      <c r="A100" s="3134" t="n">
        <v>28</v>
      </c>
      <c r="B100" s="3134"/>
      <c r="C100" s="3118" t="s">
        <v>1872</v>
      </c>
      <c r="D100" s="3118" t="s">
        <v>1873</v>
      </c>
      <c r="E100" s="3134" t="n">
        <v>0.1</v>
      </c>
      <c r="F100" s="3134" t="n">
        <v>15</v>
      </c>
    </row>
    <row r="101" customFormat="false" ht="13.5" hidden="false" customHeight="false" outlineLevel="0" collapsed="false">
      <c r="A101" s="3134" t="n">
        <v>29</v>
      </c>
      <c r="B101" s="3134"/>
      <c r="C101" s="3118" t="s">
        <v>1874</v>
      </c>
      <c r="D101" s="3118" t="s">
        <v>1875</v>
      </c>
      <c r="E101" s="3134" t="n">
        <v>0.1</v>
      </c>
      <c r="F101" s="3134" t="n">
        <v>15</v>
      </c>
    </row>
    <row r="102" customFormat="false" ht="13.5" hidden="false" customHeight="false" outlineLevel="0" collapsed="false">
      <c r="A102" s="3134" t="n">
        <v>30</v>
      </c>
      <c r="B102" s="3134"/>
      <c r="C102" s="3118" t="s">
        <v>1876</v>
      </c>
      <c r="D102" s="3118" t="s">
        <v>1877</v>
      </c>
      <c r="E102" s="3134" t="n">
        <v>0.1</v>
      </c>
      <c r="F102" s="3134" t="n">
        <v>15</v>
      </c>
    </row>
    <row r="103" customFormat="false" ht="24" hidden="false" customHeight="false" outlineLevel="0" collapsed="false">
      <c r="A103" s="3134" t="n">
        <v>31</v>
      </c>
      <c r="B103" s="3134"/>
      <c r="C103" s="3118" t="s">
        <v>1878</v>
      </c>
      <c r="D103" s="3118" t="s">
        <v>1879</v>
      </c>
      <c r="E103" s="3134" t="n">
        <v>0.1</v>
      </c>
      <c r="F103" s="3134" t="n">
        <v>15</v>
      </c>
    </row>
    <row r="104" customFormat="false" ht="24" hidden="false" customHeight="false" outlineLevel="0" collapsed="false">
      <c r="A104" s="3134" t="n">
        <v>32</v>
      </c>
      <c r="B104" s="3134"/>
      <c r="C104" s="3118" t="s">
        <v>1880</v>
      </c>
      <c r="D104" s="3118" t="s">
        <v>1881</v>
      </c>
      <c r="E104" s="3134" t="n">
        <v>0.1</v>
      </c>
      <c r="F104" s="3134" t="n">
        <v>15</v>
      </c>
    </row>
    <row r="105" customFormat="false" ht="24" hidden="false" customHeight="false" outlineLevel="0" collapsed="false">
      <c r="A105" s="3134" t="n">
        <v>33</v>
      </c>
      <c r="B105" s="3134"/>
      <c r="C105" s="3118" t="s">
        <v>1882</v>
      </c>
      <c r="D105" s="3118" t="s">
        <v>1883</v>
      </c>
      <c r="E105" s="3134" t="n">
        <v>0.1</v>
      </c>
      <c r="F105" s="3134" t="n">
        <v>15</v>
      </c>
    </row>
    <row r="106" customFormat="false" ht="24" hidden="false" customHeight="false" outlineLevel="0" collapsed="false">
      <c r="A106" s="3134" t="n">
        <v>34</v>
      </c>
      <c r="B106" s="3134"/>
      <c r="C106" s="3118" t="s">
        <v>1884</v>
      </c>
      <c r="D106" s="3118" t="s">
        <v>1885</v>
      </c>
      <c r="E106" s="3134" t="n">
        <v>0.1</v>
      </c>
      <c r="F106" s="3134" t="n">
        <v>15</v>
      </c>
    </row>
    <row r="107" customFormat="false" ht="24" hidden="false" customHeight="false" outlineLevel="0" collapsed="false">
      <c r="A107" s="3134" t="n">
        <v>35</v>
      </c>
      <c r="B107" s="3134" t="s">
        <v>1476</v>
      </c>
      <c r="C107" s="3134" t="s">
        <v>1886</v>
      </c>
      <c r="D107" s="3118" t="s">
        <v>1887</v>
      </c>
      <c r="E107" s="3134" t="n">
        <v>0.15</v>
      </c>
      <c r="F107" s="3134" t="n">
        <v>20</v>
      </c>
    </row>
    <row r="108" customFormat="false" ht="13.5" hidden="false" customHeight="false" outlineLevel="0" collapsed="false">
      <c r="A108" s="3134" t="n">
        <v>36</v>
      </c>
      <c r="B108" s="3134"/>
      <c r="C108" s="3134" t="s">
        <v>1888</v>
      </c>
      <c r="D108" s="3118" t="s">
        <v>1889</v>
      </c>
      <c r="E108" s="3134" t="n">
        <v>0.15</v>
      </c>
      <c r="F108" s="3134" t="n">
        <v>20</v>
      </c>
    </row>
    <row r="109" customFormat="false" ht="13.5" hidden="false" customHeight="false" outlineLevel="0" collapsed="false">
      <c r="A109" s="3134" t="n">
        <v>37</v>
      </c>
      <c r="B109" s="3134"/>
      <c r="C109" s="3134" t="s">
        <v>1890</v>
      </c>
      <c r="D109" s="3118" t="s">
        <v>1891</v>
      </c>
      <c r="E109" s="3134" t="n">
        <v>0.15</v>
      </c>
      <c r="F109" s="3134" t="n">
        <v>20</v>
      </c>
    </row>
    <row r="110" customFormat="false" ht="13.5" hidden="false" customHeight="false" outlineLevel="0" collapsed="false">
      <c r="A110" s="3134" t="n">
        <v>38</v>
      </c>
      <c r="B110" s="3134"/>
      <c r="C110" s="3134" t="s">
        <v>1892</v>
      </c>
      <c r="D110" s="3118" t="s">
        <v>1893</v>
      </c>
      <c r="E110" s="3134" t="n">
        <v>0.1</v>
      </c>
      <c r="F110" s="3134" t="n">
        <v>15</v>
      </c>
    </row>
    <row r="111" customFormat="false" ht="24" hidden="false" customHeight="false" outlineLevel="0" collapsed="false">
      <c r="A111" s="3134" t="n">
        <v>39</v>
      </c>
      <c r="B111" s="3134"/>
      <c r="C111" s="3134" t="s">
        <v>1894</v>
      </c>
      <c r="D111" s="3118" t="s">
        <v>1895</v>
      </c>
      <c r="E111" s="3134" t="n">
        <v>0.1</v>
      </c>
      <c r="F111" s="3134" t="n">
        <v>15</v>
      </c>
    </row>
    <row r="112" customFormat="false" ht="24" hidden="false" customHeight="false" outlineLevel="0" collapsed="false">
      <c r="A112" s="3134" t="n">
        <v>40</v>
      </c>
      <c r="B112" s="3134"/>
      <c r="C112" s="3134" t="s">
        <v>1896</v>
      </c>
      <c r="D112" s="3118" t="s">
        <v>1897</v>
      </c>
      <c r="E112" s="3134" t="n">
        <v>0.1</v>
      </c>
      <c r="F112" s="3134" t="n">
        <v>15</v>
      </c>
    </row>
    <row r="113" customFormat="false" ht="13.5" hidden="false" customHeight="false" outlineLevel="0" collapsed="false">
      <c r="A113" s="3134" t="n">
        <v>41</v>
      </c>
      <c r="B113" s="3134" t="s">
        <v>1898</v>
      </c>
      <c r="C113" s="3134" t="s">
        <v>1899</v>
      </c>
      <c r="D113" s="3118" t="s">
        <v>1900</v>
      </c>
      <c r="E113" s="3134" t="n">
        <v>0.1</v>
      </c>
      <c r="F113" s="3134" t="n">
        <v>15</v>
      </c>
    </row>
    <row r="114" customFormat="false" ht="13.5" hidden="false" customHeight="false" outlineLevel="0" collapsed="false">
      <c r="A114" s="3134" t="n">
        <v>42</v>
      </c>
      <c r="B114" s="3134"/>
      <c r="C114" s="3134" t="s">
        <v>1901</v>
      </c>
      <c r="D114" s="3118" t="s">
        <v>1902</v>
      </c>
      <c r="E114" s="3134" t="n">
        <v>0.1</v>
      </c>
      <c r="F114" s="3134" t="n">
        <v>15</v>
      </c>
    </row>
    <row r="115" customFormat="false" ht="24" hidden="false" customHeight="false" outlineLevel="0" collapsed="false">
      <c r="A115" s="3134" t="n">
        <v>43</v>
      </c>
      <c r="B115" s="3134"/>
      <c r="C115" s="3134" t="s">
        <v>1903</v>
      </c>
      <c r="D115" s="3118" t="s">
        <v>1904</v>
      </c>
      <c r="E115" s="3134" t="n">
        <v>0.1</v>
      </c>
      <c r="F115" s="3134" t="n">
        <v>15</v>
      </c>
    </row>
    <row r="116" customFormat="false" ht="13.5" hidden="false" customHeight="false" outlineLevel="0" collapsed="false">
      <c r="A116" s="3134" t="n">
        <v>44</v>
      </c>
      <c r="B116" s="3134" t="s">
        <v>1905</v>
      </c>
      <c r="C116" s="3134" t="s">
        <v>1906</v>
      </c>
      <c r="D116" s="3118" t="s">
        <v>1907</v>
      </c>
      <c r="E116" s="3134" t="n">
        <v>0.1</v>
      </c>
      <c r="F116" s="3134" t="n">
        <v>15</v>
      </c>
    </row>
    <row r="117" customFormat="false" ht="24" hidden="false" customHeight="false" outlineLevel="0" collapsed="false">
      <c r="A117" s="3134" t="n">
        <v>45</v>
      </c>
      <c r="B117" s="3134"/>
      <c r="C117" s="3118" t="s">
        <v>1908</v>
      </c>
      <c r="D117" s="3118" t="s">
        <v>1909</v>
      </c>
      <c r="E117" s="3134" t="n">
        <v>0.1</v>
      </c>
      <c r="F117" s="3134" t="n">
        <v>15</v>
      </c>
    </row>
    <row r="118" customFormat="false" ht="24" hidden="false" customHeight="false" outlineLevel="0" collapsed="false">
      <c r="A118" s="3134" t="n">
        <v>46</v>
      </c>
      <c r="B118" s="3134" t="s">
        <v>1910</v>
      </c>
      <c r="C118" s="3134" t="s">
        <v>1911</v>
      </c>
      <c r="D118" s="3118" t="s">
        <v>1912</v>
      </c>
      <c r="E118" s="3134" t="n">
        <v>0.1</v>
      </c>
      <c r="F118" s="3134" t="n">
        <v>15</v>
      </c>
    </row>
    <row r="119" customFormat="false" ht="24" hidden="false" customHeight="false" outlineLevel="0" collapsed="false">
      <c r="A119" s="3134" t="n">
        <v>47</v>
      </c>
      <c r="B119" s="3134"/>
      <c r="C119" s="3134" t="s">
        <v>1913</v>
      </c>
      <c r="D119" s="3118" t="s">
        <v>1914</v>
      </c>
      <c r="E119" s="3134" t="n">
        <v>0.1</v>
      </c>
      <c r="F119" s="3134" t="n">
        <v>15</v>
      </c>
    </row>
    <row r="120" customFormat="false" ht="13.5" hidden="false" customHeight="false" outlineLevel="0" collapsed="false">
      <c r="A120" s="3134" t="n">
        <v>48</v>
      </c>
      <c r="B120" s="3134" t="s">
        <v>1915</v>
      </c>
      <c r="C120" s="3134" t="s">
        <v>1916</v>
      </c>
      <c r="D120" s="3118" t="s">
        <v>1917</v>
      </c>
      <c r="E120" s="3134" t="n">
        <v>0.1</v>
      </c>
      <c r="F120" s="3134" t="n">
        <v>15</v>
      </c>
    </row>
    <row r="121" customFormat="false" ht="13.5" hidden="false" customHeight="false" outlineLevel="0" collapsed="false">
      <c r="A121" s="3134" t="n">
        <v>49</v>
      </c>
      <c r="B121" s="3134"/>
      <c r="C121" s="3134" t="s">
        <v>1918</v>
      </c>
      <c r="D121" s="3118" t="s">
        <v>1919</v>
      </c>
      <c r="E121" s="3134" t="n">
        <v>0.1</v>
      </c>
      <c r="F121" s="3134" t="n">
        <v>15</v>
      </c>
    </row>
    <row r="122" customFormat="false" ht="24" hidden="false" customHeight="false" outlineLevel="0" collapsed="false">
      <c r="A122" s="3134" t="n">
        <v>50</v>
      </c>
      <c r="B122" s="3134" t="s">
        <v>1920</v>
      </c>
      <c r="C122" s="3134" t="s">
        <v>1921</v>
      </c>
      <c r="D122" s="3118" t="s">
        <v>1922</v>
      </c>
      <c r="E122" s="3134" t="n">
        <v>0.1</v>
      </c>
      <c r="F122" s="3134" t="n">
        <v>15</v>
      </c>
    </row>
    <row r="123" customFormat="false" ht="24" hidden="false" customHeight="false" outlineLevel="0" collapsed="false">
      <c r="A123" s="3134" t="n">
        <v>51</v>
      </c>
      <c r="B123" s="3134"/>
      <c r="C123" s="3134" t="s">
        <v>1923</v>
      </c>
      <c r="D123" s="3118" t="s">
        <v>1924</v>
      </c>
      <c r="E123" s="3134" t="n">
        <v>0.1</v>
      </c>
      <c r="F123" s="3134" t="n">
        <v>15</v>
      </c>
    </row>
    <row r="124" customFormat="false" ht="24" hidden="false" customHeight="false" outlineLevel="0" collapsed="false">
      <c r="A124" s="3134" t="n">
        <v>52</v>
      </c>
      <c r="B124" s="3134" t="s">
        <v>1925</v>
      </c>
      <c r="C124" s="3134" t="s">
        <v>1926</v>
      </c>
      <c r="D124" s="3118" t="s">
        <v>1927</v>
      </c>
      <c r="E124" s="3134" t="n">
        <v>0.1</v>
      </c>
      <c r="F124" s="3134" t="n">
        <v>15</v>
      </c>
    </row>
    <row r="125" customFormat="false" ht="24" hidden="false" customHeight="false" outlineLevel="0" collapsed="false">
      <c r="A125" s="3134" t="n">
        <v>53</v>
      </c>
      <c r="B125" s="3134"/>
      <c r="C125" s="3134" t="s">
        <v>1928</v>
      </c>
      <c r="D125" s="3118" t="s">
        <v>1929</v>
      </c>
      <c r="E125" s="3134" t="n">
        <v>0.1</v>
      </c>
      <c r="F125" s="3134" t="n">
        <v>15</v>
      </c>
    </row>
    <row r="126" customFormat="false" ht="13.5" hidden="false" customHeight="false" outlineLevel="0" collapsed="false">
      <c r="A126" s="3134" t="n">
        <v>54</v>
      </c>
      <c r="B126" s="3134" t="s">
        <v>1930</v>
      </c>
      <c r="C126" s="3134" t="s">
        <v>1931</v>
      </c>
      <c r="D126" s="3118" t="s">
        <v>1932</v>
      </c>
      <c r="E126" s="3134" t="n">
        <v>0.1</v>
      </c>
      <c r="F126" s="3134" t="n">
        <v>15</v>
      </c>
    </row>
    <row r="127" customFormat="false" ht="13.5" hidden="false" customHeight="false" outlineLevel="0" collapsed="false">
      <c r="A127" s="3134" t="n">
        <v>55</v>
      </c>
      <c r="B127" s="3134" t="s">
        <v>1933</v>
      </c>
      <c r="C127" s="3134" t="s">
        <v>1934</v>
      </c>
      <c r="D127" s="3118" t="s">
        <v>1935</v>
      </c>
      <c r="E127" s="3134" t="n">
        <v>0.1</v>
      </c>
      <c r="F127" s="3134" t="n">
        <v>15</v>
      </c>
    </row>
    <row r="128" customFormat="false" ht="13.5" hidden="false" customHeight="false" outlineLevel="0" collapsed="false">
      <c r="A128" s="3134" t="n">
        <v>56</v>
      </c>
      <c r="B128" s="3134"/>
      <c r="C128" s="3134" t="s">
        <v>1936</v>
      </c>
      <c r="D128" s="3118" t="s">
        <v>1937</v>
      </c>
      <c r="E128" s="3134" t="n">
        <v>0.1</v>
      </c>
      <c r="F128" s="3134" t="n">
        <v>15</v>
      </c>
    </row>
    <row r="129" customFormat="false" ht="24" hidden="false" customHeight="false" outlineLevel="0" collapsed="false">
      <c r="A129" s="3134" t="n">
        <v>57</v>
      </c>
      <c r="B129" s="3134"/>
      <c r="C129" s="3134" t="s">
        <v>1938</v>
      </c>
      <c r="D129" s="3118" t="s">
        <v>1939</v>
      </c>
      <c r="E129" s="3134" t="n">
        <v>0.1</v>
      </c>
      <c r="F129" s="3134" t="n">
        <v>15</v>
      </c>
    </row>
    <row r="130" customFormat="false" ht="24" hidden="false" customHeight="false" outlineLevel="0" collapsed="false">
      <c r="A130" s="3134" t="n">
        <v>58</v>
      </c>
      <c r="B130" s="3134" t="s">
        <v>1940</v>
      </c>
      <c r="C130" s="3134" t="s">
        <v>1941</v>
      </c>
      <c r="D130" s="3118" t="s">
        <v>1942</v>
      </c>
      <c r="E130" s="3134" t="n">
        <v>0.1</v>
      </c>
      <c r="F130" s="3134" t="n">
        <v>15</v>
      </c>
    </row>
    <row r="131" customFormat="false" ht="13.5" hidden="false" customHeight="false" outlineLevel="0" collapsed="false">
      <c r="A131" s="3134" t="n">
        <v>59</v>
      </c>
      <c r="B131" s="3134"/>
      <c r="C131" s="3134" t="s">
        <v>1943</v>
      </c>
      <c r="D131" s="3118" t="s">
        <v>1944</v>
      </c>
      <c r="E131" s="3134" t="n">
        <v>0.1</v>
      </c>
      <c r="F131" s="3134" t="n">
        <v>15</v>
      </c>
    </row>
    <row r="132" customFormat="false" ht="13.5" hidden="false" customHeight="false" outlineLevel="0" collapsed="false">
      <c r="A132" s="3134" t="n">
        <v>60</v>
      </c>
      <c r="B132" s="3134" t="s">
        <v>1945</v>
      </c>
      <c r="C132" s="3134" t="s">
        <v>298</v>
      </c>
      <c r="D132" s="3118" t="s">
        <v>1946</v>
      </c>
      <c r="E132" s="3134" t="n">
        <v>0.1</v>
      </c>
      <c r="F132" s="3134" t="n">
        <v>15</v>
      </c>
    </row>
    <row r="133" customFormat="false" ht="13.5" hidden="false" customHeight="false" outlineLevel="0" collapsed="false">
      <c r="A133" s="3134" t="n">
        <v>61</v>
      </c>
      <c r="B133" s="3134"/>
      <c r="C133" s="3134" t="s">
        <v>1947</v>
      </c>
      <c r="D133" s="3118" t="s">
        <v>1948</v>
      </c>
      <c r="E133" s="3134" t="n">
        <v>0.1</v>
      </c>
      <c r="F133" s="3134" t="n">
        <v>15</v>
      </c>
    </row>
    <row r="134" customFormat="false" ht="24" hidden="false" customHeight="false" outlineLevel="0" collapsed="false">
      <c r="A134" s="3134" t="n">
        <v>62</v>
      </c>
      <c r="B134" s="3134" t="s">
        <v>1949</v>
      </c>
      <c r="C134" s="3134" t="s">
        <v>1950</v>
      </c>
      <c r="D134" s="3118" t="s">
        <v>1951</v>
      </c>
      <c r="E134" s="3134" t="n">
        <v>0.1</v>
      </c>
      <c r="F134" s="3134" t="n">
        <v>15</v>
      </c>
    </row>
    <row r="135" customFormat="false" ht="13.5" hidden="false" customHeight="false" outlineLevel="0" collapsed="false">
      <c r="A135" s="3134" t="n">
        <v>63</v>
      </c>
      <c r="B135" s="3134" t="s">
        <v>1952</v>
      </c>
      <c r="C135" s="3134" t="s">
        <v>1953</v>
      </c>
      <c r="D135" s="3118" t="s">
        <v>1954</v>
      </c>
      <c r="E135" s="3134" t="n">
        <v>0.1</v>
      </c>
      <c r="F135" s="3134" t="n">
        <v>15</v>
      </c>
    </row>
    <row r="136" customFormat="false" ht="13.5" hidden="false" customHeight="false" outlineLevel="0" collapsed="false">
      <c r="A136" s="3134" t="n">
        <v>64</v>
      </c>
      <c r="B136" s="3134"/>
      <c r="C136" s="3134" t="s">
        <v>1955</v>
      </c>
      <c r="D136" s="3118" t="s">
        <v>1956</v>
      </c>
      <c r="E136" s="3134" t="n">
        <v>0.1</v>
      </c>
      <c r="F136" s="3134" t="n">
        <v>15</v>
      </c>
    </row>
    <row r="137" customFormat="false" ht="13.5" hidden="false" customHeight="false" outlineLevel="0" collapsed="false">
      <c r="A137" s="3134" t="n">
        <v>65</v>
      </c>
      <c r="B137" s="3134" t="s">
        <v>1957</v>
      </c>
      <c r="C137" s="3134" t="s">
        <v>1958</v>
      </c>
      <c r="D137" s="3118" t="s">
        <v>1959</v>
      </c>
      <c r="E137" s="3134" t="n">
        <v>0.1</v>
      </c>
      <c r="F137" s="3134" t="n">
        <v>15</v>
      </c>
    </row>
    <row r="138" customFormat="false" ht="13.5" hidden="false" customHeight="false" outlineLevel="0" collapsed="false">
      <c r="A138" s="3134"/>
      <c r="B138" s="3134"/>
      <c r="C138" s="3134"/>
      <c r="D138" s="3134"/>
      <c r="E138" s="3134" t="s">
        <v>122</v>
      </c>
      <c r="F138" s="3134" t="s">
        <v>122</v>
      </c>
    </row>
  </sheetData>
  <sheetProtection sheet="true" password="cee9" objects="true" scenarios="true" formatCells="false" formatColumns="false" formatRows="false"/>
  <mergeCells count="21">
    <mergeCell ref="A20:A25"/>
    <mergeCell ref="B20:B25"/>
    <mergeCell ref="A27:A39"/>
    <mergeCell ref="B27:B36"/>
    <mergeCell ref="B37:B39"/>
    <mergeCell ref="A41:A51"/>
    <mergeCell ref="B41:B43"/>
    <mergeCell ref="B45:B51"/>
    <mergeCell ref="B73:B89"/>
    <mergeCell ref="B90:B106"/>
    <mergeCell ref="B107:B112"/>
    <mergeCell ref="B113:B115"/>
    <mergeCell ref="B116:B117"/>
    <mergeCell ref="B118:B119"/>
    <mergeCell ref="B120:B121"/>
    <mergeCell ref="B122:B123"/>
    <mergeCell ref="B124:B125"/>
    <mergeCell ref="B127:B129"/>
    <mergeCell ref="B130:B131"/>
    <mergeCell ref="B132:B133"/>
    <mergeCell ref="B135:B136"/>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39.xml><?xml version="1.0" encoding="utf-8"?>
<worksheet xmlns="http://schemas.openxmlformats.org/spreadsheetml/2006/main" xmlns:r="http://schemas.openxmlformats.org/officeDocument/2006/relationships">
  <sheetPr filterMode="false">
    <pageSetUpPr fitToPage="false"/>
  </sheetPr>
  <dimension ref="A1:U460"/>
  <sheetViews>
    <sheetView showFormulas="false" showGridLines="true" showRowColHeaders="true" showZeros="true" rightToLeft="false" tabSelected="false" showOutlineSymbols="true" defaultGridColor="true" view="pageBreakPreview" topLeftCell="A1" colorId="64" zoomScale="100" zoomScaleNormal="70" zoomScalePageLayoutView="100" workbookViewId="0">
      <selection pane="topLeft" activeCell="A1" activeCellId="0" sqref="A1"/>
    </sheetView>
  </sheetViews>
  <sheetFormatPr defaultRowHeight="13.5" zeroHeight="false" outlineLevelRow="0" outlineLevelCol="0"/>
  <cols>
    <col collapsed="false" customWidth="true" hidden="false" outlineLevel="0" max="13" min="1" style="3214" width="9"/>
    <col collapsed="false" customWidth="true" hidden="false" outlineLevel="0" max="1025" min="14" style="3215" width="9"/>
  </cols>
  <sheetData>
    <row r="1" customFormat="false" ht="14.25" hidden="false" customHeight="false" outlineLevel="0" collapsed="false">
      <c r="A1" s="3216" t="s">
        <v>1960</v>
      </c>
      <c r="B1" s="3216"/>
      <c r="C1" s="3216"/>
      <c r="D1" s="3216"/>
      <c r="E1" s="3216"/>
      <c r="F1" s="3216"/>
      <c r="G1" s="3216"/>
      <c r="H1" s="3216"/>
      <c r="I1" s="3216"/>
      <c r="J1" s="3216"/>
      <c r="K1" s="3216"/>
      <c r="L1" s="3216"/>
      <c r="M1" s="3216"/>
      <c r="N1" s="3217"/>
    </row>
    <row r="2" customFormat="false" ht="13.5" hidden="false" customHeight="false" outlineLevel="0" collapsed="false">
      <c r="A2" s="3218" t="s">
        <v>524</v>
      </c>
      <c r="B2" s="3219" t="s">
        <v>226</v>
      </c>
      <c r="C2" s="3219" t="s">
        <v>237</v>
      </c>
      <c r="D2" s="3219" t="s">
        <v>247</v>
      </c>
      <c r="E2" s="3219" t="s">
        <v>255</v>
      </c>
      <c r="F2" s="3219" t="s">
        <v>263</v>
      </c>
      <c r="G2" s="3219" t="s">
        <v>269</v>
      </c>
      <c r="H2" s="3220" t="s">
        <v>274</v>
      </c>
      <c r="I2" s="3220" t="s">
        <v>280</v>
      </c>
      <c r="J2" s="3221" t="s">
        <v>284</v>
      </c>
      <c r="K2" s="3221" t="s">
        <v>288</v>
      </c>
      <c r="L2" s="3221" t="s">
        <v>292</v>
      </c>
      <c r="M2" s="3222" t="s">
        <v>296</v>
      </c>
      <c r="Q2" s="3223" t="s">
        <v>1961</v>
      </c>
      <c r="R2" s="3223" t="s">
        <v>1962</v>
      </c>
      <c r="S2" s="3223" t="s">
        <v>1963</v>
      </c>
      <c r="T2" s="3223" t="s">
        <v>1964</v>
      </c>
    </row>
    <row r="3" customFormat="false" ht="13.5" hidden="false" customHeight="false" outlineLevel="0" collapsed="false">
      <c r="A3" s="3224" t="n">
        <v>1</v>
      </c>
      <c r="B3" s="3225" t="n">
        <v>1.2574</v>
      </c>
      <c r="C3" s="3225" t="n">
        <v>1.2574</v>
      </c>
      <c r="D3" s="3225" t="n">
        <v>1.2299</v>
      </c>
      <c r="E3" s="3225" t="n">
        <v>1.2299</v>
      </c>
      <c r="F3" s="3225" t="n">
        <v>1.2299</v>
      </c>
      <c r="G3" s="3225" t="n">
        <v>1.2299</v>
      </c>
      <c r="H3" s="3225" t="n">
        <v>1.2299</v>
      </c>
      <c r="I3" s="3225" t="n">
        <v>1.2333</v>
      </c>
      <c r="J3" s="3225" t="n">
        <v>1.2333</v>
      </c>
      <c r="K3" s="3225" t="n">
        <v>1.2333</v>
      </c>
      <c r="L3" s="3225" t="n">
        <v>1.2333</v>
      </c>
      <c r="M3" s="3226" t="n">
        <v>1.2333</v>
      </c>
      <c r="N3" s="3227"/>
      <c r="Q3" s="3223" t="n">
        <v>10</v>
      </c>
      <c r="R3" s="3223" t="n">
        <f aca="false">ROUND(0.9968-0.011*Q3,4)</f>
        <v>0.8868</v>
      </c>
      <c r="S3" s="3223" t="n">
        <f aca="false">ROUND(0.949-0.014*Q3,4)</f>
        <v>0.809</v>
      </c>
      <c r="T3" s="3223" t="n">
        <f aca="false">ROUND(0.8486-0.018*Q3,4)</f>
        <v>0.6686</v>
      </c>
    </row>
    <row r="4" customFormat="false" ht="13.5" hidden="false" customHeight="false" outlineLevel="0" collapsed="false">
      <c r="A4" s="3224" t="n">
        <v>1.1</v>
      </c>
      <c r="B4" s="3225" t="n">
        <v>1.2284</v>
      </c>
      <c r="C4" s="3225" t="n">
        <v>1.2284</v>
      </c>
      <c r="D4" s="3225" t="n">
        <v>1.1985</v>
      </c>
      <c r="E4" s="3225" t="n">
        <v>1.1985</v>
      </c>
      <c r="F4" s="3225" t="n">
        <v>1.1985</v>
      </c>
      <c r="G4" s="3225" t="n">
        <v>1.1985</v>
      </c>
      <c r="H4" s="3225" t="n">
        <v>1.1985</v>
      </c>
      <c r="I4" s="3225" t="n">
        <v>1.1899</v>
      </c>
      <c r="J4" s="3225" t="n">
        <v>1.1899</v>
      </c>
      <c r="K4" s="3225" t="n">
        <v>1.1899</v>
      </c>
      <c r="L4" s="3225" t="n">
        <v>1.1899</v>
      </c>
      <c r="M4" s="3226" t="n">
        <v>1.1899</v>
      </c>
    </row>
    <row r="5" customFormat="false" ht="13.5" hidden="false" customHeight="false" outlineLevel="0" collapsed="false">
      <c r="A5" s="3224" t="n">
        <v>1.2</v>
      </c>
      <c r="B5" s="3225" t="n">
        <v>1.2031</v>
      </c>
      <c r="C5" s="3225" t="n">
        <v>1.2031</v>
      </c>
      <c r="D5" s="3225" t="n">
        <v>1.1711</v>
      </c>
      <c r="E5" s="3225" t="n">
        <v>1.1711</v>
      </c>
      <c r="F5" s="3225" t="n">
        <v>1.1711</v>
      </c>
      <c r="G5" s="3225" t="n">
        <v>1.1711</v>
      </c>
      <c r="H5" s="3225" t="n">
        <v>1.1711</v>
      </c>
      <c r="I5" s="3225" t="n">
        <v>1.1528</v>
      </c>
      <c r="J5" s="3225" t="n">
        <v>1.1528</v>
      </c>
      <c r="K5" s="3225" t="n">
        <v>1.1528</v>
      </c>
      <c r="L5" s="3225" t="n">
        <v>1.1528</v>
      </c>
      <c r="M5" s="3226" t="n">
        <v>1.1528</v>
      </c>
    </row>
    <row r="6" customFormat="false" ht="13.5" hidden="false" customHeight="false" outlineLevel="0" collapsed="false">
      <c r="A6" s="3224" t="n">
        <v>1.3</v>
      </c>
      <c r="B6" s="3225" t="n">
        <v>1.1811</v>
      </c>
      <c r="C6" s="3225" t="n">
        <v>1.1811</v>
      </c>
      <c r="D6" s="3225" t="n">
        <v>1.1472</v>
      </c>
      <c r="E6" s="3225" t="n">
        <v>1.1472</v>
      </c>
      <c r="F6" s="3225" t="n">
        <v>1.1472</v>
      </c>
      <c r="G6" s="3225" t="n">
        <v>1.1472</v>
      </c>
      <c r="H6" s="3225" t="n">
        <v>1.1472</v>
      </c>
      <c r="I6" s="3225" t="n">
        <v>1.1214</v>
      </c>
      <c r="J6" s="3225" t="n">
        <v>1.1214</v>
      </c>
      <c r="K6" s="3225" t="n">
        <v>1.1214</v>
      </c>
      <c r="L6" s="3225" t="n">
        <v>1.1214</v>
      </c>
      <c r="M6" s="3226" t="n">
        <v>1.1214</v>
      </c>
    </row>
    <row r="7" customFormat="false" ht="13.5" hidden="false" customHeight="false" outlineLevel="0" collapsed="false">
      <c r="A7" s="3224" t="n">
        <v>1.4</v>
      </c>
      <c r="B7" s="3225" t="n">
        <v>1.162</v>
      </c>
      <c r="C7" s="3225" t="n">
        <v>1.162</v>
      </c>
      <c r="D7" s="3225" t="n">
        <v>1.1265</v>
      </c>
      <c r="E7" s="3225" t="n">
        <v>1.1265</v>
      </c>
      <c r="F7" s="3225" t="n">
        <v>1.1265</v>
      </c>
      <c r="G7" s="3225" t="n">
        <v>1.1265</v>
      </c>
      <c r="H7" s="3225" t="n">
        <v>1.1265</v>
      </c>
      <c r="I7" s="3225" t="n">
        <v>1.0948</v>
      </c>
      <c r="J7" s="3225" t="n">
        <v>1.0948</v>
      </c>
      <c r="K7" s="3225" t="n">
        <v>1.0948</v>
      </c>
      <c r="L7" s="3225" t="n">
        <v>1.0948</v>
      </c>
      <c r="M7" s="3226" t="n">
        <v>1.0948</v>
      </c>
    </row>
    <row r="8" customFormat="false" ht="13.5" hidden="false" customHeight="false" outlineLevel="0" collapsed="false">
      <c r="A8" s="3224" t="n">
        <v>1.5</v>
      </c>
      <c r="B8" s="3225" t="n">
        <v>1.1453</v>
      </c>
      <c r="C8" s="3225" t="n">
        <v>1.1453</v>
      </c>
      <c r="D8" s="3225" t="n">
        <v>1.1084</v>
      </c>
      <c r="E8" s="3225" t="n">
        <v>1.1084</v>
      </c>
      <c r="F8" s="3225" t="n">
        <v>1.1084</v>
      </c>
      <c r="G8" s="3225" t="n">
        <v>1.1084</v>
      </c>
      <c r="H8" s="3225" t="n">
        <v>1.1084</v>
      </c>
      <c r="I8" s="3225" t="n">
        <v>1.0725</v>
      </c>
      <c r="J8" s="3225" t="n">
        <v>1.0725</v>
      </c>
      <c r="K8" s="3225" t="n">
        <v>1.0725</v>
      </c>
      <c r="L8" s="3225" t="n">
        <v>1.0725</v>
      </c>
      <c r="M8" s="3226" t="n">
        <v>1.0725</v>
      </c>
    </row>
    <row r="9" customFormat="false" ht="13.5" hidden="false" customHeight="false" outlineLevel="0" collapsed="false">
      <c r="A9" s="3224" t="n">
        <v>1.6</v>
      </c>
      <c r="B9" s="3225" t="n">
        <v>1.1306</v>
      </c>
      <c r="C9" s="3225" t="n">
        <v>1.1306</v>
      </c>
      <c r="D9" s="3225" t="n">
        <v>1.0924</v>
      </c>
      <c r="E9" s="3225" t="n">
        <v>1.0924</v>
      </c>
      <c r="F9" s="3225" t="n">
        <v>1.0924</v>
      </c>
      <c r="G9" s="3225" t="n">
        <v>1.0924</v>
      </c>
      <c r="H9" s="3225" t="n">
        <v>1.0924</v>
      </c>
      <c r="I9" s="3225" t="n">
        <v>1.0538</v>
      </c>
      <c r="J9" s="3225" t="n">
        <v>1.0538</v>
      </c>
      <c r="K9" s="3225" t="n">
        <v>1.0538</v>
      </c>
      <c r="L9" s="3225" t="n">
        <v>1.0538</v>
      </c>
      <c r="M9" s="3226" t="n">
        <v>1.0538</v>
      </c>
    </row>
    <row r="10" customFormat="false" ht="13.5" hidden="false" customHeight="false" outlineLevel="0" collapsed="false">
      <c r="A10" s="3224" t="n">
        <v>1.7</v>
      </c>
      <c r="B10" s="3225" t="n">
        <v>1.1176</v>
      </c>
      <c r="C10" s="3225" t="n">
        <v>1.1176</v>
      </c>
      <c r="D10" s="3225" t="n">
        <v>1.0783</v>
      </c>
      <c r="E10" s="3225" t="n">
        <v>1.0783</v>
      </c>
      <c r="F10" s="3225" t="n">
        <v>1.0783</v>
      </c>
      <c r="G10" s="3225" t="n">
        <v>1.0783</v>
      </c>
      <c r="H10" s="3225" t="n">
        <v>1.0783</v>
      </c>
      <c r="I10" s="3225" t="n">
        <v>1.0379</v>
      </c>
      <c r="J10" s="3225" t="n">
        <v>1.0379</v>
      </c>
      <c r="K10" s="3225" t="n">
        <v>1.0379</v>
      </c>
      <c r="L10" s="3225" t="n">
        <v>1.0379</v>
      </c>
      <c r="M10" s="3226" t="n">
        <v>1.0379</v>
      </c>
    </row>
    <row r="11" customFormat="false" ht="13.5" hidden="false" customHeight="false" outlineLevel="0" collapsed="false">
      <c r="A11" s="3224" t="n">
        <v>1.8</v>
      </c>
      <c r="B11" s="3225" t="n">
        <v>1.1058</v>
      </c>
      <c r="C11" s="3225" t="n">
        <v>1.1058</v>
      </c>
      <c r="D11" s="3225" t="n">
        <v>1.0654</v>
      </c>
      <c r="E11" s="3225" t="n">
        <v>1.0654</v>
      </c>
      <c r="F11" s="3225" t="n">
        <v>1.0654</v>
      </c>
      <c r="G11" s="3225" t="n">
        <v>1.0654</v>
      </c>
      <c r="H11" s="3225" t="n">
        <v>1.0654</v>
      </c>
      <c r="I11" s="3225" t="n">
        <v>1.0241</v>
      </c>
      <c r="J11" s="3225" t="n">
        <v>1.0241</v>
      </c>
      <c r="K11" s="3225" t="n">
        <v>1.0241</v>
      </c>
      <c r="L11" s="3225" t="n">
        <v>1.0241</v>
      </c>
      <c r="M11" s="3226" t="n">
        <v>1.0241</v>
      </c>
    </row>
    <row r="12" customFormat="false" ht="13.5" hidden="false" customHeight="false" outlineLevel="0" collapsed="false">
      <c r="A12" s="3224" t="n">
        <v>1.9</v>
      </c>
      <c r="B12" s="3225" t="n">
        <v>1.0949</v>
      </c>
      <c r="C12" s="3225" t="n">
        <v>1.0949</v>
      </c>
      <c r="D12" s="3225" t="n">
        <v>1.0537</v>
      </c>
      <c r="E12" s="3225" t="n">
        <v>1.0537</v>
      </c>
      <c r="F12" s="3225" t="n">
        <v>1.0537</v>
      </c>
      <c r="G12" s="3225" t="n">
        <v>1.0537</v>
      </c>
      <c r="H12" s="3225" t="n">
        <v>1.0537</v>
      </c>
      <c r="I12" s="3225" t="n">
        <v>1.0117</v>
      </c>
      <c r="J12" s="3225" t="n">
        <v>1.0117</v>
      </c>
      <c r="K12" s="3225" t="n">
        <v>1.0117</v>
      </c>
      <c r="L12" s="3225" t="n">
        <v>1.0117</v>
      </c>
      <c r="M12" s="3226" t="n">
        <v>1.0117</v>
      </c>
    </row>
    <row r="13" customFormat="false" ht="13.5" hidden="false" customHeight="false" outlineLevel="0" collapsed="false">
      <c r="A13" s="3224" t="n">
        <v>2</v>
      </c>
      <c r="B13" s="3225" t="n">
        <v>1.0847</v>
      </c>
      <c r="C13" s="3225" t="n">
        <v>1.0847</v>
      </c>
      <c r="D13" s="3225" t="n">
        <v>1.0427</v>
      </c>
      <c r="E13" s="3225" t="n">
        <v>1.0427</v>
      </c>
      <c r="F13" s="3225" t="n">
        <v>1.0427</v>
      </c>
      <c r="G13" s="3225" t="n">
        <v>1.0427</v>
      </c>
      <c r="H13" s="3225" t="n">
        <v>1.0427</v>
      </c>
      <c r="I13" s="3225" t="n">
        <v>1</v>
      </c>
      <c r="J13" s="3225" t="n">
        <v>1</v>
      </c>
      <c r="K13" s="3225" t="n">
        <v>1</v>
      </c>
      <c r="L13" s="3225" t="n">
        <v>1</v>
      </c>
      <c r="M13" s="3226" t="n">
        <v>1</v>
      </c>
    </row>
    <row r="14" customFormat="false" ht="13.5" hidden="false" customHeight="false" outlineLevel="0" collapsed="false">
      <c r="A14" s="3228" t="n">
        <v>2.1</v>
      </c>
      <c r="B14" s="3225" t="n">
        <v>1.0749</v>
      </c>
      <c r="C14" s="3225" t="n">
        <v>1.0749</v>
      </c>
      <c r="D14" s="3225" t="n">
        <v>1.0328</v>
      </c>
      <c r="E14" s="3225" t="n">
        <v>1.0328</v>
      </c>
      <c r="F14" s="3225" t="n">
        <v>1.0328</v>
      </c>
      <c r="G14" s="3225" t="n">
        <v>1.0328</v>
      </c>
      <c r="H14" s="3225" t="n">
        <v>1.0328</v>
      </c>
      <c r="I14" s="3225" t="n">
        <v>0.9882</v>
      </c>
      <c r="J14" s="3225" t="n">
        <v>0.9882</v>
      </c>
      <c r="K14" s="3225" t="n">
        <v>0.9882</v>
      </c>
      <c r="L14" s="3225" t="n">
        <v>0.9882</v>
      </c>
      <c r="M14" s="3226" t="n">
        <v>0.9882</v>
      </c>
    </row>
    <row r="15" customFormat="false" ht="13.5" hidden="false" customHeight="false" outlineLevel="0" collapsed="false">
      <c r="A15" s="3228" t="n">
        <v>2.2</v>
      </c>
      <c r="B15" s="3225" t="n">
        <v>1.0663</v>
      </c>
      <c r="C15" s="3225" t="n">
        <v>1.0663</v>
      </c>
      <c r="D15" s="3225" t="n">
        <v>1.0237</v>
      </c>
      <c r="E15" s="3225" t="n">
        <v>1.0237</v>
      </c>
      <c r="F15" s="3225" t="n">
        <v>1.0237</v>
      </c>
      <c r="G15" s="3225" t="n">
        <v>1.0237</v>
      </c>
      <c r="H15" s="3225" t="n">
        <v>1.0237</v>
      </c>
      <c r="I15" s="3225" t="n">
        <v>0.9768</v>
      </c>
      <c r="J15" s="3225" t="n">
        <v>0.9768</v>
      </c>
      <c r="K15" s="3225" t="n">
        <v>0.9768</v>
      </c>
      <c r="L15" s="3225" t="n">
        <v>0.9768</v>
      </c>
      <c r="M15" s="3226" t="n">
        <v>0.9768</v>
      </c>
    </row>
    <row r="16" customFormat="false" ht="13.5" hidden="false" customHeight="false" outlineLevel="0" collapsed="false">
      <c r="A16" s="3228" t="n">
        <v>2.3</v>
      </c>
      <c r="B16" s="3225" t="n">
        <v>1.0584</v>
      </c>
      <c r="C16" s="3225" t="n">
        <v>1.0584</v>
      </c>
      <c r="D16" s="3225" t="n">
        <v>1.0152</v>
      </c>
      <c r="E16" s="3225" t="n">
        <v>1.0152</v>
      </c>
      <c r="F16" s="3225" t="n">
        <v>1.0152</v>
      </c>
      <c r="G16" s="3225" t="n">
        <v>1.0152</v>
      </c>
      <c r="H16" s="3225" t="n">
        <v>1.0152</v>
      </c>
      <c r="I16" s="3225" t="n">
        <v>0.9661</v>
      </c>
      <c r="J16" s="3225" t="n">
        <v>0.9661</v>
      </c>
      <c r="K16" s="3225" t="n">
        <v>0.9661</v>
      </c>
      <c r="L16" s="3225" t="n">
        <v>0.9661</v>
      </c>
      <c r="M16" s="3226" t="n">
        <v>0.9661</v>
      </c>
      <c r="N16" s="3227"/>
    </row>
    <row r="17" customFormat="false" ht="13.5" hidden="false" customHeight="false" outlineLevel="0" collapsed="false">
      <c r="A17" s="3228" t="n">
        <v>2.4</v>
      </c>
      <c r="B17" s="3225" t="n">
        <v>1.0512</v>
      </c>
      <c r="C17" s="3225" t="n">
        <v>1.0512</v>
      </c>
      <c r="D17" s="3225" t="n">
        <v>1.0074</v>
      </c>
      <c r="E17" s="3225" t="n">
        <v>1.0074</v>
      </c>
      <c r="F17" s="3225" t="n">
        <v>1.0074</v>
      </c>
      <c r="G17" s="3225" t="n">
        <v>1.0074</v>
      </c>
      <c r="H17" s="3225" t="n">
        <v>1.0074</v>
      </c>
      <c r="I17" s="3225" t="n">
        <v>0.9558</v>
      </c>
      <c r="J17" s="3225" t="n">
        <v>0.9558</v>
      </c>
      <c r="K17" s="3225" t="n">
        <v>0.9558</v>
      </c>
      <c r="L17" s="3225" t="n">
        <v>0.9558</v>
      </c>
      <c r="M17" s="3226" t="n">
        <v>0.9558</v>
      </c>
      <c r="N17" s="3227"/>
    </row>
    <row r="18" customFormat="false" ht="13.5" hidden="false" customHeight="false" outlineLevel="0" collapsed="false">
      <c r="A18" s="3228" t="n">
        <v>2.5</v>
      </c>
      <c r="B18" s="3225" t="n">
        <v>1.0445</v>
      </c>
      <c r="C18" s="3225" t="n">
        <v>1.0445</v>
      </c>
      <c r="D18" s="3225" t="n">
        <v>1</v>
      </c>
      <c r="E18" s="3225" t="n">
        <v>1</v>
      </c>
      <c r="F18" s="3225" t="n">
        <v>1</v>
      </c>
      <c r="G18" s="3225" t="n">
        <v>1</v>
      </c>
      <c r="H18" s="3225" t="n">
        <v>1</v>
      </c>
      <c r="I18" s="3225" t="n">
        <v>0.9462</v>
      </c>
      <c r="J18" s="3225" t="n">
        <v>0.9462</v>
      </c>
      <c r="K18" s="3225" t="n">
        <v>0.9462</v>
      </c>
      <c r="L18" s="3225" t="n">
        <v>0.9462</v>
      </c>
      <c r="M18" s="3226" t="n">
        <v>0.9462</v>
      </c>
    </row>
    <row r="19" customFormat="false" ht="13.5" hidden="false" customHeight="false" outlineLevel="0" collapsed="false">
      <c r="A19" s="3228" t="n">
        <v>2.6</v>
      </c>
      <c r="B19" s="3225" t="n">
        <v>1.0386</v>
      </c>
      <c r="C19" s="3225" t="n">
        <v>1.0386</v>
      </c>
      <c r="D19" s="3225" t="n">
        <v>0.9935</v>
      </c>
      <c r="E19" s="3225" t="n">
        <v>0.9935</v>
      </c>
      <c r="F19" s="3225" t="n">
        <v>0.9935</v>
      </c>
      <c r="G19" s="3225" t="n">
        <v>0.9935</v>
      </c>
      <c r="H19" s="3225" t="n">
        <v>0.9935</v>
      </c>
      <c r="I19" s="3225" t="n">
        <v>0.9371</v>
      </c>
      <c r="J19" s="3225" t="n">
        <v>0.9371</v>
      </c>
      <c r="K19" s="3225" t="n">
        <v>0.9371</v>
      </c>
      <c r="L19" s="3225" t="n">
        <v>0.9371</v>
      </c>
      <c r="M19" s="3226" t="n">
        <v>0.9371</v>
      </c>
    </row>
    <row r="20" customFormat="false" ht="13.5" hidden="false" customHeight="false" outlineLevel="0" collapsed="false">
      <c r="A20" s="3228" t="n">
        <v>2.7</v>
      </c>
      <c r="B20" s="3225" t="n">
        <v>1.0332</v>
      </c>
      <c r="C20" s="3225" t="n">
        <v>1.0332</v>
      </c>
      <c r="D20" s="3225" t="n">
        <v>0.9877</v>
      </c>
      <c r="E20" s="3225" t="n">
        <v>0.9877</v>
      </c>
      <c r="F20" s="3225" t="n">
        <v>0.9877</v>
      </c>
      <c r="G20" s="3225" t="n">
        <v>0.9877</v>
      </c>
      <c r="H20" s="3225" t="n">
        <v>0.9877</v>
      </c>
      <c r="I20" s="3225" t="n">
        <v>0.9286</v>
      </c>
      <c r="J20" s="3225" t="n">
        <v>0.9286</v>
      </c>
      <c r="K20" s="3225" t="n">
        <v>0.9286</v>
      </c>
      <c r="L20" s="3225" t="n">
        <v>0.9286</v>
      </c>
      <c r="M20" s="3226" t="n">
        <v>0.9286</v>
      </c>
    </row>
    <row r="21" customFormat="false" ht="13.5" hidden="false" customHeight="false" outlineLevel="0" collapsed="false">
      <c r="A21" s="3228" t="n">
        <v>2.8</v>
      </c>
      <c r="B21" s="3225" t="n">
        <v>1.0282</v>
      </c>
      <c r="C21" s="3225" t="n">
        <v>1.0282</v>
      </c>
      <c r="D21" s="3225" t="n">
        <v>0.9826</v>
      </c>
      <c r="E21" s="3225" t="n">
        <v>0.9826</v>
      </c>
      <c r="F21" s="3225" t="n">
        <v>0.9826</v>
      </c>
      <c r="G21" s="3225" t="n">
        <v>0.9826</v>
      </c>
      <c r="H21" s="3225" t="n">
        <v>0.9826</v>
      </c>
      <c r="I21" s="3225" t="n">
        <v>0.9207</v>
      </c>
      <c r="J21" s="3225" t="n">
        <v>0.9207</v>
      </c>
      <c r="K21" s="3225" t="n">
        <v>0.9207</v>
      </c>
      <c r="L21" s="3225" t="n">
        <v>0.9207</v>
      </c>
      <c r="M21" s="3226" t="n">
        <v>0.9207</v>
      </c>
    </row>
    <row r="22" customFormat="false" ht="13.5" hidden="false" customHeight="false" outlineLevel="0" collapsed="false">
      <c r="A22" s="3228" t="n">
        <v>2.9</v>
      </c>
      <c r="B22" s="3225" t="n">
        <v>1.0235</v>
      </c>
      <c r="C22" s="3225" t="n">
        <v>1.0235</v>
      </c>
      <c r="D22" s="3225" t="n">
        <v>0.9777</v>
      </c>
      <c r="E22" s="3225" t="n">
        <v>0.9777</v>
      </c>
      <c r="F22" s="3225" t="n">
        <v>0.9777</v>
      </c>
      <c r="G22" s="3225" t="n">
        <v>0.9777</v>
      </c>
      <c r="H22" s="3225" t="n">
        <v>0.9777</v>
      </c>
      <c r="I22" s="3225" t="n">
        <v>0.9133</v>
      </c>
      <c r="J22" s="3225" t="n">
        <v>0.9133</v>
      </c>
      <c r="K22" s="3225" t="n">
        <v>0.9133</v>
      </c>
      <c r="L22" s="3225" t="n">
        <v>0.9133</v>
      </c>
      <c r="M22" s="3226" t="n">
        <v>0.9133</v>
      </c>
    </row>
    <row r="23" customFormat="false" ht="13.5" hidden="false" customHeight="false" outlineLevel="0" collapsed="false">
      <c r="A23" s="3228" t="n">
        <v>3</v>
      </c>
      <c r="B23" s="3225" t="n">
        <v>1.0191</v>
      </c>
      <c r="C23" s="3225" t="n">
        <v>1.0191</v>
      </c>
      <c r="D23" s="3225" t="n">
        <v>0.973</v>
      </c>
      <c r="E23" s="3225" t="n">
        <v>0.973</v>
      </c>
      <c r="F23" s="3225" t="n">
        <v>0.973</v>
      </c>
      <c r="G23" s="3225" t="n">
        <v>0.973</v>
      </c>
      <c r="H23" s="3225" t="n">
        <v>0.973</v>
      </c>
      <c r="I23" s="3225" t="n">
        <v>0.9063</v>
      </c>
      <c r="J23" s="3225" t="n">
        <v>0.9063</v>
      </c>
      <c r="K23" s="3225" t="n">
        <v>0.9063</v>
      </c>
      <c r="L23" s="3225" t="n">
        <v>0.9063</v>
      </c>
      <c r="M23" s="3226" t="n">
        <v>0.9063</v>
      </c>
    </row>
    <row r="24" customFormat="false" ht="13.5" hidden="false" customHeight="false" outlineLevel="0" collapsed="false">
      <c r="A24" s="3228" t="n">
        <v>3.1</v>
      </c>
      <c r="B24" s="3225" t="n">
        <v>1.0149</v>
      </c>
      <c r="C24" s="3225" t="n">
        <v>1.0149</v>
      </c>
      <c r="D24" s="3225" t="n">
        <v>0.9684</v>
      </c>
      <c r="E24" s="3225" t="n">
        <v>0.9684</v>
      </c>
      <c r="F24" s="3225" t="n">
        <v>0.9684</v>
      </c>
      <c r="G24" s="3225" t="n">
        <v>0.9684</v>
      </c>
      <c r="H24" s="3225" t="n">
        <v>0.9684</v>
      </c>
      <c r="I24" s="3225" t="n">
        <v>0.8996</v>
      </c>
      <c r="J24" s="3225" t="n">
        <v>0.8996</v>
      </c>
      <c r="K24" s="3225" t="n">
        <v>0.8996</v>
      </c>
      <c r="L24" s="3225" t="n">
        <v>0.8996</v>
      </c>
      <c r="M24" s="3226" t="n">
        <v>0.8996</v>
      </c>
    </row>
    <row r="25" customFormat="false" ht="13.5" hidden="false" customHeight="false" outlineLevel="0" collapsed="false">
      <c r="A25" s="3228" t="n">
        <v>3.2</v>
      </c>
      <c r="B25" s="3225" t="n">
        <v>1.0109</v>
      </c>
      <c r="C25" s="3225" t="n">
        <v>1.0109</v>
      </c>
      <c r="D25" s="3225" t="n">
        <v>0.964</v>
      </c>
      <c r="E25" s="3225" t="n">
        <v>0.964</v>
      </c>
      <c r="F25" s="3225" t="n">
        <v>0.964</v>
      </c>
      <c r="G25" s="3225" t="n">
        <v>0.964</v>
      </c>
      <c r="H25" s="3225" t="n">
        <v>0.964</v>
      </c>
      <c r="I25" s="3225" t="n">
        <v>0.8932</v>
      </c>
      <c r="J25" s="3225" t="n">
        <v>0.8932</v>
      </c>
      <c r="K25" s="3225" t="n">
        <v>0.8932</v>
      </c>
      <c r="L25" s="3225" t="n">
        <v>0.8932</v>
      </c>
      <c r="M25" s="3226" t="n">
        <v>0.8932</v>
      </c>
    </row>
    <row r="26" customFormat="false" ht="13.5" hidden="false" customHeight="false" outlineLevel="0" collapsed="false">
      <c r="A26" s="3228" t="n">
        <v>3.3</v>
      </c>
      <c r="B26" s="3225" t="n">
        <v>1.0071</v>
      </c>
      <c r="C26" s="3225" t="n">
        <v>1.0071</v>
      </c>
      <c r="D26" s="3225" t="n">
        <v>0.9598</v>
      </c>
      <c r="E26" s="3225" t="n">
        <v>0.9598</v>
      </c>
      <c r="F26" s="3225" t="n">
        <v>0.9598</v>
      </c>
      <c r="G26" s="3225" t="n">
        <v>0.9598</v>
      </c>
      <c r="H26" s="3225" t="n">
        <v>0.9598</v>
      </c>
      <c r="I26" s="3225" t="n">
        <v>0.8871</v>
      </c>
      <c r="J26" s="3225" t="n">
        <v>0.8871</v>
      </c>
      <c r="K26" s="3225" t="n">
        <v>0.8871</v>
      </c>
      <c r="L26" s="3225" t="n">
        <v>0.8871</v>
      </c>
      <c r="M26" s="3226" t="n">
        <v>0.8871</v>
      </c>
    </row>
    <row r="27" customFormat="false" ht="13.5" hidden="false" customHeight="false" outlineLevel="0" collapsed="false">
      <c r="A27" s="3228" t="n">
        <v>3.4</v>
      </c>
      <c r="B27" s="3225" t="n">
        <v>1.0035</v>
      </c>
      <c r="C27" s="3225" t="n">
        <v>1.0035</v>
      </c>
      <c r="D27" s="3225" t="n">
        <v>0.9558</v>
      </c>
      <c r="E27" s="3225" t="n">
        <v>0.9558</v>
      </c>
      <c r="F27" s="3225" t="n">
        <v>0.9558</v>
      </c>
      <c r="G27" s="3225" t="n">
        <v>0.9558</v>
      </c>
      <c r="H27" s="3225" t="n">
        <v>0.9558</v>
      </c>
      <c r="I27" s="3225" t="n">
        <v>0.8812</v>
      </c>
      <c r="J27" s="3225" t="n">
        <v>0.8812</v>
      </c>
      <c r="K27" s="3225" t="n">
        <v>0.8812</v>
      </c>
      <c r="L27" s="3225" t="n">
        <v>0.8812</v>
      </c>
      <c r="M27" s="3226" t="n">
        <v>0.8812</v>
      </c>
    </row>
    <row r="28" customFormat="false" ht="13.5" hidden="false" customHeight="false" outlineLevel="0" collapsed="false">
      <c r="A28" s="3228" t="n">
        <v>3.5</v>
      </c>
      <c r="B28" s="3225" t="n">
        <v>1</v>
      </c>
      <c r="C28" s="3225" t="n">
        <v>1</v>
      </c>
      <c r="D28" s="3225" t="n">
        <v>0.952</v>
      </c>
      <c r="E28" s="3225" t="n">
        <v>0.952</v>
      </c>
      <c r="F28" s="3225" t="n">
        <v>0.952</v>
      </c>
      <c r="G28" s="3225" t="n">
        <v>0.952</v>
      </c>
      <c r="H28" s="3225" t="n">
        <v>0.952</v>
      </c>
      <c r="I28" s="3225" t="n">
        <v>0.8755</v>
      </c>
      <c r="J28" s="3225" t="n">
        <v>0.8755</v>
      </c>
      <c r="K28" s="3225" t="n">
        <v>0.8755</v>
      </c>
      <c r="L28" s="3225" t="n">
        <v>0.8755</v>
      </c>
      <c r="M28" s="3226" t="n">
        <v>0.8755</v>
      </c>
    </row>
    <row r="29" customFormat="false" ht="13.5" hidden="false" customHeight="false" outlineLevel="0" collapsed="false">
      <c r="A29" s="3228" t="n">
        <v>3.6</v>
      </c>
      <c r="B29" s="3225" t="n">
        <v>0.9966</v>
      </c>
      <c r="C29" s="3225" t="n">
        <v>0.9966</v>
      </c>
      <c r="D29" s="3225" t="n">
        <v>0.9484</v>
      </c>
      <c r="E29" s="3225" t="n">
        <v>0.9484</v>
      </c>
      <c r="F29" s="3225" t="n">
        <v>0.9484</v>
      </c>
      <c r="G29" s="3225" t="n">
        <v>0.9484</v>
      </c>
      <c r="H29" s="3225" t="n">
        <v>0.9484</v>
      </c>
      <c r="I29" s="3225" t="n">
        <v>0.87</v>
      </c>
      <c r="J29" s="3225" t="n">
        <v>0.87</v>
      </c>
      <c r="K29" s="3225" t="n">
        <v>0.87</v>
      </c>
      <c r="L29" s="3225" t="n">
        <v>0.87</v>
      </c>
      <c r="M29" s="3226" t="n">
        <v>0.87</v>
      </c>
    </row>
    <row r="30" customFormat="false" ht="13.5" hidden="false" customHeight="false" outlineLevel="0" collapsed="false">
      <c r="A30" s="3228" t="n">
        <v>3.7</v>
      </c>
      <c r="B30" s="3225" t="n">
        <v>0.9933</v>
      </c>
      <c r="C30" s="3225" t="n">
        <v>0.9933</v>
      </c>
      <c r="D30" s="3225" t="n">
        <v>0.945</v>
      </c>
      <c r="E30" s="3225" t="n">
        <v>0.945</v>
      </c>
      <c r="F30" s="3225" t="n">
        <v>0.945</v>
      </c>
      <c r="G30" s="3225" t="n">
        <v>0.945</v>
      </c>
      <c r="H30" s="3225" t="n">
        <v>0.945</v>
      </c>
      <c r="I30" s="3225" t="n">
        <v>0.8647</v>
      </c>
      <c r="J30" s="3225" t="n">
        <v>0.8647</v>
      </c>
      <c r="K30" s="3225" t="n">
        <v>0.8647</v>
      </c>
      <c r="L30" s="3225" t="n">
        <v>0.8647</v>
      </c>
      <c r="M30" s="3226" t="n">
        <v>0.8647</v>
      </c>
    </row>
    <row r="31" customFormat="false" ht="13.5" hidden="false" customHeight="false" outlineLevel="0" collapsed="false">
      <c r="A31" s="3228" t="n">
        <v>3.8</v>
      </c>
      <c r="B31" s="3225" t="n">
        <v>0.9901</v>
      </c>
      <c r="C31" s="3225" t="n">
        <v>0.9901</v>
      </c>
      <c r="D31" s="3225" t="n">
        <v>0.9417</v>
      </c>
      <c r="E31" s="3225" t="n">
        <v>0.9417</v>
      </c>
      <c r="F31" s="3225" t="n">
        <v>0.9417</v>
      </c>
      <c r="G31" s="3225" t="n">
        <v>0.9417</v>
      </c>
      <c r="H31" s="3225" t="n">
        <v>0.9417</v>
      </c>
      <c r="I31" s="3225" t="n">
        <v>0.8596</v>
      </c>
      <c r="J31" s="3225" t="n">
        <v>0.8596</v>
      </c>
      <c r="K31" s="3225" t="n">
        <v>0.8596</v>
      </c>
      <c r="L31" s="3225" t="n">
        <v>0.8596</v>
      </c>
      <c r="M31" s="3226" t="n">
        <v>0.8596</v>
      </c>
    </row>
    <row r="32" customFormat="false" ht="13.5" hidden="false" customHeight="false" outlineLevel="0" collapsed="false">
      <c r="A32" s="3228" t="n">
        <v>3.9</v>
      </c>
      <c r="B32" s="3225" t="n">
        <v>0.987</v>
      </c>
      <c r="C32" s="3225" t="n">
        <v>0.987</v>
      </c>
      <c r="D32" s="3225" t="n">
        <v>0.9385</v>
      </c>
      <c r="E32" s="3225" t="n">
        <v>0.9385</v>
      </c>
      <c r="F32" s="3225" t="n">
        <v>0.9385</v>
      </c>
      <c r="G32" s="3225" t="n">
        <v>0.9385</v>
      </c>
      <c r="H32" s="3225" t="n">
        <v>0.9385</v>
      </c>
      <c r="I32" s="3225" t="n">
        <v>0.8547</v>
      </c>
      <c r="J32" s="3225" t="n">
        <v>0.8547</v>
      </c>
      <c r="K32" s="3225" t="n">
        <v>0.8547</v>
      </c>
      <c r="L32" s="3225" t="n">
        <v>0.8547</v>
      </c>
      <c r="M32" s="3226" t="n">
        <v>0.8547</v>
      </c>
    </row>
    <row r="33" customFormat="false" ht="13.5" hidden="false" customHeight="false" outlineLevel="0" collapsed="false">
      <c r="A33" s="3228" t="n">
        <v>4</v>
      </c>
      <c r="B33" s="3225" t="n">
        <v>0.984</v>
      </c>
      <c r="C33" s="3225" t="n">
        <v>0.984</v>
      </c>
      <c r="D33" s="3225" t="n">
        <v>0.9354</v>
      </c>
      <c r="E33" s="3225" t="n">
        <v>0.9354</v>
      </c>
      <c r="F33" s="3225" t="n">
        <v>0.9354</v>
      </c>
      <c r="G33" s="3225" t="n">
        <v>0.9354</v>
      </c>
      <c r="H33" s="3225" t="n">
        <v>0.9354</v>
      </c>
      <c r="I33" s="3225" t="n">
        <v>0.8499</v>
      </c>
      <c r="J33" s="3225" t="n">
        <v>0.8499</v>
      </c>
      <c r="K33" s="3225" t="n">
        <v>0.8499</v>
      </c>
      <c r="L33" s="3225" t="n">
        <v>0.8499</v>
      </c>
      <c r="M33" s="3226" t="n">
        <v>0.8499</v>
      </c>
    </row>
    <row r="34" customFormat="false" ht="13.5" hidden="false" customHeight="false" outlineLevel="0" collapsed="false">
      <c r="A34" s="3228" t="n">
        <v>4.1</v>
      </c>
      <c r="B34" s="3225" t="n">
        <v>0.9811</v>
      </c>
      <c r="C34" s="3225" t="n">
        <v>0.9811</v>
      </c>
      <c r="D34" s="3225" t="n">
        <v>0.9324</v>
      </c>
      <c r="E34" s="3225" t="n">
        <v>0.9324</v>
      </c>
      <c r="F34" s="3225" t="n">
        <v>0.9324</v>
      </c>
      <c r="G34" s="3225" t="n">
        <v>0.9324</v>
      </c>
      <c r="H34" s="3225" t="n">
        <v>0.9324</v>
      </c>
      <c r="I34" s="3225" t="n">
        <v>0.8452</v>
      </c>
      <c r="J34" s="3225" t="n">
        <v>0.8452</v>
      </c>
      <c r="K34" s="3225" t="n">
        <v>0.8452</v>
      </c>
      <c r="L34" s="3225" t="n">
        <v>0.8452</v>
      </c>
      <c r="M34" s="3226" t="n">
        <v>0.8452</v>
      </c>
    </row>
    <row r="35" customFormat="false" ht="13.5" hidden="false" customHeight="false" outlineLevel="0" collapsed="false">
      <c r="A35" s="3228" t="n">
        <v>4.2</v>
      </c>
      <c r="B35" s="3225" t="n">
        <v>0.9783</v>
      </c>
      <c r="C35" s="3225" t="n">
        <v>0.9783</v>
      </c>
      <c r="D35" s="3225" t="n">
        <v>0.9295</v>
      </c>
      <c r="E35" s="3225" t="n">
        <v>0.9295</v>
      </c>
      <c r="F35" s="3225" t="n">
        <v>0.9295</v>
      </c>
      <c r="G35" s="3225" t="n">
        <v>0.9295</v>
      </c>
      <c r="H35" s="3225" t="n">
        <v>0.9295</v>
      </c>
      <c r="I35" s="3225" t="n">
        <v>0.8406</v>
      </c>
      <c r="J35" s="3225" t="n">
        <v>0.8406</v>
      </c>
      <c r="K35" s="3225" t="n">
        <v>0.8406</v>
      </c>
      <c r="L35" s="3225" t="n">
        <v>0.8406</v>
      </c>
      <c r="M35" s="3226" t="n">
        <v>0.8406</v>
      </c>
    </row>
    <row r="36" customFormat="false" ht="13.5" hidden="false" customHeight="false" outlineLevel="0" collapsed="false">
      <c r="A36" s="3228" t="n">
        <v>4.3</v>
      </c>
      <c r="B36" s="3225" t="n">
        <v>0.9756</v>
      </c>
      <c r="C36" s="3225" t="n">
        <v>0.9756</v>
      </c>
      <c r="D36" s="3225" t="n">
        <v>0.9267</v>
      </c>
      <c r="E36" s="3225" t="n">
        <v>0.9267</v>
      </c>
      <c r="F36" s="3225" t="n">
        <v>0.9267</v>
      </c>
      <c r="G36" s="3225" t="n">
        <v>0.9267</v>
      </c>
      <c r="H36" s="3225" t="n">
        <v>0.9267</v>
      </c>
      <c r="I36" s="3225" t="n">
        <v>0.8361</v>
      </c>
      <c r="J36" s="3225" t="n">
        <v>0.8361</v>
      </c>
      <c r="K36" s="3225" t="n">
        <v>0.8361</v>
      </c>
      <c r="L36" s="3225" t="n">
        <v>0.8361</v>
      </c>
      <c r="M36" s="3226" t="n">
        <v>0.8361</v>
      </c>
    </row>
    <row r="37" customFormat="false" ht="13.5" hidden="false" customHeight="false" outlineLevel="0" collapsed="false">
      <c r="A37" s="3228" t="n">
        <v>4.4</v>
      </c>
      <c r="B37" s="3225" t="n">
        <v>0.973</v>
      </c>
      <c r="C37" s="3225" t="n">
        <v>0.973</v>
      </c>
      <c r="D37" s="3225" t="n">
        <v>0.924</v>
      </c>
      <c r="E37" s="3225" t="n">
        <v>0.924</v>
      </c>
      <c r="F37" s="3225" t="n">
        <v>0.924</v>
      </c>
      <c r="G37" s="3225" t="n">
        <v>0.924</v>
      </c>
      <c r="H37" s="3225" t="n">
        <v>0.924</v>
      </c>
      <c r="I37" s="3225" t="n">
        <v>0.8317</v>
      </c>
      <c r="J37" s="3225" t="n">
        <v>0.8317</v>
      </c>
      <c r="K37" s="3225" t="n">
        <v>0.8317</v>
      </c>
      <c r="L37" s="3225" t="n">
        <v>0.8317</v>
      </c>
      <c r="M37" s="3226" t="n">
        <v>0.8317</v>
      </c>
    </row>
    <row r="38" customFormat="false" ht="13.5" hidden="false" customHeight="false" outlineLevel="0" collapsed="false">
      <c r="A38" s="3228" t="n">
        <v>4.5</v>
      </c>
      <c r="B38" s="3225" t="n">
        <v>0.9705</v>
      </c>
      <c r="C38" s="3225" t="n">
        <v>0.9705</v>
      </c>
      <c r="D38" s="3225" t="n">
        <v>0.9213</v>
      </c>
      <c r="E38" s="3225" t="n">
        <v>0.9213</v>
      </c>
      <c r="F38" s="3225" t="n">
        <v>0.9213</v>
      </c>
      <c r="G38" s="3225" t="n">
        <v>0.9213</v>
      </c>
      <c r="H38" s="3225" t="n">
        <v>0.9213</v>
      </c>
      <c r="I38" s="3225" t="n">
        <v>0.8274</v>
      </c>
      <c r="J38" s="3225" t="n">
        <v>0.8274</v>
      </c>
      <c r="K38" s="3225" t="n">
        <v>0.8274</v>
      </c>
      <c r="L38" s="3225" t="n">
        <v>0.8274</v>
      </c>
      <c r="M38" s="3226" t="n">
        <v>0.8274</v>
      </c>
    </row>
    <row r="39" customFormat="false" ht="13.5" hidden="false" customHeight="false" outlineLevel="0" collapsed="false">
      <c r="A39" s="3228" t="n">
        <v>4.6</v>
      </c>
      <c r="B39" s="3225" t="n">
        <v>0.9681</v>
      </c>
      <c r="C39" s="3225" t="n">
        <v>0.9681</v>
      </c>
      <c r="D39" s="3225" t="n">
        <v>0.9187</v>
      </c>
      <c r="E39" s="3225" t="n">
        <v>0.9187</v>
      </c>
      <c r="F39" s="3225" t="n">
        <v>0.9187</v>
      </c>
      <c r="G39" s="3225" t="n">
        <v>0.9187</v>
      </c>
      <c r="H39" s="3225" t="n">
        <v>0.9187</v>
      </c>
      <c r="I39" s="3225" t="n">
        <v>0.8232</v>
      </c>
      <c r="J39" s="3225" t="n">
        <v>0.8232</v>
      </c>
      <c r="K39" s="3225" t="n">
        <v>0.8232</v>
      </c>
      <c r="L39" s="3225" t="n">
        <v>0.8232</v>
      </c>
      <c r="M39" s="3226" t="n">
        <v>0.8232</v>
      </c>
    </row>
    <row r="40" customFormat="false" ht="13.5" hidden="false" customHeight="false" outlineLevel="0" collapsed="false">
      <c r="A40" s="3228" t="n">
        <v>4.7</v>
      </c>
      <c r="B40" s="3225" t="n">
        <v>0.9658</v>
      </c>
      <c r="C40" s="3225" t="n">
        <v>0.9658</v>
      </c>
      <c r="D40" s="3225" t="n">
        <v>0.9161</v>
      </c>
      <c r="E40" s="3225" t="n">
        <v>0.9161</v>
      </c>
      <c r="F40" s="3225" t="n">
        <v>0.9161</v>
      </c>
      <c r="G40" s="3225" t="n">
        <v>0.9161</v>
      </c>
      <c r="H40" s="3225" t="n">
        <v>0.9161</v>
      </c>
      <c r="I40" s="3225" t="n">
        <v>0.8191</v>
      </c>
      <c r="J40" s="3225" t="n">
        <v>0.8191</v>
      </c>
      <c r="K40" s="3225" t="n">
        <v>0.8191</v>
      </c>
      <c r="L40" s="3225" t="n">
        <v>0.8191</v>
      </c>
      <c r="M40" s="3226" t="n">
        <v>0.8191</v>
      </c>
    </row>
    <row r="41" customFormat="false" ht="13.5" hidden="false" customHeight="false" outlineLevel="0" collapsed="false">
      <c r="A41" s="3228" t="n">
        <v>4.8</v>
      </c>
      <c r="B41" s="3225" t="n">
        <v>0.9636</v>
      </c>
      <c r="C41" s="3225" t="n">
        <v>0.9636</v>
      </c>
      <c r="D41" s="3225" t="n">
        <v>0.9135</v>
      </c>
      <c r="E41" s="3225" t="n">
        <v>0.9135</v>
      </c>
      <c r="F41" s="3225" t="n">
        <v>0.9135</v>
      </c>
      <c r="G41" s="3225" t="n">
        <v>0.9135</v>
      </c>
      <c r="H41" s="3225" t="n">
        <v>0.9135</v>
      </c>
      <c r="I41" s="3225" t="n">
        <v>0.8151</v>
      </c>
      <c r="J41" s="3225" t="n">
        <v>0.8151</v>
      </c>
      <c r="K41" s="3225" t="n">
        <v>0.8151</v>
      </c>
      <c r="L41" s="3225" t="n">
        <v>0.8151</v>
      </c>
      <c r="M41" s="3226" t="n">
        <v>0.8151</v>
      </c>
    </row>
    <row r="42" customFormat="false" ht="13.5" hidden="false" customHeight="false" outlineLevel="0" collapsed="false">
      <c r="A42" s="3228" t="n">
        <v>4.9</v>
      </c>
      <c r="B42" s="3225" t="n">
        <v>0.9615</v>
      </c>
      <c r="C42" s="3225" t="n">
        <v>0.9615</v>
      </c>
      <c r="D42" s="3225" t="n">
        <v>0.911</v>
      </c>
      <c r="E42" s="3225" t="n">
        <v>0.911</v>
      </c>
      <c r="F42" s="3225" t="n">
        <v>0.911</v>
      </c>
      <c r="G42" s="3225" t="n">
        <v>0.911</v>
      </c>
      <c r="H42" s="3225" t="n">
        <v>0.911</v>
      </c>
      <c r="I42" s="3225" t="n">
        <v>0.8111</v>
      </c>
      <c r="J42" s="3225" t="n">
        <v>0.8111</v>
      </c>
      <c r="K42" s="3225" t="n">
        <v>0.8111</v>
      </c>
      <c r="L42" s="3225" t="n">
        <v>0.8111</v>
      </c>
      <c r="M42" s="3226" t="n">
        <v>0.8111</v>
      </c>
    </row>
    <row r="43" customFormat="false" ht="13.5" hidden="false" customHeight="false" outlineLevel="0" collapsed="false">
      <c r="A43" s="3228" t="n">
        <v>5</v>
      </c>
      <c r="B43" s="3225" t="n">
        <v>0.9594</v>
      </c>
      <c r="C43" s="3225" t="n">
        <v>0.9594</v>
      </c>
      <c r="D43" s="3225" t="n">
        <v>0.9085</v>
      </c>
      <c r="E43" s="3225" t="n">
        <v>0.9085</v>
      </c>
      <c r="F43" s="3225" t="n">
        <v>0.9085</v>
      </c>
      <c r="G43" s="3225" t="n">
        <v>0.9085</v>
      </c>
      <c r="H43" s="3225" t="n">
        <v>0.9085</v>
      </c>
      <c r="I43" s="3225" t="n">
        <v>0.8072</v>
      </c>
      <c r="J43" s="3225" t="n">
        <v>0.8072</v>
      </c>
      <c r="K43" s="3225" t="n">
        <v>0.8072</v>
      </c>
      <c r="L43" s="3225" t="n">
        <v>0.8072</v>
      </c>
      <c r="M43" s="3226" t="n">
        <v>0.8072</v>
      </c>
    </row>
    <row r="44" customFormat="false" ht="13.5" hidden="false" customHeight="false" outlineLevel="0" collapsed="false">
      <c r="A44" s="3224" t="n">
        <v>5.1</v>
      </c>
      <c r="B44" s="3225" t="n">
        <v>0.9574</v>
      </c>
      <c r="C44" s="3225" t="n">
        <v>0.9574</v>
      </c>
      <c r="D44" s="3225" t="n">
        <v>0.906</v>
      </c>
      <c r="E44" s="3225" t="n">
        <v>0.906</v>
      </c>
      <c r="F44" s="3225" t="n">
        <v>0.906</v>
      </c>
      <c r="G44" s="3225" t="n">
        <v>0.906</v>
      </c>
      <c r="H44" s="3225" t="n">
        <v>0.906</v>
      </c>
      <c r="I44" s="3225" t="n">
        <v>0.8033</v>
      </c>
      <c r="J44" s="3225" t="n">
        <v>0.8033</v>
      </c>
      <c r="K44" s="3225" t="n">
        <v>0.8033</v>
      </c>
      <c r="L44" s="3225" t="n">
        <v>0.8033</v>
      </c>
      <c r="M44" s="3226" t="n">
        <v>0.8033</v>
      </c>
    </row>
    <row r="45" customFormat="false" ht="13.5" hidden="false" customHeight="false" outlineLevel="0" collapsed="false">
      <c r="A45" s="3224" t="n">
        <v>5.2</v>
      </c>
      <c r="B45" s="3225" t="n">
        <v>0.9554</v>
      </c>
      <c r="C45" s="3225" t="n">
        <v>0.9554</v>
      </c>
      <c r="D45" s="3225" t="n">
        <v>0.9035</v>
      </c>
      <c r="E45" s="3225" t="n">
        <v>0.9035</v>
      </c>
      <c r="F45" s="3225" t="n">
        <v>0.9035</v>
      </c>
      <c r="G45" s="3225" t="n">
        <v>0.9035</v>
      </c>
      <c r="H45" s="3225" t="n">
        <v>0.9035</v>
      </c>
      <c r="I45" s="3225" t="n">
        <v>0.7995</v>
      </c>
      <c r="J45" s="3225" t="n">
        <v>0.7995</v>
      </c>
      <c r="K45" s="3225" t="n">
        <v>0.7995</v>
      </c>
      <c r="L45" s="3225" t="n">
        <v>0.7995</v>
      </c>
      <c r="M45" s="3226" t="n">
        <v>0.7995</v>
      </c>
    </row>
    <row r="46" customFormat="false" ht="13.5" hidden="false" customHeight="false" outlineLevel="0" collapsed="false">
      <c r="A46" s="3224" t="n">
        <v>5.3</v>
      </c>
      <c r="B46" s="3225" t="n">
        <v>0.9535</v>
      </c>
      <c r="C46" s="3225" t="n">
        <v>0.9535</v>
      </c>
      <c r="D46" s="3225" t="n">
        <v>0.9011</v>
      </c>
      <c r="E46" s="3225" t="n">
        <v>0.9011</v>
      </c>
      <c r="F46" s="3225" t="n">
        <v>0.9011</v>
      </c>
      <c r="G46" s="3225" t="n">
        <v>0.9011</v>
      </c>
      <c r="H46" s="3225" t="n">
        <v>0.9011</v>
      </c>
      <c r="I46" s="3225" t="n">
        <v>0.7957</v>
      </c>
      <c r="J46" s="3225" t="n">
        <v>0.7957</v>
      </c>
      <c r="K46" s="3225" t="n">
        <v>0.7957</v>
      </c>
      <c r="L46" s="3225" t="n">
        <v>0.7957</v>
      </c>
      <c r="M46" s="3226" t="n">
        <v>0.7957</v>
      </c>
    </row>
    <row r="47" customFormat="false" ht="13.5" hidden="false" customHeight="false" outlineLevel="0" collapsed="false">
      <c r="A47" s="3224" t="n">
        <v>5.4</v>
      </c>
      <c r="B47" s="3225" t="n">
        <v>0.9516</v>
      </c>
      <c r="C47" s="3225" t="n">
        <v>0.9516</v>
      </c>
      <c r="D47" s="3225" t="n">
        <v>0.8987</v>
      </c>
      <c r="E47" s="3225" t="n">
        <v>0.8987</v>
      </c>
      <c r="F47" s="3225" t="n">
        <v>0.8987</v>
      </c>
      <c r="G47" s="3225" t="n">
        <v>0.8987</v>
      </c>
      <c r="H47" s="3225" t="n">
        <v>0.8987</v>
      </c>
      <c r="I47" s="3225" t="n">
        <v>0.792</v>
      </c>
      <c r="J47" s="3225" t="n">
        <v>0.792</v>
      </c>
      <c r="K47" s="3225" t="n">
        <v>0.792</v>
      </c>
      <c r="L47" s="3225" t="n">
        <v>0.792</v>
      </c>
      <c r="M47" s="3226" t="n">
        <v>0.792</v>
      </c>
    </row>
    <row r="48" customFormat="false" ht="13.5" hidden="false" customHeight="false" outlineLevel="0" collapsed="false">
      <c r="A48" s="3224" t="n">
        <v>5.5</v>
      </c>
      <c r="B48" s="3225" t="n">
        <v>0.9498</v>
      </c>
      <c r="C48" s="3225" t="n">
        <v>0.9498</v>
      </c>
      <c r="D48" s="3225" t="n">
        <v>0.8963</v>
      </c>
      <c r="E48" s="3225" t="n">
        <v>0.8963</v>
      </c>
      <c r="F48" s="3225" t="n">
        <v>0.8963</v>
      </c>
      <c r="G48" s="3225" t="n">
        <v>0.8963</v>
      </c>
      <c r="H48" s="3225" t="n">
        <v>0.8963</v>
      </c>
      <c r="I48" s="3225" t="n">
        <v>0.7883</v>
      </c>
      <c r="J48" s="3225" t="n">
        <v>0.7883</v>
      </c>
      <c r="K48" s="3225" t="n">
        <v>0.7883</v>
      </c>
      <c r="L48" s="3225" t="n">
        <v>0.7883</v>
      </c>
      <c r="M48" s="3226" t="n">
        <v>0.7883</v>
      </c>
    </row>
    <row r="49" customFormat="false" ht="13.5" hidden="false" customHeight="false" outlineLevel="0" collapsed="false">
      <c r="A49" s="3224" t="n">
        <v>5.6</v>
      </c>
      <c r="B49" s="3225" t="n">
        <v>0.948</v>
      </c>
      <c r="C49" s="3225" t="n">
        <v>0.948</v>
      </c>
      <c r="D49" s="3225" t="n">
        <v>0.8939</v>
      </c>
      <c r="E49" s="3225" t="n">
        <v>0.8939</v>
      </c>
      <c r="F49" s="3225" t="n">
        <v>0.8939</v>
      </c>
      <c r="G49" s="3225" t="n">
        <v>0.8939</v>
      </c>
      <c r="H49" s="3225" t="n">
        <v>0.8939</v>
      </c>
      <c r="I49" s="3225" t="n">
        <v>0.7847</v>
      </c>
      <c r="J49" s="3225" t="n">
        <v>0.7847</v>
      </c>
      <c r="K49" s="3225" t="n">
        <v>0.7847</v>
      </c>
      <c r="L49" s="3225" t="n">
        <v>0.7847</v>
      </c>
      <c r="M49" s="3226" t="n">
        <v>0.7847</v>
      </c>
    </row>
    <row r="50" customFormat="false" ht="13.5" hidden="false" customHeight="false" outlineLevel="0" collapsed="false">
      <c r="A50" s="3228" t="n">
        <v>5.7</v>
      </c>
      <c r="B50" s="3225" t="n">
        <v>0.9462</v>
      </c>
      <c r="C50" s="3225" t="n">
        <v>0.9462</v>
      </c>
      <c r="D50" s="3225" t="n">
        <v>0.8915</v>
      </c>
      <c r="E50" s="3225" t="n">
        <v>0.8915</v>
      </c>
      <c r="F50" s="3225" t="n">
        <v>0.8915</v>
      </c>
      <c r="G50" s="3225" t="n">
        <v>0.8915</v>
      </c>
      <c r="H50" s="3225" t="n">
        <v>0.8915</v>
      </c>
      <c r="I50" s="3225" t="n">
        <v>0.7811</v>
      </c>
      <c r="J50" s="3225" t="n">
        <v>0.7811</v>
      </c>
      <c r="K50" s="3225" t="n">
        <v>0.7811</v>
      </c>
      <c r="L50" s="3225" t="n">
        <v>0.7811</v>
      </c>
      <c r="M50" s="3226" t="n">
        <v>0.7811</v>
      </c>
    </row>
    <row r="51" customFormat="false" ht="13.5" hidden="false" customHeight="false" outlineLevel="0" collapsed="false">
      <c r="A51" s="3224" t="n">
        <v>5.8</v>
      </c>
      <c r="B51" s="3225" t="n">
        <v>0.9445</v>
      </c>
      <c r="C51" s="3225" t="n">
        <v>0.9445</v>
      </c>
      <c r="D51" s="3225" t="n">
        <v>0.8892</v>
      </c>
      <c r="E51" s="3225" t="n">
        <v>0.8892</v>
      </c>
      <c r="F51" s="3225" t="n">
        <v>0.8892</v>
      </c>
      <c r="G51" s="3225" t="n">
        <v>0.8892</v>
      </c>
      <c r="H51" s="3225" t="n">
        <v>0.8892</v>
      </c>
      <c r="I51" s="3225" t="n">
        <v>0.7776</v>
      </c>
      <c r="J51" s="3225" t="n">
        <v>0.7776</v>
      </c>
      <c r="K51" s="3225" t="n">
        <v>0.7776</v>
      </c>
      <c r="L51" s="3225" t="n">
        <v>0.7776</v>
      </c>
      <c r="M51" s="3226" t="n">
        <v>0.7776</v>
      </c>
    </row>
    <row r="52" customFormat="false" ht="13.5" hidden="false" customHeight="false" outlineLevel="0" collapsed="false">
      <c r="A52" s="3224" t="n">
        <v>5.9</v>
      </c>
      <c r="B52" s="3225" t="n">
        <v>0.9428</v>
      </c>
      <c r="C52" s="3225" t="n">
        <v>0.9428</v>
      </c>
      <c r="D52" s="3225" t="n">
        <v>0.8869</v>
      </c>
      <c r="E52" s="3225" t="n">
        <v>0.8869</v>
      </c>
      <c r="F52" s="3225" t="n">
        <v>0.8869</v>
      </c>
      <c r="G52" s="3225" t="n">
        <v>0.8869</v>
      </c>
      <c r="H52" s="3225" t="n">
        <v>0.8869</v>
      </c>
      <c r="I52" s="3225" t="n">
        <v>0.7741</v>
      </c>
      <c r="J52" s="3225" t="n">
        <v>0.7741</v>
      </c>
      <c r="K52" s="3225" t="n">
        <v>0.7741</v>
      </c>
      <c r="L52" s="3225" t="n">
        <v>0.7741</v>
      </c>
      <c r="M52" s="3226" t="n">
        <v>0.7741</v>
      </c>
    </row>
    <row r="53" customFormat="false" ht="13.5" hidden="false" customHeight="false" outlineLevel="0" collapsed="false">
      <c r="A53" s="3224" t="n">
        <v>6</v>
      </c>
      <c r="B53" s="3225" t="n">
        <v>0.9411</v>
      </c>
      <c r="C53" s="3225" t="n">
        <v>0.9411</v>
      </c>
      <c r="D53" s="3225" t="n">
        <v>0.8846</v>
      </c>
      <c r="E53" s="3225" t="n">
        <v>0.8846</v>
      </c>
      <c r="F53" s="3225" t="n">
        <v>0.8846</v>
      </c>
      <c r="G53" s="3225" t="n">
        <v>0.8846</v>
      </c>
      <c r="H53" s="3225" t="n">
        <v>0.8846</v>
      </c>
      <c r="I53" s="3225" t="n">
        <v>0.7707</v>
      </c>
      <c r="J53" s="3225" t="n">
        <v>0.7707</v>
      </c>
      <c r="K53" s="3225" t="n">
        <v>0.7707</v>
      </c>
      <c r="L53" s="3225" t="n">
        <v>0.7707</v>
      </c>
      <c r="M53" s="3226" t="n">
        <v>0.7707</v>
      </c>
    </row>
    <row r="54" customFormat="false" ht="13.5" hidden="false" customHeight="false" outlineLevel="0" collapsed="false">
      <c r="A54" s="3224" t="n">
        <v>6.1</v>
      </c>
      <c r="B54" s="3225" t="n">
        <v>0.9394</v>
      </c>
      <c r="C54" s="3225" t="n">
        <v>0.9394</v>
      </c>
      <c r="D54" s="3225" t="n">
        <v>0.8823</v>
      </c>
      <c r="E54" s="3225" t="n">
        <v>0.8823</v>
      </c>
      <c r="F54" s="3225" t="n">
        <v>0.8823</v>
      </c>
      <c r="G54" s="3225" t="n">
        <v>0.8823</v>
      </c>
      <c r="H54" s="3225" t="n">
        <v>0.8823</v>
      </c>
      <c r="I54" s="3225" t="n">
        <v>0.7673</v>
      </c>
      <c r="J54" s="3225" t="n">
        <v>0.7673</v>
      </c>
      <c r="K54" s="3225" t="n">
        <v>0.7673</v>
      </c>
      <c r="L54" s="3225" t="n">
        <v>0.7673</v>
      </c>
      <c r="M54" s="3226" t="n">
        <v>0.7673</v>
      </c>
    </row>
    <row r="55" customFormat="false" ht="13.5" hidden="false" customHeight="false" outlineLevel="0" collapsed="false">
      <c r="A55" s="3224" t="n">
        <v>6.2</v>
      </c>
      <c r="B55" s="3225" t="n">
        <v>0.9377</v>
      </c>
      <c r="C55" s="3225" t="n">
        <v>0.9377</v>
      </c>
      <c r="D55" s="3225" t="n">
        <v>0.88</v>
      </c>
      <c r="E55" s="3225" t="n">
        <v>0.88</v>
      </c>
      <c r="F55" s="3225" t="n">
        <v>0.88</v>
      </c>
      <c r="G55" s="3225" t="n">
        <v>0.88</v>
      </c>
      <c r="H55" s="3225" t="n">
        <v>0.88</v>
      </c>
      <c r="I55" s="3225" t="n">
        <v>0.764</v>
      </c>
      <c r="J55" s="3225" t="n">
        <v>0.764</v>
      </c>
      <c r="K55" s="3225" t="n">
        <v>0.764</v>
      </c>
      <c r="L55" s="3225" t="n">
        <v>0.764</v>
      </c>
      <c r="M55" s="3226" t="n">
        <v>0.764</v>
      </c>
    </row>
    <row r="56" customFormat="false" ht="13.5" hidden="false" customHeight="false" outlineLevel="0" collapsed="false">
      <c r="A56" s="3224" t="n">
        <v>6.3</v>
      </c>
      <c r="B56" s="3225" t="n">
        <v>0.9361</v>
      </c>
      <c r="C56" s="3225" t="n">
        <v>0.9361</v>
      </c>
      <c r="D56" s="3225" t="n">
        <v>0.8778</v>
      </c>
      <c r="E56" s="3225" t="n">
        <v>0.8778</v>
      </c>
      <c r="F56" s="3225" t="n">
        <v>0.8778</v>
      </c>
      <c r="G56" s="3225" t="n">
        <v>0.8778</v>
      </c>
      <c r="H56" s="3225" t="n">
        <v>0.8778</v>
      </c>
      <c r="I56" s="3225" t="n">
        <v>0.7607</v>
      </c>
      <c r="J56" s="3225" t="n">
        <v>0.7607</v>
      </c>
      <c r="K56" s="3225" t="n">
        <v>0.7607</v>
      </c>
      <c r="L56" s="3225" t="n">
        <v>0.7607</v>
      </c>
      <c r="M56" s="3226" t="n">
        <v>0.7607</v>
      </c>
    </row>
    <row r="57" customFormat="false" ht="13.5" hidden="false" customHeight="false" outlineLevel="0" collapsed="false">
      <c r="A57" s="3224" t="n">
        <v>6.4</v>
      </c>
      <c r="B57" s="3225" t="n">
        <v>0.9345</v>
      </c>
      <c r="C57" s="3225" t="n">
        <v>0.9345</v>
      </c>
      <c r="D57" s="3225" t="n">
        <v>0.8756</v>
      </c>
      <c r="E57" s="3225" t="n">
        <v>0.8756</v>
      </c>
      <c r="F57" s="3225" t="n">
        <v>0.8756</v>
      </c>
      <c r="G57" s="3225" t="n">
        <v>0.8756</v>
      </c>
      <c r="H57" s="3225" t="n">
        <v>0.8756</v>
      </c>
      <c r="I57" s="3225" t="n">
        <v>0.7575</v>
      </c>
      <c r="J57" s="3225" t="n">
        <v>0.7575</v>
      </c>
      <c r="K57" s="3225" t="n">
        <v>0.7575</v>
      </c>
      <c r="L57" s="3225" t="n">
        <v>0.7575</v>
      </c>
      <c r="M57" s="3226" t="n">
        <v>0.7575</v>
      </c>
    </row>
    <row r="58" customFormat="false" ht="13.5" hidden="false" customHeight="false" outlineLevel="0" collapsed="false">
      <c r="A58" s="3224" t="n">
        <v>6.5</v>
      </c>
      <c r="B58" s="3225" t="n">
        <v>0.9329</v>
      </c>
      <c r="C58" s="3225" t="n">
        <v>0.9329</v>
      </c>
      <c r="D58" s="3225" t="n">
        <v>0.8734</v>
      </c>
      <c r="E58" s="3225" t="n">
        <v>0.8734</v>
      </c>
      <c r="F58" s="3225" t="n">
        <v>0.8734</v>
      </c>
      <c r="G58" s="3225" t="n">
        <v>0.8734</v>
      </c>
      <c r="H58" s="3225" t="n">
        <v>0.8734</v>
      </c>
      <c r="I58" s="3225" t="n">
        <v>0.7543</v>
      </c>
      <c r="J58" s="3225" t="n">
        <v>0.7543</v>
      </c>
      <c r="K58" s="3225" t="n">
        <v>0.7543</v>
      </c>
      <c r="L58" s="3225" t="n">
        <v>0.7543</v>
      </c>
      <c r="M58" s="3226" t="n">
        <v>0.7543</v>
      </c>
    </row>
    <row r="59" customFormat="false" ht="13.5" hidden="false" customHeight="false" outlineLevel="0" collapsed="false">
      <c r="A59" s="3224" t="n">
        <v>6.6</v>
      </c>
      <c r="B59" s="3225" t="n">
        <v>0.9313</v>
      </c>
      <c r="C59" s="3225" t="n">
        <v>0.9313</v>
      </c>
      <c r="D59" s="3225" t="n">
        <v>0.8712</v>
      </c>
      <c r="E59" s="3225" t="n">
        <v>0.8712</v>
      </c>
      <c r="F59" s="3225" t="n">
        <v>0.8712</v>
      </c>
      <c r="G59" s="3225" t="n">
        <v>0.8712</v>
      </c>
      <c r="H59" s="3225" t="n">
        <v>0.8712</v>
      </c>
      <c r="I59" s="3225" t="n">
        <v>0.7512</v>
      </c>
      <c r="J59" s="3225" t="n">
        <v>0.7512</v>
      </c>
      <c r="K59" s="3225" t="n">
        <v>0.7512</v>
      </c>
      <c r="L59" s="3225" t="n">
        <v>0.7512</v>
      </c>
      <c r="M59" s="3226" t="n">
        <v>0.7512</v>
      </c>
    </row>
    <row r="60" customFormat="false" ht="13.5" hidden="false" customHeight="false" outlineLevel="0" collapsed="false">
      <c r="A60" s="3224" t="n">
        <v>6.7</v>
      </c>
      <c r="B60" s="3225" t="n">
        <v>0.9297</v>
      </c>
      <c r="C60" s="3225" t="n">
        <v>0.9297</v>
      </c>
      <c r="D60" s="3225" t="n">
        <v>0.869</v>
      </c>
      <c r="E60" s="3225" t="n">
        <v>0.869</v>
      </c>
      <c r="F60" s="3225" t="n">
        <v>0.869</v>
      </c>
      <c r="G60" s="3225" t="n">
        <v>0.869</v>
      </c>
      <c r="H60" s="3225" t="n">
        <v>0.869</v>
      </c>
      <c r="I60" s="3225" t="n">
        <v>0.7481</v>
      </c>
      <c r="J60" s="3225" t="n">
        <v>0.7481</v>
      </c>
      <c r="K60" s="3225" t="n">
        <v>0.7481</v>
      </c>
      <c r="L60" s="3225" t="n">
        <v>0.7481</v>
      </c>
      <c r="M60" s="3226" t="n">
        <v>0.7481</v>
      </c>
    </row>
    <row r="61" customFormat="false" ht="13.5" hidden="false" customHeight="false" outlineLevel="0" collapsed="false">
      <c r="A61" s="3224" t="n">
        <v>6.8</v>
      </c>
      <c r="B61" s="3225" t="n">
        <v>0.9282</v>
      </c>
      <c r="C61" s="3225" t="n">
        <v>0.9282</v>
      </c>
      <c r="D61" s="3225" t="n">
        <v>0.8669</v>
      </c>
      <c r="E61" s="3225" t="n">
        <v>0.8669</v>
      </c>
      <c r="F61" s="3225" t="n">
        <v>0.8669</v>
      </c>
      <c r="G61" s="3225" t="n">
        <v>0.8669</v>
      </c>
      <c r="H61" s="3225" t="n">
        <v>0.8669</v>
      </c>
      <c r="I61" s="3225" t="n">
        <v>0.7451</v>
      </c>
      <c r="J61" s="3225" t="n">
        <v>0.7451</v>
      </c>
      <c r="K61" s="3225" t="n">
        <v>0.7451</v>
      </c>
      <c r="L61" s="3225" t="n">
        <v>0.7451</v>
      </c>
      <c r="M61" s="3226" t="n">
        <v>0.7451</v>
      </c>
    </row>
    <row r="62" customFormat="false" ht="13.5" hidden="false" customHeight="false" outlineLevel="0" collapsed="false">
      <c r="A62" s="3224" t="n">
        <v>6.9</v>
      </c>
      <c r="B62" s="3225" t="n">
        <v>0.9267</v>
      </c>
      <c r="C62" s="3225" t="n">
        <v>0.9267</v>
      </c>
      <c r="D62" s="3225" t="n">
        <v>0.8648</v>
      </c>
      <c r="E62" s="3225" t="n">
        <v>0.8648</v>
      </c>
      <c r="F62" s="3225" t="n">
        <v>0.8648</v>
      </c>
      <c r="G62" s="3225" t="n">
        <v>0.8648</v>
      </c>
      <c r="H62" s="3225" t="n">
        <v>0.8648</v>
      </c>
      <c r="I62" s="3225" t="n">
        <v>0.7421</v>
      </c>
      <c r="J62" s="3225" t="n">
        <v>0.7421</v>
      </c>
      <c r="K62" s="3225" t="n">
        <v>0.7421</v>
      </c>
      <c r="L62" s="3225" t="n">
        <v>0.7421</v>
      </c>
      <c r="M62" s="3226" t="n">
        <v>0.7421</v>
      </c>
    </row>
    <row r="63" customFormat="false" ht="13.5" hidden="false" customHeight="false" outlineLevel="0" collapsed="false">
      <c r="A63" s="3224" t="n">
        <v>7</v>
      </c>
      <c r="B63" s="3225" t="n">
        <v>0.9252</v>
      </c>
      <c r="C63" s="3225" t="n">
        <v>0.9252</v>
      </c>
      <c r="D63" s="3225" t="n">
        <v>0.8627</v>
      </c>
      <c r="E63" s="3225" t="n">
        <v>0.8627</v>
      </c>
      <c r="F63" s="3225" t="n">
        <v>0.8627</v>
      </c>
      <c r="G63" s="3225" t="n">
        <v>0.8627</v>
      </c>
      <c r="H63" s="3225" t="n">
        <v>0.8627</v>
      </c>
      <c r="I63" s="3225" t="n">
        <v>0.7392</v>
      </c>
      <c r="J63" s="3225" t="n">
        <v>0.7392</v>
      </c>
      <c r="K63" s="3225" t="n">
        <v>0.7392</v>
      </c>
      <c r="L63" s="3225" t="n">
        <v>0.7392</v>
      </c>
      <c r="M63" s="3226" t="n">
        <v>0.7392</v>
      </c>
    </row>
    <row r="64" customFormat="false" ht="13.5" hidden="false" customHeight="false" outlineLevel="0" collapsed="false">
      <c r="A64" s="3224" t="n">
        <v>7.1</v>
      </c>
      <c r="B64" s="3225" t="n">
        <v>0.9237</v>
      </c>
      <c r="C64" s="3225" t="n">
        <v>0.9237</v>
      </c>
      <c r="D64" s="3225" t="n">
        <v>0.8606</v>
      </c>
      <c r="E64" s="3225" t="n">
        <v>0.8606</v>
      </c>
      <c r="F64" s="3225" t="n">
        <v>0.8606</v>
      </c>
      <c r="G64" s="3225" t="n">
        <v>0.8606</v>
      </c>
      <c r="H64" s="3225" t="n">
        <v>0.8606</v>
      </c>
      <c r="I64" s="3225" t="n">
        <v>0.7363</v>
      </c>
      <c r="J64" s="3225" t="n">
        <v>0.7363</v>
      </c>
      <c r="K64" s="3225" t="n">
        <v>0.7363</v>
      </c>
      <c r="L64" s="3225" t="n">
        <v>0.7363</v>
      </c>
      <c r="M64" s="3226" t="n">
        <v>0.7363</v>
      </c>
    </row>
    <row r="65" customFormat="false" ht="13.5" hidden="false" customHeight="false" outlineLevel="0" collapsed="false">
      <c r="A65" s="3224" t="n">
        <v>7.2</v>
      </c>
      <c r="B65" s="3225" t="n">
        <v>0.9222</v>
      </c>
      <c r="C65" s="3225" t="n">
        <v>0.9222</v>
      </c>
      <c r="D65" s="3225" t="n">
        <v>0.8585</v>
      </c>
      <c r="E65" s="3225" t="n">
        <v>0.8585</v>
      </c>
      <c r="F65" s="3225" t="n">
        <v>0.8585</v>
      </c>
      <c r="G65" s="3225" t="n">
        <v>0.8585</v>
      </c>
      <c r="H65" s="3225" t="n">
        <v>0.8585</v>
      </c>
      <c r="I65" s="3225" t="n">
        <v>0.7335</v>
      </c>
      <c r="J65" s="3225" t="n">
        <v>0.7335</v>
      </c>
      <c r="K65" s="3225" t="n">
        <v>0.7335</v>
      </c>
      <c r="L65" s="3225" t="n">
        <v>0.7335</v>
      </c>
      <c r="M65" s="3226" t="n">
        <v>0.7335</v>
      </c>
    </row>
    <row r="66" customFormat="false" ht="13.5" hidden="false" customHeight="false" outlineLevel="0" collapsed="false">
      <c r="A66" s="3224" t="n">
        <v>7.3</v>
      </c>
      <c r="B66" s="3225" t="n">
        <v>0.9207</v>
      </c>
      <c r="C66" s="3225" t="n">
        <v>0.9207</v>
      </c>
      <c r="D66" s="3225" t="n">
        <v>0.8565</v>
      </c>
      <c r="E66" s="3225" t="n">
        <v>0.8565</v>
      </c>
      <c r="F66" s="3225" t="n">
        <v>0.8565</v>
      </c>
      <c r="G66" s="3225" t="n">
        <v>0.8565</v>
      </c>
      <c r="H66" s="3225" t="n">
        <v>0.8565</v>
      </c>
      <c r="I66" s="3225" t="n">
        <v>0.7307</v>
      </c>
      <c r="J66" s="3225" t="n">
        <v>0.7307</v>
      </c>
      <c r="K66" s="3225" t="n">
        <v>0.7307</v>
      </c>
      <c r="L66" s="3225" t="n">
        <v>0.7307</v>
      </c>
      <c r="M66" s="3226" t="n">
        <v>0.7307</v>
      </c>
    </row>
    <row r="67" customFormat="false" ht="13.5" hidden="false" customHeight="false" outlineLevel="0" collapsed="false">
      <c r="A67" s="3224" t="n">
        <v>7.4</v>
      </c>
      <c r="B67" s="3225" t="n">
        <v>0.9193</v>
      </c>
      <c r="C67" s="3225" t="n">
        <v>0.9193</v>
      </c>
      <c r="D67" s="3225" t="n">
        <v>0.8545</v>
      </c>
      <c r="E67" s="3225" t="n">
        <v>0.8545</v>
      </c>
      <c r="F67" s="3225" t="n">
        <v>0.8545</v>
      </c>
      <c r="G67" s="3225" t="n">
        <v>0.8545</v>
      </c>
      <c r="H67" s="3225" t="n">
        <v>0.8545</v>
      </c>
      <c r="I67" s="3225" t="n">
        <v>0.728</v>
      </c>
      <c r="J67" s="3225" t="n">
        <v>0.728</v>
      </c>
      <c r="K67" s="3225" t="n">
        <v>0.728</v>
      </c>
      <c r="L67" s="3225" t="n">
        <v>0.728</v>
      </c>
      <c r="M67" s="3226" t="n">
        <v>0.728</v>
      </c>
    </row>
    <row r="68" customFormat="false" ht="13.5" hidden="false" customHeight="false" outlineLevel="0" collapsed="false">
      <c r="A68" s="3224" t="n">
        <v>7.5</v>
      </c>
      <c r="B68" s="3225" t="n">
        <v>0.9179</v>
      </c>
      <c r="C68" s="3225" t="n">
        <v>0.9179</v>
      </c>
      <c r="D68" s="3225" t="n">
        <v>0.8525</v>
      </c>
      <c r="E68" s="3225" t="n">
        <v>0.8525</v>
      </c>
      <c r="F68" s="3225" t="n">
        <v>0.8525</v>
      </c>
      <c r="G68" s="3225" t="n">
        <v>0.8525</v>
      </c>
      <c r="H68" s="3225" t="n">
        <v>0.8525</v>
      </c>
      <c r="I68" s="3225" t="n">
        <v>0.7253</v>
      </c>
      <c r="J68" s="3225" t="n">
        <v>0.7253</v>
      </c>
      <c r="K68" s="3225" t="n">
        <v>0.7253</v>
      </c>
      <c r="L68" s="3225" t="n">
        <v>0.7253</v>
      </c>
      <c r="M68" s="3226" t="n">
        <v>0.7253</v>
      </c>
    </row>
    <row r="69" customFormat="false" ht="13.5" hidden="false" customHeight="false" outlineLevel="0" collapsed="false">
      <c r="A69" s="3224" t="n">
        <v>7.6</v>
      </c>
      <c r="B69" s="3225" t="n">
        <v>0.9165</v>
      </c>
      <c r="C69" s="3225" t="n">
        <v>0.9165</v>
      </c>
      <c r="D69" s="3225" t="n">
        <v>0.8505</v>
      </c>
      <c r="E69" s="3225" t="n">
        <v>0.8505</v>
      </c>
      <c r="F69" s="3225" t="n">
        <v>0.8505</v>
      </c>
      <c r="G69" s="3225" t="n">
        <v>0.8505</v>
      </c>
      <c r="H69" s="3225" t="n">
        <v>0.8505</v>
      </c>
      <c r="I69" s="3225" t="n">
        <v>0.7226</v>
      </c>
      <c r="J69" s="3225" t="n">
        <v>0.7226</v>
      </c>
      <c r="K69" s="3225" t="n">
        <v>0.7226</v>
      </c>
      <c r="L69" s="3225" t="n">
        <v>0.7226</v>
      </c>
      <c r="M69" s="3226" t="n">
        <v>0.7226</v>
      </c>
    </row>
    <row r="70" customFormat="false" ht="13.5" hidden="false" customHeight="false" outlineLevel="0" collapsed="false">
      <c r="A70" s="3224" t="n">
        <v>7.7</v>
      </c>
      <c r="B70" s="3225" t="n">
        <v>0.9151</v>
      </c>
      <c r="C70" s="3225" t="n">
        <v>0.9151</v>
      </c>
      <c r="D70" s="3225" t="n">
        <v>0.8485</v>
      </c>
      <c r="E70" s="3225" t="n">
        <v>0.8485</v>
      </c>
      <c r="F70" s="3225" t="n">
        <v>0.8485</v>
      </c>
      <c r="G70" s="3225" t="n">
        <v>0.8485</v>
      </c>
      <c r="H70" s="3225" t="n">
        <v>0.8485</v>
      </c>
      <c r="I70" s="3225" t="n">
        <v>0.72</v>
      </c>
      <c r="J70" s="3225" t="n">
        <v>0.72</v>
      </c>
      <c r="K70" s="3225" t="n">
        <v>0.72</v>
      </c>
      <c r="L70" s="3225" t="n">
        <v>0.72</v>
      </c>
      <c r="M70" s="3226" t="n">
        <v>0.72</v>
      </c>
    </row>
    <row r="71" customFormat="false" ht="13.5" hidden="false" customHeight="false" outlineLevel="0" collapsed="false">
      <c r="A71" s="3224" t="n">
        <v>7.8</v>
      </c>
      <c r="B71" s="3225" t="n">
        <v>0.9137</v>
      </c>
      <c r="C71" s="3225" t="n">
        <v>0.9137</v>
      </c>
      <c r="D71" s="3225" t="n">
        <v>0.8466</v>
      </c>
      <c r="E71" s="3225" t="n">
        <v>0.8466</v>
      </c>
      <c r="F71" s="3225" t="n">
        <v>0.8466</v>
      </c>
      <c r="G71" s="3225" t="n">
        <v>0.8466</v>
      </c>
      <c r="H71" s="3225" t="n">
        <v>0.8466</v>
      </c>
      <c r="I71" s="3225" t="n">
        <v>0.7174</v>
      </c>
      <c r="J71" s="3225" t="n">
        <v>0.7174</v>
      </c>
      <c r="K71" s="3225" t="n">
        <v>0.7174</v>
      </c>
      <c r="L71" s="3225" t="n">
        <v>0.7174</v>
      </c>
      <c r="M71" s="3226" t="n">
        <v>0.7174</v>
      </c>
    </row>
    <row r="72" customFormat="false" ht="13.5" hidden="false" customHeight="false" outlineLevel="0" collapsed="false">
      <c r="A72" s="3224" t="n">
        <v>7.9</v>
      </c>
      <c r="B72" s="3225" t="n">
        <v>0.9123</v>
      </c>
      <c r="C72" s="3225" t="n">
        <v>0.9123</v>
      </c>
      <c r="D72" s="3225" t="n">
        <v>0.8447</v>
      </c>
      <c r="E72" s="3225" t="n">
        <v>0.8447</v>
      </c>
      <c r="F72" s="3225" t="n">
        <v>0.8447</v>
      </c>
      <c r="G72" s="3225" t="n">
        <v>0.8447</v>
      </c>
      <c r="H72" s="3225" t="n">
        <v>0.8447</v>
      </c>
      <c r="I72" s="3225" t="n">
        <v>0.7148</v>
      </c>
      <c r="J72" s="3225" t="n">
        <v>0.7148</v>
      </c>
      <c r="K72" s="3225" t="n">
        <v>0.7148</v>
      </c>
      <c r="L72" s="3225" t="n">
        <v>0.7148</v>
      </c>
      <c r="M72" s="3226" t="n">
        <v>0.7148</v>
      </c>
    </row>
    <row r="73" customFormat="false" ht="13.5" hidden="false" customHeight="false" outlineLevel="0" collapsed="false">
      <c r="A73" s="3224" t="n">
        <v>8</v>
      </c>
      <c r="B73" s="3225" t="n">
        <v>0.9109</v>
      </c>
      <c r="C73" s="3225" t="n">
        <v>0.9109</v>
      </c>
      <c r="D73" s="3225" t="n">
        <v>0.8428</v>
      </c>
      <c r="E73" s="3225" t="n">
        <v>0.8428</v>
      </c>
      <c r="F73" s="3225" t="n">
        <v>0.8428</v>
      </c>
      <c r="G73" s="3225" t="n">
        <v>0.8428</v>
      </c>
      <c r="H73" s="3225" t="n">
        <v>0.8428</v>
      </c>
      <c r="I73" s="3225" t="n">
        <v>0.7123</v>
      </c>
      <c r="J73" s="3225" t="n">
        <v>0.7123</v>
      </c>
      <c r="K73" s="3225" t="n">
        <v>0.7123</v>
      </c>
      <c r="L73" s="3225" t="n">
        <v>0.7123</v>
      </c>
      <c r="M73" s="3226" t="n">
        <v>0.7123</v>
      </c>
    </row>
    <row r="74" customFormat="false" ht="13.5" hidden="false" customHeight="false" outlineLevel="0" collapsed="false">
      <c r="A74" s="3224" t="n">
        <v>8.1</v>
      </c>
      <c r="B74" s="3225" t="n">
        <v>0.9096</v>
      </c>
      <c r="C74" s="3225" t="n">
        <v>0.9096</v>
      </c>
      <c r="D74" s="3225" t="n">
        <v>0.8409</v>
      </c>
      <c r="E74" s="3225" t="n">
        <v>0.8409</v>
      </c>
      <c r="F74" s="3225" t="n">
        <v>0.8409</v>
      </c>
      <c r="G74" s="3225" t="n">
        <v>0.8409</v>
      </c>
      <c r="H74" s="3225" t="n">
        <v>0.8409</v>
      </c>
      <c r="I74" s="3225" t="n">
        <v>0.7098</v>
      </c>
      <c r="J74" s="3225" t="n">
        <v>0.7098</v>
      </c>
      <c r="K74" s="3225" t="n">
        <v>0.7098</v>
      </c>
      <c r="L74" s="3225" t="n">
        <v>0.7098</v>
      </c>
      <c r="M74" s="3226" t="n">
        <v>0.7098</v>
      </c>
    </row>
    <row r="75" customFormat="false" ht="13.5" hidden="false" customHeight="false" outlineLevel="0" collapsed="false">
      <c r="A75" s="3224" t="n">
        <v>8.2</v>
      </c>
      <c r="B75" s="3225" t="n">
        <v>0.9083</v>
      </c>
      <c r="C75" s="3225" t="n">
        <v>0.9083</v>
      </c>
      <c r="D75" s="3225" t="n">
        <v>0.839</v>
      </c>
      <c r="E75" s="3225" t="n">
        <v>0.839</v>
      </c>
      <c r="F75" s="3225" t="n">
        <v>0.839</v>
      </c>
      <c r="G75" s="3225" t="n">
        <v>0.839</v>
      </c>
      <c r="H75" s="3225" t="n">
        <v>0.839</v>
      </c>
      <c r="I75" s="3225" t="n">
        <v>0.7073</v>
      </c>
      <c r="J75" s="3225" t="n">
        <v>0.7073</v>
      </c>
      <c r="K75" s="3225" t="n">
        <v>0.7073</v>
      </c>
      <c r="L75" s="3225" t="n">
        <v>0.7073</v>
      </c>
      <c r="M75" s="3226" t="n">
        <v>0.7073</v>
      </c>
    </row>
    <row r="76" customFormat="false" ht="13.5" hidden="false" customHeight="false" outlineLevel="0" collapsed="false">
      <c r="A76" s="3224" t="n">
        <v>8.3</v>
      </c>
      <c r="B76" s="3225" t="n">
        <v>0.907</v>
      </c>
      <c r="C76" s="3225" t="n">
        <v>0.907</v>
      </c>
      <c r="D76" s="3225" t="n">
        <v>0.8372</v>
      </c>
      <c r="E76" s="3225" t="n">
        <v>0.8372</v>
      </c>
      <c r="F76" s="3225" t="n">
        <v>0.8372</v>
      </c>
      <c r="G76" s="3225" t="n">
        <v>0.8372</v>
      </c>
      <c r="H76" s="3225" t="n">
        <v>0.8372</v>
      </c>
      <c r="I76" s="3225" t="n">
        <v>0.7049</v>
      </c>
      <c r="J76" s="3225" t="n">
        <v>0.7049</v>
      </c>
      <c r="K76" s="3225" t="n">
        <v>0.7049</v>
      </c>
      <c r="L76" s="3225" t="n">
        <v>0.7049</v>
      </c>
      <c r="M76" s="3226" t="n">
        <v>0.7049</v>
      </c>
    </row>
    <row r="77" customFormat="false" ht="13.5" hidden="false" customHeight="false" outlineLevel="0" collapsed="false">
      <c r="A77" s="3224" t="n">
        <v>8.4</v>
      </c>
      <c r="B77" s="3225" t="n">
        <v>0.9057</v>
      </c>
      <c r="C77" s="3225" t="n">
        <v>0.9057</v>
      </c>
      <c r="D77" s="3225" t="n">
        <v>0.8354</v>
      </c>
      <c r="E77" s="3225" t="n">
        <v>0.8354</v>
      </c>
      <c r="F77" s="3225" t="n">
        <v>0.8354</v>
      </c>
      <c r="G77" s="3225" t="n">
        <v>0.8354</v>
      </c>
      <c r="H77" s="3225" t="n">
        <v>0.8354</v>
      </c>
      <c r="I77" s="3225" t="n">
        <v>0.7025</v>
      </c>
      <c r="J77" s="3225" t="n">
        <v>0.7025</v>
      </c>
      <c r="K77" s="3225" t="n">
        <v>0.7025</v>
      </c>
      <c r="L77" s="3225" t="n">
        <v>0.7025</v>
      </c>
      <c r="M77" s="3226" t="n">
        <v>0.7025</v>
      </c>
    </row>
    <row r="78" customFormat="false" ht="13.5" hidden="false" customHeight="false" outlineLevel="0" collapsed="false">
      <c r="A78" s="3224" t="n">
        <v>8.5</v>
      </c>
      <c r="B78" s="3225" t="n">
        <v>0.9044</v>
      </c>
      <c r="C78" s="3225" t="n">
        <v>0.9044</v>
      </c>
      <c r="D78" s="3225" t="n">
        <v>0.8336</v>
      </c>
      <c r="E78" s="3225" t="n">
        <v>0.8336</v>
      </c>
      <c r="F78" s="3225" t="n">
        <v>0.8336</v>
      </c>
      <c r="G78" s="3225" t="n">
        <v>0.8336</v>
      </c>
      <c r="H78" s="3225" t="n">
        <v>0.8336</v>
      </c>
      <c r="I78" s="3225" t="n">
        <v>0.7001</v>
      </c>
      <c r="J78" s="3225" t="n">
        <v>0.7001</v>
      </c>
      <c r="K78" s="3225" t="n">
        <v>0.7001</v>
      </c>
      <c r="L78" s="3225" t="n">
        <v>0.7001</v>
      </c>
      <c r="M78" s="3226" t="n">
        <v>0.7001</v>
      </c>
    </row>
    <row r="79" customFormat="false" ht="13.5" hidden="false" customHeight="false" outlineLevel="0" collapsed="false">
      <c r="A79" s="3224" t="n">
        <v>8.6</v>
      </c>
      <c r="B79" s="3225" t="n">
        <v>0.9031</v>
      </c>
      <c r="C79" s="3225" t="n">
        <v>0.9031</v>
      </c>
      <c r="D79" s="3225" t="n">
        <v>0.8318</v>
      </c>
      <c r="E79" s="3225" t="n">
        <v>0.8318</v>
      </c>
      <c r="F79" s="3225" t="n">
        <v>0.8318</v>
      </c>
      <c r="G79" s="3225" t="n">
        <v>0.8318</v>
      </c>
      <c r="H79" s="3225" t="n">
        <v>0.8318</v>
      </c>
      <c r="I79" s="3225" t="n">
        <v>0.6978</v>
      </c>
      <c r="J79" s="3225" t="n">
        <v>0.6978</v>
      </c>
      <c r="K79" s="3225" t="n">
        <v>0.6978</v>
      </c>
      <c r="L79" s="3225" t="n">
        <v>0.6978</v>
      </c>
      <c r="M79" s="3226" t="n">
        <v>0.6978</v>
      </c>
    </row>
    <row r="80" customFormat="false" ht="13.5" hidden="false" customHeight="false" outlineLevel="0" collapsed="false">
      <c r="A80" s="3224" t="n">
        <v>8.7</v>
      </c>
      <c r="B80" s="3225" t="n">
        <v>0.9018</v>
      </c>
      <c r="C80" s="3225" t="n">
        <v>0.9018</v>
      </c>
      <c r="D80" s="3225" t="n">
        <v>0.83</v>
      </c>
      <c r="E80" s="3225" t="n">
        <v>0.83</v>
      </c>
      <c r="F80" s="3225" t="n">
        <v>0.83</v>
      </c>
      <c r="G80" s="3225" t="n">
        <v>0.83</v>
      </c>
      <c r="H80" s="3225" t="n">
        <v>0.83</v>
      </c>
      <c r="I80" s="3225" t="n">
        <v>0.6955</v>
      </c>
      <c r="J80" s="3225" t="n">
        <v>0.6955</v>
      </c>
      <c r="K80" s="3225" t="n">
        <v>0.6955</v>
      </c>
      <c r="L80" s="3225" t="n">
        <v>0.6955</v>
      </c>
      <c r="M80" s="3226" t="n">
        <v>0.6955</v>
      </c>
    </row>
    <row r="81" customFormat="false" ht="13.5" hidden="false" customHeight="false" outlineLevel="0" collapsed="false">
      <c r="A81" s="3224" t="n">
        <v>8.8</v>
      </c>
      <c r="B81" s="3225" t="n">
        <v>0.9006</v>
      </c>
      <c r="C81" s="3225" t="n">
        <v>0.9006</v>
      </c>
      <c r="D81" s="3225" t="n">
        <v>0.8283</v>
      </c>
      <c r="E81" s="3225" t="n">
        <v>0.8283</v>
      </c>
      <c r="F81" s="3225" t="n">
        <v>0.8283</v>
      </c>
      <c r="G81" s="3225" t="n">
        <v>0.8283</v>
      </c>
      <c r="H81" s="3225" t="n">
        <v>0.8283</v>
      </c>
      <c r="I81" s="3225" t="n">
        <v>0.6932</v>
      </c>
      <c r="J81" s="3225" t="n">
        <v>0.6932</v>
      </c>
      <c r="K81" s="3225" t="n">
        <v>0.6932</v>
      </c>
      <c r="L81" s="3225" t="n">
        <v>0.6932</v>
      </c>
      <c r="M81" s="3226" t="n">
        <v>0.6932</v>
      </c>
    </row>
    <row r="82" customFormat="false" ht="13.5" hidden="false" customHeight="false" outlineLevel="0" collapsed="false">
      <c r="A82" s="3224" t="n">
        <v>8.9</v>
      </c>
      <c r="B82" s="3225" t="n">
        <v>0.8994</v>
      </c>
      <c r="C82" s="3225" t="n">
        <v>0.8994</v>
      </c>
      <c r="D82" s="3225" t="n">
        <v>0.8266</v>
      </c>
      <c r="E82" s="3225" t="n">
        <v>0.8266</v>
      </c>
      <c r="F82" s="3225" t="n">
        <v>0.8266</v>
      </c>
      <c r="G82" s="3225" t="n">
        <v>0.8266</v>
      </c>
      <c r="H82" s="3225" t="n">
        <v>0.8266</v>
      </c>
      <c r="I82" s="3225" t="n">
        <v>0.691</v>
      </c>
      <c r="J82" s="3225" t="n">
        <v>0.691</v>
      </c>
      <c r="K82" s="3225" t="n">
        <v>0.691</v>
      </c>
      <c r="L82" s="3225" t="n">
        <v>0.691</v>
      </c>
      <c r="M82" s="3226" t="n">
        <v>0.691</v>
      </c>
    </row>
    <row r="83" customFormat="false" ht="13.5" hidden="false" customHeight="false" outlineLevel="0" collapsed="false">
      <c r="A83" s="3228" t="n">
        <v>9</v>
      </c>
      <c r="B83" s="3225" t="n">
        <v>0.8982</v>
      </c>
      <c r="C83" s="3225" t="n">
        <v>0.8982</v>
      </c>
      <c r="D83" s="3225" t="n">
        <v>0.8249</v>
      </c>
      <c r="E83" s="3225" t="n">
        <v>0.8249</v>
      </c>
      <c r="F83" s="3225" t="n">
        <v>0.8249</v>
      </c>
      <c r="G83" s="3225" t="n">
        <v>0.8249</v>
      </c>
      <c r="H83" s="3225" t="n">
        <v>0.8249</v>
      </c>
      <c r="I83" s="3225" t="n">
        <v>0.6888</v>
      </c>
      <c r="J83" s="3225" t="n">
        <v>0.6888</v>
      </c>
      <c r="K83" s="3225" t="n">
        <v>0.6888</v>
      </c>
      <c r="L83" s="3225" t="n">
        <v>0.6888</v>
      </c>
      <c r="M83" s="3226" t="n">
        <v>0.6888</v>
      </c>
    </row>
    <row r="84" customFormat="false" ht="13.5" hidden="false" customHeight="false" outlineLevel="0" collapsed="false">
      <c r="A84" s="3228" t="n">
        <v>9.1</v>
      </c>
      <c r="B84" s="3225" t="n">
        <v>0.897</v>
      </c>
      <c r="C84" s="3225" t="n">
        <v>0.897</v>
      </c>
      <c r="D84" s="3225" t="n">
        <v>0.8232</v>
      </c>
      <c r="E84" s="3225" t="n">
        <v>0.8232</v>
      </c>
      <c r="F84" s="3225" t="n">
        <v>0.8232</v>
      </c>
      <c r="G84" s="3225" t="n">
        <v>0.8232</v>
      </c>
      <c r="H84" s="3225" t="n">
        <v>0.8232</v>
      </c>
      <c r="I84" s="3225" t="n">
        <v>0.6866</v>
      </c>
      <c r="J84" s="3225" t="n">
        <v>0.6866</v>
      </c>
      <c r="K84" s="3225" t="n">
        <v>0.6866</v>
      </c>
      <c r="L84" s="3225" t="n">
        <v>0.6866</v>
      </c>
      <c r="M84" s="3226" t="n">
        <v>0.6866</v>
      </c>
    </row>
    <row r="85" customFormat="false" ht="13.5" hidden="false" customHeight="false" outlineLevel="0" collapsed="false">
      <c r="A85" s="3228" t="n">
        <v>9.2</v>
      </c>
      <c r="B85" s="3225" t="n">
        <v>0.8958</v>
      </c>
      <c r="C85" s="3225" t="n">
        <v>0.8958</v>
      </c>
      <c r="D85" s="3225" t="n">
        <v>0.8215</v>
      </c>
      <c r="E85" s="3225" t="n">
        <v>0.8215</v>
      </c>
      <c r="F85" s="3225" t="n">
        <v>0.8215</v>
      </c>
      <c r="G85" s="3225" t="n">
        <v>0.8215</v>
      </c>
      <c r="H85" s="3225" t="n">
        <v>0.8215</v>
      </c>
      <c r="I85" s="3225" t="n">
        <v>0.6845</v>
      </c>
      <c r="J85" s="3225" t="n">
        <v>0.6845</v>
      </c>
      <c r="K85" s="3225" t="n">
        <v>0.6845</v>
      </c>
      <c r="L85" s="3225" t="n">
        <v>0.6845</v>
      </c>
      <c r="M85" s="3226" t="n">
        <v>0.6845</v>
      </c>
    </row>
    <row r="86" customFormat="false" ht="13.5" hidden="false" customHeight="false" outlineLevel="0" collapsed="false">
      <c r="A86" s="3228" t="n">
        <v>9.3</v>
      </c>
      <c r="B86" s="3225" t="n">
        <v>0.8946</v>
      </c>
      <c r="C86" s="3225" t="n">
        <v>0.8946</v>
      </c>
      <c r="D86" s="3225" t="n">
        <v>0.8199</v>
      </c>
      <c r="E86" s="3225" t="n">
        <v>0.8199</v>
      </c>
      <c r="F86" s="3225" t="n">
        <v>0.8199</v>
      </c>
      <c r="G86" s="3225" t="n">
        <v>0.8199</v>
      </c>
      <c r="H86" s="3225" t="n">
        <v>0.8199</v>
      </c>
      <c r="I86" s="3225" t="n">
        <v>0.6824</v>
      </c>
      <c r="J86" s="3225" t="n">
        <v>0.6824</v>
      </c>
      <c r="K86" s="3225" t="n">
        <v>0.6824</v>
      </c>
      <c r="L86" s="3225" t="n">
        <v>0.6824</v>
      </c>
      <c r="M86" s="3226" t="n">
        <v>0.6824</v>
      </c>
    </row>
    <row r="87" customFormat="false" ht="13.5" hidden="false" customHeight="false" outlineLevel="0" collapsed="false">
      <c r="A87" s="3228" t="n">
        <v>9.4</v>
      </c>
      <c r="B87" s="3225" t="n">
        <v>0.8934</v>
      </c>
      <c r="C87" s="3225" t="n">
        <v>0.8934</v>
      </c>
      <c r="D87" s="3225" t="n">
        <v>0.8183</v>
      </c>
      <c r="E87" s="3225" t="n">
        <v>0.8183</v>
      </c>
      <c r="F87" s="3225" t="n">
        <v>0.8183</v>
      </c>
      <c r="G87" s="3225" t="n">
        <v>0.8183</v>
      </c>
      <c r="H87" s="3225" t="n">
        <v>0.8183</v>
      </c>
      <c r="I87" s="3225" t="n">
        <v>0.6803</v>
      </c>
      <c r="J87" s="3225" t="n">
        <v>0.6803</v>
      </c>
      <c r="K87" s="3225" t="n">
        <v>0.6803</v>
      </c>
      <c r="L87" s="3225" t="n">
        <v>0.6803</v>
      </c>
      <c r="M87" s="3226" t="n">
        <v>0.6803</v>
      </c>
    </row>
    <row r="88" customFormat="false" ht="13.5" hidden="false" customHeight="false" outlineLevel="0" collapsed="false">
      <c r="A88" s="3228" t="n">
        <v>9.5</v>
      </c>
      <c r="B88" s="3225" t="n">
        <v>0.8923</v>
      </c>
      <c r="C88" s="3225" t="n">
        <v>0.8923</v>
      </c>
      <c r="D88" s="3225" t="n">
        <v>0.8167</v>
      </c>
      <c r="E88" s="3225" t="n">
        <v>0.8167</v>
      </c>
      <c r="F88" s="3225" t="n">
        <v>0.8167</v>
      </c>
      <c r="G88" s="3225" t="n">
        <v>0.8167</v>
      </c>
      <c r="H88" s="3225" t="n">
        <v>0.8167</v>
      </c>
      <c r="I88" s="3225" t="n">
        <v>0.6783</v>
      </c>
      <c r="J88" s="3225" t="n">
        <v>0.6783</v>
      </c>
      <c r="K88" s="3225" t="n">
        <v>0.6783</v>
      </c>
      <c r="L88" s="3225" t="n">
        <v>0.6783</v>
      </c>
      <c r="M88" s="3226" t="n">
        <v>0.6783</v>
      </c>
    </row>
    <row r="89" customFormat="false" ht="13.5" hidden="false" customHeight="false" outlineLevel="0" collapsed="false">
      <c r="A89" s="3228" t="n">
        <v>9.6</v>
      </c>
      <c r="B89" s="3225" t="n">
        <v>0.8912</v>
      </c>
      <c r="C89" s="3225" t="n">
        <v>0.8912</v>
      </c>
      <c r="D89" s="3225" t="n">
        <v>0.8151</v>
      </c>
      <c r="E89" s="3225" t="n">
        <v>0.8151</v>
      </c>
      <c r="F89" s="3225" t="n">
        <v>0.8151</v>
      </c>
      <c r="G89" s="3225" t="n">
        <v>0.8151</v>
      </c>
      <c r="H89" s="3225" t="n">
        <v>0.8151</v>
      </c>
      <c r="I89" s="3225" t="n">
        <v>0.6763</v>
      </c>
      <c r="J89" s="3225" t="n">
        <v>0.6763</v>
      </c>
      <c r="K89" s="3225" t="n">
        <v>0.6763</v>
      </c>
      <c r="L89" s="3225" t="n">
        <v>0.6763</v>
      </c>
      <c r="M89" s="3226" t="n">
        <v>0.6763</v>
      </c>
    </row>
    <row r="90" customFormat="false" ht="13.5" hidden="false" customHeight="false" outlineLevel="0" collapsed="false">
      <c r="A90" s="3228" t="n">
        <v>9.7</v>
      </c>
      <c r="B90" s="3225" t="n">
        <v>0.8901</v>
      </c>
      <c r="C90" s="3225" t="n">
        <v>0.8901</v>
      </c>
      <c r="D90" s="3225" t="n">
        <v>0.8135</v>
      </c>
      <c r="E90" s="3225" t="n">
        <v>0.8135</v>
      </c>
      <c r="F90" s="3225" t="n">
        <v>0.8135</v>
      </c>
      <c r="G90" s="3225" t="n">
        <v>0.8135</v>
      </c>
      <c r="H90" s="3225" t="n">
        <v>0.8135</v>
      </c>
      <c r="I90" s="3225" t="n">
        <v>0.6743</v>
      </c>
      <c r="J90" s="3225" t="n">
        <v>0.6743</v>
      </c>
      <c r="K90" s="3225" t="n">
        <v>0.6743</v>
      </c>
      <c r="L90" s="3225" t="n">
        <v>0.6743</v>
      </c>
      <c r="M90" s="3226" t="n">
        <v>0.6743</v>
      </c>
    </row>
    <row r="91" customFormat="false" ht="13.5" hidden="false" customHeight="false" outlineLevel="0" collapsed="false">
      <c r="A91" s="3228" t="n">
        <v>9.8</v>
      </c>
      <c r="B91" s="3225" t="n">
        <v>0.889</v>
      </c>
      <c r="C91" s="3225" t="n">
        <v>0.889</v>
      </c>
      <c r="D91" s="3225" t="n">
        <v>0.812</v>
      </c>
      <c r="E91" s="3225" t="n">
        <v>0.812</v>
      </c>
      <c r="F91" s="3225" t="n">
        <v>0.812</v>
      </c>
      <c r="G91" s="3225" t="n">
        <v>0.812</v>
      </c>
      <c r="H91" s="3225" t="n">
        <v>0.812</v>
      </c>
      <c r="I91" s="3225" t="n">
        <v>0.6724</v>
      </c>
      <c r="J91" s="3225" t="n">
        <v>0.6724</v>
      </c>
      <c r="K91" s="3225" t="n">
        <v>0.6724</v>
      </c>
      <c r="L91" s="3225" t="n">
        <v>0.6724</v>
      </c>
      <c r="M91" s="3226" t="n">
        <v>0.6724</v>
      </c>
    </row>
    <row r="92" customFormat="false" ht="13.5" hidden="false" customHeight="false" outlineLevel="0" collapsed="false">
      <c r="A92" s="3229" t="n">
        <v>9.9</v>
      </c>
      <c r="B92" s="3230" t="n">
        <v>0.8879</v>
      </c>
      <c r="C92" s="3230" t="n">
        <v>0.8879</v>
      </c>
      <c r="D92" s="3230" t="n">
        <v>0.8105</v>
      </c>
      <c r="E92" s="3230" t="n">
        <v>0.8105</v>
      </c>
      <c r="F92" s="3230" t="n">
        <v>0.8105</v>
      </c>
      <c r="G92" s="3230" t="n">
        <v>0.8105</v>
      </c>
      <c r="H92" s="3230" t="n">
        <v>0.8105</v>
      </c>
      <c r="I92" s="3230" t="n">
        <v>0.6705</v>
      </c>
      <c r="J92" s="3230" t="n">
        <v>0.6705</v>
      </c>
      <c r="K92" s="3230" t="n">
        <v>0.6705</v>
      </c>
      <c r="L92" s="3230" t="n">
        <v>0.6705</v>
      </c>
      <c r="M92" s="3231" t="n">
        <v>0.6705</v>
      </c>
    </row>
    <row r="93" customFormat="false" ht="14.25" hidden="false" customHeight="false" outlineLevel="0" collapsed="false">
      <c r="A93" s="3216" t="s">
        <v>1965</v>
      </c>
      <c r="B93" s="3216"/>
      <c r="C93" s="3216"/>
      <c r="D93" s="3216"/>
      <c r="E93" s="3216"/>
      <c r="F93" s="3216"/>
      <c r="G93" s="3216"/>
      <c r="H93" s="3216"/>
      <c r="I93" s="3216"/>
      <c r="J93" s="3216"/>
      <c r="K93" s="3216"/>
      <c r="L93" s="3216"/>
      <c r="M93" s="3216"/>
    </row>
    <row r="94" customFormat="false" ht="13.5" hidden="false" customHeight="false" outlineLevel="0" collapsed="false">
      <c r="A94" s="3218" t="s">
        <v>524</v>
      </c>
      <c r="B94" s="3219" t="s">
        <v>226</v>
      </c>
      <c r="C94" s="3219" t="s">
        <v>237</v>
      </c>
      <c r="D94" s="3219" t="s">
        <v>247</v>
      </c>
      <c r="E94" s="3219" t="s">
        <v>255</v>
      </c>
      <c r="F94" s="3219" t="s">
        <v>263</v>
      </c>
      <c r="G94" s="3219" t="s">
        <v>269</v>
      </c>
      <c r="H94" s="3220" t="s">
        <v>274</v>
      </c>
      <c r="I94" s="3220" t="s">
        <v>280</v>
      </c>
      <c r="J94" s="3221" t="s">
        <v>284</v>
      </c>
      <c r="K94" s="3221" t="s">
        <v>288</v>
      </c>
      <c r="L94" s="3221" t="s">
        <v>292</v>
      </c>
      <c r="M94" s="3222" t="s">
        <v>296</v>
      </c>
      <c r="N94" s="3215" t="n">
        <f aca="false">SUMPRODUCT((A95:A184=ROUNDDOWN(基准地价修正!G3,1))*(B94:M94=基准地价修正!G2)*(B95:M184))</f>
        <v>0</v>
      </c>
      <c r="Q94" s="3223" t="s">
        <v>1961</v>
      </c>
      <c r="R94" s="3223" t="s">
        <v>1962</v>
      </c>
      <c r="S94" s="3223" t="s">
        <v>1963</v>
      </c>
      <c r="T94" s="3223" t="s">
        <v>1964</v>
      </c>
    </row>
    <row r="95" customFormat="false" ht="13.5" hidden="false" customHeight="false" outlineLevel="0" collapsed="false">
      <c r="A95" s="3224" t="n">
        <v>1</v>
      </c>
      <c r="B95" s="3225" t="n">
        <v>1.2501</v>
      </c>
      <c r="C95" s="3225" t="n">
        <v>1.2501</v>
      </c>
      <c r="D95" s="3225" t="n">
        <v>1.2158</v>
      </c>
      <c r="E95" s="3225" t="n">
        <v>1.2158</v>
      </c>
      <c r="F95" s="3225" t="n">
        <v>1.2158</v>
      </c>
      <c r="G95" s="3225" t="n">
        <v>1.2158</v>
      </c>
      <c r="H95" s="3225" t="n">
        <v>1.2158</v>
      </c>
      <c r="I95" s="3225" t="n">
        <v>1.2302</v>
      </c>
      <c r="J95" s="3225" t="n">
        <v>1.2302</v>
      </c>
      <c r="K95" s="3225" t="n">
        <v>1.2302</v>
      </c>
      <c r="L95" s="3225" t="n">
        <v>1.2302</v>
      </c>
      <c r="M95" s="3226" t="n">
        <v>1.2302</v>
      </c>
      <c r="Q95" s="3223" t="n">
        <v>10</v>
      </c>
      <c r="R95" s="3223" t="n">
        <f aca="false">ROUND(0.993-0.0112*Q95,4)</f>
        <v>0.881</v>
      </c>
      <c r="S95" s="3223" t="n">
        <f aca="false">ROUND(0.9415-0.0142*Q95,4)</f>
        <v>0.7995</v>
      </c>
      <c r="T95" s="3223" t="n">
        <f aca="false">ROUND(0.8438-0.0182*Q95,4)</f>
        <v>0.6618</v>
      </c>
    </row>
    <row r="96" customFormat="false" ht="13.5" hidden="false" customHeight="false" outlineLevel="0" collapsed="false">
      <c r="A96" s="3224" t="n">
        <v>1.1</v>
      </c>
      <c r="B96" s="3225" t="n">
        <v>1.231</v>
      </c>
      <c r="C96" s="3225" t="n">
        <v>1.231</v>
      </c>
      <c r="D96" s="3225" t="n">
        <v>1.1947</v>
      </c>
      <c r="E96" s="3225" t="n">
        <v>1.1947</v>
      </c>
      <c r="F96" s="3225" t="n">
        <v>1.1947</v>
      </c>
      <c r="G96" s="3225" t="n">
        <v>1.1947</v>
      </c>
      <c r="H96" s="3225" t="n">
        <v>1.1947</v>
      </c>
      <c r="I96" s="3225" t="n">
        <v>1.2008</v>
      </c>
      <c r="J96" s="3225" t="n">
        <v>1.2008</v>
      </c>
      <c r="K96" s="3225" t="n">
        <v>1.2008</v>
      </c>
      <c r="L96" s="3225" t="n">
        <v>1.2008</v>
      </c>
      <c r="M96" s="3226" t="n">
        <v>1.2008</v>
      </c>
    </row>
    <row r="97" customFormat="false" ht="13.5" hidden="false" customHeight="false" outlineLevel="0" collapsed="false">
      <c r="A97" s="3224" t="n">
        <v>1.2</v>
      </c>
      <c r="B97" s="3225" t="n">
        <v>1.213</v>
      </c>
      <c r="C97" s="3225" t="n">
        <v>1.213</v>
      </c>
      <c r="D97" s="3225" t="n">
        <v>1.1748</v>
      </c>
      <c r="E97" s="3225" t="n">
        <v>1.1748</v>
      </c>
      <c r="F97" s="3225" t="n">
        <v>1.1748</v>
      </c>
      <c r="G97" s="3225" t="n">
        <v>1.1748</v>
      </c>
      <c r="H97" s="3225" t="n">
        <v>1.1748</v>
      </c>
      <c r="I97" s="3225" t="n">
        <v>1.173</v>
      </c>
      <c r="J97" s="3225" t="n">
        <v>1.173</v>
      </c>
      <c r="K97" s="3225" t="n">
        <v>1.173</v>
      </c>
      <c r="L97" s="3225" t="n">
        <v>1.173</v>
      </c>
      <c r="M97" s="3226" t="n">
        <v>1.173</v>
      </c>
    </row>
    <row r="98" customFormat="false" ht="13.5" hidden="false" customHeight="false" outlineLevel="0" collapsed="false">
      <c r="A98" s="3224" t="n">
        <v>1.3</v>
      </c>
      <c r="B98" s="3225" t="n">
        <v>1.196</v>
      </c>
      <c r="C98" s="3225" t="n">
        <v>1.196</v>
      </c>
      <c r="D98" s="3225" t="n">
        <v>1.156</v>
      </c>
      <c r="E98" s="3225" t="n">
        <v>1.156</v>
      </c>
      <c r="F98" s="3225" t="n">
        <v>1.156</v>
      </c>
      <c r="G98" s="3225" t="n">
        <v>1.156</v>
      </c>
      <c r="H98" s="3225" t="n">
        <v>1.156</v>
      </c>
      <c r="I98" s="3225" t="n">
        <v>1.1468</v>
      </c>
      <c r="J98" s="3225" t="n">
        <v>1.1468</v>
      </c>
      <c r="K98" s="3225" t="n">
        <v>1.1468</v>
      </c>
      <c r="L98" s="3225" t="n">
        <v>1.1468</v>
      </c>
      <c r="M98" s="3226" t="n">
        <v>1.1468</v>
      </c>
    </row>
    <row r="99" customFormat="false" ht="13.5" hidden="false" customHeight="false" outlineLevel="0" collapsed="false">
      <c r="A99" s="3224" t="n">
        <v>1.4</v>
      </c>
      <c r="B99" s="3225" t="n">
        <v>1.18</v>
      </c>
      <c r="C99" s="3225" t="n">
        <v>1.18</v>
      </c>
      <c r="D99" s="3225" t="n">
        <v>1.1382</v>
      </c>
      <c r="E99" s="3225" t="n">
        <v>1.1382</v>
      </c>
      <c r="F99" s="3225" t="n">
        <v>1.1382</v>
      </c>
      <c r="G99" s="3225" t="n">
        <v>1.1382</v>
      </c>
      <c r="H99" s="3225" t="n">
        <v>1.1382</v>
      </c>
      <c r="I99" s="3225" t="n">
        <v>1.122</v>
      </c>
      <c r="J99" s="3225" t="n">
        <v>1.122</v>
      </c>
      <c r="K99" s="3225" t="n">
        <v>1.122</v>
      </c>
      <c r="L99" s="3225" t="n">
        <v>1.122</v>
      </c>
      <c r="M99" s="3226" t="n">
        <v>1.122</v>
      </c>
    </row>
    <row r="100" customFormat="false" ht="13.5" hidden="false" customHeight="false" outlineLevel="0" collapsed="false">
      <c r="A100" s="3224" t="n">
        <v>1.5</v>
      </c>
      <c r="B100" s="3225" t="n">
        <v>1.1649</v>
      </c>
      <c r="C100" s="3225" t="n">
        <v>1.1649</v>
      </c>
      <c r="D100" s="3225" t="n">
        <v>1.1215</v>
      </c>
      <c r="E100" s="3225" t="n">
        <v>1.1215</v>
      </c>
      <c r="F100" s="3225" t="n">
        <v>1.1215</v>
      </c>
      <c r="G100" s="3225" t="n">
        <v>1.1215</v>
      </c>
      <c r="H100" s="3225" t="n">
        <v>1.1215</v>
      </c>
      <c r="I100" s="3225" t="n">
        <v>1.0985</v>
      </c>
      <c r="J100" s="3225" t="n">
        <v>1.0985</v>
      </c>
      <c r="K100" s="3225" t="n">
        <v>1.0985</v>
      </c>
      <c r="L100" s="3225" t="n">
        <v>1.0985</v>
      </c>
      <c r="M100" s="3226" t="n">
        <v>1.0985</v>
      </c>
    </row>
    <row r="101" customFormat="false" ht="13.5" hidden="false" customHeight="false" outlineLevel="0" collapsed="false">
      <c r="A101" s="3224" t="n">
        <v>1.6</v>
      </c>
      <c r="B101" s="3225" t="n">
        <v>1.1507</v>
      </c>
      <c r="C101" s="3225" t="n">
        <v>1.1507</v>
      </c>
      <c r="D101" s="3225" t="n">
        <v>1.1057</v>
      </c>
      <c r="E101" s="3225" t="n">
        <v>1.1057</v>
      </c>
      <c r="F101" s="3225" t="n">
        <v>1.1057</v>
      </c>
      <c r="G101" s="3225" t="n">
        <v>1.1057</v>
      </c>
      <c r="H101" s="3225" t="n">
        <v>1.1057</v>
      </c>
      <c r="I101" s="3225" t="n">
        <v>1.0764</v>
      </c>
      <c r="J101" s="3225" t="n">
        <v>1.0764</v>
      </c>
      <c r="K101" s="3225" t="n">
        <v>1.0764</v>
      </c>
      <c r="L101" s="3225" t="n">
        <v>1.0764</v>
      </c>
      <c r="M101" s="3226" t="n">
        <v>1.0764</v>
      </c>
    </row>
    <row r="102" customFormat="false" ht="13.5" hidden="false" customHeight="false" outlineLevel="0" collapsed="false">
      <c r="A102" s="3224" t="n">
        <v>1.7</v>
      </c>
      <c r="B102" s="3225" t="n">
        <v>1.1373</v>
      </c>
      <c r="C102" s="3225" t="n">
        <v>1.1373</v>
      </c>
      <c r="D102" s="3225" t="n">
        <v>1.0908</v>
      </c>
      <c r="E102" s="3225" t="n">
        <v>1.0908</v>
      </c>
      <c r="F102" s="3225" t="n">
        <v>1.0908</v>
      </c>
      <c r="G102" s="3225" t="n">
        <v>1.0908</v>
      </c>
      <c r="H102" s="3225" t="n">
        <v>1.0908</v>
      </c>
      <c r="I102" s="3225" t="n">
        <v>1.0556</v>
      </c>
      <c r="J102" s="3225" t="n">
        <v>1.0556</v>
      </c>
      <c r="K102" s="3225" t="n">
        <v>1.0556</v>
      </c>
      <c r="L102" s="3225" t="n">
        <v>1.0556</v>
      </c>
      <c r="M102" s="3226" t="n">
        <v>1.0556</v>
      </c>
    </row>
    <row r="103" customFormat="false" ht="14.25" hidden="false" customHeight="false" outlineLevel="0" collapsed="false">
      <c r="A103" s="3224" t="n">
        <v>1.8</v>
      </c>
      <c r="B103" s="3225" t="n">
        <v>1.1247</v>
      </c>
      <c r="C103" s="3225" t="n">
        <v>1.1247</v>
      </c>
      <c r="D103" s="3225" t="n">
        <v>1.0768</v>
      </c>
      <c r="E103" s="3225" t="n">
        <v>1.0768</v>
      </c>
      <c r="F103" s="3225" t="n">
        <v>1.0768</v>
      </c>
      <c r="G103" s="3225" t="n">
        <v>1.0768</v>
      </c>
      <c r="H103" s="3225" t="n">
        <v>1.0768</v>
      </c>
      <c r="I103" s="3225" t="n">
        <v>1.0359</v>
      </c>
      <c r="J103" s="3225" t="n">
        <v>1.0359</v>
      </c>
      <c r="K103" s="3225" t="n">
        <v>1.0359</v>
      </c>
      <c r="L103" s="3225" t="n">
        <v>1.0359</v>
      </c>
      <c r="M103" s="3226" t="n">
        <v>1.0359</v>
      </c>
      <c r="N103" s="3217"/>
    </row>
    <row r="104" customFormat="false" ht="14.25" hidden="false" customHeight="false" outlineLevel="0" collapsed="false">
      <c r="A104" s="3224" t="n">
        <v>1.9</v>
      </c>
      <c r="B104" s="3225" t="n">
        <v>1.1128</v>
      </c>
      <c r="C104" s="3225" t="n">
        <v>1.1128</v>
      </c>
      <c r="D104" s="3225" t="n">
        <v>1.0637</v>
      </c>
      <c r="E104" s="3225" t="n">
        <v>1.0637</v>
      </c>
      <c r="F104" s="3225" t="n">
        <v>1.0637</v>
      </c>
      <c r="G104" s="3225" t="n">
        <v>1.0637</v>
      </c>
      <c r="H104" s="3225" t="n">
        <v>1.0637</v>
      </c>
      <c r="I104" s="3225" t="n">
        <v>1.0174</v>
      </c>
      <c r="J104" s="3225" t="n">
        <v>1.0174</v>
      </c>
      <c r="K104" s="3225" t="n">
        <v>1.0174</v>
      </c>
      <c r="L104" s="3225" t="n">
        <v>1.0174</v>
      </c>
      <c r="M104" s="3226" t="n">
        <v>1.0174</v>
      </c>
      <c r="N104" s="3217"/>
    </row>
    <row r="105" customFormat="false" ht="13.5" hidden="false" customHeight="false" outlineLevel="0" collapsed="false">
      <c r="A105" s="3224" t="n">
        <v>2</v>
      </c>
      <c r="B105" s="3225" t="n">
        <v>1.1017</v>
      </c>
      <c r="C105" s="3225" t="n">
        <v>1.1017</v>
      </c>
      <c r="D105" s="3225" t="n">
        <v>1.0513</v>
      </c>
      <c r="E105" s="3225" t="n">
        <v>1.0513</v>
      </c>
      <c r="F105" s="3225" t="n">
        <v>1.0513</v>
      </c>
      <c r="G105" s="3225" t="n">
        <v>1.0513</v>
      </c>
      <c r="H105" s="3225" t="n">
        <v>1.0513</v>
      </c>
      <c r="I105" s="3225" t="n">
        <v>1</v>
      </c>
      <c r="J105" s="3225" t="n">
        <v>1</v>
      </c>
      <c r="K105" s="3225" t="n">
        <v>1</v>
      </c>
      <c r="L105" s="3225" t="n">
        <v>1</v>
      </c>
      <c r="M105" s="3226" t="n">
        <v>1</v>
      </c>
    </row>
    <row r="106" customFormat="false" ht="13.5" hidden="false" customHeight="false" outlineLevel="0" collapsed="false">
      <c r="A106" s="3228" t="n">
        <v>2.1</v>
      </c>
      <c r="B106" s="3225" t="n">
        <v>1.0913</v>
      </c>
      <c r="C106" s="3225" t="n">
        <v>1.0913</v>
      </c>
      <c r="D106" s="3225" t="n">
        <v>1.0397</v>
      </c>
      <c r="E106" s="3225" t="n">
        <v>1.0397</v>
      </c>
      <c r="F106" s="3225" t="n">
        <v>1.0397</v>
      </c>
      <c r="G106" s="3225" t="n">
        <v>1.0397</v>
      </c>
      <c r="H106" s="3225" t="n">
        <v>1.0397</v>
      </c>
      <c r="I106" s="3225" t="n">
        <v>0.9836</v>
      </c>
      <c r="J106" s="3225" t="n">
        <v>0.9836</v>
      </c>
      <c r="K106" s="3225" t="n">
        <v>0.9836</v>
      </c>
      <c r="L106" s="3225" t="n">
        <v>0.9836</v>
      </c>
      <c r="M106" s="3226" t="n">
        <v>0.9836</v>
      </c>
    </row>
    <row r="107" customFormat="false" ht="13.5" hidden="false" customHeight="false" outlineLevel="0" collapsed="false">
      <c r="A107" s="3228" t="n">
        <v>2.2</v>
      </c>
      <c r="B107" s="3225" t="n">
        <v>1.0815</v>
      </c>
      <c r="C107" s="3225" t="n">
        <v>1.0815</v>
      </c>
      <c r="D107" s="3225" t="n">
        <v>1.0288</v>
      </c>
      <c r="E107" s="3225" t="n">
        <v>1.0288</v>
      </c>
      <c r="F107" s="3225" t="n">
        <v>1.0288</v>
      </c>
      <c r="G107" s="3225" t="n">
        <v>1.0288</v>
      </c>
      <c r="H107" s="3225" t="n">
        <v>1.0288</v>
      </c>
      <c r="I107" s="3225" t="n">
        <v>0.9682</v>
      </c>
      <c r="J107" s="3225" t="n">
        <v>0.9682</v>
      </c>
      <c r="K107" s="3225" t="n">
        <v>0.9682</v>
      </c>
      <c r="L107" s="3225" t="n">
        <v>0.9682</v>
      </c>
      <c r="M107" s="3226" t="n">
        <v>0.9682</v>
      </c>
    </row>
    <row r="108" customFormat="false" ht="13.5" hidden="false" customHeight="false" outlineLevel="0" collapsed="false">
      <c r="A108" s="3228" t="n">
        <v>2.3</v>
      </c>
      <c r="B108" s="3225" t="n">
        <v>1.0724</v>
      </c>
      <c r="C108" s="3225" t="n">
        <v>1.0724</v>
      </c>
      <c r="D108" s="3225" t="n">
        <v>1.0186</v>
      </c>
      <c r="E108" s="3225" t="n">
        <v>1.0186</v>
      </c>
      <c r="F108" s="3225" t="n">
        <v>1.0186</v>
      </c>
      <c r="G108" s="3225" t="n">
        <v>1.0186</v>
      </c>
      <c r="H108" s="3225" t="n">
        <v>1.0186</v>
      </c>
      <c r="I108" s="3225" t="n">
        <v>0.9537</v>
      </c>
      <c r="J108" s="3225" t="n">
        <v>0.9537</v>
      </c>
      <c r="K108" s="3225" t="n">
        <v>0.9537</v>
      </c>
      <c r="L108" s="3225" t="n">
        <v>0.9537</v>
      </c>
      <c r="M108" s="3226" t="n">
        <v>0.9537</v>
      </c>
    </row>
    <row r="109" customFormat="false" ht="13.5" hidden="false" customHeight="false" outlineLevel="0" collapsed="false">
      <c r="A109" s="3228" t="n">
        <v>2.4</v>
      </c>
      <c r="B109" s="3225" t="n">
        <v>1.0638</v>
      </c>
      <c r="C109" s="3225" t="n">
        <v>1.0638</v>
      </c>
      <c r="D109" s="3225" t="n">
        <v>1.009</v>
      </c>
      <c r="E109" s="3225" t="n">
        <v>1.009</v>
      </c>
      <c r="F109" s="3225" t="n">
        <v>1.009</v>
      </c>
      <c r="G109" s="3225" t="n">
        <v>1.009</v>
      </c>
      <c r="H109" s="3225" t="n">
        <v>1.009</v>
      </c>
      <c r="I109" s="3225" t="n">
        <v>0.9401</v>
      </c>
      <c r="J109" s="3225" t="n">
        <v>0.9401</v>
      </c>
      <c r="K109" s="3225" t="n">
        <v>0.9401</v>
      </c>
      <c r="L109" s="3225" t="n">
        <v>0.9401</v>
      </c>
      <c r="M109" s="3226" t="n">
        <v>0.9401</v>
      </c>
    </row>
    <row r="110" customFormat="false" ht="13.5" hidden="false" customHeight="false" outlineLevel="0" collapsed="false">
      <c r="A110" s="3228" t="n">
        <v>2.5</v>
      </c>
      <c r="B110" s="3225" t="n">
        <v>1.0558</v>
      </c>
      <c r="C110" s="3225" t="n">
        <v>1.0558</v>
      </c>
      <c r="D110" s="3225" t="n">
        <v>1</v>
      </c>
      <c r="E110" s="3225" t="n">
        <v>1</v>
      </c>
      <c r="F110" s="3225" t="n">
        <v>1</v>
      </c>
      <c r="G110" s="3225" t="n">
        <v>1</v>
      </c>
      <c r="H110" s="3225" t="n">
        <v>1</v>
      </c>
      <c r="I110" s="3225" t="n">
        <v>0.9274</v>
      </c>
      <c r="J110" s="3225" t="n">
        <v>0.9274</v>
      </c>
      <c r="K110" s="3225" t="n">
        <v>0.9274</v>
      </c>
      <c r="L110" s="3225" t="n">
        <v>0.9274</v>
      </c>
      <c r="M110" s="3226" t="n">
        <v>0.9274</v>
      </c>
    </row>
    <row r="111" customFormat="false" ht="13.5" hidden="false" customHeight="false" outlineLevel="0" collapsed="false">
      <c r="A111" s="3228" t="n">
        <v>2.6</v>
      </c>
      <c r="B111" s="3225" t="n">
        <v>1.0483</v>
      </c>
      <c r="C111" s="3225" t="n">
        <v>1.0483</v>
      </c>
      <c r="D111" s="3225" t="n">
        <v>0.9916</v>
      </c>
      <c r="E111" s="3225" t="n">
        <v>0.9916</v>
      </c>
      <c r="F111" s="3225" t="n">
        <v>0.9916</v>
      </c>
      <c r="G111" s="3225" t="n">
        <v>0.9916</v>
      </c>
      <c r="H111" s="3225" t="n">
        <v>0.9916</v>
      </c>
      <c r="I111" s="3225" t="n">
        <v>0.9154</v>
      </c>
      <c r="J111" s="3225" t="n">
        <v>0.9154</v>
      </c>
      <c r="K111" s="3225" t="n">
        <v>0.9154</v>
      </c>
      <c r="L111" s="3225" t="n">
        <v>0.9154</v>
      </c>
      <c r="M111" s="3226" t="n">
        <v>0.9154</v>
      </c>
    </row>
    <row r="112" customFormat="false" ht="13.5" hidden="false" customHeight="false" outlineLevel="0" collapsed="false">
      <c r="A112" s="3228" t="n">
        <v>2.7</v>
      </c>
      <c r="B112" s="3225" t="n">
        <v>1.0413</v>
      </c>
      <c r="C112" s="3225" t="n">
        <v>1.0413</v>
      </c>
      <c r="D112" s="3225" t="n">
        <v>0.9837</v>
      </c>
      <c r="E112" s="3225" t="n">
        <v>0.9837</v>
      </c>
      <c r="F112" s="3225" t="n">
        <v>0.9837</v>
      </c>
      <c r="G112" s="3225" t="n">
        <v>0.9837</v>
      </c>
      <c r="H112" s="3225" t="n">
        <v>0.9837</v>
      </c>
      <c r="I112" s="3225" t="n">
        <v>0.9043</v>
      </c>
      <c r="J112" s="3225" t="n">
        <v>0.9043</v>
      </c>
      <c r="K112" s="3225" t="n">
        <v>0.9043</v>
      </c>
      <c r="L112" s="3225" t="n">
        <v>0.9043</v>
      </c>
      <c r="M112" s="3226" t="n">
        <v>0.9043</v>
      </c>
    </row>
    <row r="113" customFormat="false" ht="13.5" hidden="false" customHeight="false" outlineLevel="0" collapsed="false">
      <c r="A113" s="3228" t="n">
        <v>2.8</v>
      </c>
      <c r="B113" s="3225" t="n">
        <v>1.0348</v>
      </c>
      <c r="C113" s="3225" t="n">
        <v>1.0348</v>
      </c>
      <c r="D113" s="3225" t="n">
        <v>0.9764</v>
      </c>
      <c r="E113" s="3225" t="n">
        <v>0.9764</v>
      </c>
      <c r="F113" s="3225" t="n">
        <v>0.9764</v>
      </c>
      <c r="G113" s="3225" t="n">
        <v>0.9764</v>
      </c>
      <c r="H113" s="3225" t="n">
        <v>0.9764</v>
      </c>
      <c r="I113" s="3225" t="n">
        <v>0.8937</v>
      </c>
      <c r="J113" s="3225" t="n">
        <v>0.8937</v>
      </c>
      <c r="K113" s="3225" t="n">
        <v>0.8937</v>
      </c>
      <c r="L113" s="3225" t="n">
        <v>0.8937</v>
      </c>
      <c r="M113" s="3226" t="n">
        <v>0.8937</v>
      </c>
    </row>
    <row r="114" customFormat="false" ht="13.5" hidden="false" customHeight="false" outlineLevel="0" collapsed="false">
      <c r="A114" s="3228" t="n">
        <v>2.9</v>
      </c>
      <c r="B114" s="3225" t="n">
        <v>1.0287</v>
      </c>
      <c r="C114" s="3225" t="n">
        <v>1.0287</v>
      </c>
      <c r="D114" s="3225" t="n">
        <v>0.9695</v>
      </c>
      <c r="E114" s="3225" t="n">
        <v>0.9695</v>
      </c>
      <c r="F114" s="3225" t="n">
        <v>0.9695</v>
      </c>
      <c r="G114" s="3225" t="n">
        <v>0.9695</v>
      </c>
      <c r="H114" s="3225" t="n">
        <v>0.9695</v>
      </c>
      <c r="I114" s="3225" t="n">
        <v>0.8839</v>
      </c>
      <c r="J114" s="3225" t="n">
        <v>0.8839</v>
      </c>
      <c r="K114" s="3225" t="n">
        <v>0.8839</v>
      </c>
      <c r="L114" s="3225" t="n">
        <v>0.8839</v>
      </c>
      <c r="M114" s="3226" t="n">
        <v>0.8839</v>
      </c>
    </row>
    <row r="115" customFormat="false" ht="13.5" hidden="false" customHeight="false" outlineLevel="0" collapsed="false">
      <c r="A115" s="3228" t="n">
        <v>3</v>
      </c>
      <c r="B115" s="3225" t="n">
        <v>1.023</v>
      </c>
      <c r="C115" s="3225" t="n">
        <v>1.023</v>
      </c>
      <c r="D115" s="3225" t="n">
        <v>0.9631</v>
      </c>
      <c r="E115" s="3225" t="n">
        <v>0.9631</v>
      </c>
      <c r="F115" s="3225" t="n">
        <v>0.9631</v>
      </c>
      <c r="G115" s="3225" t="n">
        <v>0.9631</v>
      </c>
      <c r="H115" s="3225" t="n">
        <v>0.9631</v>
      </c>
      <c r="I115" s="3225" t="n">
        <v>0.8746</v>
      </c>
      <c r="J115" s="3225" t="n">
        <v>0.8746</v>
      </c>
      <c r="K115" s="3225" t="n">
        <v>0.8746</v>
      </c>
      <c r="L115" s="3225" t="n">
        <v>0.8746</v>
      </c>
      <c r="M115" s="3226" t="n">
        <v>0.8746</v>
      </c>
    </row>
    <row r="116" customFormat="false" ht="13.5" hidden="false" customHeight="false" outlineLevel="0" collapsed="false">
      <c r="A116" s="3228" t="n">
        <v>3.1</v>
      </c>
      <c r="B116" s="3225" t="n">
        <v>1.0177</v>
      </c>
      <c r="C116" s="3225" t="n">
        <v>1.0177</v>
      </c>
      <c r="D116" s="3225" t="n">
        <v>0.9571</v>
      </c>
      <c r="E116" s="3225" t="n">
        <v>0.9571</v>
      </c>
      <c r="F116" s="3225" t="n">
        <v>0.9571</v>
      </c>
      <c r="G116" s="3225" t="n">
        <v>0.9571</v>
      </c>
      <c r="H116" s="3225" t="n">
        <v>0.9571</v>
      </c>
      <c r="I116" s="3225" t="n">
        <v>0.8659</v>
      </c>
      <c r="J116" s="3225" t="n">
        <v>0.8659</v>
      </c>
      <c r="K116" s="3225" t="n">
        <v>0.8659</v>
      </c>
      <c r="L116" s="3225" t="n">
        <v>0.8659</v>
      </c>
      <c r="M116" s="3226" t="n">
        <v>0.8659</v>
      </c>
    </row>
    <row r="117" customFormat="false" ht="13.5" hidden="false" customHeight="false" outlineLevel="0" collapsed="false">
      <c r="A117" s="3228" t="n">
        <v>3.2</v>
      </c>
      <c r="B117" s="3225" t="n">
        <v>1.0128</v>
      </c>
      <c r="C117" s="3225" t="n">
        <v>1.0128</v>
      </c>
      <c r="D117" s="3225" t="n">
        <v>0.9516</v>
      </c>
      <c r="E117" s="3225" t="n">
        <v>0.9516</v>
      </c>
      <c r="F117" s="3225" t="n">
        <v>0.9516</v>
      </c>
      <c r="G117" s="3225" t="n">
        <v>0.9516</v>
      </c>
      <c r="H117" s="3225" t="n">
        <v>0.9516</v>
      </c>
      <c r="I117" s="3225" t="n">
        <v>0.8578</v>
      </c>
      <c r="J117" s="3225" t="n">
        <v>0.8578</v>
      </c>
      <c r="K117" s="3225" t="n">
        <v>0.8578</v>
      </c>
      <c r="L117" s="3225" t="n">
        <v>0.8578</v>
      </c>
      <c r="M117" s="3226" t="n">
        <v>0.8578</v>
      </c>
    </row>
    <row r="118" customFormat="false" ht="13.5" hidden="false" customHeight="false" outlineLevel="0" collapsed="false">
      <c r="A118" s="3228" t="n">
        <v>3.3</v>
      </c>
      <c r="B118" s="3225" t="n">
        <v>1.0082</v>
      </c>
      <c r="C118" s="3225" t="n">
        <v>1.0082</v>
      </c>
      <c r="D118" s="3225" t="n">
        <v>0.9464</v>
      </c>
      <c r="E118" s="3225" t="n">
        <v>0.9464</v>
      </c>
      <c r="F118" s="3225" t="n">
        <v>0.9464</v>
      </c>
      <c r="G118" s="3225" t="n">
        <v>0.9464</v>
      </c>
      <c r="H118" s="3225" t="n">
        <v>0.9464</v>
      </c>
      <c r="I118" s="3225" t="n">
        <v>0.8503</v>
      </c>
      <c r="J118" s="3225" t="n">
        <v>0.8503</v>
      </c>
      <c r="K118" s="3225" t="n">
        <v>0.8503</v>
      </c>
      <c r="L118" s="3225" t="n">
        <v>0.8503</v>
      </c>
      <c r="M118" s="3226" t="n">
        <v>0.8503</v>
      </c>
    </row>
    <row r="119" customFormat="false" ht="13.5" hidden="false" customHeight="false" outlineLevel="0" collapsed="false">
      <c r="A119" s="3228" t="n">
        <v>3.4</v>
      </c>
      <c r="B119" s="3225" t="n">
        <v>1.004</v>
      </c>
      <c r="C119" s="3225" t="n">
        <v>1.004</v>
      </c>
      <c r="D119" s="3225" t="n">
        <v>0.9415</v>
      </c>
      <c r="E119" s="3225" t="n">
        <v>0.9415</v>
      </c>
      <c r="F119" s="3225" t="n">
        <v>0.9415</v>
      </c>
      <c r="G119" s="3225" t="n">
        <v>0.9415</v>
      </c>
      <c r="H119" s="3225" t="n">
        <v>0.9415</v>
      </c>
      <c r="I119" s="3225" t="n">
        <v>0.8432</v>
      </c>
      <c r="J119" s="3225" t="n">
        <v>0.8432</v>
      </c>
      <c r="K119" s="3225" t="n">
        <v>0.8432</v>
      </c>
      <c r="L119" s="3225" t="n">
        <v>0.8432</v>
      </c>
      <c r="M119" s="3226" t="n">
        <v>0.8432</v>
      </c>
    </row>
    <row r="120" customFormat="false" ht="13.5" hidden="false" customHeight="false" outlineLevel="0" collapsed="false">
      <c r="A120" s="3228" t="n">
        <v>3.5</v>
      </c>
      <c r="B120" s="3225" t="n">
        <v>1</v>
      </c>
      <c r="C120" s="3225" t="n">
        <v>1</v>
      </c>
      <c r="D120" s="3225" t="n">
        <v>0.937</v>
      </c>
      <c r="E120" s="3225" t="n">
        <v>0.937</v>
      </c>
      <c r="F120" s="3225" t="n">
        <v>0.937</v>
      </c>
      <c r="G120" s="3225" t="n">
        <v>0.937</v>
      </c>
      <c r="H120" s="3225" t="n">
        <v>0.937</v>
      </c>
      <c r="I120" s="3225" t="n">
        <v>0.8366</v>
      </c>
      <c r="J120" s="3225" t="n">
        <v>0.8366</v>
      </c>
      <c r="K120" s="3225" t="n">
        <v>0.8366</v>
      </c>
      <c r="L120" s="3225" t="n">
        <v>0.8366</v>
      </c>
      <c r="M120" s="3226" t="n">
        <v>0.8366</v>
      </c>
    </row>
    <row r="121" customFormat="false" ht="13.5" hidden="false" customHeight="false" outlineLevel="0" collapsed="false">
      <c r="A121" s="3228" t="n">
        <v>3.6</v>
      </c>
      <c r="B121" s="3225" t="n">
        <v>0.9963</v>
      </c>
      <c r="C121" s="3225" t="n">
        <v>0.9963</v>
      </c>
      <c r="D121" s="3225" t="n">
        <v>0.9328</v>
      </c>
      <c r="E121" s="3225" t="n">
        <v>0.9328</v>
      </c>
      <c r="F121" s="3225" t="n">
        <v>0.9328</v>
      </c>
      <c r="G121" s="3225" t="n">
        <v>0.9328</v>
      </c>
      <c r="H121" s="3225" t="n">
        <v>0.9328</v>
      </c>
      <c r="I121" s="3225" t="n">
        <v>0.8304</v>
      </c>
      <c r="J121" s="3225" t="n">
        <v>0.8304</v>
      </c>
      <c r="K121" s="3225" t="n">
        <v>0.8304</v>
      </c>
      <c r="L121" s="3225" t="n">
        <v>0.8304</v>
      </c>
      <c r="M121" s="3226" t="n">
        <v>0.8304</v>
      </c>
    </row>
    <row r="122" customFormat="false" ht="13.5" hidden="false" customHeight="false" outlineLevel="0" collapsed="false">
      <c r="A122" s="3228" t="n">
        <v>3.7</v>
      </c>
      <c r="B122" s="3225" t="n">
        <v>0.9929</v>
      </c>
      <c r="C122" s="3225" t="n">
        <v>0.9929</v>
      </c>
      <c r="D122" s="3225" t="n">
        <v>0.9288</v>
      </c>
      <c r="E122" s="3225" t="n">
        <v>0.9288</v>
      </c>
      <c r="F122" s="3225" t="n">
        <v>0.9288</v>
      </c>
      <c r="G122" s="3225" t="n">
        <v>0.9288</v>
      </c>
      <c r="H122" s="3225" t="n">
        <v>0.9288</v>
      </c>
      <c r="I122" s="3225" t="n">
        <v>0.8246</v>
      </c>
      <c r="J122" s="3225" t="n">
        <v>0.8246</v>
      </c>
      <c r="K122" s="3225" t="n">
        <v>0.8246</v>
      </c>
      <c r="L122" s="3225" t="n">
        <v>0.8246</v>
      </c>
      <c r="M122" s="3226" t="n">
        <v>0.8246</v>
      </c>
    </row>
    <row r="123" customFormat="false" ht="13.5" hidden="false" customHeight="false" outlineLevel="0" collapsed="false">
      <c r="A123" s="3228" t="n">
        <v>3.8</v>
      </c>
      <c r="B123" s="3225" t="n">
        <v>0.9897</v>
      </c>
      <c r="C123" s="3225" t="n">
        <v>0.9897</v>
      </c>
      <c r="D123" s="3225" t="n">
        <v>0.9252</v>
      </c>
      <c r="E123" s="3225" t="n">
        <v>0.9252</v>
      </c>
      <c r="F123" s="3225" t="n">
        <v>0.9252</v>
      </c>
      <c r="G123" s="3225" t="n">
        <v>0.9252</v>
      </c>
      <c r="H123" s="3225" t="n">
        <v>0.9252</v>
      </c>
      <c r="I123" s="3225" t="n">
        <v>0.8192</v>
      </c>
      <c r="J123" s="3225" t="n">
        <v>0.8192</v>
      </c>
      <c r="K123" s="3225" t="n">
        <v>0.8192</v>
      </c>
      <c r="L123" s="3225" t="n">
        <v>0.8192</v>
      </c>
      <c r="M123" s="3226" t="n">
        <v>0.8192</v>
      </c>
    </row>
    <row r="124" customFormat="false" ht="13.5" hidden="false" customHeight="false" outlineLevel="0" collapsed="false">
      <c r="A124" s="3228" t="n">
        <v>3.9</v>
      </c>
      <c r="B124" s="3225" t="n">
        <v>0.9867</v>
      </c>
      <c r="C124" s="3225" t="n">
        <v>0.9867</v>
      </c>
      <c r="D124" s="3225" t="n">
        <v>0.9218</v>
      </c>
      <c r="E124" s="3225" t="n">
        <v>0.9218</v>
      </c>
      <c r="F124" s="3225" t="n">
        <v>0.9218</v>
      </c>
      <c r="G124" s="3225" t="n">
        <v>0.9218</v>
      </c>
      <c r="H124" s="3225" t="n">
        <v>0.9218</v>
      </c>
      <c r="I124" s="3225" t="n">
        <v>0.8141</v>
      </c>
      <c r="J124" s="3225" t="n">
        <v>0.8141</v>
      </c>
      <c r="K124" s="3225" t="n">
        <v>0.8141</v>
      </c>
      <c r="L124" s="3225" t="n">
        <v>0.8141</v>
      </c>
      <c r="M124" s="3226" t="n">
        <v>0.8141</v>
      </c>
    </row>
    <row r="125" customFormat="false" ht="13.5" hidden="false" customHeight="false" outlineLevel="0" collapsed="false">
      <c r="A125" s="3228" t="n">
        <v>4</v>
      </c>
      <c r="B125" s="3225" t="n">
        <v>0.9838</v>
      </c>
      <c r="C125" s="3225" t="n">
        <v>0.9838</v>
      </c>
      <c r="D125" s="3225" t="n">
        <v>0.9186</v>
      </c>
      <c r="E125" s="3225" t="n">
        <v>0.9186</v>
      </c>
      <c r="F125" s="3225" t="n">
        <v>0.9186</v>
      </c>
      <c r="G125" s="3225" t="n">
        <v>0.9186</v>
      </c>
      <c r="H125" s="3225" t="n">
        <v>0.9186</v>
      </c>
      <c r="I125" s="3225" t="n">
        <v>0.8094</v>
      </c>
      <c r="J125" s="3225" t="n">
        <v>0.8094</v>
      </c>
      <c r="K125" s="3225" t="n">
        <v>0.8094</v>
      </c>
      <c r="L125" s="3225" t="n">
        <v>0.8094</v>
      </c>
      <c r="M125" s="3226" t="n">
        <v>0.8094</v>
      </c>
    </row>
    <row r="126" customFormat="false" ht="13.5" hidden="false" customHeight="false" outlineLevel="0" collapsed="false">
      <c r="A126" s="3228" t="n">
        <v>4.1</v>
      </c>
      <c r="B126" s="3225" t="n">
        <v>0.981</v>
      </c>
      <c r="C126" s="3225" t="n">
        <v>0.981</v>
      </c>
      <c r="D126" s="3225" t="n">
        <v>0.9156</v>
      </c>
      <c r="E126" s="3225" t="n">
        <v>0.9156</v>
      </c>
      <c r="F126" s="3225" t="n">
        <v>0.9156</v>
      </c>
      <c r="G126" s="3225" t="n">
        <v>0.9156</v>
      </c>
      <c r="H126" s="3225" t="n">
        <v>0.9156</v>
      </c>
      <c r="I126" s="3225" t="n">
        <v>0.8049</v>
      </c>
      <c r="J126" s="3225" t="n">
        <v>0.8049</v>
      </c>
      <c r="K126" s="3225" t="n">
        <v>0.8049</v>
      </c>
      <c r="L126" s="3225" t="n">
        <v>0.8049</v>
      </c>
      <c r="M126" s="3226" t="n">
        <v>0.8049</v>
      </c>
    </row>
    <row r="127" customFormat="false" ht="13.5" hidden="false" customHeight="false" outlineLevel="0" collapsed="false">
      <c r="A127" s="3228" t="n">
        <v>4.2</v>
      </c>
      <c r="B127" s="3225" t="n">
        <v>0.9783</v>
      </c>
      <c r="C127" s="3225" t="n">
        <v>0.9783</v>
      </c>
      <c r="D127" s="3225" t="n">
        <v>0.9127</v>
      </c>
      <c r="E127" s="3225" t="n">
        <v>0.9127</v>
      </c>
      <c r="F127" s="3225" t="n">
        <v>0.9127</v>
      </c>
      <c r="G127" s="3225" t="n">
        <v>0.9127</v>
      </c>
      <c r="H127" s="3225" t="n">
        <v>0.9127</v>
      </c>
      <c r="I127" s="3225" t="n">
        <v>0.8006</v>
      </c>
      <c r="J127" s="3225" t="n">
        <v>0.8006</v>
      </c>
      <c r="K127" s="3225" t="n">
        <v>0.8006</v>
      </c>
      <c r="L127" s="3225" t="n">
        <v>0.8006</v>
      </c>
      <c r="M127" s="3226" t="n">
        <v>0.8006</v>
      </c>
    </row>
    <row r="128" customFormat="false" ht="13.5" hidden="false" customHeight="false" outlineLevel="0" collapsed="false">
      <c r="A128" s="3228" t="n">
        <v>4.3</v>
      </c>
      <c r="B128" s="3225" t="n">
        <v>0.9757</v>
      </c>
      <c r="C128" s="3225" t="n">
        <v>0.9757</v>
      </c>
      <c r="D128" s="3225" t="n">
        <v>0.9099</v>
      </c>
      <c r="E128" s="3225" t="n">
        <v>0.9099</v>
      </c>
      <c r="F128" s="3225" t="n">
        <v>0.9099</v>
      </c>
      <c r="G128" s="3225" t="n">
        <v>0.9099</v>
      </c>
      <c r="H128" s="3225" t="n">
        <v>0.9099</v>
      </c>
      <c r="I128" s="3225" t="n">
        <v>0.7965</v>
      </c>
      <c r="J128" s="3225" t="n">
        <v>0.7965</v>
      </c>
      <c r="K128" s="3225" t="n">
        <v>0.7965</v>
      </c>
      <c r="L128" s="3225" t="n">
        <v>0.7965</v>
      </c>
      <c r="M128" s="3226" t="n">
        <v>0.7965</v>
      </c>
    </row>
    <row r="129" customFormat="false" ht="13.5" hidden="false" customHeight="false" outlineLevel="0" collapsed="false">
      <c r="A129" s="3228" t="n">
        <v>4.4</v>
      </c>
      <c r="B129" s="3225" t="n">
        <v>0.9732</v>
      </c>
      <c r="C129" s="3225" t="n">
        <v>0.9732</v>
      </c>
      <c r="D129" s="3225" t="n">
        <v>0.9072</v>
      </c>
      <c r="E129" s="3225" t="n">
        <v>0.9072</v>
      </c>
      <c r="F129" s="3225" t="n">
        <v>0.9072</v>
      </c>
      <c r="G129" s="3225" t="n">
        <v>0.9072</v>
      </c>
      <c r="H129" s="3225" t="n">
        <v>0.9072</v>
      </c>
      <c r="I129" s="3225" t="n">
        <v>0.7926</v>
      </c>
      <c r="J129" s="3225" t="n">
        <v>0.7926</v>
      </c>
      <c r="K129" s="3225" t="n">
        <v>0.7926</v>
      </c>
      <c r="L129" s="3225" t="n">
        <v>0.7926</v>
      </c>
      <c r="M129" s="3226" t="n">
        <v>0.7926</v>
      </c>
    </row>
    <row r="130" customFormat="false" ht="13.5" hidden="false" customHeight="false" outlineLevel="0" collapsed="false">
      <c r="A130" s="3228" t="n">
        <v>4.5</v>
      </c>
      <c r="B130" s="3225" t="n">
        <v>0.9708</v>
      </c>
      <c r="C130" s="3225" t="n">
        <v>0.9708</v>
      </c>
      <c r="D130" s="3225" t="n">
        <v>0.9046</v>
      </c>
      <c r="E130" s="3225" t="n">
        <v>0.9046</v>
      </c>
      <c r="F130" s="3225" t="n">
        <v>0.9046</v>
      </c>
      <c r="G130" s="3225" t="n">
        <v>0.9046</v>
      </c>
      <c r="H130" s="3225" t="n">
        <v>0.9046</v>
      </c>
      <c r="I130" s="3225" t="n">
        <v>0.7889</v>
      </c>
      <c r="J130" s="3225" t="n">
        <v>0.7889</v>
      </c>
      <c r="K130" s="3225" t="n">
        <v>0.7889</v>
      </c>
      <c r="L130" s="3225" t="n">
        <v>0.7889</v>
      </c>
      <c r="M130" s="3226" t="n">
        <v>0.7889</v>
      </c>
    </row>
    <row r="131" customFormat="false" ht="13.5" hidden="false" customHeight="false" outlineLevel="0" collapsed="false">
      <c r="A131" s="3228" t="n">
        <v>4.6</v>
      </c>
      <c r="B131" s="3225" t="n">
        <v>0.9685</v>
      </c>
      <c r="C131" s="3225" t="n">
        <v>0.9685</v>
      </c>
      <c r="D131" s="3225" t="n">
        <v>0.9021</v>
      </c>
      <c r="E131" s="3225" t="n">
        <v>0.9021</v>
      </c>
      <c r="F131" s="3225" t="n">
        <v>0.9021</v>
      </c>
      <c r="G131" s="3225" t="n">
        <v>0.9021</v>
      </c>
      <c r="H131" s="3225" t="n">
        <v>0.9021</v>
      </c>
      <c r="I131" s="3225" t="n">
        <v>0.7854</v>
      </c>
      <c r="J131" s="3225" t="n">
        <v>0.7854</v>
      </c>
      <c r="K131" s="3225" t="n">
        <v>0.7854</v>
      </c>
      <c r="L131" s="3225" t="n">
        <v>0.7854</v>
      </c>
      <c r="M131" s="3226" t="n">
        <v>0.7854</v>
      </c>
    </row>
    <row r="132" customFormat="false" ht="13.5" hidden="false" customHeight="false" outlineLevel="0" collapsed="false">
      <c r="A132" s="3228" t="n">
        <v>4.7</v>
      </c>
      <c r="B132" s="3225" t="n">
        <v>0.9663</v>
      </c>
      <c r="C132" s="3225" t="n">
        <v>0.9663</v>
      </c>
      <c r="D132" s="3225" t="n">
        <v>0.8996</v>
      </c>
      <c r="E132" s="3225" t="n">
        <v>0.8996</v>
      </c>
      <c r="F132" s="3225" t="n">
        <v>0.8996</v>
      </c>
      <c r="G132" s="3225" t="n">
        <v>0.8996</v>
      </c>
      <c r="H132" s="3225" t="n">
        <v>0.8996</v>
      </c>
      <c r="I132" s="3225" t="n">
        <v>0.7821</v>
      </c>
      <c r="J132" s="3225" t="n">
        <v>0.7821</v>
      </c>
      <c r="K132" s="3225" t="n">
        <v>0.7821</v>
      </c>
      <c r="L132" s="3225" t="n">
        <v>0.7821</v>
      </c>
      <c r="M132" s="3226" t="n">
        <v>0.7821</v>
      </c>
    </row>
    <row r="133" customFormat="false" ht="13.5" hidden="false" customHeight="false" outlineLevel="0" collapsed="false">
      <c r="A133" s="3228" t="n">
        <v>4.8</v>
      </c>
      <c r="B133" s="3225" t="n">
        <v>0.9641</v>
      </c>
      <c r="C133" s="3225" t="n">
        <v>0.9641</v>
      </c>
      <c r="D133" s="3225" t="n">
        <v>0.8972</v>
      </c>
      <c r="E133" s="3225" t="n">
        <v>0.8972</v>
      </c>
      <c r="F133" s="3225" t="n">
        <v>0.8972</v>
      </c>
      <c r="G133" s="3225" t="n">
        <v>0.8972</v>
      </c>
      <c r="H133" s="3225" t="n">
        <v>0.8972</v>
      </c>
      <c r="I133" s="3225" t="n">
        <v>0.7789</v>
      </c>
      <c r="J133" s="3225" t="n">
        <v>0.7789</v>
      </c>
      <c r="K133" s="3225" t="n">
        <v>0.7789</v>
      </c>
      <c r="L133" s="3225" t="n">
        <v>0.7789</v>
      </c>
      <c r="M133" s="3226" t="n">
        <v>0.7789</v>
      </c>
    </row>
    <row r="134" customFormat="false" ht="13.5" hidden="false" customHeight="false" outlineLevel="0" collapsed="false">
      <c r="A134" s="3228" t="n">
        <v>4.9</v>
      </c>
      <c r="B134" s="3225" t="n">
        <v>0.962</v>
      </c>
      <c r="C134" s="3225" t="n">
        <v>0.962</v>
      </c>
      <c r="D134" s="3225" t="n">
        <v>0.8948</v>
      </c>
      <c r="E134" s="3225" t="n">
        <v>0.8948</v>
      </c>
      <c r="F134" s="3225" t="n">
        <v>0.8948</v>
      </c>
      <c r="G134" s="3225" t="n">
        <v>0.8948</v>
      </c>
      <c r="H134" s="3225" t="n">
        <v>0.8948</v>
      </c>
      <c r="I134" s="3225" t="n">
        <v>0.7758</v>
      </c>
      <c r="J134" s="3225" t="n">
        <v>0.7758</v>
      </c>
      <c r="K134" s="3225" t="n">
        <v>0.7758</v>
      </c>
      <c r="L134" s="3225" t="n">
        <v>0.7758</v>
      </c>
      <c r="M134" s="3226" t="n">
        <v>0.7758</v>
      </c>
    </row>
    <row r="135" customFormat="false" ht="13.5" hidden="false" customHeight="false" outlineLevel="0" collapsed="false">
      <c r="A135" s="3228" t="n">
        <v>5</v>
      </c>
      <c r="B135" s="3225" t="n">
        <v>0.9599</v>
      </c>
      <c r="C135" s="3225" t="n">
        <v>0.9599</v>
      </c>
      <c r="D135" s="3225" t="n">
        <v>0.8924</v>
      </c>
      <c r="E135" s="3225" t="n">
        <v>0.8924</v>
      </c>
      <c r="F135" s="3225" t="n">
        <v>0.8924</v>
      </c>
      <c r="G135" s="3225" t="n">
        <v>0.8924</v>
      </c>
      <c r="H135" s="3225" t="n">
        <v>0.8924</v>
      </c>
      <c r="I135" s="3225" t="n">
        <v>0.7728</v>
      </c>
      <c r="J135" s="3225" t="n">
        <v>0.7728</v>
      </c>
      <c r="K135" s="3225" t="n">
        <v>0.7728</v>
      </c>
      <c r="L135" s="3225" t="n">
        <v>0.7728</v>
      </c>
      <c r="M135" s="3226" t="n">
        <v>0.7728</v>
      </c>
    </row>
    <row r="136" customFormat="false" ht="13.5" hidden="false" customHeight="false" outlineLevel="0" collapsed="false">
      <c r="A136" s="3224" t="n">
        <v>5.1</v>
      </c>
      <c r="B136" s="3225" t="n">
        <v>0.9578</v>
      </c>
      <c r="C136" s="3225" t="n">
        <v>0.9578</v>
      </c>
      <c r="D136" s="3225" t="n">
        <v>0.8901</v>
      </c>
      <c r="E136" s="3225" t="n">
        <v>0.8901</v>
      </c>
      <c r="F136" s="3225" t="n">
        <v>0.8901</v>
      </c>
      <c r="G136" s="3225" t="n">
        <v>0.8901</v>
      </c>
      <c r="H136" s="3225" t="n">
        <v>0.8901</v>
      </c>
      <c r="I136" s="3225" t="n">
        <v>0.7699</v>
      </c>
      <c r="J136" s="3225" t="n">
        <v>0.7699</v>
      </c>
      <c r="K136" s="3225" t="n">
        <v>0.7699</v>
      </c>
      <c r="L136" s="3225" t="n">
        <v>0.7699</v>
      </c>
      <c r="M136" s="3226" t="n">
        <v>0.7699</v>
      </c>
    </row>
    <row r="137" customFormat="false" ht="13.5" hidden="false" customHeight="false" outlineLevel="0" collapsed="false">
      <c r="A137" s="3224" t="n">
        <v>5.2</v>
      </c>
      <c r="B137" s="3225" t="n">
        <v>0.9558</v>
      </c>
      <c r="C137" s="3225" t="n">
        <v>0.9558</v>
      </c>
      <c r="D137" s="3225" t="n">
        <v>0.8878</v>
      </c>
      <c r="E137" s="3225" t="n">
        <v>0.8878</v>
      </c>
      <c r="F137" s="3225" t="n">
        <v>0.8878</v>
      </c>
      <c r="G137" s="3225" t="n">
        <v>0.8878</v>
      </c>
      <c r="H137" s="3225" t="n">
        <v>0.8878</v>
      </c>
      <c r="I137" s="3225" t="n">
        <v>0.767</v>
      </c>
      <c r="J137" s="3225" t="n">
        <v>0.767</v>
      </c>
      <c r="K137" s="3225" t="n">
        <v>0.767</v>
      </c>
      <c r="L137" s="3225" t="n">
        <v>0.767</v>
      </c>
      <c r="M137" s="3226" t="n">
        <v>0.767</v>
      </c>
    </row>
    <row r="138" customFormat="false" ht="13.5" hidden="false" customHeight="false" outlineLevel="0" collapsed="false">
      <c r="A138" s="3224" t="n">
        <v>5.3</v>
      </c>
      <c r="B138" s="3225" t="n">
        <v>0.9538</v>
      </c>
      <c r="C138" s="3225" t="n">
        <v>0.9538</v>
      </c>
      <c r="D138" s="3225" t="n">
        <v>0.8855</v>
      </c>
      <c r="E138" s="3225" t="n">
        <v>0.8855</v>
      </c>
      <c r="F138" s="3225" t="n">
        <v>0.8855</v>
      </c>
      <c r="G138" s="3225" t="n">
        <v>0.8855</v>
      </c>
      <c r="H138" s="3225" t="n">
        <v>0.8855</v>
      </c>
      <c r="I138" s="3225" t="n">
        <v>0.7642</v>
      </c>
      <c r="J138" s="3225" t="n">
        <v>0.7642</v>
      </c>
      <c r="K138" s="3225" t="n">
        <v>0.7642</v>
      </c>
      <c r="L138" s="3225" t="n">
        <v>0.7642</v>
      </c>
      <c r="M138" s="3226" t="n">
        <v>0.7642</v>
      </c>
    </row>
    <row r="139" customFormat="false" ht="13.5" hidden="false" customHeight="false" outlineLevel="0" collapsed="false">
      <c r="A139" s="3224" t="n">
        <v>5.4</v>
      </c>
      <c r="B139" s="3225" t="n">
        <v>0.9518</v>
      </c>
      <c r="C139" s="3225" t="n">
        <v>0.9518</v>
      </c>
      <c r="D139" s="3225" t="n">
        <v>0.8833</v>
      </c>
      <c r="E139" s="3225" t="n">
        <v>0.8833</v>
      </c>
      <c r="F139" s="3225" t="n">
        <v>0.8833</v>
      </c>
      <c r="G139" s="3225" t="n">
        <v>0.8833</v>
      </c>
      <c r="H139" s="3225" t="n">
        <v>0.8833</v>
      </c>
      <c r="I139" s="3225" t="n">
        <v>0.7614</v>
      </c>
      <c r="J139" s="3225" t="n">
        <v>0.7614</v>
      </c>
      <c r="K139" s="3225" t="n">
        <v>0.7614</v>
      </c>
      <c r="L139" s="3225" t="n">
        <v>0.7614</v>
      </c>
      <c r="M139" s="3226" t="n">
        <v>0.7614</v>
      </c>
    </row>
    <row r="140" customFormat="false" ht="13.5" hidden="false" customHeight="false" outlineLevel="0" collapsed="false">
      <c r="A140" s="3224" t="n">
        <v>5.5</v>
      </c>
      <c r="B140" s="3225" t="n">
        <v>0.9498</v>
      </c>
      <c r="C140" s="3225" t="n">
        <v>0.9498</v>
      </c>
      <c r="D140" s="3225" t="n">
        <v>0.8811</v>
      </c>
      <c r="E140" s="3225" t="n">
        <v>0.8811</v>
      </c>
      <c r="F140" s="3225" t="n">
        <v>0.8811</v>
      </c>
      <c r="G140" s="3225" t="n">
        <v>0.8811</v>
      </c>
      <c r="H140" s="3225" t="n">
        <v>0.8811</v>
      </c>
      <c r="I140" s="3225" t="n">
        <v>0.7586</v>
      </c>
      <c r="J140" s="3225" t="n">
        <v>0.7586</v>
      </c>
      <c r="K140" s="3225" t="n">
        <v>0.7586</v>
      </c>
      <c r="L140" s="3225" t="n">
        <v>0.7586</v>
      </c>
      <c r="M140" s="3226" t="n">
        <v>0.7586</v>
      </c>
    </row>
    <row r="141" customFormat="false" ht="13.5" hidden="false" customHeight="false" outlineLevel="0" collapsed="false">
      <c r="A141" s="3224" t="n">
        <v>5.6</v>
      </c>
      <c r="B141" s="3225" t="n">
        <v>0.9479</v>
      </c>
      <c r="C141" s="3225" t="n">
        <v>0.9479</v>
      </c>
      <c r="D141" s="3225" t="n">
        <v>0.8789</v>
      </c>
      <c r="E141" s="3225" t="n">
        <v>0.8789</v>
      </c>
      <c r="F141" s="3225" t="n">
        <v>0.8789</v>
      </c>
      <c r="G141" s="3225" t="n">
        <v>0.8789</v>
      </c>
      <c r="H141" s="3225" t="n">
        <v>0.8789</v>
      </c>
      <c r="I141" s="3225" t="n">
        <v>0.7559</v>
      </c>
      <c r="J141" s="3225" t="n">
        <v>0.7559</v>
      </c>
      <c r="K141" s="3225" t="n">
        <v>0.7559</v>
      </c>
      <c r="L141" s="3225" t="n">
        <v>0.7559</v>
      </c>
      <c r="M141" s="3226" t="n">
        <v>0.7559</v>
      </c>
    </row>
    <row r="142" customFormat="false" ht="13.5" hidden="false" customHeight="false" outlineLevel="0" collapsed="false">
      <c r="A142" s="3228" t="n">
        <v>5.7</v>
      </c>
      <c r="B142" s="3225" t="n">
        <v>0.946</v>
      </c>
      <c r="C142" s="3225" t="n">
        <v>0.946</v>
      </c>
      <c r="D142" s="3225" t="n">
        <v>0.8767</v>
      </c>
      <c r="E142" s="3225" t="n">
        <v>0.8767</v>
      </c>
      <c r="F142" s="3225" t="n">
        <v>0.8767</v>
      </c>
      <c r="G142" s="3225" t="n">
        <v>0.8767</v>
      </c>
      <c r="H142" s="3225" t="n">
        <v>0.8767</v>
      </c>
      <c r="I142" s="3225" t="n">
        <v>0.7532</v>
      </c>
      <c r="J142" s="3225" t="n">
        <v>0.7532</v>
      </c>
      <c r="K142" s="3225" t="n">
        <v>0.7532</v>
      </c>
      <c r="L142" s="3225" t="n">
        <v>0.7532</v>
      </c>
      <c r="M142" s="3226" t="n">
        <v>0.7532</v>
      </c>
    </row>
    <row r="143" customFormat="false" ht="13.5" hidden="false" customHeight="false" outlineLevel="0" collapsed="false">
      <c r="A143" s="3224" t="n">
        <v>5.8</v>
      </c>
      <c r="B143" s="3225" t="n">
        <v>0.9441</v>
      </c>
      <c r="C143" s="3225" t="n">
        <v>0.9441</v>
      </c>
      <c r="D143" s="3225" t="n">
        <v>0.8746</v>
      </c>
      <c r="E143" s="3225" t="n">
        <v>0.8746</v>
      </c>
      <c r="F143" s="3225" t="n">
        <v>0.8746</v>
      </c>
      <c r="G143" s="3225" t="n">
        <v>0.8746</v>
      </c>
      <c r="H143" s="3225" t="n">
        <v>0.8746</v>
      </c>
      <c r="I143" s="3225" t="n">
        <v>0.7505</v>
      </c>
      <c r="J143" s="3225" t="n">
        <v>0.7505</v>
      </c>
      <c r="K143" s="3225" t="n">
        <v>0.7505</v>
      </c>
      <c r="L143" s="3225" t="n">
        <v>0.7505</v>
      </c>
      <c r="M143" s="3226" t="n">
        <v>0.7505</v>
      </c>
    </row>
    <row r="144" customFormat="false" ht="13.5" hidden="false" customHeight="false" outlineLevel="0" collapsed="false">
      <c r="A144" s="3224" t="n">
        <v>5.9</v>
      </c>
      <c r="B144" s="3225" t="n">
        <v>0.9422</v>
      </c>
      <c r="C144" s="3225" t="n">
        <v>0.9422</v>
      </c>
      <c r="D144" s="3225" t="n">
        <v>0.8725</v>
      </c>
      <c r="E144" s="3225" t="n">
        <v>0.8725</v>
      </c>
      <c r="F144" s="3225" t="n">
        <v>0.8725</v>
      </c>
      <c r="G144" s="3225" t="n">
        <v>0.8725</v>
      </c>
      <c r="H144" s="3225" t="n">
        <v>0.8725</v>
      </c>
      <c r="I144" s="3225" t="n">
        <v>0.7478</v>
      </c>
      <c r="J144" s="3225" t="n">
        <v>0.7478</v>
      </c>
      <c r="K144" s="3225" t="n">
        <v>0.7478</v>
      </c>
      <c r="L144" s="3225" t="n">
        <v>0.7478</v>
      </c>
      <c r="M144" s="3226" t="n">
        <v>0.7478</v>
      </c>
    </row>
    <row r="145" customFormat="false" ht="13.5" hidden="false" customHeight="false" outlineLevel="0" collapsed="false">
      <c r="A145" s="3224" t="n">
        <v>6</v>
      </c>
      <c r="B145" s="3225" t="n">
        <v>0.9404</v>
      </c>
      <c r="C145" s="3225" t="n">
        <v>0.9404</v>
      </c>
      <c r="D145" s="3225" t="n">
        <v>0.8704</v>
      </c>
      <c r="E145" s="3225" t="n">
        <v>0.8704</v>
      </c>
      <c r="F145" s="3225" t="n">
        <v>0.8704</v>
      </c>
      <c r="G145" s="3225" t="n">
        <v>0.8704</v>
      </c>
      <c r="H145" s="3225" t="n">
        <v>0.8704</v>
      </c>
      <c r="I145" s="3225" t="n">
        <v>0.7452</v>
      </c>
      <c r="J145" s="3225" t="n">
        <v>0.7452</v>
      </c>
      <c r="K145" s="3225" t="n">
        <v>0.7452</v>
      </c>
      <c r="L145" s="3225" t="n">
        <v>0.7452</v>
      </c>
      <c r="M145" s="3226" t="n">
        <v>0.7452</v>
      </c>
    </row>
    <row r="146" customFormat="false" ht="13.5" hidden="false" customHeight="false" outlineLevel="0" collapsed="false">
      <c r="A146" s="3224" t="n">
        <v>6.1</v>
      </c>
      <c r="B146" s="3225" t="n">
        <v>0.9386</v>
      </c>
      <c r="C146" s="3225" t="n">
        <v>0.9386</v>
      </c>
      <c r="D146" s="3225" t="n">
        <v>0.8683</v>
      </c>
      <c r="E146" s="3225" t="n">
        <v>0.8683</v>
      </c>
      <c r="F146" s="3225" t="n">
        <v>0.8683</v>
      </c>
      <c r="G146" s="3225" t="n">
        <v>0.8683</v>
      </c>
      <c r="H146" s="3225" t="n">
        <v>0.8683</v>
      </c>
      <c r="I146" s="3225" t="n">
        <v>0.7426</v>
      </c>
      <c r="J146" s="3225" t="n">
        <v>0.7426</v>
      </c>
      <c r="K146" s="3225" t="n">
        <v>0.7426</v>
      </c>
      <c r="L146" s="3225" t="n">
        <v>0.7426</v>
      </c>
      <c r="M146" s="3226" t="n">
        <v>0.7426</v>
      </c>
    </row>
    <row r="147" customFormat="false" ht="13.5" hidden="false" customHeight="false" outlineLevel="0" collapsed="false">
      <c r="A147" s="3224" t="n">
        <v>6.2</v>
      </c>
      <c r="B147" s="3225" t="n">
        <v>0.9368</v>
      </c>
      <c r="C147" s="3225" t="n">
        <v>0.9368</v>
      </c>
      <c r="D147" s="3225" t="n">
        <v>0.8662</v>
      </c>
      <c r="E147" s="3225" t="n">
        <v>0.8662</v>
      </c>
      <c r="F147" s="3225" t="n">
        <v>0.8662</v>
      </c>
      <c r="G147" s="3225" t="n">
        <v>0.8662</v>
      </c>
      <c r="H147" s="3225" t="n">
        <v>0.8662</v>
      </c>
      <c r="I147" s="3225" t="n">
        <v>0.74</v>
      </c>
      <c r="J147" s="3225" t="n">
        <v>0.74</v>
      </c>
      <c r="K147" s="3225" t="n">
        <v>0.74</v>
      </c>
      <c r="L147" s="3225" t="n">
        <v>0.74</v>
      </c>
      <c r="M147" s="3226" t="n">
        <v>0.74</v>
      </c>
    </row>
    <row r="148" customFormat="false" ht="13.5" hidden="false" customHeight="false" outlineLevel="0" collapsed="false">
      <c r="A148" s="3224" t="n">
        <v>6.3</v>
      </c>
      <c r="B148" s="3225" t="n">
        <v>0.935</v>
      </c>
      <c r="C148" s="3225" t="n">
        <v>0.935</v>
      </c>
      <c r="D148" s="3225" t="n">
        <v>0.8641</v>
      </c>
      <c r="E148" s="3225" t="n">
        <v>0.8641</v>
      </c>
      <c r="F148" s="3225" t="n">
        <v>0.8641</v>
      </c>
      <c r="G148" s="3225" t="n">
        <v>0.8641</v>
      </c>
      <c r="H148" s="3225" t="n">
        <v>0.8641</v>
      </c>
      <c r="I148" s="3225" t="n">
        <v>0.7374</v>
      </c>
      <c r="J148" s="3225" t="n">
        <v>0.7374</v>
      </c>
      <c r="K148" s="3225" t="n">
        <v>0.7374</v>
      </c>
      <c r="L148" s="3225" t="n">
        <v>0.7374</v>
      </c>
      <c r="M148" s="3226" t="n">
        <v>0.7374</v>
      </c>
    </row>
    <row r="149" customFormat="false" ht="13.5" hidden="false" customHeight="false" outlineLevel="0" collapsed="false">
      <c r="A149" s="3224" t="n">
        <v>6.4</v>
      </c>
      <c r="B149" s="3225" t="n">
        <v>0.9332</v>
      </c>
      <c r="C149" s="3225" t="n">
        <v>0.9332</v>
      </c>
      <c r="D149" s="3225" t="n">
        <v>0.8621</v>
      </c>
      <c r="E149" s="3225" t="n">
        <v>0.8621</v>
      </c>
      <c r="F149" s="3225" t="n">
        <v>0.8621</v>
      </c>
      <c r="G149" s="3225" t="n">
        <v>0.8621</v>
      </c>
      <c r="H149" s="3225" t="n">
        <v>0.8621</v>
      </c>
      <c r="I149" s="3225" t="n">
        <v>0.7348</v>
      </c>
      <c r="J149" s="3225" t="n">
        <v>0.7348</v>
      </c>
      <c r="K149" s="3225" t="n">
        <v>0.7348</v>
      </c>
      <c r="L149" s="3225" t="n">
        <v>0.7348</v>
      </c>
      <c r="M149" s="3226" t="n">
        <v>0.7348</v>
      </c>
    </row>
    <row r="150" customFormat="false" ht="13.5" hidden="false" customHeight="false" outlineLevel="0" collapsed="false">
      <c r="A150" s="3224" t="n">
        <v>6.5</v>
      </c>
      <c r="B150" s="3225" t="n">
        <v>0.9315</v>
      </c>
      <c r="C150" s="3225" t="n">
        <v>0.9315</v>
      </c>
      <c r="D150" s="3225" t="n">
        <v>0.8601</v>
      </c>
      <c r="E150" s="3225" t="n">
        <v>0.8601</v>
      </c>
      <c r="F150" s="3225" t="n">
        <v>0.8601</v>
      </c>
      <c r="G150" s="3225" t="n">
        <v>0.8601</v>
      </c>
      <c r="H150" s="3225" t="n">
        <v>0.8601</v>
      </c>
      <c r="I150" s="3225" t="n">
        <v>0.7323</v>
      </c>
      <c r="J150" s="3225" t="n">
        <v>0.7323</v>
      </c>
      <c r="K150" s="3225" t="n">
        <v>0.7323</v>
      </c>
      <c r="L150" s="3225" t="n">
        <v>0.7323</v>
      </c>
      <c r="M150" s="3226" t="n">
        <v>0.7323</v>
      </c>
    </row>
    <row r="151" customFormat="false" ht="13.5" hidden="false" customHeight="false" outlineLevel="0" collapsed="false">
      <c r="A151" s="3224" t="n">
        <v>6.6</v>
      </c>
      <c r="B151" s="3225" t="n">
        <v>0.9298</v>
      </c>
      <c r="C151" s="3225" t="n">
        <v>0.9298</v>
      </c>
      <c r="D151" s="3225" t="n">
        <v>0.8581</v>
      </c>
      <c r="E151" s="3225" t="n">
        <v>0.8581</v>
      </c>
      <c r="F151" s="3225" t="n">
        <v>0.8581</v>
      </c>
      <c r="G151" s="3225" t="n">
        <v>0.8581</v>
      </c>
      <c r="H151" s="3225" t="n">
        <v>0.8581</v>
      </c>
      <c r="I151" s="3225" t="n">
        <v>0.7298</v>
      </c>
      <c r="J151" s="3225" t="n">
        <v>0.7298</v>
      </c>
      <c r="K151" s="3225" t="n">
        <v>0.7298</v>
      </c>
      <c r="L151" s="3225" t="n">
        <v>0.7298</v>
      </c>
      <c r="M151" s="3226" t="n">
        <v>0.7298</v>
      </c>
    </row>
    <row r="152" customFormat="false" ht="13.5" hidden="false" customHeight="false" outlineLevel="0" collapsed="false">
      <c r="A152" s="3224" t="n">
        <v>6.7</v>
      </c>
      <c r="B152" s="3225" t="n">
        <v>0.9281</v>
      </c>
      <c r="C152" s="3225" t="n">
        <v>0.9281</v>
      </c>
      <c r="D152" s="3225" t="n">
        <v>0.8561</v>
      </c>
      <c r="E152" s="3225" t="n">
        <v>0.8561</v>
      </c>
      <c r="F152" s="3225" t="n">
        <v>0.8561</v>
      </c>
      <c r="G152" s="3225" t="n">
        <v>0.8561</v>
      </c>
      <c r="H152" s="3225" t="n">
        <v>0.8561</v>
      </c>
      <c r="I152" s="3225" t="n">
        <v>0.7273</v>
      </c>
      <c r="J152" s="3225" t="n">
        <v>0.7273</v>
      </c>
      <c r="K152" s="3225" t="n">
        <v>0.7273</v>
      </c>
      <c r="L152" s="3225" t="n">
        <v>0.7273</v>
      </c>
      <c r="M152" s="3226" t="n">
        <v>0.7273</v>
      </c>
    </row>
    <row r="153" customFormat="false" ht="13.5" hidden="false" customHeight="false" outlineLevel="0" collapsed="false">
      <c r="A153" s="3224" t="n">
        <v>6.8</v>
      </c>
      <c r="B153" s="3225" t="n">
        <v>0.9264</v>
      </c>
      <c r="C153" s="3225" t="n">
        <v>0.9264</v>
      </c>
      <c r="D153" s="3225" t="n">
        <v>0.8541</v>
      </c>
      <c r="E153" s="3225" t="n">
        <v>0.8541</v>
      </c>
      <c r="F153" s="3225" t="n">
        <v>0.8541</v>
      </c>
      <c r="G153" s="3225" t="n">
        <v>0.8541</v>
      </c>
      <c r="H153" s="3225" t="n">
        <v>0.8541</v>
      </c>
      <c r="I153" s="3225" t="n">
        <v>0.7248</v>
      </c>
      <c r="J153" s="3225" t="n">
        <v>0.7248</v>
      </c>
      <c r="K153" s="3225" t="n">
        <v>0.7248</v>
      </c>
      <c r="L153" s="3225" t="n">
        <v>0.7248</v>
      </c>
      <c r="M153" s="3226" t="n">
        <v>0.7248</v>
      </c>
    </row>
    <row r="154" customFormat="false" ht="13.5" hidden="false" customHeight="false" outlineLevel="0" collapsed="false">
      <c r="A154" s="3224" t="n">
        <v>6.9</v>
      </c>
      <c r="B154" s="3225" t="n">
        <v>0.9247</v>
      </c>
      <c r="C154" s="3225" t="n">
        <v>0.9247</v>
      </c>
      <c r="D154" s="3225" t="n">
        <v>0.8521</v>
      </c>
      <c r="E154" s="3225" t="n">
        <v>0.8521</v>
      </c>
      <c r="F154" s="3225" t="n">
        <v>0.8521</v>
      </c>
      <c r="G154" s="3225" t="n">
        <v>0.8521</v>
      </c>
      <c r="H154" s="3225" t="n">
        <v>0.8521</v>
      </c>
      <c r="I154" s="3225" t="n">
        <v>0.7223</v>
      </c>
      <c r="J154" s="3225" t="n">
        <v>0.7223</v>
      </c>
      <c r="K154" s="3225" t="n">
        <v>0.7223</v>
      </c>
      <c r="L154" s="3225" t="n">
        <v>0.7223</v>
      </c>
      <c r="M154" s="3226" t="n">
        <v>0.7223</v>
      </c>
    </row>
    <row r="155" customFormat="false" ht="13.5" hidden="false" customHeight="false" outlineLevel="0" collapsed="false">
      <c r="A155" s="3224" t="n">
        <v>7</v>
      </c>
      <c r="B155" s="3225" t="n">
        <v>0.923</v>
      </c>
      <c r="C155" s="3225" t="n">
        <v>0.923</v>
      </c>
      <c r="D155" s="3225" t="n">
        <v>0.8502</v>
      </c>
      <c r="E155" s="3225" t="n">
        <v>0.8502</v>
      </c>
      <c r="F155" s="3225" t="n">
        <v>0.8502</v>
      </c>
      <c r="G155" s="3225" t="n">
        <v>0.8502</v>
      </c>
      <c r="H155" s="3225" t="n">
        <v>0.8502</v>
      </c>
      <c r="I155" s="3225" t="n">
        <v>0.7199</v>
      </c>
      <c r="J155" s="3225" t="n">
        <v>0.7199</v>
      </c>
      <c r="K155" s="3225" t="n">
        <v>0.7199</v>
      </c>
      <c r="L155" s="3225" t="n">
        <v>0.7199</v>
      </c>
      <c r="M155" s="3226" t="n">
        <v>0.7199</v>
      </c>
    </row>
    <row r="156" customFormat="false" ht="13.5" hidden="false" customHeight="false" outlineLevel="0" collapsed="false">
      <c r="A156" s="3224" t="n">
        <v>7.1</v>
      </c>
      <c r="B156" s="3225" t="n">
        <v>0.9214</v>
      </c>
      <c r="C156" s="3225" t="n">
        <v>0.9214</v>
      </c>
      <c r="D156" s="3225" t="n">
        <v>0.8483</v>
      </c>
      <c r="E156" s="3225" t="n">
        <v>0.8483</v>
      </c>
      <c r="F156" s="3225" t="n">
        <v>0.8483</v>
      </c>
      <c r="G156" s="3225" t="n">
        <v>0.8483</v>
      </c>
      <c r="H156" s="3225" t="n">
        <v>0.8483</v>
      </c>
      <c r="I156" s="3225" t="n">
        <v>0.7175</v>
      </c>
      <c r="J156" s="3225" t="n">
        <v>0.7175</v>
      </c>
      <c r="K156" s="3225" t="n">
        <v>0.7175</v>
      </c>
      <c r="L156" s="3225" t="n">
        <v>0.7175</v>
      </c>
      <c r="M156" s="3226" t="n">
        <v>0.7175</v>
      </c>
    </row>
    <row r="157" customFormat="false" ht="13.5" hidden="false" customHeight="false" outlineLevel="0" collapsed="false">
      <c r="A157" s="3224" t="n">
        <v>7.2</v>
      </c>
      <c r="B157" s="3225" t="n">
        <v>0.9198</v>
      </c>
      <c r="C157" s="3225" t="n">
        <v>0.9198</v>
      </c>
      <c r="D157" s="3225" t="n">
        <v>0.8464</v>
      </c>
      <c r="E157" s="3225" t="n">
        <v>0.8464</v>
      </c>
      <c r="F157" s="3225" t="n">
        <v>0.8464</v>
      </c>
      <c r="G157" s="3225" t="n">
        <v>0.8464</v>
      </c>
      <c r="H157" s="3225" t="n">
        <v>0.8464</v>
      </c>
      <c r="I157" s="3225" t="n">
        <v>0.7151</v>
      </c>
      <c r="J157" s="3225" t="n">
        <v>0.7151</v>
      </c>
      <c r="K157" s="3225" t="n">
        <v>0.7151</v>
      </c>
      <c r="L157" s="3225" t="n">
        <v>0.7151</v>
      </c>
      <c r="M157" s="3226" t="n">
        <v>0.7151</v>
      </c>
    </row>
    <row r="158" customFormat="false" ht="13.5" hidden="false" customHeight="false" outlineLevel="0" collapsed="false">
      <c r="A158" s="3224" t="n">
        <v>7.3</v>
      </c>
      <c r="B158" s="3225" t="n">
        <v>0.9182</v>
      </c>
      <c r="C158" s="3225" t="n">
        <v>0.9182</v>
      </c>
      <c r="D158" s="3225" t="n">
        <v>0.8445</v>
      </c>
      <c r="E158" s="3225" t="n">
        <v>0.8445</v>
      </c>
      <c r="F158" s="3225" t="n">
        <v>0.8445</v>
      </c>
      <c r="G158" s="3225" t="n">
        <v>0.8445</v>
      </c>
      <c r="H158" s="3225" t="n">
        <v>0.8445</v>
      </c>
      <c r="I158" s="3225" t="n">
        <v>0.7127</v>
      </c>
      <c r="J158" s="3225" t="n">
        <v>0.7127</v>
      </c>
      <c r="K158" s="3225" t="n">
        <v>0.7127</v>
      </c>
      <c r="L158" s="3225" t="n">
        <v>0.7127</v>
      </c>
      <c r="M158" s="3226" t="n">
        <v>0.7127</v>
      </c>
    </row>
    <row r="159" customFormat="false" ht="13.5" hidden="false" customHeight="false" outlineLevel="0" collapsed="false">
      <c r="A159" s="3224" t="n">
        <v>7.4</v>
      </c>
      <c r="B159" s="3225" t="n">
        <v>0.9166</v>
      </c>
      <c r="C159" s="3225" t="n">
        <v>0.9166</v>
      </c>
      <c r="D159" s="3225" t="n">
        <v>0.8426</v>
      </c>
      <c r="E159" s="3225" t="n">
        <v>0.8426</v>
      </c>
      <c r="F159" s="3225" t="n">
        <v>0.8426</v>
      </c>
      <c r="G159" s="3225" t="n">
        <v>0.8426</v>
      </c>
      <c r="H159" s="3225" t="n">
        <v>0.8426</v>
      </c>
      <c r="I159" s="3225" t="n">
        <v>0.7103</v>
      </c>
      <c r="J159" s="3225" t="n">
        <v>0.7103</v>
      </c>
      <c r="K159" s="3225" t="n">
        <v>0.7103</v>
      </c>
      <c r="L159" s="3225" t="n">
        <v>0.7103</v>
      </c>
      <c r="M159" s="3226" t="n">
        <v>0.7103</v>
      </c>
    </row>
    <row r="160" customFormat="false" ht="13.5" hidden="false" customHeight="false" outlineLevel="0" collapsed="false">
      <c r="A160" s="3224" t="n">
        <v>7.5</v>
      </c>
      <c r="B160" s="3225" t="n">
        <v>0.915</v>
      </c>
      <c r="C160" s="3225" t="n">
        <v>0.915</v>
      </c>
      <c r="D160" s="3225" t="n">
        <v>0.8407</v>
      </c>
      <c r="E160" s="3225" t="n">
        <v>0.8407</v>
      </c>
      <c r="F160" s="3225" t="n">
        <v>0.8407</v>
      </c>
      <c r="G160" s="3225" t="n">
        <v>0.8407</v>
      </c>
      <c r="H160" s="3225" t="n">
        <v>0.8407</v>
      </c>
      <c r="I160" s="3225" t="n">
        <v>0.708</v>
      </c>
      <c r="J160" s="3225" t="n">
        <v>0.708</v>
      </c>
      <c r="K160" s="3225" t="n">
        <v>0.708</v>
      </c>
      <c r="L160" s="3225" t="n">
        <v>0.708</v>
      </c>
      <c r="M160" s="3226" t="n">
        <v>0.708</v>
      </c>
    </row>
    <row r="161" customFormat="false" ht="13.5" hidden="false" customHeight="false" outlineLevel="0" collapsed="false">
      <c r="A161" s="3224" t="n">
        <v>7.6</v>
      </c>
      <c r="B161" s="3225" t="n">
        <v>0.9134</v>
      </c>
      <c r="C161" s="3225" t="n">
        <v>0.9134</v>
      </c>
      <c r="D161" s="3225" t="n">
        <v>0.8389</v>
      </c>
      <c r="E161" s="3225" t="n">
        <v>0.8389</v>
      </c>
      <c r="F161" s="3225" t="n">
        <v>0.8389</v>
      </c>
      <c r="G161" s="3225" t="n">
        <v>0.8389</v>
      </c>
      <c r="H161" s="3225" t="n">
        <v>0.8389</v>
      </c>
      <c r="I161" s="3225" t="n">
        <v>0.7057</v>
      </c>
      <c r="J161" s="3225" t="n">
        <v>0.7057</v>
      </c>
      <c r="K161" s="3225" t="n">
        <v>0.7057</v>
      </c>
      <c r="L161" s="3225" t="n">
        <v>0.7057</v>
      </c>
      <c r="M161" s="3226" t="n">
        <v>0.7057</v>
      </c>
    </row>
    <row r="162" customFormat="false" ht="13.5" hidden="false" customHeight="false" outlineLevel="0" collapsed="false">
      <c r="A162" s="3224" t="n">
        <v>7.7</v>
      </c>
      <c r="B162" s="3225" t="n">
        <v>0.9119</v>
      </c>
      <c r="C162" s="3225" t="n">
        <v>0.9119</v>
      </c>
      <c r="D162" s="3225" t="n">
        <v>0.8371</v>
      </c>
      <c r="E162" s="3225" t="n">
        <v>0.8371</v>
      </c>
      <c r="F162" s="3225" t="n">
        <v>0.8371</v>
      </c>
      <c r="G162" s="3225" t="n">
        <v>0.8371</v>
      </c>
      <c r="H162" s="3225" t="n">
        <v>0.8371</v>
      </c>
      <c r="I162" s="3225" t="n">
        <v>0.7034</v>
      </c>
      <c r="J162" s="3225" t="n">
        <v>0.7034</v>
      </c>
      <c r="K162" s="3225" t="n">
        <v>0.7034</v>
      </c>
      <c r="L162" s="3225" t="n">
        <v>0.7034</v>
      </c>
      <c r="M162" s="3226" t="n">
        <v>0.7034</v>
      </c>
    </row>
    <row r="163" customFormat="false" ht="13.5" hidden="false" customHeight="false" outlineLevel="0" collapsed="false">
      <c r="A163" s="3224" t="n">
        <v>7.8</v>
      </c>
      <c r="B163" s="3225" t="n">
        <v>0.9104</v>
      </c>
      <c r="C163" s="3225" t="n">
        <v>0.9104</v>
      </c>
      <c r="D163" s="3225" t="n">
        <v>0.8353</v>
      </c>
      <c r="E163" s="3225" t="n">
        <v>0.8353</v>
      </c>
      <c r="F163" s="3225" t="n">
        <v>0.8353</v>
      </c>
      <c r="G163" s="3225" t="n">
        <v>0.8353</v>
      </c>
      <c r="H163" s="3225" t="n">
        <v>0.8353</v>
      </c>
      <c r="I163" s="3225" t="n">
        <v>0.7011</v>
      </c>
      <c r="J163" s="3225" t="n">
        <v>0.7011</v>
      </c>
      <c r="K163" s="3225" t="n">
        <v>0.7011</v>
      </c>
      <c r="L163" s="3225" t="n">
        <v>0.7011</v>
      </c>
      <c r="M163" s="3226" t="n">
        <v>0.7011</v>
      </c>
    </row>
    <row r="164" customFormat="false" ht="13.5" hidden="false" customHeight="false" outlineLevel="0" collapsed="false">
      <c r="A164" s="3224" t="n">
        <v>7.9</v>
      </c>
      <c r="B164" s="3225" t="n">
        <v>0.9089</v>
      </c>
      <c r="C164" s="3225" t="n">
        <v>0.9089</v>
      </c>
      <c r="D164" s="3225" t="n">
        <v>0.8335</v>
      </c>
      <c r="E164" s="3225" t="n">
        <v>0.8335</v>
      </c>
      <c r="F164" s="3225" t="n">
        <v>0.8335</v>
      </c>
      <c r="G164" s="3225" t="n">
        <v>0.8335</v>
      </c>
      <c r="H164" s="3225" t="n">
        <v>0.8335</v>
      </c>
      <c r="I164" s="3225" t="n">
        <v>0.6988</v>
      </c>
      <c r="J164" s="3225" t="n">
        <v>0.6988</v>
      </c>
      <c r="K164" s="3225" t="n">
        <v>0.6988</v>
      </c>
      <c r="L164" s="3225" t="n">
        <v>0.6988</v>
      </c>
      <c r="M164" s="3226" t="n">
        <v>0.6988</v>
      </c>
    </row>
    <row r="165" customFormat="false" ht="13.5" hidden="false" customHeight="false" outlineLevel="0" collapsed="false">
      <c r="A165" s="3224" t="n">
        <v>8</v>
      </c>
      <c r="B165" s="3225" t="n">
        <v>0.9074</v>
      </c>
      <c r="C165" s="3225" t="n">
        <v>0.9074</v>
      </c>
      <c r="D165" s="3225" t="n">
        <v>0.8317</v>
      </c>
      <c r="E165" s="3225" t="n">
        <v>0.8317</v>
      </c>
      <c r="F165" s="3225" t="n">
        <v>0.8317</v>
      </c>
      <c r="G165" s="3225" t="n">
        <v>0.8317</v>
      </c>
      <c r="H165" s="3225" t="n">
        <v>0.8317</v>
      </c>
      <c r="I165" s="3225" t="n">
        <v>0.6966</v>
      </c>
      <c r="J165" s="3225" t="n">
        <v>0.6966</v>
      </c>
      <c r="K165" s="3225" t="n">
        <v>0.6966</v>
      </c>
      <c r="L165" s="3225" t="n">
        <v>0.6966</v>
      </c>
      <c r="M165" s="3226" t="n">
        <v>0.6966</v>
      </c>
    </row>
    <row r="166" customFormat="false" ht="13.5" hidden="false" customHeight="false" outlineLevel="0" collapsed="false">
      <c r="A166" s="3224" t="n">
        <v>8.1</v>
      </c>
      <c r="B166" s="3225" t="n">
        <v>0.9059</v>
      </c>
      <c r="C166" s="3225" t="n">
        <v>0.9059</v>
      </c>
      <c r="D166" s="3225" t="n">
        <v>0.8299</v>
      </c>
      <c r="E166" s="3225" t="n">
        <v>0.8299</v>
      </c>
      <c r="F166" s="3225" t="n">
        <v>0.8299</v>
      </c>
      <c r="G166" s="3225" t="n">
        <v>0.8299</v>
      </c>
      <c r="H166" s="3225" t="n">
        <v>0.8299</v>
      </c>
      <c r="I166" s="3225" t="n">
        <v>0.6944</v>
      </c>
      <c r="J166" s="3225" t="n">
        <v>0.6944</v>
      </c>
      <c r="K166" s="3225" t="n">
        <v>0.6944</v>
      </c>
      <c r="L166" s="3225" t="n">
        <v>0.6944</v>
      </c>
      <c r="M166" s="3226" t="n">
        <v>0.6944</v>
      </c>
    </row>
    <row r="167" customFormat="false" ht="13.5" hidden="false" customHeight="false" outlineLevel="0" collapsed="false">
      <c r="A167" s="3224" t="n">
        <v>8.2</v>
      </c>
      <c r="B167" s="3225" t="n">
        <v>0.9044</v>
      </c>
      <c r="C167" s="3225" t="n">
        <v>0.9044</v>
      </c>
      <c r="D167" s="3225" t="n">
        <v>0.8282</v>
      </c>
      <c r="E167" s="3225" t="n">
        <v>0.8282</v>
      </c>
      <c r="F167" s="3225" t="n">
        <v>0.8282</v>
      </c>
      <c r="G167" s="3225" t="n">
        <v>0.8282</v>
      </c>
      <c r="H167" s="3225" t="n">
        <v>0.8282</v>
      </c>
      <c r="I167" s="3225" t="n">
        <v>0.6922</v>
      </c>
      <c r="J167" s="3225" t="n">
        <v>0.6922</v>
      </c>
      <c r="K167" s="3225" t="n">
        <v>0.6922</v>
      </c>
      <c r="L167" s="3225" t="n">
        <v>0.6922</v>
      </c>
      <c r="M167" s="3226" t="n">
        <v>0.6922</v>
      </c>
    </row>
    <row r="168" customFormat="false" ht="13.5" hidden="false" customHeight="false" outlineLevel="0" collapsed="false">
      <c r="A168" s="3224" t="n">
        <v>8.3</v>
      </c>
      <c r="B168" s="3225" t="n">
        <v>0.903</v>
      </c>
      <c r="C168" s="3225" t="n">
        <v>0.903</v>
      </c>
      <c r="D168" s="3225" t="n">
        <v>0.8265</v>
      </c>
      <c r="E168" s="3225" t="n">
        <v>0.8265</v>
      </c>
      <c r="F168" s="3225" t="n">
        <v>0.8265</v>
      </c>
      <c r="G168" s="3225" t="n">
        <v>0.8265</v>
      </c>
      <c r="H168" s="3225" t="n">
        <v>0.8265</v>
      </c>
      <c r="I168" s="3225" t="n">
        <v>0.69</v>
      </c>
      <c r="J168" s="3225" t="n">
        <v>0.69</v>
      </c>
      <c r="K168" s="3225" t="n">
        <v>0.69</v>
      </c>
      <c r="L168" s="3225" t="n">
        <v>0.69</v>
      </c>
      <c r="M168" s="3226" t="n">
        <v>0.69</v>
      </c>
    </row>
    <row r="169" customFormat="false" ht="13.5" hidden="false" customHeight="false" outlineLevel="0" collapsed="false">
      <c r="A169" s="3224" t="n">
        <v>8.4</v>
      </c>
      <c r="B169" s="3225" t="n">
        <v>0.9016</v>
      </c>
      <c r="C169" s="3225" t="n">
        <v>0.9016</v>
      </c>
      <c r="D169" s="3225" t="n">
        <v>0.8248</v>
      </c>
      <c r="E169" s="3225" t="n">
        <v>0.8248</v>
      </c>
      <c r="F169" s="3225" t="n">
        <v>0.8248</v>
      </c>
      <c r="G169" s="3225" t="n">
        <v>0.8248</v>
      </c>
      <c r="H169" s="3225" t="n">
        <v>0.8248</v>
      </c>
      <c r="I169" s="3225" t="n">
        <v>0.6878</v>
      </c>
      <c r="J169" s="3225" t="n">
        <v>0.6878</v>
      </c>
      <c r="K169" s="3225" t="n">
        <v>0.6878</v>
      </c>
      <c r="L169" s="3225" t="n">
        <v>0.6878</v>
      </c>
      <c r="M169" s="3226" t="n">
        <v>0.6878</v>
      </c>
    </row>
    <row r="170" customFormat="false" ht="13.5" hidden="false" customHeight="false" outlineLevel="0" collapsed="false">
      <c r="A170" s="3224" t="n">
        <v>8.5</v>
      </c>
      <c r="B170" s="3225" t="n">
        <v>0.9002</v>
      </c>
      <c r="C170" s="3225" t="n">
        <v>0.9002</v>
      </c>
      <c r="D170" s="3225" t="n">
        <v>0.8231</v>
      </c>
      <c r="E170" s="3225" t="n">
        <v>0.8231</v>
      </c>
      <c r="F170" s="3225" t="n">
        <v>0.8231</v>
      </c>
      <c r="G170" s="3225" t="n">
        <v>0.8231</v>
      </c>
      <c r="H170" s="3225" t="n">
        <v>0.8231</v>
      </c>
      <c r="I170" s="3225" t="n">
        <v>0.6857</v>
      </c>
      <c r="J170" s="3225" t="n">
        <v>0.6857</v>
      </c>
      <c r="K170" s="3225" t="n">
        <v>0.6857</v>
      </c>
      <c r="L170" s="3225" t="n">
        <v>0.6857</v>
      </c>
      <c r="M170" s="3226" t="n">
        <v>0.6857</v>
      </c>
    </row>
    <row r="171" customFormat="false" ht="13.5" hidden="false" customHeight="false" outlineLevel="0" collapsed="false">
      <c r="A171" s="3224" t="n">
        <v>8.6</v>
      </c>
      <c r="B171" s="3225" t="n">
        <v>0.8988</v>
      </c>
      <c r="C171" s="3225" t="n">
        <v>0.8988</v>
      </c>
      <c r="D171" s="3225" t="n">
        <v>0.8214</v>
      </c>
      <c r="E171" s="3225" t="n">
        <v>0.8214</v>
      </c>
      <c r="F171" s="3225" t="n">
        <v>0.8214</v>
      </c>
      <c r="G171" s="3225" t="n">
        <v>0.8214</v>
      </c>
      <c r="H171" s="3225" t="n">
        <v>0.8214</v>
      </c>
      <c r="I171" s="3225" t="n">
        <v>0.6836</v>
      </c>
      <c r="J171" s="3225" t="n">
        <v>0.6836</v>
      </c>
      <c r="K171" s="3225" t="n">
        <v>0.6836</v>
      </c>
      <c r="L171" s="3225" t="n">
        <v>0.6836</v>
      </c>
      <c r="M171" s="3226" t="n">
        <v>0.6836</v>
      </c>
    </row>
    <row r="172" customFormat="false" ht="13.5" hidden="false" customHeight="false" outlineLevel="0" collapsed="false">
      <c r="A172" s="3224" t="n">
        <v>8.7</v>
      </c>
      <c r="B172" s="3225" t="n">
        <v>0.8974</v>
      </c>
      <c r="C172" s="3225" t="n">
        <v>0.8974</v>
      </c>
      <c r="D172" s="3225" t="n">
        <v>0.8197</v>
      </c>
      <c r="E172" s="3225" t="n">
        <v>0.8197</v>
      </c>
      <c r="F172" s="3225" t="n">
        <v>0.8197</v>
      </c>
      <c r="G172" s="3225" t="n">
        <v>0.8197</v>
      </c>
      <c r="H172" s="3225" t="n">
        <v>0.8197</v>
      </c>
      <c r="I172" s="3225" t="n">
        <v>0.6815</v>
      </c>
      <c r="J172" s="3225" t="n">
        <v>0.6815</v>
      </c>
      <c r="K172" s="3225" t="n">
        <v>0.6815</v>
      </c>
      <c r="L172" s="3225" t="n">
        <v>0.6815</v>
      </c>
      <c r="M172" s="3226" t="n">
        <v>0.6815</v>
      </c>
    </row>
    <row r="173" customFormat="false" ht="13.5" hidden="false" customHeight="false" outlineLevel="0" collapsed="false">
      <c r="A173" s="3224" t="n">
        <v>8.8</v>
      </c>
      <c r="B173" s="3225" t="n">
        <v>0.896</v>
      </c>
      <c r="C173" s="3225" t="n">
        <v>0.896</v>
      </c>
      <c r="D173" s="3225" t="n">
        <v>0.8181</v>
      </c>
      <c r="E173" s="3225" t="n">
        <v>0.8181</v>
      </c>
      <c r="F173" s="3225" t="n">
        <v>0.8181</v>
      </c>
      <c r="G173" s="3225" t="n">
        <v>0.8181</v>
      </c>
      <c r="H173" s="3225" t="n">
        <v>0.8181</v>
      </c>
      <c r="I173" s="3225" t="n">
        <v>0.6794</v>
      </c>
      <c r="J173" s="3225" t="n">
        <v>0.6794</v>
      </c>
      <c r="K173" s="3225" t="n">
        <v>0.6794</v>
      </c>
      <c r="L173" s="3225" t="n">
        <v>0.6794</v>
      </c>
      <c r="M173" s="3226" t="n">
        <v>0.6794</v>
      </c>
    </row>
    <row r="174" customFormat="false" ht="13.5" hidden="false" customHeight="false" outlineLevel="0" collapsed="false">
      <c r="A174" s="3224" t="n">
        <v>8.9</v>
      </c>
      <c r="B174" s="3225" t="n">
        <v>0.8947</v>
      </c>
      <c r="C174" s="3225" t="n">
        <v>0.8947</v>
      </c>
      <c r="D174" s="3225" t="n">
        <v>0.8165</v>
      </c>
      <c r="E174" s="3225" t="n">
        <v>0.8165</v>
      </c>
      <c r="F174" s="3225" t="n">
        <v>0.8165</v>
      </c>
      <c r="G174" s="3225" t="n">
        <v>0.8165</v>
      </c>
      <c r="H174" s="3225" t="n">
        <v>0.8165</v>
      </c>
      <c r="I174" s="3225" t="n">
        <v>0.6774</v>
      </c>
      <c r="J174" s="3225" t="n">
        <v>0.6774</v>
      </c>
      <c r="K174" s="3225" t="n">
        <v>0.6774</v>
      </c>
      <c r="L174" s="3225" t="n">
        <v>0.6774</v>
      </c>
      <c r="M174" s="3226" t="n">
        <v>0.6774</v>
      </c>
    </row>
    <row r="175" customFormat="false" ht="13.5" hidden="false" customHeight="false" outlineLevel="0" collapsed="false">
      <c r="A175" s="3228" t="n">
        <v>9</v>
      </c>
      <c r="B175" s="3225" t="n">
        <v>0.8934</v>
      </c>
      <c r="C175" s="3225" t="n">
        <v>0.8934</v>
      </c>
      <c r="D175" s="3225" t="n">
        <v>0.8149</v>
      </c>
      <c r="E175" s="3225" t="n">
        <v>0.8149</v>
      </c>
      <c r="F175" s="3225" t="n">
        <v>0.8149</v>
      </c>
      <c r="G175" s="3225" t="n">
        <v>0.8149</v>
      </c>
      <c r="H175" s="3225" t="n">
        <v>0.8149</v>
      </c>
      <c r="I175" s="3225" t="n">
        <v>0.6754</v>
      </c>
      <c r="J175" s="3225" t="n">
        <v>0.6754</v>
      </c>
      <c r="K175" s="3225" t="n">
        <v>0.6754</v>
      </c>
      <c r="L175" s="3225" t="n">
        <v>0.6754</v>
      </c>
      <c r="M175" s="3226" t="n">
        <v>0.6754</v>
      </c>
    </row>
    <row r="176" customFormat="false" ht="13.5" hidden="false" customHeight="false" outlineLevel="0" collapsed="false">
      <c r="A176" s="3228" t="n">
        <v>9.1</v>
      </c>
      <c r="B176" s="3225" t="n">
        <v>0.8921</v>
      </c>
      <c r="C176" s="3225" t="n">
        <v>0.8921</v>
      </c>
      <c r="D176" s="3225" t="n">
        <v>0.8133</v>
      </c>
      <c r="E176" s="3225" t="n">
        <v>0.8133</v>
      </c>
      <c r="F176" s="3225" t="n">
        <v>0.8133</v>
      </c>
      <c r="G176" s="3225" t="n">
        <v>0.8133</v>
      </c>
      <c r="H176" s="3225" t="n">
        <v>0.8133</v>
      </c>
      <c r="I176" s="3225" t="n">
        <v>0.6734</v>
      </c>
      <c r="J176" s="3225" t="n">
        <v>0.6734</v>
      </c>
      <c r="K176" s="3225" t="n">
        <v>0.6734</v>
      </c>
      <c r="L176" s="3225" t="n">
        <v>0.6734</v>
      </c>
      <c r="M176" s="3226" t="n">
        <v>0.6734</v>
      </c>
    </row>
    <row r="177" customFormat="false" ht="13.5" hidden="false" customHeight="false" outlineLevel="0" collapsed="false">
      <c r="A177" s="3228" t="n">
        <v>9.2</v>
      </c>
      <c r="B177" s="3225" t="n">
        <v>0.8908</v>
      </c>
      <c r="C177" s="3225" t="n">
        <v>0.8908</v>
      </c>
      <c r="D177" s="3225" t="n">
        <v>0.8117</v>
      </c>
      <c r="E177" s="3225" t="n">
        <v>0.8117</v>
      </c>
      <c r="F177" s="3225" t="n">
        <v>0.8117</v>
      </c>
      <c r="G177" s="3225" t="n">
        <v>0.8117</v>
      </c>
      <c r="H177" s="3225" t="n">
        <v>0.8117</v>
      </c>
      <c r="I177" s="3225" t="n">
        <v>0.6714</v>
      </c>
      <c r="J177" s="3225" t="n">
        <v>0.6714</v>
      </c>
      <c r="K177" s="3225" t="n">
        <v>0.6714</v>
      </c>
      <c r="L177" s="3225" t="n">
        <v>0.6714</v>
      </c>
      <c r="M177" s="3226" t="n">
        <v>0.6714</v>
      </c>
    </row>
    <row r="178" customFormat="false" ht="13.5" hidden="false" customHeight="false" outlineLevel="0" collapsed="false">
      <c r="A178" s="3228" t="n">
        <v>9.3</v>
      </c>
      <c r="B178" s="3225" t="n">
        <v>0.8895</v>
      </c>
      <c r="C178" s="3225" t="n">
        <v>0.8895</v>
      </c>
      <c r="D178" s="3225" t="n">
        <v>0.8101</v>
      </c>
      <c r="E178" s="3225" t="n">
        <v>0.8101</v>
      </c>
      <c r="F178" s="3225" t="n">
        <v>0.8101</v>
      </c>
      <c r="G178" s="3225" t="n">
        <v>0.8101</v>
      </c>
      <c r="H178" s="3225" t="n">
        <v>0.8101</v>
      </c>
      <c r="I178" s="3225" t="n">
        <v>0.6694</v>
      </c>
      <c r="J178" s="3225" t="n">
        <v>0.6694</v>
      </c>
      <c r="K178" s="3225" t="n">
        <v>0.6694</v>
      </c>
      <c r="L178" s="3225" t="n">
        <v>0.6694</v>
      </c>
      <c r="M178" s="3226" t="n">
        <v>0.6694</v>
      </c>
    </row>
    <row r="179" customFormat="false" ht="13.5" hidden="false" customHeight="false" outlineLevel="0" collapsed="false">
      <c r="A179" s="3228" t="n">
        <v>9.4</v>
      </c>
      <c r="B179" s="3225" t="n">
        <v>0.8882</v>
      </c>
      <c r="C179" s="3225" t="n">
        <v>0.8882</v>
      </c>
      <c r="D179" s="3225" t="n">
        <v>0.8085</v>
      </c>
      <c r="E179" s="3225" t="n">
        <v>0.8085</v>
      </c>
      <c r="F179" s="3225" t="n">
        <v>0.8085</v>
      </c>
      <c r="G179" s="3225" t="n">
        <v>0.8085</v>
      </c>
      <c r="H179" s="3225" t="n">
        <v>0.8085</v>
      </c>
      <c r="I179" s="3225" t="n">
        <v>0.6674</v>
      </c>
      <c r="J179" s="3225" t="n">
        <v>0.6674</v>
      </c>
      <c r="K179" s="3225" t="n">
        <v>0.6674</v>
      </c>
      <c r="L179" s="3225" t="n">
        <v>0.6674</v>
      </c>
      <c r="M179" s="3226" t="n">
        <v>0.6674</v>
      </c>
    </row>
    <row r="180" customFormat="false" ht="13.5" hidden="false" customHeight="false" outlineLevel="0" collapsed="false">
      <c r="A180" s="3228" t="n">
        <v>9.5</v>
      </c>
      <c r="B180" s="3225" t="n">
        <v>0.887</v>
      </c>
      <c r="C180" s="3225" t="n">
        <v>0.887</v>
      </c>
      <c r="D180" s="3225" t="n">
        <v>0.807</v>
      </c>
      <c r="E180" s="3225" t="n">
        <v>0.807</v>
      </c>
      <c r="F180" s="3225" t="n">
        <v>0.807</v>
      </c>
      <c r="G180" s="3225" t="n">
        <v>0.807</v>
      </c>
      <c r="H180" s="3225" t="n">
        <v>0.807</v>
      </c>
      <c r="I180" s="3225" t="n">
        <v>0.6655</v>
      </c>
      <c r="J180" s="3225" t="n">
        <v>0.6655</v>
      </c>
      <c r="K180" s="3225" t="n">
        <v>0.6655</v>
      </c>
      <c r="L180" s="3225" t="n">
        <v>0.6655</v>
      </c>
      <c r="M180" s="3226" t="n">
        <v>0.6655</v>
      </c>
    </row>
    <row r="181" customFormat="false" ht="13.5" hidden="false" customHeight="false" outlineLevel="0" collapsed="false">
      <c r="A181" s="3228" t="n">
        <v>9.6</v>
      </c>
      <c r="B181" s="3225" t="n">
        <v>0.8858</v>
      </c>
      <c r="C181" s="3225" t="n">
        <v>0.8858</v>
      </c>
      <c r="D181" s="3225" t="n">
        <v>0.8055</v>
      </c>
      <c r="E181" s="3225" t="n">
        <v>0.8055</v>
      </c>
      <c r="F181" s="3225" t="n">
        <v>0.8055</v>
      </c>
      <c r="G181" s="3225" t="n">
        <v>0.8055</v>
      </c>
      <c r="H181" s="3225" t="n">
        <v>0.8055</v>
      </c>
      <c r="I181" s="3225" t="n">
        <v>0.6636</v>
      </c>
      <c r="J181" s="3225" t="n">
        <v>0.6636</v>
      </c>
      <c r="K181" s="3225" t="n">
        <v>0.6636</v>
      </c>
      <c r="L181" s="3225" t="n">
        <v>0.6636</v>
      </c>
      <c r="M181" s="3226" t="n">
        <v>0.6636</v>
      </c>
    </row>
    <row r="182" customFormat="false" ht="13.5" hidden="false" customHeight="false" outlineLevel="0" collapsed="false">
      <c r="A182" s="3228" t="n">
        <v>9.7</v>
      </c>
      <c r="B182" s="3225" t="n">
        <v>0.8846</v>
      </c>
      <c r="C182" s="3225" t="n">
        <v>0.8846</v>
      </c>
      <c r="D182" s="3225" t="n">
        <v>0.804</v>
      </c>
      <c r="E182" s="3225" t="n">
        <v>0.804</v>
      </c>
      <c r="F182" s="3225" t="n">
        <v>0.804</v>
      </c>
      <c r="G182" s="3225" t="n">
        <v>0.804</v>
      </c>
      <c r="H182" s="3225" t="n">
        <v>0.804</v>
      </c>
      <c r="I182" s="3225" t="n">
        <v>0.6617</v>
      </c>
      <c r="J182" s="3225" t="n">
        <v>0.6617</v>
      </c>
      <c r="K182" s="3225" t="n">
        <v>0.6617</v>
      </c>
      <c r="L182" s="3225" t="n">
        <v>0.6617</v>
      </c>
      <c r="M182" s="3226" t="n">
        <v>0.6617</v>
      </c>
    </row>
    <row r="183" customFormat="false" ht="13.5" hidden="false" customHeight="false" outlineLevel="0" collapsed="false">
      <c r="A183" s="3228" t="n">
        <v>9.8</v>
      </c>
      <c r="B183" s="3225" t="n">
        <v>0.8834</v>
      </c>
      <c r="C183" s="3225" t="n">
        <v>0.8834</v>
      </c>
      <c r="D183" s="3225" t="n">
        <v>0.8025</v>
      </c>
      <c r="E183" s="3225" t="n">
        <v>0.8025</v>
      </c>
      <c r="F183" s="3225" t="n">
        <v>0.8025</v>
      </c>
      <c r="G183" s="3225" t="n">
        <v>0.8025</v>
      </c>
      <c r="H183" s="3225" t="n">
        <v>0.8025</v>
      </c>
      <c r="I183" s="3225" t="n">
        <v>0.6598</v>
      </c>
      <c r="J183" s="3225" t="n">
        <v>0.6598</v>
      </c>
      <c r="K183" s="3225" t="n">
        <v>0.6598</v>
      </c>
      <c r="L183" s="3225" t="n">
        <v>0.6598</v>
      </c>
      <c r="M183" s="3226" t="n">
        <v>0.6598</v>
      </c>
    </row>
    <row r="184" customFormat="false" ht="13.5" hidden="false" customHeight="false" outlineLevel="0" collapsed="false">
      <c r="A184" s="3229" t="n">
        <v>9.9</v>
      </c>
      <c r="B184" s="3230" t="n">
        <v>0.8822</v>
      </c>
      <c r="C184" s="3230" t="n">
        <v>0.8822</v>
      </c>
      <c r="D184" s="3230" t="n">
        <v>0.801</v>
      </c>
      <c r="E184" s="3230" t="n">
        <v>0.801</v>
      </c>
      <c r="F184" s="3230" t="n">
        <v>0.801</v>
      </c>
      <c r="G184" s="3230" t="n">
        <v>0.801</v>
      </c>
      <c r="H184" s="3230" t="n">
        <v>0.801</v>
      </c>
      <c r="I184" s="3230" t="n">
        <v>0.6579</v>
      </c>
      <c r="J184" s="3230" t="n">
        <v>0.6579</v>
      </c>
      <c r="K184" s="3230" t="n">
        <v>0.6579</v>
      </c>
      <c r="L184" s="3230" t="n">
        <v>0.6579</v>
      </c>
      <c r="M184" s="3231" t="n">
        <v>0.6579</v>
      </c>
    </row>
    <row r="185" customFormat="false" ht="14.25" hidden="false" customHeight="false" outlineLevel="0" collapsed="false">
      <c r="A185" s="3216" t="s">
        <v>1966</v>
      </c>
      <c r="B185" s="3216"/>
      <c r="C185" s="3216"/>
      <c r="D185" s="3216"/>
      <c r="E185" s="3216"/>
      <c r="F185" s="3216"/>
      <c r="G185" s="3216"/>
      <c r="H185" s="3216"/>
      <c r="I185" s="3216"/>
      <c r="J185" s="3216"/>
      <c r="K185" s="3216"/>
      <c r="L185" s="3216"/>
      <c r="M185" s="3216"/>
    </row>
    <row r="186" customFormat="false" ht="13.5" hidden="false" customHeight="false" outlineLevel="0" collapsed="false">
      <c r="A186" s="3218" t="s">
        <v>524</v>
      </c>
      <c r="B186" s="3219" t="s">
        <v>226</v>
      </c>
      <c r="C186" s="3219" t="s">
        <v>237</v>
      </c>
      <c r="D186" s="3219" t="s">
        <v>247</v>
      </c>
      <c r="E186" s="3219" t="s">
        <v>255</v>
      </c>
      <c r="F186" s="3219" t="s">
        <v>263</v>
      </c>
      <c r="G186" s="3219" t="s">
        <v>269</v>
      </c>
      <c r="H186" s="3220" t="s">
        <v>274</v>
      </c>
      <c r="I186" s="3220" t="s">
        <v>280</v>
      </c>
      <c r="J186" s="3221" t="s">
        <v>284</v>
      </c>
      <c r="K186" s="3221" t="s">
        <v>288</v>
      </c>
      <c r="L186" s="3221" t="s">
        <v>292</v>
      </c>
      <c r="M186" s="3222" t="s">
        <v>296</v>
      </c>
      <c r="Q186" s="3223" t="s">
        <v>1961</v>
      </c>
      <c r="R186" s="3223" t="s">
        <v>1962</v>
      </c>
      <c r="S186" s="3223" t="s">
        <v>1963</v>
      </c>
      <c r="T186" s="3223" t="s">
        <v>1964</v>
      </c>
    </row>
    <row r="187" customFormat="false" ht="13.5" hidden="false" customHeight="false" outlineLevel="0" collapsed="false">
      <c r="A187" s="3224" t="n">
        <v>1</v>
      </c>
      <c r="B187" s="3225" t="n">
        <v>1.1902</v>
      </c>
      <c r="C187" s="3225" t="n">
        <v>1.1902</v>
      </c>
      <c r="D187" s="3225" t="n">
        <v>1.222</v>
      </c>
      <c r="E187" s="3225" t="n">
        <v>1.222</v>
      </c>
      <c r="F187" s="3225" t="n">
        <v>1.222</v>
      </c>
      <c r="G187" s="3225" t="n">
        <v>1.222</v>
      </c>
      <c r="H187" s="3225" t="n">
        <v>1.222</v>
      </c>
      <c r="I187" s="3225" t="n">
        <v>1.1055</v>
      </c>
      <c r="J187" s="3225" t="n">
        <v>1.1055</v>
      </c>
      <c r="K187" s="3225" t="n">
        <v>1.1055</v>
      </c>
      <c r="L187" s="3225" t="n">
        <v>1.1055</v>
      </c>
      <c r="M187" s="3226" t="n">
        <v>1.1055</v>
      </c>
      <c r="Q187" s="3223" t="n">
        <v>10</v>
      </c>
      <c r="R187" s="3223" t="n">
        <f aca="false">ROUND(0.9448-0.0115*Q187,4)</f>
        <v>0.8298</v>
      </c>
      <c r="S187" s="3223" t="n">
        <f aca="false">ROUND(0.937-0.0145*Q187,4)</f>
        <v>0.792</v>
      </c>
      <c r="T187" s="3223" t="n">
        <f aca="false">ROUND(0.7965-0.0185*Q187,4)</f>
        <v>0.6115</v>
      </c>
    </row>
    <row r="188" customFormat="false" ht="13.5" hidden="false" customHeight="false" outlineLevel="0" collapsed="false">
      <c r="A188" s="3224" t="n">
        <v>1.1</v>
      </c>
      <c r="B188" s="3225" t="n">
        <v>1.1715</v>
      </c>
      <c r="C188" s="3225" t="n">
        <v>1.1715</v>
      </c>
      <c r="D188" s="3225" t="n">
        <v>1.2003</v>
      </c>
      <c r="E188" s="3225" t="n">
        <v>1.2003</v>
      </c>
      <c r="F188" s="3225" t="n">
        <v>1.2003</v>
      </c>
      <c r="G188" s="3225" t="n">
        <v>1.2003</v>
      </c>
      <c r="H188" s="3225" t="n">
        <v>1.2003</v>
      </c>
      <c r="I188" s="3225" t="n">
        <v>1.0819</v>
      </c>
      <c r="J188" s="3225" t="n">
        <v>1.0819</v>
      </c>
      <c r="K188" s="3225" t="n">
        <v>1.0819</v>
      </c>
      <c r="L188" s="3225" t="n">
        <v>1.0819</v>
      </c>
      <c r="M188" s="3226" t="n">
        <v>1.0819</v>
      </c>
    </row>
    <row r="189" customFormat="false" ht="13.5" hidden="false" customHeight="false" outlineLevel="0" collapsed="false">
      <c r="A189" s="3224" t="n">
        <v>1.2</v>
      </c>
      <c r="B189" s="3225" t="n">
        <v>1.1539</v>
      </c>
      <c r="C189" s="3225" t="n">
        <v>1.1539</v>
      </c>
      <c r="D189" s="3225" t="n">
        <v>1.1798</v>
      </c>
      <c r="E189" s="3225" t="n">
        <v>1.1798</v>
      </c>
      <c r="F189" s="3225" t="n">
        <v>1.1798</v>
      </c>
      <c r="G189" s="3225" t="n">
        <v>1.1798</v>
      </c>
      <c r="H189" s="3225" t="n">
        <v>1.1798</v>
      </c>
      <c r="I189" s="3225" t="n">
        <v>1.0597</v>
      </c>
      <c r="J189" s="3225" t="n">
        <v>1.0597</v>
      </c>
      <c r="K189" s="3225" t="n">
        <v>1.0597</v>
      </c>
      <c r="L189" s="3225" t="n">
        <v>1.0597</v>
      </c>
      <c r="M189" s="3226" t="n">
        <v>1.0597</v>
      </c>
    </row>
    <row r="190" customFormat="false" ht="13.5" hidden="false" customHeight="false" outlineLevel="0" collapsed="false">
      <c r="A190" s="3224" t="n">
        <v>1.3</v>
      </c>
      <c r="B190" s="3225" t="n">
        <v>1.1372</v>
      </c>
      <c r="C190" s="3225" t="n">
        <v>1.1372</v>
      </c>
      <c r="D190" s="3225" t="n">
        <v>1.1605</v>
      </c>
      <c r="E190" s="3225" t="n">
        <v>1.1605</v>
      </c>
      <c r="F190" s="3225" t="n">
        <v>1.1605</v>
      </c>
      <c r="G190" s="3225" t="n">
        <v>1.1605</v>
      </c>
      <c r="H190" s="3225" t="n">
        <v>1.1605</v>
      </c>
      <c r="I190" s="3225" t="n">
        <v>1.0386</v>
      </c>
      <c r="J190" s="3225" t="n">
        <v>1.0386</v>
      </c>
      <c r="K190" s="3225" t="n">
        <v>1.0386</v>
      </c>
      <c r="L190" s="3225" t="n">
        <v>1.0386</v>
      </c>
      <c r="M190" s="3226" t="n">
        <v>1.0386</v>
      </c>
    </row>
    <row r="191" customFormat="false" ht="13.5" hidden="false" customHeight="false" outlineLevel="0" collapsed="false">
      <c r="A191" s="3224" t="n">
        <v>1.4</v>
      </c>
      <c r="B191" s="3225" t="n">
        <v>1.1216</v>
      </c>
      <c r="C191" s="3225" t="n">
        <v>1.1216</v>
      </c>
      <c r="D191" s="3225" t="n">
        <v>1.1422</v>
      </c>
      <c r="E191" s="3225" t="n">
        <v>1.1422</v>
      </c>
      <c r="F191" s="3225" t="n">
        <v>1.1422</v>
      </c>
      <c r="G191" s="3225" t="n">
        <v>1.1422</v>
      </c>
      <c r="H191" s="3225" t="n">
        <v>1.1422</v>
      </c>
      <c r="I191" s="3225" t="n">
        <v>1.0188</v>
      </c>
      <c r="J191" s="3225" t="n">
        <v>1.0188</v>
      </c>
      <c r="K191" s="3225" t="n">
        <v>1.0188</v>
      </c>
      <c r="L191" s="3225" t="n">
        <v>1.0188</v>
      </c>
      <c r="M191" s="3226" t="n">
        <v>1.0188</v>
      </c>
    </row>
    <row r="192" customFormat="false" ht="13.5" hidden="false" customHeight="false" outlineLevel="0" collapsed="false">
      <c r="A192" s="3224" t="n">
        <v>1.5</v>
      </c>
      <c r="B192" s="3225" t="n">
        <v>1.1069</v>
      </c>
      <c r="C192" s="3225" t="n">
        <v>1.1069</v>
      </c>
      <c r="D192" s="3225" t="n">
        <v>1.125</v>
      </c>
      <c r="E192" s="3225" t="n">
        <v>1.125</v>
      </c>
      <c r="F192" s="3225" t="n">
        <v>1.125</v>
      </c>
      <c r="G192" s="3225" t="n">
        <v>1.125</v>
      </c>
      <c r="H192" s="3225" t="n">
        <v>1.125</v>
      </c>
      <c r="I192" s="3225" t="n">
        <v>1</v>
      </c>
      <c r="J192" s="3225" t="n">
        <v>1</v>
      </c>
      <c r="K192" s="3225" t="n">
        <v>1</v>
      </c>
      <c r="L192" s="3225" t="n">
        <v>1</v>
      </c>
      <c r="M192" s="3226" t="n">
        <v>1</v>
      </c>
    </row>
    <row r="193" customFormat="false" ht="13.5" hidden="false" customHeight="false" outlineLevel="0" collapsed="false">
      <c r="A193" s="3224" t="n">
        <v>1.6</v>
      </c>
      <c r="B193" s="3225" t="n">
        <v>1.0929</v>
      </c>
      <c r="C193" s="3225" t="n">
        <v>1.0929</v>
      </c>
      <c r="D193" s="3225" t="n">
        <v>1.1087</v>
      </c>
      <c r="E193" s="3225" t="n">
        <v>1.1087</v>
      </c>
      <c r="F193" s="3225" t="n">
        <v>1.1087</v>
      </c>
      <c r="G193" s="3225" t="n">
        <v>1.1087</v>
      </c>
      <c r="H193" s="3225" t="n">
        <v>1.1087</v>
      </c>
      <c r="I193" s="3225" t="n">
        <v>0.9823</v>
      </c>
      <c r="J193" s="3225" t="n">
        <v>0.9823</v>
      </c>
      <c r="K193" s="3225" t="n">
        <v>0.9823</v>
      </c>
      <c r="L193" s="3225" t="n">
        <v>0.9823</v>
      </c>
      <c r="M193" s="3226" t="n">
        <v>0.9823</v>
      </c>
    </row>
    <row r="194" customFormat="false" ht="13.5" hidden="false" customHeight="false" outlineLevel="0" collapsed="false">
      <c r="A194" s="3224" t="n">
        <v>1.7</v>
      </c>
      <c r="B194" s="3225" t="n">
        <v>1.0798</v>
      </c>
      <c r="C194" s="3225" t="n">
        <v>1.0798</v>
      </c>
      <c r="D194" s="3225" t="n">
        <v>1.0934</v>
      </c>
      <c r="E194" s="3225" t="n">
        <v>1.0934</v>
      </c>
      <c r="F194" s="3225" t="n">
        <v>1.0934</v>
      </c>
      <c r="G194" s="3225" t="n">
        <v>1.0934</v>
      </c>
      <c r="H194" s="3225" t="n">
        <v>1.0934</v>
      </c>
      <c r="I194" s="3225" t="n">
        <v>0.9656</v>
      </c>
      <c r="J194" s="3225" t="n">
        <v>0.9656</v>
      </c>
      <c r="K194" s="3225" t="n">
        <v>0.9656</v>
      </c>
      <c r="L194" s="3225" t="n">
        <v>0.9656</v>
      </c>
      <c r="M194" s="3226" t="n">
        <v>0.9656</v>
      </c>
    </row>
    <row r="195" customFormat="false" ht="13.5" hidden="false" customHeight="false" outlineLevel="0" collapsed="false">
      <c r="A195" s="3224" t="n">
        <v>1.8</v>
      </c>
      <c r="B195" s="3225" t="n">
        <v>1.0675</v>
      </c>
      <c r="C195" s="3225" t="n">
        <v>1.0675</v>
      </c>
      <c r="D195" s="3225" t="n">
        <v>1.0791</v>
      </c>
      <c r="E195" s="3225" t="n">
        <v>1.0791</v>
      </c>
      <c r="F195" s="3225" t="n">
        <v>1.0791</v>
      </c>
      <c r="G195" s="3225" t="n">
        <v>1.0791</v>
      </c>
      <c r="H195" s="3225" t="n">
        <v>1.0791</v>
      </c>
      <c r="I195" s="3225" t="n">
        <v>0.9499</v>
      </c>
      <c r="J195" s="3225" t="n">
        <v>0.9499</v>
      </c>
      <c r="K195" s="3225" t="n">
        <v>0.9499</v>
      </c>
      <c r="L195" s="3225" t="n">
        <v>0.9499</v>
      </c>
      <c r="M195" s="3226" t="n">
        <v>0.9499</v>
      </c>
    </row>
    <row r="196" customFormat="false" ht="13.5" hidden="false" customHeight="false" outlineLevel="0" collapsed="false">
      <c r="A196" s="3224" t="n">
        <v>1.9</v>
      </c>
      <c r="B196" s="3225" t="n">
        <v>1.0558</v>
      </c>
      <c r="C196" s="3225" t="n">
        <v>1.0558</v>
      </c>
      <c r="D196" s="3225" t="n">
        <v>1.0655</v>
      </c>
      <c r="E196" s="3225" t="n">
        <v>1.0655</v>
      </c>
      <c r="F196" s="3225" t="n">
        <v>1.0655</v>
      </c>
      <c r="G196" s="3225" t="n">
        <v>1.0655</v>
      </c>
      <c r="H196" s="3225" t="n">
        <v>1.0655</v>
      </c>
      <c r="I196" s="3225" t="n">
        <v>0.9352</v>
      </c>
      <c r="J196" s="3225" t="n">
        <v>0.9352</v>
      </c>
      <c r="K196" s="3225" t="n">
        <v>0.9352</v>
      </c>
      <c r="L196" s="3225" t="n">
        <v>0.9352</v>
      </c>
      <c r="M196" s="3226" t="n">
        <v>0.9352</v>
      </c>
    </row>
    <row r="197" customFormat="false" ht="13.5" hidden="false" customHeight="false" outlineLevel="0" collapsed="false">
      <c r="A197" s="3224" t="n">
        <v>2</v>
      </c>
      <c r="B197" s="3225" t="n">
        <v>1.045</v>
      </c>
      <c r="C197" s="3225" t="n">
        <v>1.045</v>
      </c>
      <c r="D197" s="3225" t="n">
        <v>1.0528</v>
      </c>
      <c r="E197" s="3225" t="n">
        <v>1.0528</v>
      </c>
      <c r="F197" s="3225" t="n">
        <v>1.0528</v>
      </c>
      <c r="G197" s="3225" t="n">
        <v>1.0528</v>
      </c>
      <c r="H197" s="3225" t="n">
        <v>1.0528</v>
      </c>
      <c r="I197" s="3225" t="n">
        <v>0.9213</v>
      </c>
      <c r="J197" s="3225" t="n">
        <v>0.9213</v>
      </c>
      <c r="K197" s="3225" t="n">
        <v>0.9213</v>
      </c>
      <c r="L197" s="3225" t="n">
        <v>0.9213</v>
      </c>
      <c r="M197" s="3226" t="n">
        <v>0.9213</v>
      </c>
    </row>
    <row r="198" customFormat="false" ht="13.5" hidden="false" customHeight="false" outlineLevel="0" collapsed="false">
      <c r="A198" s="3228" t="n">
        <v>2.1</v>
      </c>
      <c r="B198" s="3225" t="n">
        <v>1.0348</v>
      </c>
      <c r="C198" s="3225" t="n">
        <v>1.0348</v>
      </c>
      <c r="D198" s="3225" t="n">
        <v>1.0408</v>
      </c>
      <c r="E198" s="3225" t="n">
        <v>1.0408</v>
      </c>
      <c r="F198" s="3225" t="n">
        <v>1.0408</v>
      </c>
      <c r="G198" s="3225" t="n">
        <v>1.0408</v>
      </c>
      <c r="H198" s="3225" t="n">
        <v>1.0408</v>
      </c>
      <c r="I198" s="3225" t="n">
        <v>0.9082</v>
      </c>
      <c r="J198" s="3225" t="n">
        <v>0.9082</v>
      </c>
      <c r="K198" s="3225" t="n">
        <v>0.9082</v>
      </c>
      <c r="L198" s="3225" t="n">
        <v>0.9082</v>
      </c>
      <c r="M198" s="3226" t="n">
        <v>0.9082</v>
      </c>
    </row>
    <row r="199" customFormat="false" ht="13.5" hidden="false" customHeight="false" outlineLevel="0" collapsed="false">
      <c r="A199" s="3228" t="n">
        <v>2.2</v>
      </c>
      <c r="B199" s="3225" t="n">
        <v>1.0252</v>
      </c>
      <c r="C199" s="3225" t="n">
        <v>1.0252</v>
      </c>
      <c r="D199" s="3225" t="n">
        <v>1.0296</v>
      </c>
      <c r="E199" s="3225" t="n">
        <v>1.0296</v>
      </c>
      <c r="F199" s="3225" t="n">
        <v>1.0296</v>
      </c>
      <c r="G199" s="3225" t="n">
        <v>1.0296</v>
      </c>
      <c r="H199" s="3225" t="n">
        <v>1.0296</v>
      </c>
      <c r="I199" s="3225" t="n">
        <v>0.8957</v>
      </c>
      <c r="J199" s="3225" t="n">
        <v>0.8957</v>
      </c>
      <c r="K199" s="3225" t="n">
        <v>0.8957</v>
      </c>
      <c r="L199" s="3225" t="n">
        <v>0.8957</v>
      </c>
      <c r="M199" s="3226" t="n">
        <v>0.8957</v>
      </c>
    </row>
    <row r="200" customFormat="false" ht="13.5" hidden="false" customHeight="false" outlineLevel="0" collapsed="false">
      <c r="A200" s="3228" t="n">
        <v>2.3</v>
      </c>
      <c r="B200" s="3225" t="n">
        <v>1.0162</v>
      </c>
      <c r="C200" s="3225" t="n">
        <v>1.0162</v>
      </c>
      <c r="D200" s="3225" t="n">
        <v>1.0191</v>
      </c>
      <c r="E200" s="3225" t="n">
        <v>1.0191</v>
      </c>
      <c r="F200" s="3225" t="n">
        <v>1.0191</v>
      </c>
      <c r="G200" s="3225" t="n">
        <v>1.0191</v>
      </c>
      <c r="H200" s="3225" t="n">
        <v>1.0191</v>
      </c>
      <c r="I200" s="3225" t="n">
        <v>0.8842</v>
      </c>
      <c r="J200" s="3225" t="n">
        <v>0.8842</v>
      </c>
      <c r="K200" s="3225" t="n">
        <v>0.8842</v>
      </c>
      <c r="L200" s="3225" t="n">
        <v>0.8842</v>
      </c>
      <c r="M200" s="3226" t="n">
        <v>0.8842</v>
      </c>
    </row>
    <row r="201" customFormat="false" ht="13.5" hidden="false" customHeight="false" outlineLevel="0" collapsed="false">
      <c r="A201" s="3228" t="n">
        <v>2.4</v>
      </c>
      <c r="B201" s="3225" t="n">
        <v>1.0078</v>
      </c>
      <c r="C201" s="3225" t="n">
        <v>1.0078</v>
      </c>
      <c r="D201" s="3225" t="n">
        <v>1.0092</v>
      </c>
      <c r="E201" s="3225" t="n">
        <v>1.0092</v>
      </c>
      <c r="F201" s="3225" t="n">
        <v>1.0092</v>
      </c>
      <c r="G201" s="3225" t="n">
        <v>1.0092</v>
      </c>
      <c r="H201" s="3225" t="n">
        <v>1.0092</v>
      </c>
      <c r="I201" s="3225" t="n">
        <v>0.8733</v>
      </c>
      <c r="J201" s="3225" t="n">
        <v>0.8733</v>
      </c>
      <c r="K201" s="3225" t="n">
        <v>0.8733</v>
      </c>
      <c r="L201" s="3225" t="n">
        <v>0.8733</v>
      </c>
      <c r="M201" s="3226" t="n">
        <v>0.8733</v>
      </c>
    </row>
    <row r="202" customFormat="false" ht="13.5" hidden="false" customHeight="false" outlineLevel="0" collapsed="false">
      <c r="A202" s="3228" t="n">
        <v>2.5</v>
      </c>
      <c r="B202" s="3225" t="n">
        <v>1</v>
      </c>
      <c r="C202" s="3225" t="n">
        <v>1</v>
      </c>
      <c r="D202" s="3225" t="n">
        <v>1</v>
      </c>
      <c r="E202" s="3225" t="n">
        <v>1</v>
      </c>
      <c r="F202" s="3225" t="n">
        <v>1</v>
      </c>
      <c r="G202" s="3225" t="n">
        <v>1</v>
      </c>
      <c r="H202" s="3225" t="n">
        <v>1</v>
      </c>
      <c r="I202" s="3225" t="n">
        <v>0.863</v>
      </c>
      <c r="J202" s="3225" t="n">
        <v>0.863</v>
      </c>
      <c r="K202" s="3225" t="n">
        <v>0.863</v>
      </c>
      <c r="L202" s="3225" t="n">
        <v>0.863</v>
      </c>
      <c r="M202" s="3226" t="n">
        <v>0.863</v>
      </c>
    </row>
    <row r="203" customFormat="false" ht="13.5" hidden="false" customHeight="false" outlineLevel="0" collapsed="false">
      <c r="A203" s="3228" t="n">
        <v>2.6</v>
      </c>
      <c r="B203" s="3225" t="n">
        <v>0.9927</v>
      </c>
      <c r="C203" s="3225" t="n">
        <v>0.9927</v>
      </c>
      <c r="D203" s="3225" t="n">
        <v>0.9914</v>
      </c>
      <c r="E203" s="3225" t="n">
        <v>0.9914</v>
      </c>
      <c r="F203" s="3225" t="n">
        <v>0.9914</v>
      </c>
      <c r="G203" s="3225" t="n">
        <v>0.9914</v>
      </c>
      <c r="H203" s="3225" t="n">
        <v>0.9914</v>
      </c>
      <c r="I203" s="3225" t="n">
        <v>0.8534</v>
      </c>
      <c r="J203" s="3225" t="n">
        <v>0.8534</v>
      </c>
      <c r="K203" s="3225" t="n">
        <v>0.8534</v>
      </c>
      <c r="L203" s="3225" t="n">
        <v>0.8534</v>
      </c>
      <c r="M203" s="3226" t="n">
        <v>0.8534</v>
      </c>
    </row>
    <row r="204" customFormat="false" ht="13.5" hidden="false" customHeight="false" outlineLevel="0" collapsed="false">
      <c r="A204" s="3228" t="n">
        <v>2.7</v>
      </c>
      <c r="B204" s="3225" t="n">
        <v>0.9858</v>
      </c>
      <c r="C204" s="3225" t="n">
        <v>0.9858</v>
      </c>
      <c r="D204" s="3225" t="n">
        <v>0.9833</v>
      </c>
      <c r="E204" s="3225" t="n">
        <v>0.9833</v>
      </c>
      <c r="F204" s="3225" t="n">
        <v>0.9833</v>
      </c>
      <c r="G204" s="3225" t="n">
        <v>0.9833</v>
      </c>
      <c r="H204" s="3225" t="n">
        <v>0.9833</v>
      </c>
      <c r="I204" s="3225" t="n">
        <v>0.8444</v>
      </c>
      <c r="J204" s="3225" t="n">
        <v>0.8444</v>
      </c>
      <c r="K204" s="3225" t="n">
        <v>0.8444</v>
      </c>
      <c r="L204" s="3225" t="n">
        <v>0.8444</v>
      </c>
      <c r="M204" s="3226" t="n">
        <v>0.8444</v>
      </c>
    </row>
    <row r="205" customFormat="false" ht="13.5" hidden="false" customHeight="false" outlineLevel="0" collapsed="false">
      <c r="A205" s="3228" t="n">
        <v>2.8</v>
      </c>
      <c r="B205" s="3225" t="n">
        <v>0.9794</v>
      </c>
      <c r="C205" s="3225" t="n">
        <v>0.9794</v>
      </c>
      <c r="D205" s="3225" t="n">
        <v>0.9757</v>
      </c>
      <c r="E205" s="3225" t="n">
        <v>0.9757</v>
      </c>
      <c r="F205" s="3225" t="n">
        <v>0.9757</v>
      </c>
      <c r="G205" s="3225" t="n">
        <v>0.9757</v>
      </c>
      <c r="H205" s="3225" t="n">
        <v>0.9757</v>
      </c>
      <c r="I205" s="3225" t="n">
        <v>0.836</v>
      </c>
      <c r="J205" s="3225" t="n">
        <v>0.836</v>
      </c>
      <c r="K205" s="3225" t="n">
        <v>0.836</v>
      </c>
      <c r="L205" s="3225" t="n">
        <v>0.836</v>
      </c>
      <c r="M205" s="3226" t="n">
        <v>0.836</v>
      </c>
    </row>
    <row r="206" customFormat="false" ht="13.5" hidden="false" customHeight="false" outlineLevel="0" collapsed="false">
      <c r="A206" s="3228" t="n">
        <v>2.9</v>
      </c>
      <c r="B206" s="3225" t="n">
        <v>0.9735</v>
      </c>
      <c r="C206" s="3225" t="n">
        <v>0.9735</v>
      </c>
      <c r="D206" s="3225" t="n">
        <v>0.9687</v>
      </c>
      <c r="E206" s="3225" t="n">
        <v>0.9687</v>
      </c>
      <c r="F206" s="3225" t="n">
        <v>0.9687</v>
      </c>
      <c r="G206" s="3225" t="n">
        <v>0.9687</v>
      </c>
      <c r="H206" s="3225" t="n">
        <v>0.9687</v>
      </c>
      <c r="I206" s="3225" t="n">
        <v>0.8282</v>
      </c>
      <c r="J206" s="3225" t="n">
        <v>0.8282</v>
      </c>
      <c r="K206" s="3225" t="n">
        <v>0.8282</v>
      </c>
      <c r="L206" s="3225" t="n">
        <v>0.8282</v>
      </c>
      <c r="M206" s="3226" t="n">
        <v>0.8282</v>
      </c>
    </row>
    <row r="207" customFormat="false" ht="13.5" hidden="false" customHeight="false" outlineLevel="0" collapsed="false">
      <c r="A207" s="3228" t="n">
        <v>3</v>
      </c>
      <c r="B207" s="3225" t="n">
        <v>0.9679</v>
      </c>
      <c r="C207" s="3225" t="n">
        <v>0.9679</v>
      </c>
      <c r="D207" s="3225" t="n">
        <v>0.9621</v>
      </c>
      <c r="E207" s="3225" t="n">
        <v>0.9621</v>
      </c>
      <c r="F207" s="3225" t="n">
        <v>0.9621</v>
      </c>
      <c r="G207" s="3225" t="n">
        <v>0.9621</v>
      </c>
      <c r="H207" s="3225" t="n">
        <v>0.9621</v>
      </c>
      <c r="I207" s="3225" t="n">
        <v>0.8208</v>
      </c>
      <c r="J207" s="3225" t="n">
        <v>0.8208</v>
      </c>
      <c r="K207" s="3225" t="n">
        <v>0.8208</v>
      </c>
      <c r="L207" s="3225" t="n">
        <v>0.8208</v>
      </c>
      <c r="M207" s="3226" t="n">
        <v>0.8208</v>
      </c>
    </row>
    <row r="208" customFormat="false" ht="13.5" hidden="false" customHeight="false" outlineLevel="0" collapsed="false">
      <c r="A208" s="3228" t="n">
        <v>3.1</v>
      </c>
      <c r="B208" s="3225" t="n">
        <v>0.9627</v>
      </c>
      <c r="C208" s="3225" t="n">
        <v>0.9627</v>
      </c>
      <c r="D208" s="3225" t="n">
        <v>0.9559</v>
      </c>
      <c r="E208" s="3225" t="n">
        <v>0.9559</v>
      </c>
      <c r="F208" s="3225" t="n">
        <v>0.9559</v>
      </c>
      <c r="G208" s="3225" t="n">
        <v>0.9559</v>
      </c>
      <c r="H208" s="3225" t="n">
        <v>0.9559</v>
      </c>
      <c r="I208" s="3225" t="n">
        <v>0.8139</v>
      </c>
      <c r="J208" s="3225" t="n">
        <v>0.8139</v>
      </c>
      <c r="K208" s="3225" t="n">
        <v>0.8139</v>
      </c>
      <c r="L208" s="3225" t="n">
        <v>0.8139</v>
      </c>
      <c r="M208" s="3226" t="n">
        <v>0.8139</v>
      </c>
    </row>
    <row r="209" customFormat="false" ht="13.5" hidden="false" customHeight="false" outlineLevel="0" collapsed="false">
      <c r="A209" s="3228" t="n">
        <v>3.2</v>
      </c>
      <c r="B209" s="3225" t="n">
        <v>0.9579</v>
      </c>
      <c r="C209" s="3225" t="n">
        <v>0.9579</v>
      </c>
      <c r="D209" s="3225" t="n">
        <v>0.9502</v>
      </c>
      <c r="E209" s="3225" t="n">
        <v>0.9502</v>
      </c>
      <c r="F209" s="3225" t="n">
        <v>0.9502</v>
      </c>
      <c r="G209" s="3225" t="n">
        <v>0.9502</v>
      </c>
      <c r="H209" s="3225" t="n">
        <v>0.9502</v>
      </c>
      <c r="I209" s="3225" t="n">
        <v>0.8075</v>
      </c>
      <c r="J209" s="3225" t="n">
        <v>0.8075</v>
      </c>
      <c r="K209" s="3225" t="n">
        <v>0.8075</v>
      </c>
      <c r="L209" s="3225" t="n">
        <v>0.8075</v>
      </c>
      <c r="M209" s="3226" t="n">
        <v>0.8075</v>
      </c>
    </row>
    <row r="210" customFormat="false" ht="13.5" hidden="false" customHeight="false" outlineLevel="0" collapsed="false">
      <c r="A210" s="3228" t="n">
        <v>3.3</v>
      </c>
      <c r="B210" s="3225" t="n">
        <v>0.9534</v>
      </c>
      <c r="C210" s="3225" t="n">
        <v>0.9534</v>
      </c>
      <c r="D210" s="3225" t="n">
        <v>0.9448</v>
      </c>
      <c r="E210" s="3225" t="n">
        <v>0.9448</v>
      </c>
      <c r="F210" s="3225" t="n">
        <v>0.9448</v>
      </c>
      <c r="G210" s="3225" t="n">
        <v>0.9448</v>
      </c>
      <c r="H210" s="3225" t="n">
        <v>0.9448</v>
      </c>
      <c r="I210" s="3225" t="n">
        <v>0.8015</v>
      </c>
      <c r="J210" s="3225" t="n">
        <v>0.8015</v>
      </c>
      <c r="K210" s="3225" t="n">
        <v>0.8015</v>
      </c>
      <c r="L210" s="3225" t="n">
        <v>0.8015</v>
      </c>
      <c r="M210" s="3226" t="n">
        <v>0.8015</v>
      </c>
    </row>
    <row r="211" customFormat="false" ht="13.5" hidden="false" customHeight="false" outlineLevel="0" collapsed="false">
      <c r="A211" s="3228" t="n">
        <v>3.4</v>
      </c>
      <c r="B211" s="3225" t="n">
        <v>0.9492</v>
      </c>
      <c r="C211" s="3225" t="n">
        <v>0.9492</v>
      </c>
      <c r="D211" s="3225" t="n">
        <v>0.9399</v>
      </c>
      <c r="E211" s="3225" t="n">
        <v>0.9399</v>
      </c>
      <c r="F211" s="3225" t="n">
        <v>0.9399</v>
      </c>
      <c r="G211" s="3225" t="n">
        <v>0.9399</v>
      </c>
      <c r="H211" s="3225" t="n">
        <v>0.9399</v>
      </c>
      <c r="I211" s="3225" t="n">
        <v>0.7959</v>
      </c>
      <c r="J211" s="3225" t="n">
        <v>0.7959</v>
      </c>
      <c r="K211" s="3225" t="n">
        <v>0.7959</v>
      </c>
      <c r="L211" s="3225" t="n">
        <v>0.7959</v>
      </c>
      <c r="M211" s="3226" t="n">
        <v>0.7959</v>
      </c>
    </row>
    <row r="212" customFormat="false" ht="13.5" hidden="false" customHeight="false" outlineLevel="0" collapsed="false">
      <c r="A212" s="3228" t="n">
        <v>3.5</v>
      </c>
      <c r="B212" s="3225" t="n">
        <v>0.9454</v>
      </c>
      <c r="C212" s="3225" t="n">
        <v>0.9454</v>
      </c>
      <c r="D212" s="3225" t="n">
        <v>0.9352</v>
      </c>
      <c r="E212" s="3225" t="n">
        <v>0.9352</v>
      </c>
      <c r="F212" s="3225" t="n">
        <v>0.9352</v>
      </c>
      <c r="G212" s="3225" t="n">
        <v>0.9352</v>
      </c>
      <c r="H212" s="3225" t="n">
        <v>0.9352</v>
      </c>
      <c r="I212" s="3225" t="n">
        <v>0.7906</v>
      </c>
      <c r="J212" s="3225" t="n">
        <v>0.7906</v>
      </c>
      <c r="K212" s="3225" t="n">
        <v>0.7906</v>
      </c>
      <c r="L212" s="3225" t="n">
        <v>0.7906</v>
      </c>
      <c r="M212" s="3226" t="n">
        <v>0.7906</v>
      </c>
    </row>
    <row r="213" customFormat="false" ht="13.5" hidden="false" customHeight="false" outlineLevel="0" collapsed="false">
      <c r="A213" s="3228" t="n">
        <v>3.6</v>
      </c>
      <c r="B213" s="3225" t="n">
        <v>0.9418</v>
      </c>
      <c r="C213" s="3225" t="n">
        <v>0.9418</v>
      </c>
      <c r="D213" s="3225" t="n">
        <v>0.9309</v>
      </c>
      <c r="E213" s="3225" t="n">
        <v>0.9309</v>
      </c>
      <c r="F213" s="3225" t="n">
        <v>0.9309</v>
      </c>
      <c r="G213" s="3225" t="n">
        <v>0.9309</v>
      </c>
      <c r="H213" s="3225" t="n">
        <v>0.9309</v>
      </c>
      <c r="I213" s="3225" t="n">
        <v>0.7857</v>
      </c>
      <c r="J213" s="3225" t="n">
        <v>0.7857</v>
      </c>
      <c r="K213" s="3225" t="n">
        <v>0.7857</v>
      </c>
      <c r="L213" s="3225" t="n">
        <v>0.7857</v>
      </c>
      <c r="M213" s="3226" t="n">
        <v>0.7857</v>
      </c>
    </row>
    <row r="214" customFormat="false" ht="13.5" hidden="false" customHeight="false" outlineLevel="0" collapsed="false">
      <c r="A214" s="3228" t="n">
        <v>3.7</v>
      </c>
      <c r="B214" s="3225" t="n">
        <v>0.9384</v>
      </c>
      <c r="C214" s="3225" t="n">
        <v>0.9384</v>
      </c>
      <c r="D214" s="3225" t="n">
        <v>0.9269</v>
      </c>
      <c r="E214" s="3225" t="n">
        <v>0.9269</v>
      </c>
      <c r="F214" s="3225" t="n">
        <v>0.9269</v>
      </c>
      <c r="G214" s="3225" t="n">
        <v>0.9269</v>
      </c>
      <c r="H214" s="3225" t="n">
        <v>0.9269</v>
      </c>
      <c r="I214" s="3225" t="n">
        <v>0.7811</v>
      </c>
      <c r="J214" s="3225" t="n">
        <v>0.7811</v>
      </c>
      <c r="K214" s="3225" t="n">
        <v>0.7811</v>
      </c>
      <c r="L214" s="3225" t="n">
        <v>0.7811</v>
      </c>
      <c r="M214" s="3226" t="n">
        <v>0.7811</v>
      </c>
    </row>
    <row r="215" customFormat="false" ht="13.5" hidden="false" customHeight="false" outlineLevel="0" collapsed="false">
      <c r="A215" s="3228" t="n">
        <v>3.8</v>
      </c>
      <c r="B215" s="3225" t="n">
        <v>0.9353</v>
      </c>
      <c r="C215" s="3225" t="n">
        <v>0.9353</v>
      </c>
      <c r="D215" s="3225" t="n">
        <v>0.9231</v>
      </c>
      <c r="E215" s="3225" t="n">
        <v>0.9231</v>
      </c>
      <c r="F215" s="3225" t="n">
        <v>0.9231</v>
      </c>
      <c r="G215" s="3225" t="n">
        <v>0.9231</v>
      </c>
      <c r="H215" s="3225" t="n">
        <v>0.9231</v>
      </c>
      <c r="I215" s="3225" t="n">
        <v>0.7768</v>
      </c>
      <c r="J215" s="3225" t="n">
        <v>0.7768</v>
      </c>
      <c r="K215" s="3225" t="n">
        <v>0.7768</v>
      </c>
      <c r="L215" s="3225" t="n">
        <v>0.7768</v>
      </c>
      <c r="M215" s="3226" t="n">
        <v>0.7768</v>
      </c>
    </row>
    <row r="216" customFormat="false" ht="13.5" hidden="false" customHeight="false" outlineLevel="0" collapsed="false">
      <c r="A216" s="3228" t="n">
        <v>3.9</v>
      </c>
      <c r="B216" s="3225" t="n">
        <v>0.9324</v>
      </c>
      <c r="C216" s="3225" t="n">
        <v>0.9324</v>
      </c>
      <c r="D216" s="3225" t="n">
        <v>0.9196</v>
      </c>
      <c r="E216" s="3225" t="n">
        <v>0.9196</v>
      </c>
      <c r="F216" s="3225" t="n">
        <v>0.9196</v>
      </c>
      <c r="G216" s="3225" t="n">
        <v>0.9196</v>
      </c>
      <c r="H216" s="3225" t="n">
        <v>0.9196</v>
      </c>
      <c r="I216" s="3225" t="n">
        <v>0.7727</v>
      </c>
      <c r="J216" s="3225" t="n">
        <v>0.7727</v>
      </c>
      <c r="K216" s="3225" t="n">
        <v>0.7727</v>
      </c>
      <c r="L216" s="3225" t="n">
        <v>0.7727</v>
      </c>
      <c r="M216" s="3226" t="n">
        <v>0.7727</v>
      </c>
    </row>
    <row r="217" customFormat="false" ht="13.5" hidden="false" customHeight="false" outlineLevel="0" collapsed="false">
      <c r="A217" s="3228" t="n">
        <v>4</v>
      </c>
      <c r="B217" s="3225" t="n">
        <v>0.9297</v>
      </c>
      <c r="C217" s="3225" t="n">
        <v>0.9297</v>
      </c>
      <c r="D217" s="3225" t="n">
        <v>0.9163</v>
      </c>
      <c r="E217" s="3225" t="n">
        <v>0.9163</v>
      </c>
      <c r="F217" s="3225" t="n">
        <v>0.9163</v>
      </c>
      <c r="G217" s="3225" t="n">
        <v>0.9163</v>
      </c>
      <c r="H217" s="3225" t="n">
        <v>0.9163</v>
      </c>
      <c r="I217" s="3225" t="n">
        <v>0.7688</v>
      </c>
      <c r="J217" s="3225" t="n">
        <v>0.7688</v>
      </c>
      <c r="K217" s="3225" t="n">
        <v>0.7688</v>
      </c>
      <c r="L217" s="3225" t="n">
        <v>0.7688</v>
      </c>
      <c r="M217" s="3226" t="n">
        <v>0.7688</v>
      </c>
    </row>
    <row r="218" customFormat="false" ht="13.5" hidden="false" customHeight="false" outlineLevel="0" collapsed="false">
      <c r="A218" s="3228" t="n">
        <v>4.1</v>
      </c>
      <c r="B218" s="3225" t="n">
        <v>0.9272</v>
      </c>
      <c r="C218" s="3225" t="n">
        <v>0.9272</v>
      </c>
      <c r="D218" s="3225" t="n">
        <v>0.9132</v>
      </c>
      <c r="E218" s="3225" t="n">
        <v>0.9132</v>
      </c>
      <c r="F218" s="3225" t="n">
        <v>0.9132</v>
      </c>
      <c r="G218" s="3225" t="n">
        <v>0.9132</v>
      </c>
      <c r="H218" s="3225" t="n">
        <v>0.9132</v>
      </c>
      <c r="I218" s="3225" t="n">
        <v>0.7651</v>
      </c>
      <c r="J218" s="3225" t="n">
        <v>0.7651</v>
      </c>
      <c r="K218" s="3225" t="n">
        <v>0.7651</v>
      </c>
      <c r="L218" s="3225" t="n">
        <v>0.7651</v>
      </c>
      <c r="M218" s="3226" t="n">
        <v>0.7651</v>
      </c>
    </row>
    <row r="219" customFormat="false" ht="13.5" hidden="false" customHeight="false" outlineLevel="0" collapsed="false">
      <c r="A219" s="3228" t="n">
        <v>4.2</v>
      </c>
      <c r="B219" s="3225" t="n">
        <v>0.9248</v>
      </c>
      <c r="C219" s="3225" t="n">
        <v>0.9248</v>
      </c>
      <c r="D219" s="3225" t="n">
        <v>0.9102</v>
      </c>
      <c r="E219" s="3225" t="n">
        <v>0.9102</v>
      </c>
      <c r="F219" s="3225" t="n">
        <v>0.9102</v>
      </c>
      <c r="G219" s="3225" t="n">
        <v>0.9102</v>
      </c>
      <c r="H219" s="3225" t="n">
        <v>0.9102</v>
      </c>
      <c r="I219" s="3225" t="n">
        <v>0.7615</v>
      </c>
      <c r="J219" s="3225" t="n">
        <v>0.7615</v>
      </c>
      <c r="K219" s="3225" t="n">
        <v>0.7615</v>
      </c>
      <c r="L219" s="3225" t="n">
        <v>0.7615</v>
      </c>
      <c r="M219" s="3226" t="n">
        <v>0.7615</v>
      </c>
    </row>
    <row r="220" customFormat="false" ht="13.5" hidden="false" customHeight="false" outlineLevel="0" collapsed="false">
      <c r="A220" s="3228" t="n">
        <v>4.3</v>
      </c>
      <c r="B220" s="3225" t="n">
        <v>0.9225</v>
      </c>
      <c r="C220" s="3225" t="n">
        <v>0.9225</v>
      </c>
      <c r="D220" s="3225" t="n">
        <v>0.9073</v>
      </c>
      <c r="E220" s="3225" t="n">
        <v>0.9073</v>
      </c>
      <c r="F220" s="3225" t="n">
        <v>0.9073</v>
      </c>
      <c r="G220" s="3225" t="n">
        <v>0.9073</v>
      </c>
      <c r="H220" s="3225" t="n">
        <v>0.9073</v>
      </c>
      <c r="I220" s="3225" t="n">
        <v>0.758</v>
      </c>
      <c r="J220" s="3225" t="n">
        <v>0.758</v>
      </c>
      <c r="K220" s="3225" t="n">
        <v>0.758</v>
      </c>
      <c r="L220" s="3225" t="n">
        <v>0.758</v>
      </c>
      <c r="M220" s="3226" t="n">
        <v>0.758</v>
      </c>
    </row>
    <row r="221" customFormat="false" ht="13.5" hidden="false" customHeight="false" outlineLevel="0" collapsed="false">
      <c r="A221" s="3228" t="n">
        <v>4.4</v>
      </c>
      <c r="B221" s="3225" t="n">
        <v>0.9203</v>
      </c>
      <c r="C221" s="3225" t="n">
        <v>0.9203</v>
      </c>
      <c r="D221" s="3225" t="n">
        <v>0.9045</v>
      </c>
      <c r="E221" s="3225" t="n">
        <v>0.9045</v>
      </c>
      <c r="F221" s="3225" t="n">
        <v>0.9045</v>
      </c>
      <c r="G221" s="3225" t="n">
        <v>0.9045</v>
      </c>
      <c r="H221" s="3225" t="n">
        <v>0.9045</v>
      </c>
      <c r="I221" s="3225" t="n">
        <v>0.7546</v>
      </c>
      <c r="J221" s="3225" t="n">
        <v>0.7546</v>
      </c>
      <c r="K221" s="3225" t="n">
        <v>0.7546</v>
      </c>
      <c r="L221" s="3225" t="n">
        <v>0.7546</v>
      </c>
      <c r="M221" s="3226" t="n">
        <v>0.7546</v>
      </c>
    </row>
    <row r="222" customFormat="false" ht="13.5" hidden="false" customHeight="false" outlineLevel="0" collapsed="false">
      <c r="A222" s="3228" t="n">
        <v>4.5</v>
      </c>
      <c r="B222" s="3225" t="n">
        <v>0.9181</v>
      </c>
      <c r="C222" s="3225" t="n">
        <v>0.9181</v>
      </c>
      <c r="D222" s="3225" t="n">
        <v>0.9018</v>
      </c>
      <c r="E222" s="3225" t="n">
        <v>0.9018</v>
      </c>
      <c r="F222" s="3225" t="n">
        <v>0.9018</v>
      </c>
      <c r="G222" s="3225" t="n">
        <v>0.9018</v>
      </c>
      <c r="H222" s="3225" t="n">
        <v>0.9018</v>
      </c>
      <c r="I222" s="3225" t="n">
        <v>0.7513</v>
      </c>
      <c r="J222" s="3225" t="n">
        <v>0.7513</v>
      </c>
      <c r="K222" s="3225" t="n">
        <v>0.7513</v>
      </c>
      <c r="L222" s="3225" t="n">
        <v>0.7513</v>
      </c>
      <c r="M222" s="3226" t="n">
        <v>0.7513</v>
      </c>
    </row>
    <row r="223" customFormat="false" ht="13.5" hidden="false" customHeight="false" outlineLevel="0" collapsed="false">
      <c r="A223" s="3228" t="n">
        <v>4.6</v>
      </c>
      <c r="B223" s="3225" t="n">
        <v>0.916</v>
      </c>
      <c r="C223" s="3225" t="n">
        <v>0.916</v>
      </c>
      <c r="D223" s="3225" t="n">
        <v>0.8992</v>
      </c>
      <c r="E223" s="3225" t="n">
        <v>0.8992</v>
      </c>
      <c r="F223" s="3225" t="n">
        <v>0.8992</v>
      </c>
      <c r="G223" s="3225" t="n">
        <v>0.8992</v>
      </c>
      <c r="H223" s="3225" t="n">
        <v>0.8992</v>
      </c>
      <c r="I223" s="3225" t="n">
        <v>0.748</v>
      </c>
      <c r="J223" s="3225" t="n">
        <v>0.748</v>
      </c>
      <c r="K223" s="3225" t="n">
        <v>0.748</v>
      </c>
      <c r="L223" s="3225" t="n">
        <v>0.748</v>
      </c>
      <c r="M223" s="3226" t="n">
        <v>0.748</v>
      </c>
    </row>
    <row r="224" customFormat="false" ht="13.5" hidden="false" customHeight="false" outlineLevel="0" collapsed="false">
      <c r="A224" s="3228" t="n">
        <v>4.7</v>
      </c>
      <c r="B224" s="3225" t="n">
        <v>0.9139</v>
      </c>
      <c r="C224" s="3225" t="n">
        <v>0.9139</v>
      </c>
      <c r="D224" s="3225" t="n">
        <v>0.8966</v>
      </c>
      <c r="E224" s="3225" t="n">
        <v>0.8966</v>
      </c>
      <c r="F224" s="3225" t="n">
        <v>0.8966</v>
      </c>
      <c r="G224" s="3225" t="n">
        <v>0.8966</v>
      </c>
      <c r="H224" s="3225" t="n">
        <v>0.8966</v>
      </c>
      <c r="I224" s="3225" t="n">
        <v>0.7448</v>
      </c>
      <c r="J224" s="3225" t="n">
        <v>0.7448</v>
      </c>
      <c r="K224" s="3225" t="n">
        <v>0.7448</v>
      </c>
      <c r="L224" s="3225" t="n">
        <v>0.7448</v>
      </c>
      <c r="M224" s="3226" t="n">
        <v>0.7448</v>
      </c>
    </row>
    <row r="225" customFormat="false" ht="13.5" hidden="false" customHeight="false" outlineLevel="0" collapsed="false">
      <c r="A225" s="3228" t="n">
        <v>4.8</v>
      </c>
      <c r="B225" s="3225" t="n">
        <v>0.9118</v>
      </c>
      <c r="C225" s="3225" t="n">
        <v>0.9118</v>
      </c>
      <c r="D225" s="3225" t="n">
        <v>0.8941</v>
      </c>
      <c r="E225" s="3225" t="n">
        <v>0.8941</v>
      </c>
      <c r="F225" s="3225" t="n">
        <v>0.8941</v>
      </c>
      <c r="G225" s="3225" t="n">
        <v>0.8941</v>
      </c>
      <c r="H225" s="3225" t="n">
        <v>0.8941</v>
      </c>
      <c r="I225" s="3225" t="n">
        <v>0.7416</v>
      </c>
      <c r="J225" s="3225" t="n">
        <v>0.7416</v>
      </c>
      <c r="K225" s="3225" t="n">
        <v>0.7416</v>
      </c>
      <c r="L225" s="3225" t="n">
        <v>0.7416</v>
      </c>
      <c r="M225" s="3226" t="n">
        <v>0.7416</v>
      </c>
    </row>
    <row r="226" customFormat="false" ht="13.5" hidden="false" customHeight="false" outlineLevel="0" collapsed="false">
      <c r="A226" s="3228" t="n">
        <v>4.9</v>
      </c>
      <c r="B226" s="3225" t="n">
        <v>0.9098</v>
      </c>
      <c r="C226" s="3225" t="n">
        <v>0.9098</v>
      </c>
      <c r="D226" s="3225" t="n">
        <v>0.8916</v>
      </c>
      <c r="E226" s="3225" t="n">
        <v>0.8916</v>
      </c>
      <c r="F226" s="3225" t="n">
        <v>0.8916</v>
      </c>
      <c r="G226" s="3225" t="n">
        <v>0.8916</v>
      </c>
      <c r="H226" s="3225" t="n">
        <v>0.8916</v>
      </c>
      <c r="I226" s="3225" t="n">
        <v>0.7384</v>
      </c>
      <c r="J226" s="3225" t="n">
        <v>0.7384</v>
      </c>
      <c r="K226" s="3225" t="n">
        <v>0.7384</v>
      </c>
      <c r="L226" s="3225" t="n">
        <v>0.7384</v>
      </c>
      <c r="M226" s="3226" t="n">
        <v>0.7384</v>
      </c>
    </row>
    <row r="227" customFormat="false" ht="13.5" hidden="false" customHeight="false" outlineLevel="0" collapsed="false">
      <c r="A227" s="3228" t="n">
        <v>5</v>
      </c>
      <c r="B227" s="3225" t="n">
        <v>0.9078</v>
      </c>
      <c r="C227" s="3225" t="n">
        <v>0.9078</v>
      </c>
      <c r="D227" s="3225" t="n">
        <v>0.8891</v>
      </c>
      <c r="E227" s="3225" t="n">
        <v>0.8891</v>
      </c>
      <c r="F227" s="3225" t="n">
        <v>0.8891</v>
      </c>
      <c r="G227" s="3225" t="n">
        <v>0.8891</v>
      </c>
      <c r="H227" s="3225" t="n">
        <v>0.8891</v>
      </c>
      <c r="I227" s="3225" t="n">
        <v>0.7353</v>
      </c>
      <c r="J227" s="3225" t="n">
        <v>0.7353</v>
      </c>
      <c r="K227" s="3225" t="n">
        <v>0.7353</v>
      </c>
      <c r="L227" s="3225" t="n">
        <v>0.7353</v>
      </c>
      <c r="M227" s="3226" t="n">
        <v>0.7353</v>
      </c>
    </row>
    <row r="228" customFormat="false" ht="13.5" hidden="false" customHeight="false" outlineLevel="0" collapsed="false">
      <c r="A228" s="3224" t="n">
        <v>5.1</v>
      </c>
      <c r="B228" s="3225" t="n">
        <v>0.9058</v>
      </c>
      <c r="C228" s="3225" t="n">
        <v>0.9058</v>
      </c>
      <c r="D228" s="3225" t="n">
        <v>0.8867</v>
      </c>
      <c r="E228" s="3225" t="n">
        <v>0.8867</v>
      </c>
      <c r="F228" s="3225" t="n">
        <v>0.8867</v>
      </c>
      <c r="G228" s="3225" t="n">
        <v>0.8867</v>
      </c>
      <c r="H228" s="3225" t="n">
        <v>0.8867</v>
      </c>
      <c r="I228" s="3225" t="n">
        <v>0.7322</v>
      </c>
      <c r="J228" s="3225" t="n">
        <v>0.7322</v>
      </c>
      <c r="K228" s="3225" t="n">
        <v>0.7322</v>
      </c>
      <c r="L228" s="3225" t="n">
        <v>0.7322</v>
      </c>
      <c r="M228" s="3226" t="n">
        <v>0.7322</v>
      </c>
    </row>
    <row r="229" customFormat="false" ht="13.5" hidden="false" customHeight="false" outlineLevel="0" collapsed="false">
      <c r="A229" s="3224" t="n">
        <v>5.2</v>
      </c>
      <c r="B229" s="3225" t="n">
        <v>0.9038</v>
      </c>
      <c r="C229" s="3225" t="n">
        <v>0.9038</v>
      </c>
      <c r="D229" s="3225" t="n">
        <v>0.8843</v>
      </c>
      <c r="E229" s="3225" t="n">
        <v>0.8843</v>
      </c>
      <c r="F229" s="3225" t="n">
        <v>0.8843</v>
      </c>
      <c r="G229" s="3225" t="n">
        <v>0.8843</v>
      </c>
      <c r="H229" s="3225" t="n">
        <v>0.8843</v>
      </c>
      <c r="I229" s="3225" t="n">
        <v>0.7291</v>
      </c>
      <c r="J229" s="3225" t="n">
        <v>0.7291</v>
      </c>
      <c r="K229" s="3225" t="n">
        <v>0.7291</v>
      </c>
      <c r="L229" s="3225" t="n">
        <v>0.7291</v>
      </c>
      <c r="M229" s="3226" t="n">
        <v>0.7291</v>
      </c>
    </row>
    <row r="230" customFormat="false" ht="13.5" hidden="false" customHeight="false" outlineLevel="0" collapsed="false">
      <c r="A230" s="3224" t="n">
        <v>5.3</v>
      </c>
      <c r="B230" s="3225" t="n">
        <v>0.9019</v>
      </c>
      <c r="C230" s="3225" t="n">
        <v>0.9019</v>
      </c>
      <c r="D230" s="3225" t="n">
        <v>0.8819</v>
      </c>
      <c r="E230" s="3225" t="n">
        <v>0.8819</v>
      </c>
      <c r="F230" s="3225" t="n">
        <v>0.8819</v>
      </c>
      <c r="G230" s="3225" t="n">
        <v>0.8819</v>
      </c>
      <c r="H230" s="3225" t="n">
        <v>0.8819</v>
      </c>
      <c r="I230" s="3225" t="n">
        <v>0.7261</v>
      </c>
      <c r="J230" s="3225" t="n">
        <v>0.7261</v>
      </c>
      <c r="K230" s="3225" t="n">
        <v>0.7261</v>
      </c>
      <c r="L230" s="3225" t="n">
        <v>0.7261</v>
      </c>
      <c r="M230" s="3226" t="n">
        <v>0.7261</v>
      </c>
    </row>
    <row r="231" customFormat="false" ht="13.5" hidden="false" customHeight="false" outlineLevel="0" collapsed="false">
      <c r="A231" s="3224" t="n">
        <v>5.4</v>
      </c>
      <c r="B231" s="3225" t="n">
        <v>0.9</v>
      </c>
      <c r="C231" s="3225" t="n">
        <v>0.9</v>
      </c>
      <c r="D231" s="3225" t="n">
        <v>0.8795</v>
      </c>
      <c r="E231" s="3225" t="n">
        <v>0.8795</v>
      </c>
      <c r="F231" s="3225" t="n">
        <v>0.8795</v>
      </c>
      <c r="G231" s="3225" t="n">
        <v>0.8795</v>
      </c>
      <c r="H231" s="3225" t="n">
        <v>0.8795</v>
      </c>
      <c r="I231" s="3225" t="n">
        <v>0.7231</v>
      </c>
      <c r="J231" s="3225" t="n">
        <v>0.7231</v>
      </c>
      <c r="K231" s="3225" t="n">
        <v>0.7231</v>
      </c>
      <c r="L231" s="3225" t="n">
        <v>0.7231</v>
      </c>
      <c r="M231" s="3226" t="n">
        <v>0.7231</v>
      </c>
    </row>
    <row r="232" customFormat="false" ht="13.5" hidden="false" customHeight="false" outlineLevel="0" collapsed="false">
      <c r="A232" s="3224" t="n">
        <v>5.5</v>
      </c>
      <c r="B232" s="3225" t="n">
        <v>0.8981</v>
      </c>
      <c r="C232" s="3225" t="n">
        <v>0.8981</v>
      </c>
      <c r="D232" s="3225" t="n">
        <v>0.8772</v>
      </c>
      <c r="E232" s="3225" t="n">
        <v>0.8772</v>
      </c>
      <c r="F232" s="3225" t="n">
        <v>0.8772</v>
      </c>
      <c r="G232" s="3225" t="n">
        <v>0.8772</v>
      </c>
      <c r="H232" s="3225" t="n">
        <v>0.8772</v>
      </c>
      <c r="I232" s="3225" t="n">
        <v>0.7201</v>
      </c>
      <c r="J232" s="3225" t="n">
        <v>0.7201</v>
      </c>
      <c r="K232" s="3225" t="n">
        <v>0.7201</v>
      </c>
      <c r="L232" s="3225" t="n">
        <v>0.7201</v>
      </c>
      <c r="M232" s="3226" t="n">
        <v>0.7201</v>
      </c>
    </row>
    <row r="233" customFormat="false" ht="13.5" hidden="false" customHeight="false" outlineLevel="0" collapsed="false">
      <c r="A233" s="3224" t="n">
        <v>5.6</v>
      </c>
      <c r="B233" s="3225" t="n">
        <v>0.8962</v>
      </c>
      <c r="C233" s="3225" t="n">
        <v>0.8962</v>
      </c>
      <c r="D233" s="3225" t="n">
        <v>0.8749</v>
      </c>
      <c r="E233" s="3225" t="n">
        <v>0.8749</v>
      </c>
      <c r="F233" s="3225" t="n">
        <v>0.8749</v>
      </c>
      <c r="G233" s="3225" t="n">
        <v>0.8749</v>
      </c>
      <c r="H233" s="3225" t="n">
        <v>0.8749</v>
      </c>
      <c r="I233" s="3225" t="n">
        <v>0.7171</v>
      </c>
      <c r="J233" s="3225" t="n">
        <v>0.7171</v>
      </c>
      <c r="K233" s="3225" t="n">
        <v>0.7171</v>
      </c>
      <c r="L233" s="3225" t="n">
        <v>0.7171</v>
      </c>
      <c r="M233" s="3226" t="n">
        <v>0.7171</v>
      </c>
    </row>
    <row r="234" customFormat="false" ht="13.5" hidden="false" customHeight="false" outlineLevel="0" collapsed="false">
      <c r="A234" s="3228" t="n">
        <v>5.7</v>
      </c>
      <c r="B234" s="3225" t="n">
        <v>0.8943</v>
      </c>
      <c r="C234" s="3225" t="n">
        <v>0.8943</v>
      </c>
      <c r="D234" s="3225" t="n">
        <v>0.8726</v>
      </c>
      <c r="E234" s="3225" t="n">
        <v>0.8726</v>
      </c>
      <c r="F234" s="3225" t="n">
        <v>0.8726</v>
      </c>
      <c r="G234" s="3225" t="n">
        <v>0.8726</v>
      </c>
      <c r="H234" s="3225" t="n">
        <v>0.8726</v>
      </c>
      <c r="I234" s="3225" t="n">
        <v>0.7142</v>
      </c>
      <c r="J234" s="3225" t="n">
        <v>0.7142</v>
      </c>
      <c r="K234" s="3225" t="n">
        <v>0.7142</v>
      </c>
      <c r="L234" s="3225" t="n">
        <v>0.7142</v>
      </c>
      <c r="M234" s="3226" t="n">
        <v>0.7142</v>
      </c>
    </row>
    <row r="235" customFormat="false" ht="13.5" hidden="false" customHeight="false" outlineLevel="0" collapsed="false">
      <c r="A235" s="3224" t="n">
        <v>5.8</v>
      </c>
      <c r="B235" s="3225" t="n">
        <v>0.8925</v>
      </c>
      <c r="C235" s="3225" t="n">
        <v>0.8925</v>
      </c>
      <c r="D235" s="3225" t="n">
        <v>0.8703</v>
      </c>
      <c r="E235" s="3225" t="n">
        <v>0.8703</v>
      </c>
      <c r="F235" s="3225" t="n">
        <v>0.8703</v>
      </c>
      <c r="G235" s="3225" t="n">
        <v>0.8703</v>
      </c>
      <c r="H235" s="3225" t="n">
        <v>0.8703</v>
      </c>
      <c r="I235" s="3225" t="n">
        <v>0.7113</v>
      </c>
      <c r="J235" s="3225" t="n">
        <v>0.7113</v>
      </c>
      <c r="K235" s="3225" t="n">
        <v>0.7113</v>
      </c>
      <c r="L235" s="3225" t="n">
        <v>0.7113</v>
      </c>
      <c r="M235" s="3226" t="n">
        <v>0.7113</v>
      </c>
    </row>
    <row r="236" customFormat="false" ht="13.5" hidden="false" customHeight="false" outlineLevel="0" collapsed="false">
      <c r="A236" s="3224" t="n">
        <v>5.9</v>
      </c>
      <c r="B236" s="3225" t="n">
        <v>0.8907</v>
      </c>
      <c r="C236" s="3225" t="n">
        <v>0.8907</v>
      </c>
      <c r="D236" s="3225" t="n">
        <v>0.868</v>
      </c>
      <c r="E236" s="3225" t="n">
        <v>0.868</v>
      </c>
      <c r="F236" s="3225" t="n">
        <v>0.868</v>
      </c>
      <c r="G236" s="3225" t="n">
        <v>0.868</v>
      </c>
      <c r="H236" s="3225" t="n">
        <v>0.868</v>
      </c>
      <c r="I236" s="3225" t="n">
        <v>0.7084</v>
      </c>
      <c r="J236" s="3225" t="n">
        <v>0.7084</v>
      </c>
      <c r="K236" s="3225" t="n">
        <v>0.7084</v>
      </c>
      <c r="L236" s="3225" t="n">
        <v>0.7084</v>
      </c>
      <c r="M236" s="3226" t="n">
        <v>0.7084</v>
      </c>
    </row>
    <row r="237" customFormat="false" ht="13.5" hidden="false" customHeight="false" outlineLevel="0" collapsed="false">
      <c r="A237" s="3224" t="n">
        <v>6</v>
      </c>
      <c r="B237" s="3225" t="n">
        <v>0.8889</v>
      </c>
      <c r="C237" s="3225" t="n">
        <v>0.8889</v>
      </c>
      <c r="D237" s="3225" t="n">
        <v>0.8658</v>
      </c>
      <c r="E237" s="3225" t="n">
        <v>0.8658</v>
      </c>
      <c r="F237" s="3225" t="n">
        <v>0.8658</v>
      </c>
      <c r="G237" s="3225" t="n">
        <v>0.8658</v>
      </c>
      <c r="H237" s="3225" t="n">
        <v>0.8658</v>
      </c>
      <c r="I237" s="3225" t="n">
        <v>0.7055</v>
      </c>
      <c r="J237" s="3225" t="n">
        <v>0.7055</v>
      </c>
      <c r="K237" s="3225" t="n">
        <v>0.7055</v>
      </c>
      <c r="L237" s="3225" t="n">
        <v>0.7055</v>
      </c>
      <c r="M237" s="3226" t="n">
        <v>0.7055</v>
      </c>
    </row>
    <row r="238" customFormat="false" ht="13.5" hidden="false" customHeight="false" outlineLevel="0" collapsed="false">
      <c r="A238" s="3224" t="n">
        <v>6.1</v>
      </c>
      <c r="B238" s="3225" t="n">
        <v>0.8871</v>
      </c>
      <c r="C238" s="3225" t="n">
        <v>0.8871</v>
      </c>
      <c r="D238" s="3225" t="n">
        <v>0.8636</v>
      </c>
      <c r="E238" s="3225" t="n">
        <v>0.8636</v>
      </c>
      <c r="F238" s="3225" t="n">
        <v>0.8636</v>
      </c>
      <c r="G238" s="3225" t="n">
        <v>0.8636</v>
      </c>
      <c r="H238" s="3225" t="n">
        <v>0.8636</v>
      </c>
      <c r="I238" s="3225" t="n">
        <v>0.7027</v>
      </c>
      <c r="J238" s="3225" t="n">
        <v>0.7027</v>
      </c>
      <c r="K238" s="3225" t="n">
        <v>0.7027</v>
      </c>
      <c r="L238" s="3225" t="n">
        <v>0.7027</v>
      </c>
      <c r="M238" s="3226" t="n">
        <v>0.7027</v>
      </c>
    </row>
    <row r="239" customFormat="false" ht="13.5" hidden="false" customHeight="false" outlineLevel="0" collapsed="false">
      <c r="A239" s="3224" t="n">
        <v>6.2</v>
      </c>
      <c r="B239" s="3225" t="n">
        <v>0.8853</v>
      </c>
      <c r="C239" s="3225" t="n">
        <v>0.8853</v>
      </c>
      <c r="D239" s="3225" t="n">
        <v>0.8614</v>
      </c>
      <c r="E239" s="3225" t="n">
        <v>0.8614</v>
      </c>
      <c r="F239" s="3225" t="n">
        <v>0.8614</v>
      </c>
      <c r="G239" s="3225" t="n">
        <v>0.8614</v>
      </c>
      <c r="H239" s="3225" t="n">
        <v>0.8614</v>
      </c>
      <c r="I239" s="3225" t="n">
        <v>0.6999</v>
      </c>
      <c r="J239" s="3225" t="n">
        <v>0.6999</v>
      </c>
      <c r="K239" s="3225" t="n">
        <v>0.6999</v>
      </c>
      <c r="L239" s="3225" t="n">
        <v>0.6999</v>
      </c>
      <c r="M239" s="3226" t="n">
        <v>0.6999</v>
      </c>
    </row>
    <row r="240" customFormat="false" ht="13.5" hidden="false" customHeight="false" outlineLevel="0" collapsed="false">
      <c r="A240" s="3224" t="n">
        <v>6.3</v>
      </c>
      <c r="B240" s="3225" t="n">
        <v>0.8835</v>
      </c>
      <c r="C240" s="3225" t="n">
        <v>0.8835</v>
      </c>
      <c r="D240" s="3225" t="n">
        <v>0.8592</v>
      </c>
      <c r="E240" s="3225" t="n">
        <v>0.8592</v>
      </c>
      <c r="F240" s="3225" t="n">
        <v>0.8592</v>
      </c>
      <c r="G240" s="3225" t="n">
        <v>0.8592</v>
      </c>
      <c r="H240" s="3225" t="n">
        <v>0.8592</v>
      </c>
      <c r="I240" s="3225" t="n">
        <v>0.6971</v>
      </c>
      <c r="J240" s="3225" t="n">
        <v>0.6971</v>
      </c>
      <c r="K240" s="3225" t="n">
        <v>0.6971</v>
      </c>
      <c r="L240" s="3225" t="n">
        <v>0.6971</v>
      </c>
      <c r="M240" s="3226" t="n">
        <v>0.6971</v>
      </c>
    </row>
    <row r="241" customFormat="false" ht="13.5" hidden="false" customHeight="false" outlineLevel="0" collapsed="false">
      <c r="A241" s="3224" t="n">
        <v>6.4</v>
      </c>
      <c r="B241" s="3225" t="n">
        <v>0.8818</v>
      </c>
      <c r="C241" s="3225" t="n">
        <v>0.8818</v>
      </c>
      <c r="D241" s="3225" t="n">
        <v>0.857</v>
      </c>
      <c r="E241" s="3225" t="n">
        <v>0.857</v>
      </c>
      <c r="F241" s="3225" t="n">
        <v>0.857</v>
      </c>
      <c r="G241" s="3225" t="n">
        <v>0.857</v>
      </c>
      <c r="H241" s="3225" t="n">
        <v>0.857</v>
      </c>
      <c r="I241" s="3225" t="n">
        <v>0.6943</v>
      </c>
      <c r="J241" s="3225" t="n">
        <v>0.6943</v>
      </c>
      <c r="K241" s="3225" t="n">
        <v>0.6943</v>
      </c>
      <c r="L241" s="3225" t="n">
        <v>0.6943</v>
      </c>
      <c r="M241" s="3226" t="n">
        <v>0.6943</v>
      </c>
    </row>
    <row r="242" customFormat="false" ht="13.5" hidden="false" customHeight="false" outlineLevel="0" collapsed="false">
      <c r="A242" s="3224" t="n">
        <v>6.5</v>
      </c>
      <c r="B242" s="3225" t="n">
        <v>0.8801</v>
      </c>
      <c r="C242" s="3225" t="n">
        <v>0.8801</v>
      </c>
      <c r="D242" s="3225" t="n">
        <v>0.8549</v>
      </c>
      <c r="E242" s="3225" t="n">
        <v>0.8549</v>
      </c>
      <c r="F242" s="3225" t="n">
        <v>0.8549</v>
      </c>
      <c r="G242" s="3225" t="n">
        <v>0.8549</v>
      </c>
      <c r="H242" s="3225" t="n">
        <v>0.8549</v>
      </c>
      <c r="I242" s="3225" t="n">
        <v>0.6916</v>
      </c>
      <c r="J242" s="3225" t="n">
        <v>0.6916</v>
      </c>
      <c r="K242" s="3225" t="n">
        <v>0.6916</v>
      </c>
      <c r="L242" s="3225" t="n">
        <v>0.6916</v>
      </c>
      <c r="M242" s="3226" t="n">
        <v>0.6916</v>
      </c>
    </row>
    <row r="243" customFormat="false" ht="13.5" hidden="false" customHeight="false" outlineLevel="0" collapsed="false">
      <c r="A243" s="3224" t="n">
        <v>6.6</v>
      </c>
      <c r="B243" s="3225" t="n">
        <v>0.8784</v>
      </c>
      <c r="C243" s="3225" t="n">
        <v>0.8784</v>
      </c>
      <c r="D243" s="3225" t="n">
        <v>0.8528</v>
      </c>
      <c r="E243" s="3225" t="n">
        <v>0.8528</v>
      </c>
      <c r="F243" s="3225" t="n">
        <v>0.8528</v>
      </c>
      <c r="G243" s="3225" t="n">
        <v>0.8528</v>
      </c>
      <c r="H243" s="3225" t="n">
        <v>0.8528</v>
      </c>
      <c r="I243" s="3225" t="n">
        <v>0.6889</v>
      </c>
      <c r="J243" s="3225" t="n">
        <v>0.6889</v>
      </c>
      <c r="K243" s="3225" t="n">
        <v>0.6889</v>
      </c>
      <c r="L243" s="3225" t="n">
        <v>0.6889</v>
      </c>
      <c r="M243" s="3226" t="n">
        <v>0.6889</v>
      </c>
    </row>
    <row r="244" customFormat="false" ht="13.5" hidden="false" customHeight="false" outlineLevel="0" collapsed="false">
      <c r="A244" s="3224" t="n">
        <v>6.7</v>
      </c>
      <c r="B244" s="3225" t="n">
        <v>0.8767</v>
      </c>
      <c r="C244" s="3225" t="n">
        <v>0.8767</v>
      </c>
      <c r="D244" s="3225" t="n">
        <v>0.8507</v>
      </c>
      <c r="E244" s="3225" t="n">
        <v>0.8507</v>
      </c>
      <c r="F244" s="3225" t="n">
        <v>0.8507</v>
      </c>
      <c r="G244" s="3225" t="n">
        <v>0.8507</v>
      </c>
      <c r="H244" s="3225" t="n">
        <v>0.8507</v>
      </c>
      <c r="I244" s="3225" t="n">
        <v>0.6862</v>
      </c>
      <c r="J244" s="3225" t="n">
        <v>0.6862</v>
      </c>
      <c r="K244" s="3225" t="n">
        <v>0.6862</v>
      </c>
      <c r="L244" s="3225" t="n">
        <v>0.6862</v>
      </c>
      <c r="M244" s="3226" t="n">
        <v>0.6862</v>
      </c>
    </row>
    <row r="245" customFormat="false" ht="13.5" hidden="false" customHeight="false" outlineLevel="0" collapsed="false">
      <c r="A245" s="3224" t="n">
        <v>6.8</v>
      </c>
      <c r="B245" s="3225" t="n">
        <v>0.875</v>
      </c>
      <c r="C245" s="3225" t="n">
        <v>0.875</v>
      </c>
      <c r="D245" s="3225" t="n">
        <v>0.8486</v>
      </c>
      <c r="E245" s="3225" t="n">
        <v>0.8486</v>
      </c>
      <c r="F245" s="3225" t="n">
        <v>0.8486</v>
      </c>
      <c r="G245" s="3225" t="n">
        <v>0.8486</v>
      </c>
      <c r="H245" s="3225" t="n">
        <v>0.8486</v>
      </c>
      <c r="I245" s="3225" t="n">
        <v>0.6835</v>
      </c>
      <c r="J245" s="3225" t="n">
        <v>0.6835</v>
      </c>
      <c r="K245" s="3225" t="n">
        <v>0.6835</v>
      </c>
      <c r="L245" s="3225" t="n">
        <v>0.6835</v>
      </c>
      <c r="M245" s="3226" t="n">
        <v>0.6835</v>
      </c>
    </row>
    <row r="246" customFormat="false" ht="13.5" hidden="false" customHeight="false" outlineLevel="0" collapsed="false">
      <c r="A246" s="3224" t="n">
        <v>6.9</v>
      </c>
      <c r="B246" s="3225" t="n">
        <v>0.8733</v>
      </c>
      <c r="C246" s="3225" t="n">
        <v>0.8733</v>
      </c>
      <c r="D246" s="3225" t="n">
        <v>0.8465</v>
      </c>
      <c r="E246" s="3225" t="n">
        <v>0.8465</v>
      </c>
      <c r="F246" s="3225" t="n">
        <v>0.8465</v>
      </c>
      <c r="G246" s="3225" t="n">
        <v>0.8465</v>
      </c>
      <c r="H246" s="3225" t="n">
        <v>0.8465</v>
      </c>
      <c r="I246" s="3225" t="n">
        <v>0.6809</v>
      </c>
      <c r="J246" s="3225" t="n">
        <v>0.6809</v>
      </c>
      <c r="K246" s="3225" t="n">
        <v>0.6809</v>
      </c>
      <c r="L246" s="3225" t="n">
        <v>0.6809</v>
      </c>
      <c r="M246" s="3226" t="n">
        <v>0.6809</v>
      </c>
    </row>
    <row r="247" customFormat="false" ht="13.5" hidden="false" customHeight="false" outlineLevel="0" collapsed="false">
      <c r="A247" s="3224" t="n">
        <v>7</v>
      </c>
      <c r="B247" s="3225" t="n">
        <v>0.8717</v>
      </c>
      <c r="C247" s="3225" t="n">
        <v>0.8717</v>
      </c>
      <c r="D247" s="3225" t="n">
        <v>0.8445</v>
      </c>
      <c r="E247" s="3225" t="n">
        <v>0.8445</v>
      </c>
      <c r="F247" s="3225" t="n">
        <v>0.8445</v>
      </c>
      <c r="G247" s="3225" t="n">
        <v>0.8445</v>
      </c>
      <c r="H247" s="3225" t="n">
        <v>0.8445</v>
      </c>
      <c r="I247" s="3225" t="n">
        <v>0.6783</v>
      </c>
      <c r="J247" s="3225" t="n">
        <v>0.6783</v>
      </c>
      <c r="K247" s="3225" t="n">
        <v>0.6783</v>
      </c>
      <c r="L247" s="3225" t="n">
        <v>0.6783</v>
      </c>
      <c r="M247" s="3226" t="n">
        <v>0.6783</v>
      </c>
    </row>
    <row r="248" customFormat="false" ht="13.5" hidden="false" customHeight="false" outlineLevel="0" collapsed="false">
      <c r="A248" s="3224" t="n">
        <v>7.1</v>
      </c>
      <c r="B248" s="3225" t="n">
        <v>0.8701</v>
      </c>
      <c r="C248" s="3225" t="n">
        <v>0.8701</v>
      </c>
      <c r="D248" s="3225" t="n">
        <v>0.8425</v>
      </c>
      <c r="E248" s="3225" t="n">
        <v>0.8425</v>
      </c>
      <c r="F248" s="3225" t="n">
        <v>0.8425</v>
      </c>
      <c r="G248" s="3225" t="n">
        <v>0.8425</v>
      </c>
      <c r="H248" s="3225" t="n">
        <v>0.8425</v>
      </c>
      <c r="I248" s="3225" t="n">
        <v>0.6757</v>
      </c>
      <c r="J248" s="3225" t="n">
        <v>0.6757</v>
      </c>
      <c r="K248" s="3225" t="n">
        <v>0.6757</v>
      </c>
      <c r="L248" s="3225" t="n">
        <v>0.6757</v>
      </c>
      <c r="M248" s="3226" t="n">
        <v>0.6757</v>
      </c>
    </row>
    <row r="249" customFormat="false" ht="13.5" hidden="false" customHeight="false" outlineLevel="0" collapsed="false">
      <c r="A249" s="3224" t="n">
        <v>7.2</v>
      </c>
      <c r="B249" s="3225" t="n">
        <v>0.8685</v>
      </c>
      <c r="C249" s="3225" t="n">
        <v>0.8685</v>
      </c>
      <c r="D249" s="3225" t="n">
        <v>0.8405</v>
      </c>
      <c r="E249" s="3225" t="n">
        <v>0.8405</v>
      </c>
      <c r="F249" s="3225" t="n">
        <v>0.8405</v>
      </c>
      <c r="G249" s="3225" t="n">
        <v>0.8405</v>
      </c>
      <c r="H249" s="3225" t="n">
        <v>0.8405</v>
      </c>
      <c r="I249" s="3225" t="n">
        <v>0.6731</v>
      </c>
      <c r="J249" s="3225" t="n">
        <v>0.6731</v>
      </c>
      <c r="K249" s="3225" t="n">
        <v>0.6731</v>
      </c>
      <c r="L249" s="3225" t="n">
        <v>0.6731</v>
      </c>
      <c r="M249" s="3226" t="n">
        <v>0.6731</v>
      </c>
    </row>
    <row r="250" customFormat="false" ht="13.5" hidden="false" customHeight="false" outlineLevel="0" collapsed="false">
      <c r="A250" s="3224" t="n">
        <v>7.3</v>
      </c>
      <c r="B250" s="3225" t="n">
        <v>0.8669</v>
      </c>
      <c r="C250" s="3225" t="n">
        <v>0.8669</v>
      </c>
      <c r="D250" s="3225" t="n">
        <v>0.8385</v>
      </c>
      <c r="E250" s="3225" t="n">
        <v>0.8385</v>
      </c>
      <c r="F250" s="3225" t="n">
        <v>0.8385</v>
      </c>
      <c r="G250" s="3225" t="n">
        <v>0.8385</v>
      </c>
      <c r="H250" s="3225" t="n">
        <v>0.8385</v>
      </c>
      <c r="I250" s="3225" t="n">
        <v>0.6706</v>
      </c>
      <c r="J250" s="3225" t="n">
        <v>0.6706</v>
      </c>
      <c r="K250" s="3225" t="n">
        <v>0.6706</v>
      </c>
      <c r="L250" s="3225" t="n">
        <v>0.6706</v>
      </c>
      <c r="M250" s="3226" t="n">
        <v>0.6706</v>
      </c>
    </row>
    <row r="251" customFormat="false" ht="13.5" hidden="false" customHeight="false" outlineLevel="0" collapsed="false">
      <c r="A251" s="3224" t="n">
        <v>7.4</v>
      </c>
      <c r="B251" s="3225" t="n">
        <v>0.8653</v>
      </c>
      <c r="C251" s="3225" t="n">
        <v>0.8653</v>
      </c>
      <c r="D251" s="3225" t="n">
        <v>0.8365</v>
      </c>
      <c r="E251" s="3225" t="n">
        <v>0.8365</v>
      </c>
      <c r="F251" s="3225" t="n">
        <v>0.8365</v>
      </c>
      <c r="G251" s="3225" t="n">
        <v>0.8365</v>
      </c>
      <c r="H251" s="3225" t="n">
        <v>0.8365</v>
      </c>
      <c r="I251" s="3225" t="n">
        <v>0.6681</v>
      </c>
      <c r="J251" s="3225" t="n">
        <v>0.6681</v>
      </c>
      <c r="K251" s="3225" t="n">
        <v>0.6681</v>
      </c>
      <c r="L251" s="3225" t="n">
        <v>0.6681</v>
      </c>
      <c r="M251" s="3226" t="n">
        <v>0.6681</v>
      </c>
    </row>
    <row r="252" customFormat="false" ht="13.5" hidden="false" customHeight="false" outlineLevel="0" collapsed="false">
      <c r="A252" s="3224" t="n">
        <v>7.5</v>
      </c>
      <c r="B252" s="3225" t="n">
        <v>0.8637</v>
      </c>
      <c r="C252" s="3225" t="n">
        <v>0.8637</v>
      </c>
      <c r="D252" s="3225" t="n">
        <v>0.8346</v>
      </c>
      <c r="E252" s="3225" t="n">
        <v>0.8346</v>
      </c>
      <c r="F252" s="3225" t="n">
        <v>0.8346</v>
      </c>
      <c r="G252" s="3225" t="n">
        <v>0.8346</v>
      </c>
      <c r="H252" s="3225" t="n">
        <v>0.8346</v>
      </c>
      <c r="I252" s="3225" t="n">
        <v>0.6656</v>
      </c>
      <c r="J252" s="3225" t="n">
        <v>0.6656</v>
      </c>
      <c r="K252" s="3225" t="n">
        <v>0.6656</v>
      </c>
      <c r="L252" s="3225" t="n">
        <v>0.6656</v>
      </c>
      <c r="M252" s="3226" t="n">
        <v>0.6656</v>
      </c>
    </row>
    <row r="253" customFormat="false" ht="13.5" hidden="false" customHeight="false" outlineLevel="0" collapsed="false">
      <c r="A253" s="3224" t="n">
        <v>7.6</v>
      </c>
      <c r="B253" s="3225" t="n">
        <v>0.8622</v>
      </c>
      <c r="C253" s="3225" t="n">
        <v>0.8622</v>
      </c>
      <c r="D253" s="3225" t="n">
        <v>0.8327</v>
      </c>
      <c r="E253" s="3225" t="n">
        <v>0.8327</v>
      </c>
      <c r="F253" s="3225" t="n">
        <v>0.8327</v>
      </c>
      <c r="G253" s="3225" t="n">
        <v>0.8327</v>
      </c>
      <c r="H253" s="3225" t="n">
        <v>0.8327</v>
      </c>
      <c r="I253" s="3225" t="n">
        <v>0.6631</v>
      </c>
      <c r="J253" s="3225" t="n">
        <v>0.6631</v>
      </c>
      <c r="K253" s="3225" t="n">
        <v>0.6631</v>
      </c>
      <c r="L253" s="3225" t="n">
        <v>0.6631</v>
      </c>
      <c r="M253" s="3226" t="n">
        <v>0.6631</v>
      </c>
    </row>
    <row r="254" customFormat="false" ht="13.5" hidden="false" customHeight="false" outlineLevel="0" collapsed="false">
      <c r="A254" s="3224" t="n">
        <v>7.7</v>
      </c>
      <c r="B254" s="3225" t="n">
        <v>0.8607</v>
      </c>
      <c r="C254" s="3225" t="n">
        <v>0.8607</v>
      </c>
      <c r="D254" s="3225" t="n">
        <v>0.8308</v>
      </c>
      <c r="E254" s="3225" t="n">
        <v>0.8308</v>
      </c>
      <c r="F254" s="3225" t="n">
        <v>0.8308</v>
      </c>
      <c r="G254" s="3225" t="n">
        <v>0.8308</v>
      </c>
      <c r="H254" s="3225" t="n">
        <v>0.8308</v>
      </c>
      <c r="I254" s="3225" t="n">
        <v>0.6607</v>
      </c>
      <c r="J254" s="3225" t="n">
        <v>0.6607</v>
      </c>
      <c r="K254" s="3225" t="n">
        <v>0.6607</v>
      </c>
      <c r="L254" s="3225" t="n">
        <v>0.6607</v>
      </c>
      <c r="M254" s="3226" t="n">
        <v>0.6607</v>
      </c>
    </row>
    <row r="255" customFormat="false" ht="13.5" hidden="false" customHeight="false" outlineLevel="0" collapsed="false">
      <c r="A255" s="3224" t="n">
        <v>7.8</v>
      </c>
      <c r="B255" s="3225" t="n">
        <v>0.8592</v>
      </c>
      <c r="C255" s="3225" t="n">
        <v>0.8592</v>
      </c>
      <c r="D255" s="3225" t="n">
        <v>0.8289</v>
      </c>
      <c r="E255" s="3225" t="n">
        <v>0.8289</v>
      </c>
      <c r="F255" s="3225" t="n">
        <v>0.8289</v>
      </c>
      <c r="G255" s="3225" t="n">
        <v>0.8289</v>
      </c>
      <c r="H255" s="3225" t="n">
        <v>0.8289</v>
      </c>
      <c r="I255" s="3225" t="n">
        <v>0.6583</v>
      </c>
      <c r="J255" s="3225" t="n">
        <v>0.6583</v>
      </c>
      <c r="K255" s="3225" t="n">
        <v>0.6583</v>
      </c>
      <c r="L255" s="3225" t="n">
        <v>0.6583</v>
      </c>
      <c r="M255" s="3226" t="n">
        <v>0.6583</v>
      </c>
    </row>
    <row r="256" customFormat="false" ht="13.5" hidden="false" customHeight="false" outlineLevel="0" collapsed="false">
      <c r="A256" s="3224" t="n">
        <v>7.9</v>
      </c>
      <c r="B256" s="3225" t="n">
        <v>0.8577</v>
      </c>
      <c r="C256" s="3225" t="n">
        <v>0.8577</v>
      </c>
      <c r="D256" s="3225" t="n">
        <v>0.827</v>
      </c>
      <c r="E256" s="3225" t="n">
        <v>0.827</v>
      </c>
      <c r="F256" s="3225" t="n">
        <v>0.827</v>
      </c>
      <c r="G256" s="3225" t="n">
        <v>0.827</v>
      </c>
      <c r="H256" s="3225" t="n">
        <v>0.827</v>
      </c>
      <c r="I256" s="3225" t="n">
        <v>0.6559</v>
      </c>
      <c r="J256" s="3225" t="n">
        <v>0.6559</v>
      </c>
      <c r="K256" s="3225" t="n">
        <v>0.6559</v>
      </c>
      <c r="L256" s="3225" t="n">
        <v>0.6559</v>
      </c>
      <c r="M256" s="3226" t="n">
        <v>0.6559</v>
      </c>
    </row>
    <row r="257" customFormat="false" ht="13.5" hidden="false" customHeight="false" outlineLevel="0" collapsed="false">
      <c r="A257" s="3224" t="n">
        <v>8</v>
      </c>
      <c r="B257" s="3225" t="n">
        <v>0.8562</v>
      </c>
      <c r="C257" s="3225" t="n">
        <v>0.8562</v>
      </c>
      <c r="D257" s="3225" t="n">
        <v>0.8251</v>
      </c>
      <c r="E257" s="3225" t="n">
        <v>0.8251</v>
      </c>
      <c r="F257" s="3225" t="n">
        <v>0.8251</v>
      </c>
      <c r="G257" s="3225" t="n">
        <v>0.8251</v>
      </c>
      <c r="H257" s="3225" t="n">
        <v>0.8251</v>
      </c>
      <c r="I257" s="3225" t="n">
        <v>0.6535</v>
      </c>
      <c r="J257" s="3225" t="n">
        <v>0.6535</v>
      </c>
      <c r="K257" s="3225" t="n">
        <v>0.6535</v>
      </c>
      <c r="L257" s="3225" t="n">
        <v>0.6535</v>
      </c>
      <c r="M257" s="3226" t="n">
        <v>0.6535</v>
      </c>
    </row>
    <row r="258" customFormat="false" ht="13.5" hidden="false" customHeight="false" outlineLevel="0" collapsed="false">
      <c r="A258" s="3224" t="n">
        <v>8.1</v>
      </c>
      <c r="B258" s="3225" t="n">
        <v>0.8547</v>
      </c>
      <c r="C258" s="3225" t="n">
        <v>0.8547</v>
      </c>
      <c r="D258" s="3225" t="n">
        <v>0.8233</v>
      </c>
      <c r="E258" s="3225" t="n">
        <v>0.8233</v>
      </c>
      <c r="F258" s="3225" t="n">
        <v>0.8233</v>
      </c>
      <c r="G258" s="3225" t="n">
        <v>0.8233</v>
      </c>
      <c r="H258" s="3225" t="n">
        <v>0.8233</v>
      </c>
      <c r="I258" s="3225" t="n">
        <v>0.6512</v>
      </c>
      <c r="J258" s="3225" t="n">
        <v>0.6512</v>
      </c>
      <c r="K258" s="3225" t="n">
        <v>0.6512</v>
      </c>
      <c r="L258" s="3225" t="n">
        <v>0.6512</v>
      </c>
      <c r="M258" s="3226" t="n">
        <v>0.6512</v>
      </c>
    </row>
    <row r="259" customFormat="false" ht="13.5" hidden="false" customHeight="false" outlineLevel="0" collapsed="false">
      <c r="A259" s="3224" t="n">
        <v>8.2</v>
      </c>
      <c r="B259" s="3225" t="n">
        <v>0.8533</v>
      </c>
      <c r="C259" s="3225" t="n">
        <v>0.8533</v>
      </c>
      <c r="D259" s="3225" t="n">
        <v>0.8215</v>
      </c>
      <c r="E259" s="3225" t="n">
        <v>0.8215</v>
      </c>
      <c r="F259" s="3225" t="n">
        <v>0.8215</v>
      </c>
      <c r="G259" s="3225" t="n">
        <v>0.8215</v>
      </c>
      <c r="H259" s="3225" t="n">
        <v>0.8215</v>
      </c>
      <c r="I259" s="3225" t="n">
        <v>0.6489</v>
      </c>
      <c r="J259" s="3225" t="n">
        <v>0.6489</v>
      </c>
      <c r="K259" s="3225" t="n">
        <v>0.6489</v>
      </c>
      <c r="L259" s="3225" t="n">
        <v>0.6489</v>
      </c>
      <c r="M259" s="3226" t="n">
        <v>0.6489</v>
      </c>
    </row>
    <row r="260" customFormat="false" ht="13.5" hidden="false" customHeight="false" outlineLevel="0" collapsed="false">
      <c r="A260" s="3224" t="n">
        <v>8.3</v>
      </c>
      <c r="B260" s="3225" t="n">
        <v>0.8519</v>
      </c>
      <c r="C260" s="3225" t="n">
        <v>0.8519</v>
      </c>
      <c r="D260" s="3225" t="n">
        <v>0.8197</v>
      </c>
      <c r="E260" s="3225" t="n">
        <v>0.8197</v>
      </c>
      <c r="F260" s="3225" t="n">
        <v>0.8197</v>
      </c>
      <c r="G260" s="3225" t="n">
        <v>0.8197</v>
      </c>
      <c r="H260" s="3225" t="n">
        <v>0.8197</v>
      </c>
      <c r="I260" s="3225" t="n">
        <v>0.6466</v>
      </c>
      <c r="J260" s="3225" t="n">
        <v>0.6466</v>
      </c>
      <c r="K260" s="3225" t="n">
        <v>0.6466</v>
      </c>
      <c r="L260" s="3225" t="n">
        <v>0.6466</v>
      </c>
      <c r="M260" s="3226" t="n">
        <v>0.6466</v>
      </c>
    </row>
    <row r="261" customFormat="false" ht="13.5" hidden="false" customHeight="false" outlineLevel="0" collapsed="false">
      <c r="A261" s="3224" t="n">
        <v>8.4</v>
      </c>
      <c r="B261" s="3225" t="n">
        <v>0.8505</v>
      </c>
      <c r="C261" s="3225" t="n">
        <v>0.8505</v>
      </c>
      <c r="D261" s="3225" t="n">
        <v>0.8179</v>
      </c>
      <c r="E261" s="3225" t="n">
        <v>0.8179</v>
      </c>
      <c r="F261" s="3225" t="n">
        <v>0.8179</v>
      </c>
      <c r="G261" s="3225" t="n">
        <v>0.8179</v>
      </c>
      <c r="H261" s="3225" t="n">
        <v>0.8179</v>
      </c>
      <c r="I261" s="3225" t="n">
        <v>0.6443</v>
      </c>
      <c r="J261" s="3225" t="n">
        <v>0.6443</v>
      </c>
      <c r="K261" s="3225" t="n">
        <v>0.6443</v>
      </c>
      <c r="L261" s="3225" t="n">
        <v>0.6443</v>
      </c>
      <c r="M261" s="3226" t="n">
        <v>0.6443</v>
      </c>
    </row>
    <row r="262" customFormat="false" ht="13.5" hidden="false" customHeight="false" outlineLevel="0" collapsed="false">
      <c r="A262" s="3224" t="n">
        <v>8.5</v>
      </c>
      <c r="B262" s="3225" t="n">
        <v>0.8491</v>
      </c>
      <c r="C262" s="3225" t="n">
        <v>0.8491</v>
      </c>
      <c r="D262" s="3225" t="n">
        <v>0.8161</v>
      </c>
      <c r="E262" s="3225" t="n">
        <v>0.8161</v>
      </c>
      <c r="F262" s="3225" t="n">
        <v>0.8161</v>
      </c>
      <c r="G262" s="3225" t="n">
        <v>0.8161</v>
      </c>
      <c r="H262" s="3225" t="n">
        <v>0.8161</v>
      </c>
      <c r="I262" s="3225" t="n">
        <v>0.6421</v>
      </c>
      <c r="J262" s="3225" t="n">
        <v>0.6421</v>
      </c>
      <c r="K262" s="3225" t="n">
        <v>0.6421</v>
      </c>
      <c r="L262" s="3225" t="n">
        <v>0.6421</v>
      </c>
      <c r="M262" s="3226" t="n">
        <v>0.6421</v>
      </c>
    </row>
    <row r="263" customFormat="false" ht="13.5" hidden="false" customHeight="false" outlineLevel="0" collapsed="false">
      <c r="A263" s="3224" t="n">
        <v>8.6</v>
      </c>
      <c r="B263" s="3225" t="n">
        <v>0.8477</v>
      </c>
      <c r="C263" s="3225" t="n">
        <v>0.8477</v>
      </c>
      <c r="D263" s="3225" t="n">
        <v>0.8144</v>
      </c>
      <c r="E263" s="3225" t="n">
        <v>0.8144</v>
      </c>
      <c r="F263" s="3225" t="n">
        <v>0.8144</v>
      </c>
      <c r="G263" s="3225" t="n">
        <v>0.8144</v>
      </c>
      <c r="H263" s="3225" t="n">
        <v>0.8144</v>
      </c>
      <c r="I263" s="3225" t="n">
        <v>0.6399</v>
      </c>
      <c r="J263" s="3225" t="n">
        <v>0.6399</v>
      </c>
      <c r="K263" s="3225" t="n">
        <v>0.6399</v>
      </c>
      <c r="L263" s="3225" t="n">
        <v>0.6399</v>
      </c>
      <c r="M263" s="3226" t="n">
        <v>0.6399</v>
      </c>
    </row>
    <row r="264" customFormat="false" ht="13.5" hidden="false" customHeight="false" outlineLevel="0" collapsed="false">
      <c r="A264" s="3224" t="n">
        <v>8.7</v>
      </c>
      <c r="B264" s="3225" t="n">
        <v>0.8463</v>
      </c>
      <c r="C264" s="3225" t="n">
        <v>0.8463</v>
      </c>
      <c r="D264" s="3225" t="n">
        <v>0.8127</v>
      </c>
      <c r="E264" s="3225" t="n">
        <v>0.8127</v>
      </c>
      <c r="F264" s="3225" t="n">
        <v>0.8127</v>
      </c>
      <c r="G264" s="3225" t="n">
        <v>0.8127</v>
      </c>
      <c r="H264" s="3225" t="n">
        <v>0.8127</v>
      </c>
      <c r="I264" s="3225" t="n">
        <v>0.6377</v>
      </c>
      <c r="J264" s="3225" t="n">
        <v>0.6377</v>
      </c>
      <c r="K264" s="3225" t="n">
        <v>0.6377</v>
      </c>
      <c r="L264" s="3225" t="n">
        <v>0.6377</v>
      </c>
      <c r="M264" s="3226" t="n">
        <v>0.6377</v>
      </c>
    </row>
    <row r="265" customFormat="false" ht="13.5" hidden="false" customHeight="false" outlineLevel="0" collapsed="false">
      <c r="A265" s="3224" t="n">
        <v>8.8</v>
      </c>
      <c r="B265" s="3225" t="n">
        <v>0.8449</v>
      </c>
      <c r="C265" s="3225" t="n">
        <v>0.8449</v>
      </c>
      <c r="D265" s="3225" t="n">
        <v>0.811</v>
      </c>
      <c r="E265" s="3225" t="n">
        <v>0.811</v>
      </c>
      <c r="F265" s="3225" t="n">
        <v>0.811</v>
      </c>
      <c r="G265" s="3225" t="n">
        <v>0.811</v>
      </c>
      <c r="H265" s="3225" t="n">
        <v>0.811</v>
      </c>
      <c r="I265" s="3225" t="n">
        <v>0.6355</v>
      </c>
      <c r="J265" s="3225" t="n">
        <v>0.6355</v>
      </c>
      <c r="K265" s="3225" t="n">
        <v>0.6355</v>
      </c>
      <c r="L265" s="3225" t="n">
        <v>0.6355</v>
      </c>
      <c r="M265" s="3226" t="n">
        <v>0.6355</v>
      </c>
    </row>
    <row r="266" customFormat="false" ht="13.5" hidden="false" customHeight="false" outlineLevel="0" collapsed="false">
      <c r="A266" s="3224" t="n">
        <v>8.9</v>
      </c>
      <c r="B266" s="3225" t="n">
        <v>0.8436</v>
      </c>
      <c r="C266" s="3225" t="n">
        <v>0.8436</v>
      </c>
      <c r="D266" s="3225" t="n">
        <v>0.8093</v>
      </c>
      <c r="E266" s="3225" t="n">
        <v>0.8093</v>
      </c>
      <c r="F266" s="3225" t="n">
        <v>0.8093</v>
      </c>
      <c r="G266" s="3225" t="n">
        <v>0.8093</v>
      </c>
      <c r="H266" s="3225" t="n">
        <v>0.8093</v>
      </c>
      <c r="I266" s="3225" t="n">
        <v>0.6334</v>
      </c>
      <c r="J266" s="3225" t="n">
        <v>0.6334</v>
      </c>
      <c r="K266" s="3225" t="n">
        <v>0.6334</v>
      </c>
      <c r="L266" s="3225" t="n">
        <v>0.6334</v>
      </c>
      <c r="M266" s="3226" t="n">
        <v>0.6334</v>
      </c>
    </row>
    <row r="267" customFormat="false" ht="13.5" hidden="false" customHeight="false" outlineLevel="0" collapsed="false">
      <c r="A267" s="3228" t="n">
        <v>9</v>
      </c>
      <c r="B267" s="3225" t="n">
        <v>0.8423</v>
      </c>
      <c r="C267" s="3225" t="n">
        <v>0.8423</v>
      </c>
      <c r="D267" s="3225" t="n">
        <v>0.8076</v>
      </c>
      <c r="E267" s="3225" t="n">
        <v>0.8076</v>
      </c>
      <c r="F267" s="3225" t="n">
        <v>0.8076</v>
      </c>
      <c r="G267" s="3225" t="n">
        <v>0.8076</v>
      </c>
      <c r="H267" s="3225" t="n">
        <v>0.8076</v>
      </c>
      <c r="I267" s="3225" t="n">
        <v>0.6313</v>
      </c>
      <c r="J267" s="3225" t="n">
        <v>0.6313</v>
      </c>
      <c r="K267" s="3225" t="n">
        <v>0.6313</v>
      </c>
      <c r="L267" s="3225" t="n">
        <v>0.6313</v>
      </c>
      <c r="M267" s="3226" t="n">
        <v>0.6313</v>
      </c>
    </row>
    <row r="268" customFormat="false" ht="13.5" hidden="false" customHeight="false" outlineLevel="0" collapsed="false">
      <c r="A268" s="3228" t="n">
        <v>9.1</v>
      </c>
      <c r="B268" s="3225" t="n">
        <v>0.841</v>
      </c>
      <c r="C268" s="3225" t="n">
        <v>0.841</v>
      </c>
      <c r="D268" s="3225" t="n">
        <v>0.806</v>
      </c>
      <c r="E268" s="3225" t="n">
        <v>0.806</v>
      </c>
      <c r="F268" s="3225" t="n">
        <v>0.806</v>
      </c>
      <c r="G268" s="3225" t="n">
        <v>0.806</v>
      </c>
      <c r="H268" s="3225" t="n">
        <v>0.806</v>
      </c>
      <c r="I268" s="3225" t="n">
        <v>0.6292</v>
      </c>
      <c r="J268" s="3225" t="n">
        <v>0.6292</v>
      </c>
      <c r="K268" s="3225" t="n">
        <v>0.6292</v>
      </c>
      <c r="L268" s="3225" t="n">
        <v>0.6292</v>
      </c>
      <c r="M268" s="3226" t="n">
        <v>0.6292</v>
      </c>
    </row>
    <row r="269" customFormat="false" ht="13.5" hidden="false" customHeight="false" outlineLevel="0" collapsed="false">
      <c r="A269" s="3228" t="n">
        <v>9.2</v>
      </c>
      <c r="B269" s="3225" t="n">
        <v>0.8397</v>
      </c>
      <c r="C269" s="3225" t="n">
        <v>0.8397</v>
      </c>
      <c r="D269" s="3225" t="n">
        <v>0.8044</v>
      </c>
      <c r="E269" s="3225" t="n">
        <v>0.8044</v>
      </c>
      <c r="F269" s="3225" t="n">
        <v>0.8044</v>
      </c>
      <c r="G269" s="3225" t="n">
        <v>0.8044</v>
      </c>
      <c r="H269" s="3225" t="n">
        <v>0.8044</v>
      </c>
      <c r="I269" s="3225" t="n">
        <v>0.6271</v>
      </c>
      <c r="J269" s="3225" t="n">
        <v>0.6271</v>
      </c>
      <c r="K269" s="3225" t="n">
        <v>0.6271</v>
      </c>
      <c r="L269" s="3225" t="n">
        <v>0.6271</v>
      </c>
      <c r="M269" s="3226" t="n">
        <v>0.6271</v>
      </c>
    </row>
    <row r="270" customFormat="false" ht="13.5" hidden="false" customHeight="false" outlineLevel="0" collapsed="false">
      <c r="A270" s="3228" t="n">
        <v>9.3</v>
      </c>
      <c r="B270" s="3225" t="n">
        <v>0.8384</v>
      </c>
      <c r="C270" s="3225" t="n">
        <v>0.8384</v>
      </c>
      <c r="D270" s="3225" t="n">
        <v>0.8028</v>
      </c>
      <c r="E270" s="3225" t="n">
        <v>0.8028</v>
      </c>
      <c r="F270" s="3225" t="n">
        <v>0.8028</v>
      </c>
      <c r="G270" s="3225" t="n">
        <v>0.8028</v>
      </c>
      <c r="H270" s="3225" t="n">
        <v>0.8028</v>
      </c>
      <c r="I270" s="3225" t="n">
        <v>0.6251</v>
      </c>
      <c r="J270" s="3225" t="n">
        <v>0.6251</v>
      </c>
      <c r="K270" s="3225" t="n">
        <v>0.6251</v>
      </c>
      <c r="L270" s="3225" t="n">
        <v>0.6251</v>
      </c>
      <c r="M270" s="3226" t="n">
        <v>0.6251</v>
      </c>
    </row>
    <row r="271" customFormat="false" ht="13.5" hidden="false" customHeight="false" outlineLevel="0" collapsed="false">
      <c r="A271" s="3228" t="n">
        <v>9.4</v>
      </c>
      <c r="B271" s="3225" t="n">
        <v>0.8371</v>
      </c>
      <c r="C271" s="3225" t="n">
        <v>0.8371</v>
      </c>
      <c r="D271" s="3225" t="n">
        <v>0.8012</v>
      </c>
      <c r="E271" s="3225" t="n">
        <v>0.8012</v>
      </c>
      <c r="F271" s="3225" t="n">
        <v>0.8012</v>
      </c>
      <c r="G271" s="3225" t="n">
        <v>0.8012</v>
      </c>
      <c r="H271" s="3225" t="n">
        <v>0.8012</v>
      </c>
      <c r="I271" s="3225" t="n">
        <v>0.6231</v>
      </c>
      <c r="J271" s="3225" t="n">
        <v>0.6231</v>
      </c>
      <c r="K271" s="3225" t="n">
        <v>0.6231</v>
      </c>
      <c r="L271" s="3225" t="n">
        <v>0.6231</v>
      </c>
      <c r="M271" s="3226" t="n">
        <v>0.6231</v>
      </c>
    </row>
    <row r="272" customFormat="false" ht="13.5" hidden="false" customHeight="false" outlineLevel="0" collapsed="false">
      <c r="A272" s="3228" t="n">
        <v>9.5</v>
      </c>
      <c r="B272" s="3225" t="n">
        <v>0.8358</v>
      </c>
      <c r="C272" s="3225" t="n">
        <v>0.8358</v>
      </c>
      <c r="D272" s="3225" t="n">
        <v>0.7996</v>
      </c>
      <c r="E272" s="3225" t="n">
        <v>0.7996</v>
      </c>
      <c r="F272" s="3225" t="n">
        <v>0.7996</v>
      </c>
      <c r="G272" s="3225" t="n">
        <v>0.7996</v>
      </c>
      <c r="H272" s="3225" t="n">
        <v>0.7996</v>
      </c>
      <c r="I272" s="3225" t="n">
        <v>0.6211</v>
      </c>
      <c r="J272" s="3225" t="n">
        <v>0.6211</v>
      </c>
      <c r="K272" s="3225" t="n">
        <v>0.6211</v>
      </c>
      <c r="L272" s="3225" t="n">
        <v>0.6211</v>
      </c>
      <c r="M272" s="3226" t="n">
        <v>0.6211</v>
      </c>
    </row>
    <row r="273" customFormat="false" ht="13.5" hidden="false" customHeight="false" outlineLevel="0" collapsed="false">
      <c r="A273" s="3228" t="n">
        <v>9.6</v>
      </c>
      <c r="B273" s="3225" t="n">
        <v>0.8346</v>
      </c>
      <c r="C273" s="3225" t="n">
        <v>0.8346</v>
      </c>
      <c r="D273" s="3225" t="n">
        <v>0.798</v>
      </c>
      <c r="E273" s="3225" t="n">
        <v>0.798</v>
      </c>
      <c r="F273" s="3225" t="n">
        <v>0.798</v>
      </c>
      <c r="G273" s="3225" t="n">
        <v>0.798</v>
      </c>
      <c r="H273" s="3225" t="n">
        <v>0.798</v>
      </c>
      <c r="I273" s="3225" t="n">
        <v>0.6191</v>
      </c>
      <c r="J273" s="3225" t="n">
        <v>0.6191</v>
      </c>
      <c r="K273" s="3225" t="n">
        <v>0.6191</v>
      </c>
      <c r="L273" s="3225" t="n">
        <v>0.6191</v>
      </c>
      <c r="M273" s="3226" t="n">
        <v>0.6191</v>
      </c>
    </row>
    <row r="274" customFormat="false" ht="13.5" hidden="false" customHeight="false" outlineLevel="0" collapsed="false">
      <c r="A274" s="3228" t="n">
        <v>9.7</v>
      </c>
      <c r="B274" s="3225" t="n">
        <v>0.8334</v>
      </c>
      <c r="C274" s="3225" t="n">
        <v>0.8334</v>
      </c>
      <c r="D274" s="3225" t="n">
        <v>0.7965</v>
      </c>
      <c r="E274" s="3225" t="n">
        <v>0.7965</v>
      </c>
      <c r="F274" s="3225" t="n">
        <v>0.7965</v>
      </c>
      <c r="G274" s="3225" t="n">
        <v>0.7965</v>
      </c>
      <c r="H274" s="3225" t="n">
        <v>0.7965</v>
      </c>
      <c r="I274" s="3225" t="n">
        <v>0.6172</v>
      </c>
      <c r="J274" s="3225" t="n">
        <v>0.6172</v>
      </c>
      <c r="K274" s="3225" t="n">
        <v>0.6172</v>
      </c>
      <c r="L274" s="3225" t="n">
        <v>0.6172</v>
      </c>
      <c r="M274" s="3226" t="n">
        <v>0.6172</v>
      </c>
    </row>
    <row r="275" customFormat="false" ht="13.5" hidden="false" customHeight="false" outlineLevel="0" collapsed="false">
      <c r="A275" s="3228" t="n">
        <v>9.8</v>
      </c>
      <c r="B275" s="3225" t="n">
        <v>0.8322</v>
      </c>
      <c r="C275" s="3225" t="n">
        <v>0.8322</v>
      </c>
      <c r="D275" s="3225" t="n">
        <v>0.795</v>
      </c>
      <c r="E275" s="3225" t="n">
        <v>0.795</v>
      </c>
      <c r="F275" s="3225" t="n">
        <v>0.795</v>
      </c>
      <c r="G275" s="3225" t="n">
        <v>0.795</v>
      </c>
      <c r="H275" s="3225" t="n">
        <v>0.795</v>
      </c>
      <c r="I275" s="3225" t="n">
        <v>0.6153</v>
      </c>
      <c r="J275" s="3225" t="n">
        <v>0.6153</v>
      </c>
      <c r="K275" s="3225" t="n">
        <v>0.6153</v>
      </c>
      <c r="L275" s="3225" t="n">
        <v>0.6153</v>
      </c>
      <c r="M275" s="3226" t="n">
        <v>0.6153</v>
      </c>
    </row>
    <row r="276" customFormat="false" ht="13.5" hidden="false" customHeight="false" outlineLevel="0" collapsed="false">
      <c r="A276" s="3229" t="n">
        <v>9.9</v>
      </c>
      <c r="B276" s="3230" t="n">
        <v>0.831</v>
      </c>
      <c r="C276" s="3230" t="n">
        <v>0.831</v>
      </c>
      <c r="D276" s="3230" t="n">
        <v>0.7935</v>
      </c>
      <c r="E276" s="3230" t="n">
        <v>0.7935</v>
      </c>
      <c r="F276" s="3230" t="n">
        <v>0.7935</v>
      </c>
      <c r="G276" s="3230" t="n">
        <v>0.7935</v>
      </c>
      <c r="H276" s="3230" t="n">
        <v>0.7935</v>
      </c>
      <c r="I276" s="3230" t="n">
        <v>0.6134</v>
      </c>
      <c r="J276" s="3230" t="n">
        <v>0.6134</v>
      </c>
      <c r="K276" s="3230" t="n">
        <v>0.6134</v>
      </c>
      <c r="L276" s="3230" t="n">
        <v>0.6134</v>
      </c>
      <c r="M276" s="3231" t="n">
        <v>0.6134</v>
      </c>
    </row>
    <row r="277" customFormat="false" ht="14.25" hidden="false" customHeight="false" outlineLevel="0" collapsed="false">
      <c r="A277" s="3216" t="s">
        <v>1967</v>
      </c>
      <c r="B277" s="3216"/>
      <c r="C277" s="3216"/>
      <c r="D277" s="3216"/>
      <c r="E277" s="3216"/>
      <c r="F277" s="3216"/>
      <c r="G277" s="3216"/>
      <c r="H277" s="3216"/>
      <c r="I277" s="3216"/>
      <c r="J277" s="3216"/>
      <c r="K277" s="3216"/>
      <c r="L277" s="3216"/>
      <c r="M277" s="3216"/>
    </row>
    <row r="278" customFormat="false" ht="13.5" hidden="false" customHeight="false" outlineLevel="0" collapsed="false">
      <c r="A278" s="3218" t="s">
        <v>524</v>
      </c>
      <c r="B278" s="3219" t="s">
        <v>226</v>
      </c>
      <c r="C278" s="3219" t="s">
        <v>237</v>
      </c>
      <c r="D278" s="3219" t="s">
        <v>247</v>
      </c>
      <c r="E278" s="3219" t="s">
        <v>255</v>
      </c>
      <c r="F278" s="3219" t="s">
        <v>263</v>
      </c>
      <c r="G278" s="3219" t="s">
        <v>269</v>
      </c>
      <c r="H278" s="3220" t="s">
        <v>274</v>
      </c>
      <c r="I278" s="3220" t="s">
        <v>280</v>
      </c>
      <c r="J278" s="3221" t="s">
        <v>284</v>
      </c>
      <c r="K278" s="3221" t="s">
        <v>288</v>
      </c>
      <c r="L278" s="3221" t="s">
        <v>292</v>
      </c>
      <c r="M278" s="3222" t="s">
        <v>296</v>
      </c>
      <c r="Q278" s="3223" t="s">
        <v>1961</v>
      </c>
      <c r="R278" s="3223" t="s">
        <v>1962</v>
      </c>
      <c r="S278" s="3223" t="s">
        <v>1968</v>
      </c>
      <c r="T278" s="3223" t="s">
        <v>1969</v>
      </c>
      <c r="U278" s="3223" t="s">
        <v>1964</v>
      </c>
    </row>
    <row r="279" customFormat="false" ht="13.5" hidden="false" customHeight="false" outlineLevel="0" collapsed="false">
      <c r="A279" s="3224" t="n">
        <v>1</v>
      </c>
      <c r="B279" s="3225" t="n">
        <v>1.1056</v>
      </c>
      <c r="C279" s="3225" t="n">
        <v>1.1056</v>
      </c>
      <c r="D279" s="3225" t="n">
        <v>1.122</v>
      </c>
      <c r="E279" s="3225" t="n">
        <v>1.122</v>
      </c>
      <c r="F279" s="3225" t="n">
        <v>1.122</v>
      </c>
      <c r="G279" s="3225" t="n">
        <v>1.0583</v>
      </c>
      <c r="H279" s="3225" t="n">
        <v>1.0583</v>
      </c>
      <c r="I279" s="3225" t="n">
        <v>1</v>
      </c>
      <c r="J279" s="3225" t="n">
        <v>1</v>
      </c>
      <c r="K279" s="3225" t="n">
        <v>1</v>
      </c>
      <c r="L279" s="3225" t="n">
        <v>1</v>
      </c>
      <c r="M279" s="3226" t="n">
        <v>1</v>
      </c>
      <c r="Q279" s="3223" t="n">
        <v>10</v>
      </c>
      <c r="R279" s="3223" t="n">
        <f aca="false">ROUND(0.7836-0.012*Q279,4)</f>
        <v>0.6636</v>
      </c>
      <c r="S279" s="3223" t="n">
        <f aca="false">ROUND(0.753-0.015*Q279,4)</f>
        <v>0.603</v>
      </c>
      <c r="T279" s="3223" t="n">
        <f aca="false">ROUND(0.6612-0.018*Q279,4)</f>
        <v>0.4812</v>
      </c>
      <c r="U279" s="3223" t="n">
        <f aca="false">ROUND(0.5905-0.019*R279,4)</f>
        <v>0.5779</v>
      </c>
    </row>
    <row r="280" customFormat="false" ht="13.5" hidden="false" customHeight="false" outlineLevel="0" collapsed="false">
      <c r="A280" s="3224" t="n">
        <v>1.1</v>
      </c>
      <c r="B280" s="3225" t="n">
        <v>1.082</v>
      </c>
      <c r="C280" s="3225" t="n">
        <v>1.082</v>
      </c>
      <c r="D280" s="3225" t="n">
        <v>1.0948</v>
      </c>
      <c r="E280" s="3225" t="n">
        <v>1.0948</v>
      </c>
      <c r="F280" s="3225" t="n">
        <v>1.0948</v>
      </c>
      <c r="G280" s="3225" t="n">
        <v>1.0284</v>
      </c>
      <c r="H280" s="3225" t="n">
        <v>1.0284</v>
      </c>
      <c r="I280" s="3225" t="n">
        <v>0.9686</v>
      </c>
      <c r="J280" s="3225" t="n">
        <v>0.9686</v>
      </c>
      <c r="K280" s="3225" t="n">
        <v>0.9686</v>
      </c>
      <c r="L280" s="3225" t="n">
        <v>0.9686</v>
      </c>
      <c r="M280" s="3226" t="n">
        <v>0.9686</v>
      </c>
    </row>
    <row r="281" customFormat="false" ht="13.5" hidden="false" customHeight="false" outlineLevel="0" collapsed="false">
      <c r="A281" s="3224" t="n">
        <v>1.2</v>
      </c>
      <c r="B281" s="3225" t="n">
        <v>1.0598</v>
      </c>
      <c r="C281" s="3225" t="n">
        <v>1.0598</v>
      </c>
      <c r="D281" s="3225" t="n">
        <v>1.0691</v>
      </c>
      <c r="E281" s="3225" t="n">
        <v>1.0691</v>
      </c>
      <c r="F281" s="3225" t="n">
        <v>1.0691</v>
      </c>
      <c r="G281" s="3225" t="n">
        <v>1</v>
      </c>
      <c r="H281" s="3225" t="n">
        <v>1</v>
      </c>
      <c r="I281" s="3225" t="n">
        <v>0.9388</v>
      </c>
      <c r="J281" s="3225" t="n">
        <v>0.9388</v>
      </c>
      <c r="K281" s="3225" t="n">
        <v>0.9388</v>
      </c>
      <c r="L281" s="3225" t="n">
        <v>0.9388</v>
      </c>
      <c r="M281" s="3226" t="n">
        <v>0.9388</v>
      </c>
    </row>
    <row r="282" customFormat="false" ht="13.5" hidden="false" customHeight="false" outlineLevel="0" collapsed="false">
      <c r="A282" s="3224" t="n">
        <v>1.3</v>
      </c>
      <c r="B282" s="3225" t="n">
        <v>1.0387</v>
      </c>
      <c r="C282" s="3225" t="n">
        <v>1.0387</v>
      </c>
      <c r="D282" s="3225" t="n">
        <v>1.0447</v>
      </c>
      <c r="E282" s="3225" t="n">
        <v>1.0447</v>
      </c>
      <c r="F282" s="3225" t="n">
        <v>1.0447</v>
      </c>
      <c r="G282" s="3225" t="n">
        <v>0.9732</v>
      </c>
      <c r="H282" s="3225" t="n">
        <v>0.9732</v>
      </c>
      <c r="I282" s="3225" t="n">
        <v>0.9107</v>
      </c>
      <c r="J282" s="3225" t="n">
        <v>0.9107</v>
      </c>
      <c r="K282" s="3225" t="n">
        <v>0.9107</v>
      </c>
      <c r="L282" s="3225" t="n">
        <v>0.9107</v>
      </c>
      <c r="M282" s="3226" t="n">
        <v>0.9107</v>
      </c>
    </row>
    <row r="283" customFormat="false" ht="13.5" hidden="false" customHeight="false" outlineLevel="0" collapsed="false">
      <c r="A283" s="3224" t="n">
        <v>1.4</v>
      </c>
      <c r="B283" s="3225" t="n">
        <v>1.0188</v>
      </c>
      <c r="C283" s="3225" t="n">
        <v>1.0188</v>
      </c>
      <c r="D283" s="3225" t="n">
        <v>1.0217</v>
      </c>
      <c r="E283" s="3225" t="n">
        <v>1.0217</v>
      </c>
      <c r="F283" s="3225" t="n">
        <v>1.0217</v>
      </c>
      <c r="G283" s="3225" t="n">
        <v>0.9478</v>
      </c>
      <c r="H283" s="3225" t="n">
        <v>0.9478</v>
      </c>
      <c r="I283" s="3225" t="n">
        <v>0.8841</v>
      </c>
      <c r="J283" s="3225" t="n">
        <v>0.8841</v>
      </c>
      <c r="K283" s="3225" t="n">
        <v>0.8841</v>
      </c>
      <c r="L283" s="3225" t="n">
        <v>0.8841</v>
      </c>
      <c r="M283" s="3226" t="n">
        <v>0.8841</v>
      </c>
    </row>
    <row r="284" customFormat="false" ht="13.5" hidden="false" customHeight="false" outlineLevel="0" collapsed="false">
      <c r="A284" s="3224" t="n">
        <v>1.5</v>
      </c>
      <c r="B284" s="3225" t="n">
        <v>1</v>
      </c>
      <c r="C284" s="3225" t="n">
        <v>1</v>
      </c>
      <c r="D284" s="3225" t="n">
        <v>1</v>
      </c>
      <c r="E284" s="3225" t="n">
        <v>1</v>
      </c>
      <c r="F284" s="3225" t="n">
        <v>1</v>
      </c>
      <c r="G284" s="3225" t="n">
        <v>0.9238</v>
      </c>
      <c r="H284" s="3225" t="n">
        <v>0.9238</v>
      </c>
      <c r="I284" s="3225" t="n">
        <v>0.8589</v>
      </c>
      <c r="J284" s="3225" t="n">
        <v>0.8589</v>
      </c>
      <c r="K284" s="3225" t="n">
        <v>0.8589</v>
      </c>
      <c r="L284" s="3225" t="n">
        <v>0.8589</v>
      </c>
      <c r="M284" s="3226" t="n">
        <v>0.8589</v>
      </c>
    </row>
    <row r="285" customFormat="false" ht="13.5" hidden="false" customHeight="false" outlineLevel="0" collapsed="false">
      <c r="A285" s="3224" t="n">
        <v>1.6</v>
      </c>
      <c r="B285" s="3225" t="n">
        <v>0.9823</v>
      </c>
      <c r="C285" s="3225" t="n">
        <v>0.9823</v>
      </c>
      <c r="D285" s="3225" t="n">
        <v>0.9795</v>
      </c>
      <c r="E285" s="3225" t="n">
        <v>0.9795</v>
      </c>
      <c r="F285" s="3225" t="n">
        <v>0.9795</v>
      </c>
      <c r="G285" s="3225" t="n">
        <v>0.9012</v>
      </c>
      <c r="H285" s="3225" t="n">
        <v>0.9012</v>
      </c>
      <c r="I285" s="3225" t="n">
        <v>0.8351</v>
      </c>
      <c r="J285" s="3225" t="n">
        <v>0.8351</v>
      </c>
      <c r="K285" s="3225" t="n">
        <v>0.8351</v>
      </c>
      <c r="L285" s="3225" t="n">
        <v>0.8351</v>
      </c>
      <c r="M285" s="3226" t="n">
        <v>0.8351</v>
      </c>
    </row>
    <row r="286" customFormat="false" ht="13.5" hidden="false" customHeight="false" outlineLevel="0" collapsed="false">
      <c r="A286" s="3224" t="n">
        <v>1.7</v>
      </c>
      <c r="B286" s="3225" t="n">
        <v>0.9655</v>
      </c>
      <c r="C286" s="3225" t="n">
        <v>0.9655</v>
      </c>
      <c r="D286" s="3225" t="n">
        <v>0.9601</v>
      </c>
      <c r="E286" s="3225" t="n">
        <v>0.9601</v>
      </c>
      <c r="F286" s="3225" t="n">
        <v>0.9601</v>
      </c>
      <c r="G286" s="3225" t="n">
        <v>0.8798</v>
      </c>
      <c r="H286" s="3225" t="n">
        <v>0.8798</v>
      </c>
      <c r="I286" s="3225" t="n">
        <v>0.8127</v>
      </c>
      <c r="J286" s="3225" t="n">
        <v>0.8127</v>
      </c>
      <c r="K286" s="3225" t="n">
        <v>0.8127</v>
      </c>
      <c r="L286" s="3225" t="n">
        <v>0.8127</v>
      </c>
      <c r="M286" s="3226" t="n">
        <v>0.8127</v>
      </c>
    </row>
    <row r="287" customFormat="false" ht="13.5" hidden="false" customHeight="false" outlineLevel="0" collapsed="false">
      <c r="A287" s="3224" t="n">
        <v>1.8</v>
      </c>
      <c r="B287" s="3225" t="n">
        <v>0.9497</v>
      </c>
      <c r="C287" s="3225" t="n">
        <v>0.9497</v>
      </c>
      <c r="D287" s="3225" t="n">
        <v>0.9419</v>
      </c>
      <c r="E287" s="3225" t="n">
        <v>0.9419</v>
      </c>
      <c r="F287" s="3225" t="n">
        <v>0.9419</v>
      </c>
      <c r="G287" s="3225" t="n">
        <v>0.8596</v>
      </c>
      <c r="H287" s="3225" t="n">
        <v>0.8596</v>
      </c>
      <c r="I287" s="3225" t="n">
        <v>0.7915</v>
      </c>
      <c r="J287" s="3225" t="n">
        <v>0.7915</v>
      </c>
      <c r="K287" s="3225" t="n">
        <v>0.7915</v>
      </c>
      <c r="L287" s="3225" t="n">
        <v>0.7915</v>
      </c>
      <c r="M287" s="3226" t="n">
        <v>0.7915</v>
      </c>
    </row>
    <row r="288" customFormat="false" ht="13.5" hidden="false" customHeight="false" outlineLevel="0" collapsed="false">
      <c r="A288" s="3224" t="n">
        <v>1.9</v>
      </c>
      <c r="B288" s="3225" t="n">
        <v>0.9348</v>
      </c>
      <c r="C288" s="3225" t="n">
        <v>0.9348</v>
      </c>
      <c r="D288" s="3225" t="n">
        <v>0.9246</v>
      </c>
      <c r="E288" s="3225" t="n">
        <v>0.9246</v>
      </c>
      <c r="F288" s="3225" t="n">
        <v>0.9246</v>
      </c>
      <c r="G288" s="3225" t="n">
        <v>0.8406</v>
      </c>
      <c r="H288" s="3225" t="n">
        <v>0.8406</v>
      </c>
      <c r="I288" s="3225" t="n">
        <v>0.7715</v>
      </c>
      <c r="J288" s="3225" t="n">
        <v>0.7715</v>
      </c>
      <c r="K288" s="3225" t="n">
        <v>0.7715</v>
      </c>
      <c r="L288" s="3225" t="n">
        <v>0.7715</v>
      </c>
      <c r="M288" s="3226" t="n">
        <v>0.7715</v>
      </c>
    </row>
    <row r="289" customFormat="false" ht="13.5" hidden="false" customHeight="false" outlineLevel="0" collapsed="false">
      <c r="A289" s="3224" t="n">
        <v>2</v>
      </c>
      <c r="B289" s="3225" t="n">
        <v>0.9208</v>
      </c>
      <c r="C289" s="3225" t="n">
        <v>0.9208</v>
      </c>
      <c r="D289" s="3225" t="n">
        <v>0.9084</v>
      </c>
      <c r="E289" s="3225" t="n">
        <v>0.9084</v>
      </c>
      <c r="F289" s="3225" t="n">
        <v>0.9084</v>
      </c>
      <c r="G289" s="3225" t="n">
        <v>0.8227</v>
      </c>
      <c r="H289" s="3225" t="n">
        <v>0.8227</v>
      </c>
      <c r="I289" s="3225" t="n">
        <v>0.7527</v>
      </c>
      <c r="J289" s="3225" t="n">
        <v>0.7527</v>
      </c>
      <c r="K289" s="3225" t="n">
        <v>0.7527</v>
      </c>
      <c r="L289" s="3225" t="n">
        <v>0.7527</v>
      </c>
      <c r="M289" s="3226" t="n">
        <v>0.7527</v>
      </c>
    </row>
    <row r="290" customFormat="false" ht="13.5" hidden="false" customHeight="false" outlineLevel="0" collapsed="false">
      <c r="A290" s="3228" t="n">
        <v>2.1</v>
      </c>
      <c r="B290" s="3225" t="n">
        <v>0.9076</v>
      </c>
      <c r="C290" s="3225" t="n">
        <v>0.9076</v>
      </c>
      <c r="D290" s="3225" t="n">
        <v>0.8932</v>
      </c>
      <c r="E290" s="3225" t="n">
        <v>0.8932</v>
      </c>
      <c r="F290" s="3225" t="n">
        <v>0.8932</v>
      </c>
      <c r="G290" s="3225" t="n">
        <v>0.8059</v>
      </c>
      <c r="H290" s="3225" t="n">
        <v>0.8059</v>
      </c>
      <c r="I290" s="3225" t="n">
        <v>0.735</v>
      </c>
      <c r="J290" s="3225" t="n">
        <v>0.735</v>
      </c>
      <c r="K290" s="3225" t="n">
        <v>0.735</v>
      </c>
      <c r="L290" s="3225" t="n">
        <v>0.735</v>
      </c>
      <c r="M290" s="3226" t="n">
        <v>0.735</v>
      </c>
    </row>
    <row r="291" customFormat="false" ht="13.5" hidden="false" customHeight="false" outlineLevel="0" collapsed="false">
      <c r="A291" s="3228" t="n">
        <v>2.2</v>
      </c>
      <c r="B291" s="3225" t="n">
        <v>0.8952</v>
      </c>
      <c r="C291" s="3225" t="n">
        <v>0.8952</v>
      </c>
      <c r="D291" s="3225" t="n">
        <v>0.8788</v>
      </c>
      <c r="E291" s="3225" t="n">
        <v>0.8788</v>
      </c>
      <c r="F291" s="3225" t="n">
        <v>0.8788</v>
      </c>
      <c r="G291" s="3225" t="n">
        <v>0.79</v>
      </c>
      <c r="H291" s="3225" t="n">
        <v>0.79</v>
      </c>
      <c r="I291" s="3225" t="n">
        <v>0.7184</v>
      </c>
      <c r="J291" s="3225" t="n">
        <v>0.7184</v>
      </c>
      <c r="K291" s="3225" t="n">
        <v>0.7184</v>
      </c>
      <c r="L291" s="3225" t="n">
        <v>0.7184</v>
      </c>
      <c r="M291" s="3226" t="n">
        <v>0.7184</v>
      </c>
    </row>
    <row r="292" customFormat="false" ht="13.5" hidden="false" customHeight="false" outlineLevel="0" collapsed="false">
      <c r="A292" s="3228" t="n">
        <v>2.3</v>
      </c>
      <c r="B292" s="3225" t="n">
        <v>0.8836</v>
      </c>
      <c r="C292" s="3225" t="n">
        <v>0.8836</v>
      </c>
      <c r="D292" s="3225" t="n">
        <v>0.8653</v>
      </c>
      <c r="E292" s="3225" t="n">
        <v>0.8653</v>
      </c>
      <c r="F292" s="3225" t="n">
        <v>0.8653</v>
      </c>
      <c r="G292" s="3225" t="n">
        <v>0.7751</v>
      </c>
      <c r="H292" s="3225" t="n">
        <v>0.7751</v>
      </c>
      <c r="I292" s="3225" t="n">
        <v>0.7027</v>
      </c>
      <c r="J292" s="3225" t="n">
        <v>0.7027</v>
      </c>
      <c r="K292" s="3225" t="n">
        <v>0.7027</v>
      </c>
      <c r="L292" s="3225" t="n">
        <v>0.7027</v>
      </c>
      <c r="M292" s="3226" t="n">
        <v>0.7027</v>
      </c>
    </row>
    <row r="293" customFormat="false" ht="13.5" hidden="false" customHeight="false" outlineLevel="0" collapsed="false">
      <c r="A293" s="3228" t="n">
        <v>2.4</v>
      </c>
      <c r="B293" s="3225" t="n">
        <v>0.8726</v>
      </c>
      <c r="C293" s="3225" t="n">
        <v>0.8726</v>
      </c>
      <c r="D293" s="3225" t="n">
        <v>0.8526</v>
      </c>
      <c r="E293" s="3225" t="n">
        <v>0.8526</v>
      </c>
      <c r="F293" s="3225" t="n">
        <v>0.8526</v>
      </c>
      <c r="G293" s="3225" t="n">
        <v>0.761</v>
      </c>
      <c r="H293" s="3225" t="n">
        <v>0.761</v>
      </c>
      <c r="I293" s="3225" t="n">
        <v>0.688</v>
      </c>
      <c r="J293" s="3225" t="n">
        <v>0.688</v>
      </c>
      <c r="K293" s="3225" t="n">
        <v>0.688</v>
      </c>
      <c r="L293" s="3225" t="n">
        <v>0.688</v>
      </c>
      <c r="M293" s="3226" t="n">
        <v>0.688</v>
      </c>
    </row>
    <row r="294" customFormat="false" ht="13.5" hidden="false" customHeight="false" outlineLevel="0" collapsed="false">
      <c r="A294" s="3228" t="n">
        <v>2.5</v>
      </c>
      <c r="B294" s="3225" t="n">
        <v>0.8623</v>
      </c>
      <c r="C294" s="3225" t="n">
        <v>0.8623</v>
      </c>
      <c r="D294" s="3225" t="n">
        <v>0.8407</v>
      </c>
      <c r="E294" s="3225" t="n">
        <v>0.8407</v>
      </c>
      <c r="F294" s="3225" t="n">
        <v>0.8407</v>
      </c>
      <c r="G294" s="3225" t="n">
        <v>0.7478</v>
      </c>
      <c r="H294" s="3225" t="n">
        <v>0.7478</v>
      </c>
      <c r="I294" s="3225" t="n">
        <v>0.6741</v>
      </c>
      <c r="J294" s="3225" t="n">
        <v>0.6741</v>
      </c>
      <c r="K294" s="3225" t="n">
        <v>0.6741</v>
      </c>
      <c r="L294" s="3225" t="n">
        <v>0.6741</v>
      </c>
      <c r="M294" s="3226" t="n">
        <v>0.6741</v>
      </c>
    </row>
    <row r="295" customFormat="false" ht="13.5" hidden="false" customHeight="false" outlineLevel="0" collapsed="false">
      <c r="A295" s="3228" t="n">
        <v>2.6</v>
      </c>
      <c r="B295" s="3225" t="n">
        <v>0.8527</v>
      </c>
      <c r="C295" s="3225" t="n">
        <v>0.8527</v>
      </c>
      <c r="D295" s="3225" t="n">
        <v>0.8295</v>
      </c>
      <c r="E295" s="3225" t="n">
        <v>0.8295</v>
      </c>
      <c r="F295" s="3225" t="n">
        <v>0.8295</v>
      </c>
      <c r="G295" s="3225" t="n">
        <v>0.7354</v>
      </c>
      <c r="H295" s="3225" t="n">
        <v>0.7354</v>
      </c>
      <c r="I295" s="3225" t="n">
        <v>0.6611</v>
      </c>
      <c r="J295" s="3225" t="n">
        <v>0.6611</v>
      </c>
      <c r="K295" s="3225" t="n">
        <v>0.6611</v>
      </c>
      <c r="L295" s="3225" t="n">
        <v>0.6611</v>
      </c>
      <c r="M295" s="3226" t="n">
        <v>0.6611</v>
      </c>
    </row>
    <row r="296" customFormat="false" ht="13.5" hidden="false" customHeight="false" outlineLevel="0" collapsed="false">
      <c r="A296" s="3228" t="n">
        <v>2.7</v>
      </c>
      <c r="B296" s="3225" t="n">
        <v>0.8436</v>
      </c>
      <c r="C296" s="3225" t="n">
        <v>0.8436</v>
      </c>
      <c r="D296" s="3225" t="n">
        <v>0.819</v>
      </c>
      <c r="E296" s="3225" t="n">
        <v>0.819</v>
      </c>
      <c r="F296" s="3225" t="n">
        <v>0.819</v>
      </c>
      <c r="G296" s="3225" t="n">
        <v>0.7238</v>
      </c>
      <c r="H296" s="3225" t="n">
        <v>0.7238</v>
      </c>
      <c r="I296" s="3225" t="n">
        <v>0.6488</v>
      </c>
      <c r="J296" s="3225" t="n">
        <v>0.6488</v>
      </c>
      <c r="K296" s="3225" t="n">
        <v>0.6488</v>
      </c>
      <c r="L296" s="3225" t="n">
        <v>0.6488</v>
      </c>
      <c r="M296" s="3226" t="n">
        <v>0.6488</v>
      </c>
    </row>
    <row r="297" customFormat="false" ht="13.5" hidden="false" customHeight="false" outlineLevel="0" collapsed="false">
      <c r="A297" s="3228" t="n">
        <v>2.8</v>
      </c>
      <c r="B297" s="3225" t="n">
        <v>0.8351</v>
      </c>
      <c r="C297" s="3225" t="n">
        <v>0.8351</v>
      </c>
      <c r="D297" s="3225" t="n">
        <v>0.8091</v>
      </c>
      <c r="E297" s="3225" t="n">
        <v>0.8091</v>
      </c>
      <c r="F297" s="3225" t="n">
        <v>0.8091</v>
      </c>
      <c r="G297" s="3225" t="n">
        <v>0.7129</v>
      </c>
      <c r="H297" s="3225" t="n">
        <v>0.7129</v>
      </c>
      <c r="I297" s="3225" t="n">
        <v>0.6374</v>
      </c>
      <c r="J297" s="3225" t="n">
        <v>0.6374</v>
      </c>
      <c r="K297" s="3225" t="n">
        <v>0.6374</v>
      </c>
      <c r="L297" s="3225" t="n">
        <v>0.6374</v>
      </c>
      <c r="M297" s="3226" t="n">
        <v>0.6374</v>
      </c>
    </row>
    <row r="298" customFormat="false" ht="13.5" hidden="false" customHeight="false" outlineLevel="0" collapsed="false">
      <c r="A298" s="3228" t="n">
        <v>2.9</v>
      </c>
      <c r="B298" s="3225" t="n">
        <v>0.8272</v>
      </c>
      <c r="C298" s="3225" t="n">
        <v>0.8272</v>
      </c>
      <c r="D298" s="3225" t="n">
        <v>0.7999</v>
      </c>
      <c r="E298" s="3225" t="n">
        <v>0.7999</v>
      </c>
      <c r="F298" s="3225" t="n">
        <v>0.7999</v>
      </c>
      <c r="G298" s="3225" t="n">
        <v>0.7026</v>
      </c>
      <c r="H298" s="3225" t="n">
        <v>0.7026</v>
      </c>
      <c r="I298" s="3225" t="n">
        <v>0.6266</v>
      </c>
      <c r="J298" s="3225" t="n">
        <v>0.6266</v>
      </c>
      <c r="K298" s="3225" t="n">
        <v>0.6266</v>
      </c>
      <c r="L298" s="3225" t="n">
        <v>0.6266</v>
      </c>
      <c r="M298" s="3226" t="n">
        <v>0.6266</v>
      </c>
    </row>
    <row r="299" customFormat="false" ht="13.5" hidden="false" customHeight="false" outlineLevel="0" collapsed="false">
      <c r="A299" s="3228" t="n">
        <v>3</v>
      </c>
      <c r="B299" s="3225" t="n">
        <v>0.8197</v>
      </c>
      <c r="C299" s="3225" t="n">
        <v>0.8197</v>
      </c>
      <c r="D299" s="3225" t="n">
        <v>0.7912</v>
      </c>
      <c r="E299" s="3225" t="n">
        <v>0.7912</v>
      </c>
      <c r="F299" s="3225" t="n">
        <v>0.7912</v>
      </c>
      <c r="G299" s="3225" t="n">
        <v>0.693</v>
      </c>
      <c r="H299" s="3225" t="n">
        <v>0.693</v>
      </c>
      <c r="I299" s="3225" t="n">
        <v>0.6165</v>
      </c>
      <c r="J299" s="3225" t="n">
        <v>0.6165</v>
      </c>
      <c r="K299" s="3225" t="n">
        <v>0.6165</v>
      </c>
      <c r="L299" s="3225" t="n">
        <v>0.6165</v>
      </c>
      <c r="M299" s="3226" t="n">
        <v>0.6165</v>
      </c>
    </row>
    <row r="300" customFormat="false" ht="13.5" hidden="false" customHeight="false" outlineLevel="0" collapsed="false">
      <c r="A300" s="3228" t="n">
        <v>3.1</v>
      </c>
      <c r="B300" s="3225" t="n">
        <v>0.8128</v>
      </c>
      <c r="C300" s="3225" t="n">
        <v>0.8128</v>
      </c>
      <c r="D300" s="3225" t="n">
        <v>0.7831</v>
      </c>
      <c r="E300" s="3225" t="n">
        <v>0.7831</v>
      </c>
      <c r="F300" s="3225" t="n">
        <v>0.7831</v>
      </c>
      <c r="G300" s="3225" t="n">
        <v>0.684</v>
      </c>
      <c r="H300" s="3225" t="n">
        <v>0.684</v>
      </c>
      <c r="I300" s="3225" t="n">
        <v>0.6071</v>
      </c>
      <c r="J300" s="3225" t="n">
        <v>0.6071</v>
      </c>
      <c r="K300" s="3225" t="n">
        <v>0.6071</v>
      </c>
      <c r="L300" s="3225" t="n">
        <v>0.6071</v>
      </c>
      <c r="M300" s="3226" t="n">
        <v>0.6071</v>
      </c>
    </row>
    <row r="301" customFormat="false" ht="13.5" hidden="false" customHeight="false" outlineLevel="0" collapsed="false">
      <c r="A301" s="3228" t="n">
        <v>3.2</v>
      </c>
      <c r="B301" s="3225" t="n">
        <v>0.8062</v>
      </c>
      <c r="C301" s="3225" t="n">
        <v>0.8062</v>
      </c>
      <c r="D301" s="3225" t="n">
        <v>0.7755</v>
      </c>
      <c r="E301" s="3225" t="n">
        <v>0.7755</v>
      </c>
      <c r="F301" s="3225" t="n">
        <v>0.7755</v>
      </c>
      <c r="G301" s="3225" t="n">
        <v>0.6756</v>
      </c>
      <c r="H301" s="3225" t="n">
        <v>0.6756</v>
      </c>
      <c r="I301" s="3225" t="n">
        <v>0.5981</v>
      </c>
      <c r="J301" s="3225" t="n">
        <v>0.5981</v>
      </c>
      <c r="K301" s="3225" t="n">
        <v>0.5981</v>
      </c>
      <c r="L301" s="3225" t="n">
        <v>0.5981</v>
      </c>
      <c r="M301" s="3226" t="n">
        <v>0.5981</v>
      </c>
    </row>
    <row r="302" customFormat="false" ht="13.5" hidden="false" customHeight="false" outlineLevel="0" collapsed="false">
      <c r="A302" s="3228" t="n">
        <v>3.3</v>
      </c>
      <c r="B302" s="3225" t="n">
        <v>0.8001</v>
      </c>
      <c r="C302" s="3225" t="n">
        <v>0.8001</v>
      </c>
      <c r="D302" s="3225" t="n">
        <v>0.7684</v>
      </c>
      <c r="E302" s="3225" t="n">
        <v>0.7684</v>
      </c>
      <c r="F302" s="3225" t="n">
        <v>0.7684</v>
      </c>
      <c r="G302" s="3225" t="n">
        <v>0.6677</v>
      </c>
      <c r="H302" s="3225" t="n">
        <v>0.6677</v>
      </c>
      <c r="I302" s="3225" t="n">
        <v>0.5898</v>
      </c>
      <c r="J302" s="3225" t="n">
        <v>0.5898</v>
      </c>
      <c r="K302" s="3225" t="n">
        <v>0.5898</v>
      </c>
      <c r="L302" s="3225" t="n">
        <v>0.5898</v>
      </c>
      <c r="M302" s="3226" t="n">
        <v>0.5898</v>
      </c>
    </row>
    <row r="303" customFormat="false" ht="13.5" hidden="false" customHeight="false" outlineLevel="0" collapsed="false">
      <c r="A303" s="3228" t="n">
        <v>3.4</v>
      </c>
      <c r="B303" s="3225" t="n">
        <v>0.7944</v>
      </c>
      <c r="C303" s="3225" t="n">
        <v>0.7944</v>
      </c>
      <c r="D303" s="3225" t="n">
        <v>0.7617</v>
      </c>
      <c r="E303" s="3225" t="n">
        <v>0.7617</v>
      </c>
      <c r="F303" s="3225" t="n">
        <v>0.7617</v>
      </c>
      <c r="G303" s="3225" t="n">
        <v>0.6602</v>
      </c>
      <c r="H303" s="3225" t="n">
        <v>0.6602</v>
      </c>
      <c r="I303" s="3225" t="n">
        <v>0.5821</v>
      </c>
      <c r="J303" s="3225" t="n">
        <v>0.5821</v>
      </c>
      <c r="K303" s="3225" t="n">
        <v>0.5821</v>
      </c>
      <c r="L303" s="3225" t="n">
        <v>0.5821</v>
      </c>
      <c r="M303" s="3226" t="n">
        <v>0.5821</v>
      </c>
    </row>
    <row r="304" customFormat="false" ht="13.5" hidden="false" customHeight="false" outlineLevel="0" collapsed="false">
      <c r="A304" s="3228" t="n">
        <v>3.5</v>
      </c>
      <c r="B304" s="3225" t="n">
        <v>0.7891</v>
      </c>
      <c r="C304" s="3225" t="n">
        <v>0.7891</v>
      </c>
      <c r="D304" s="3225" t="n">
        <v>0.7555</v>
      </c>
      <c r="E304" s="3225" t="n">
        <v>0.7555</v>
      </c>
      <c r="F304" s="3225" t="n">
        <v>0.7555</v>
      </c>
      <c r="G304" s="3225" t="n">
        <v>0.6533</v>
      </c>
      <c r="H304" s="3225" t="n">
        <v>0.6533</v>
      </c>
      <c r="I304" s="3225" t="n">
        <v>0.5748</v>
      </c>
      <c r="J304" s="3225" t="n">
        <v>0.5748</v>
      </c>
      <c r="K304" s="3225" t="n">
        <v>0.5748</v>
      </c>
      <c r="L304" s="3225" t="n">
        <v>0.5748</v>
      </c>
      <c r="M304" s="3226" t="n">
        <v>0.5748</v>
      </c>
    </row>
    <row r="305" customFormat="false" ht="13.5" hidden="false" customHeight="false" outlineLevel="0" collapsed="false">
      <c r="A305" s="3228" t="n">
        <v>3.6</v>
      </c>
      <c r="B305" s="3225" t="n">
        <v>0.7841</v>
      </c>
      <c r="C305" s="3225" t="n">
        <v>0.7841</v>
      </c>
      <c r="D305" s="3225" t="n">
        <v>0.7496</v>
      </c>
      <c r="E305" s="3225" t="n">
        <v>0.7496</v>
      </c>
      <c r="F305" s="3225" t="n">
        <v>0.7496</v>
      </c>
      <c r="G305" s="3225" t="n">
        <v>0.6468</v>
      </c>
      <c r="H305" s="3225" t="n">
        <v>0.6468</v>
      </c>
      <c r="I305" s="3225" t="n">
        <v>0.5679</v>
      </c>
      <c r="J305" s="3225" t="n">
        <v>0.5679</v>
      </c>
      <c r="K305" s="3225" t="n">
        <v>0.5679</v>
      </c>
      <c r="L305" s="3225" t="n">
        <v>0.5679</v>
      </c>
      <c r="M305" s="3226" t="n">
        <v>0.5679</v>
      </c>
    </row>
    <row r="306" customFormat="false" ht="13.5" hidden="false" customHeight="false" outlineLevel="0" collapsed="false">
      <c r="A306" s="3228" t="n">
        <v>3.7</v>
      </c>
      <c r="B306" s="3225" t="n">
        <v>0.7794</v>
      </c>
      <c r="C306" s="3225" t="n">
        <v>0.7794</v>
      </c>
      <c r="D306" s="3225" t="n">
        <v>0.7441</v>
      </c>
      <c r="E306" s="3225" t="n">
        <v>0.7441</v>
      </c>
      <c r="F306" s="3225" t="n">
        <v>0.7441</v>
      </c>
      <c r="G306" s="3225" t="n">
        <v>0.6407</v>
      </c>
      <c r="H306" s="3225" t="n">
        <v>0.6407</v>
      </c>
      <c r="I306" s="3225" t="n">
        <v>0.5615</v>
      </c>
      <c r="J306" s="3225" t="n">
        <v>0.5615</v>
      </c>
      <c r="K306" s="3225" t="n">
        <v>0.5615</v>
      </c>
      <c r="L306" s="3225" t="n">
        <v>0.5615</v>
      </c>
      <c r="M306" s="3226" t="n">
        <v>0.5615</v>
      </c>
    </row>
    <row r="307" customFormat="false" ht="13.5" hidden="false" customHeight="false" outlineLevel="0" collapsed="false">
      <c r="A307" s="3228" t="n">
        <v>3.8</v>
      </c>
      <c r="B307" s="3225" t="n">
        <v>0.775</v>
      </c>
      <c r="C307" s="3225" t="n">
        <v>0.775</v>
      </c>
      <c r="D307" s="3225" t="n">
        <v>0.739</v>
      </c>
      <c r="E307" s="3225" t="n">
        <v>0.739</v>
      </c>
      <c r="F307" s="3225" t="n">
        <v>0.739</v>
      </c>
      <c r="G307" s="3225" t="n">
        <v>0.6349</v>
      </c>
      <c r="H307" s="3225" t="n">
        <v>0.6349</v>
      </c>
      <c r="I307" s="3225" t="n">
        <v>0.5555</v>
      </c>
      <c r="J307" s="3225" t="n">
        <v>0.5555</v>
      </c>
      <c r="K307" s="3225" t="n">
        <v>0.5555</v>
      </c>
      <c r="L307" s="3225" t="n">
        <v>0.5555</v>
      </c>
      <c r="M307" s="3226" t="n">
        <v>0.5555</v>
      </c>
    </row>
    <row r="308" customFormat="false" ht="13.5" hidden="false" customHeight="false" outlineLevel="0" collapsed="false">
      <c r="A308" s="3228" t="n">
        <v>3.9</v>
      </c>
      <c r="B308" s="3225" t="n">
        <v>0.7709</v>
      </c>
      <c r="C308" s="3225" t="n">
        <v>0.7709</v>
      </c>
      <c r="D308" s="3225" t="n">
        <v>0.7342</v>
      </c>
      <c r="E308" s="3225" t="n">
        <v>0.7342</v>
      </c>
      <c r="F308" s="3225" t="n">
        <v>0.7342</v>
      </c>
      <c r="G308" s="3225" t="n">
        <v>0.6295</v>
      </c>
      <c r="H308" s="3225" t="n">
        <v>0.6295</v>
      </c>
      <c r="I308" s="3225" t="n">
        <v>0.5499</v>
      </c>
      <c r="J308" s="3225" t="n">
        <v>0.5499</v>
      </c>
      <c r="K308" s="3225" t="n">
        <v>0.5499</v>
      </c>
      <c r="L308" s="3225" t="n">
        <v>0.5499</v>
      </c>
      <c r="M308" s="3226" t="n">
        <v>0.5499</v>
      </c>
    </row>
    <row r="309" customFormat="false" ht="13.5" hidden="false" customHeight="false" outlineLevel="0" collapsed="false">
      <c r="A309" s="3228" t="n">
        <v>4</v>
      </c>
      <c r="B309" s="3225" t="n">
        <v>0.7671</v>
      </c>
      <c r="C309" s="3225" t="n">
        <v>0.7671</v>
      </c>
      <c r="D309" s="3225" t="n">
        <v>0.7297</v>
      </c>
      <c r="E309" s="3225" t="n">
        <v>0.7297</v>
      </c>
      <c r="F309" s="3225" t="n">
        <v>0.7297</v>
      </c>
      <c r="G309" s="3225" t="n">
        <v>0.6245</v>
      </c>
      <c r="H309" s="3225" t="n">
        <v>0.6245</v>
      </c>
      <c r="I309" s="3225" t="n">
        <v>0.5445</v>
      </c>
      <c r="J309" s="3225" t="n">
        <v>0.5445</v>
      </c>
      <c r="K309" s="3225" t="n">
        <v>0.5445</v>
      </c>
      <c r="L309" s="3225" t="n">
        <v>0.5445</v>
      </c>
      <c r="M309" s="3226" t="n">
        <v>0.5445</v>
      </c>
    </row>
    <row r="310" customFormat="false" ht="13.5" hidden="false" customHeight="false" outlineLevel="0" collapsed="false">
      <c r="A310" s="3228" t="n">
        <v>4.1</v>
      </c>
      <c r="B310" s="3225" t="n">
        <v>0.7635</v>
      </c>
      <c r="C310" s="3225" t="n">
        <v>0.7635</v>
      </c>
      <c r="D310" s="3225" t="n">
        <v>0.7254</v>
      </c>
      <c r="E310" s="3225" t="n">
        <v>0.7254</v>
      </c>
      <c r="F310" s="3225" t="n">
        <v>0.7254</v>
      </c>
      <c r="G310" s="3225" t="n">
        <v>0.6197</v>
      </c>
      <c r="H310" s="3225" t="n">
        <v>0.6197</v>
      </c>
      <c r="I310" s="3225" t="n">
        <v>0.5396</v>
      </c>
      <c r="J310" s="3225" t="n">
        <v>0.5396</v>
      </c>
      <c r="K310" s="3225" t="n">
        <v>0.5396</v>
      </c>
      <c r="L310" s="3225" t="n">
        <v>0.5396</v>
      </c>
      <c r="M310" s="3226" t="n">
        <v>0.5396</v>
      </c>
    </row>
    <row r="311" customFormat="false" ht="13.5" hidden="false" customHeight="false" outlineLevel="0" collapsed="false">
      <c r="A311" s="3228" t="n">
        <v>4.2</v>
      </c>
      <c r="B311" s="3225" t="n">
        <v>0.7601</v>
      </c>
      <c r="C311" s="3225" t="n">
        <v>0.7601</v>
      </c>
      <c r="D311" s="3225" t="n">
        <v>0.7214</v>
      </c>
      <c r="E311" s="3225" t="n">
        <v>0.7214</v>
      </c>
      <c r="F311" s="3225" t="n">
        <v>0.7214</v>
      </c>
      <c r="G311" s="3225" t="n">
        <v>0.6153</v>
      </c>
      <c r="H311" s="3225" t="n">
        <v>0.6153</v>
      </c>
      <c r="I311" s="3225" t="n">
        <v>0.5349</v>
      </c>
      <c r="J311" s="3225" t="n">
        <v>0.5349</v>
      </c>
      <c r="K311" s="3225" t="n">
        <v>0.5349</v>
      </c>
      <c r="L311" s="3225" t="n">
        <v>0.5349</v>
      </c>
      <c r="M311" s="3226" t="n">
        <v>0.5349</v>
      </c>
    </row>
    <row r="312" customFormat="false" ht="13.5" hidden="false" customHeight="false" outlineLevel="0" collapsed="false">
      <c r="A312" s="3228" t="n">
        <v>4.3</v>
      </c>
      <c r="B312" s="3225" t="n">
        <v>0.757</v>
      </c>
      <c r="C312" s="3225" t="n">
        <v>0.757</v>
      </c>
      <c r="D312" s="3225" t="n">
        <v>0.7177</v>
      </c>
      <c r="E312" s="3225" t="n">
        <v>0.7177</v>
      </c>
      <c r="F312" s="3225" t="n">
        <v>0.7177</v>
      </c>
      <c r="G312" s="3225" t="n">
        <v>0.6111</v>
      </c>
      <c r="H312" s="3225" t="n">
        <v>0.6111</v>
      </c>
      <c r="I312" s="3225" t="n">
        <v>0.5305</v>
      </c>
      <c r="J312" s="3225" t="n">
        <v>0.5305</v>
      </c>
      <c r="K312" s="3225" t="n">
        <v>0.5305</v>
      </c>
      <c r="L312" s="3225" t="n">
        <v>0.5305</v>
      </c>
      <c r="M312" s="3226" t="n">
        <v>0.5305</v>
      </c>
    </row>
    <row r="313" customFormat="false" ht="13.5" hidden="false" customHeight="false" outlineLevel="0" collapsed="false">
      <c r="A313" s="3228" t="n">
        <v>4.4</v>
      </c>
      <c r="B313" s="3225" t="n">
        <v>0.754</v>
      </c>
      <c r="C313" s="3225" t="n">
        <v>0.754</v>
      </c>
      <c r="D313" s="3225" t="n">
        <v>0.7141</v>
      </c>
      <c r="E313" s="3225" t="n">
        <v>0.7141</v>
      </c>
      <c r="F313" s="3225" t="n">
        <v>0.7141</v>
      </c>
      <c r="G313" s="3225" t="n">
        <v>0.6071</v>
      </c>
      <c r="H313" s="3225" t="n">
        <v>0.6071</v>
      </c>
      <c r="I313" s="3225" t="n">
        <v>0.5264</v>
      </c>
      <c r="J313" s="3225" t="n">
        <v>0.5264</v>
      </c>
      <c r="K313" s="3225" t="n">
        <v>0.5264</v>
      </c>
      <c r="L313" s="3225" t="n">
        <v>0.5264</v>
      </c>
      <c r="M313" s="3226" t="n">
        <v>0.5264</v>
      </c>
    </row>
    <row r="314" customFormat="false" ht="13.5" hidden="false" customHeight="false" outlineLevel="0" collapsed="false">
      <c r="A314" s="3228" t="n">
        <v>4.5</v>
      </c>
      <c r="B314" s="3225" t="n">
        <v>0.7512</v>
      </c>
      <c r="C314" s="3225" t="n">
        <v>0.7512</v>
      </c>
      <c r="D314" s="3225" t="n">
        <v>0.7108</v>
      </c>
      <c r="E314" s="3225" t="n">
        <v>0.7108</v>
      </c>
      <c r="F314" s="3225" t="n">
        <v>0.7108</v>
      </c>
      <c r="G314" s="3225" t="n">
        <v>0.6033</v>
      </c>
      <c r="H314" s="3225" t="n">
        <v>0.6033</v>
      </c>
      <c r="I314" s="3225" t="n">
        <v>0.5225</v>
      </c>
      <c r="J314" s="3225" t="n">
        <v>0.5225</v>
      </c>
      <c r="K314" s="3225" t="n">
        <v>0.5225</v>
      </c>
      <c r="L314" s="3225" t="n">
        <v>0.5225</v>
      </c>
      <c r="M314" s="3226" t="n">
        <v>0.5225</v>
      </c>
    </row>
    <row r="315" customFormat="false" ht="13.5" hidden="false" customHeight="false" outlineLevel="0" collapsed="false">
      <c r="A315" s="3228" t="n">
        <v>4.6</v>
      </c>
      <c r="B315" s="3225" t="n">
        <v>0.7486</v>
      </c>
      <c r="C315" s="3225" t="n">
        <v>0.7486</v>
      </c>
      <c r="D315" s="3225" t="n">
        <v>0.7076</v>
      </c>
      <c r="E315" s="3225" t="n">
        <v>0.7076</v>
      </c>
      <c r="F315" s="3225" t="n">
        <v>0.7076</v>
      </c>
      <c r="G315" s="3225" t="n">
        <v>0.5997</v>
      </c>
      <c r="H315" s="3225" t="n">
        <v>0.5997</v>
      </c>
      <c r="I315" s="3225" t="n">
        <v>0.5189</v>
      </c>
      <c r="J315" s="3225" t="n">
        <v>0.5189</v>
      </c>
      <c r="K315" s="3225" t="n">
        <v>0.5189</v>
      </c>
      <c r="L315" s="3225" t="n">
        <v>0.5189</v>
      </c>
      <c r="M315" s="3226" t="n">
        <v>0.5189</v>
      </c>
    </row>
    <row r="316" customFormat="false" ht="13.5" hidden="false" customHeight="false" outlineLevel="0" collapsed="false">
      <c r="A316" s="3228" t="n">
        <v>4.7</v>
      </c>
      <c r="B316" s="3225" t="n">
        <v>0.7461</v>
      </c>
      <c r="C316" s="3225" t="n">
        <v>0.7461</v>
      </c>
      <c r="D316" s="3225" t="n">
        <v>0.7046</v>
      </c>
      <c r="E316" s="3225" t="n">
        <v>0.7046</v>
      </c>
      <c r="F316" s="3225" t="n">
        <v>0.7046</v>
      </c>
      <c r="G316" s="3225" t="n">
        <v>0.5963</v>
      </c>
      <c r="H316" s="3225" t="n">
        <v>0.5963</v>
      </c>
      <c r="I316" s="3225" t="n">
        <v>0.5153</v>
      </c>
      <c r="J316" s="3225" t="n">
        <v>0.5153</v>
      </c>
      <c r="K316" s="3225" t="n">
        <v>0.5153</v>
      </c>
      <c r="L316" s="3225" t="n">
        <v>0.5153</v>
      </c>
      <c r="M316" s="3226" t="n">
        <v>0.5153</v>
      </c>
    </row>
    <row r="317" customFormat="false" ht="13.5" hidden="false" customHeight="false" outlineLevel="0" collapsed="false">
      <c r="A317" s="3228" t="n">
        <v>4.8</v>
      </c>
      <c r="B317" s="3225" t="n">
        <v>0.7438</v>
      </c>
      <c r="C317" s="3225" t="n">
        <v>0.7438</v>
      </c>
      <c r="D317" s="3225" t="n">
        <v>0.7017</v>
      </c>
      <c r="E317" s="3225" t="n">
        <v>0.7017</v>
      </c>
      <c r="F317" s="3225" t="n">
        <v>0.7017</v>
      </c>
      <c r="G317" s="3225" t="n">
        <v>0.5931</v>
      </c>
      <c r="H317" s="3225" t="n">
        <v>0.5931</v>
      </c>
      <c r="I317" s="3225" t="n">
        <v>0.5121</v>
      </c>
      <c r="J317" s="3225" t="n">
        <v>0.5121</v>
      </c>
      <c r="K317" s="3225" t="n">
        <v>0.5121</v>
      </c>
      <c r="L317" s="3225" t="n">
        <v>0.5121</v>
      </c>
      <c r="M317" s="3226" t="n">
        <v>0.5121</v>
      </c>
    </row>
    <row r="318" customFormat="false" ht="13.5" hidden="false" customHeight="false" outlineLevel="0" collapsed="false">
      <c r="A318" s="3228" t="n">
        <v>4.9</v>
      </c>
      <c r="B318" s="3225" t="n">
        <v>0.7416</v>
      </c>
      <c r="C318" s="3225" t="n">
        <v>0.7416</v>
      </c>
      <c r="D318" s="3225" t="n">
        <v>0.6989</v>
      </c>
      <c r="E318" s="3225" t="n">
        <v>0.6989</v>
      </c>
      <c r="F318" s="3225" t="n">
        <v>0.6989</v>
      </c>
      <c r="G318" s="3225" t="n">
        <v>0.5901</v>
      </c>
      <c r="H318" s="3225" t="n">
        <v>0.5901</v>
      </c>
      <c r="I318" s="3225" t="n">
        <v>0.509</v>
      </c>
      <c r="J318" s="3225" t="n">
        <v>0.509</v>
      </c>
      <c r="K318" s="3225" t="n">
        <v>0.509</v>
      </c>
      <c r="L318" s="3225" t="n">
        <v>0.509</v>
      </c>
      <c r="M318" s="3226" t="n">
        <v>0.509</v>
      </c>
    </row>
    <row r="319" customFormat="false" ht="13.5" hidden="false" customHeight="false" outlineLevel="0" collapsed="false">
      <c r="A319" s="3228" t="n">
        <v>5</v>
      </c>
      <c r="B319" s="3225" t="n">
        <v>0.7395</v>
      </c>
      <c r="C319" s="3225" t="n">
        <v>0.7395</v>
      </c>
      <c r="D319" s="3225" t="n">
        <v>0.6962</v>
      </c>
      <c r="E319" s="3225" t="n">
        <v>0.6962</v>
      </c>
      <c r="F319" s="3225" t="n">
        <v>0.6962</v>
      </c>
      <c r="G319" s="3225" t="n">
        <v>0.5872</v>
      </c>
      <c r="H319" s="3225" t="n">
        <v>0.5872</v>
      </c>
      <c r="I319" s="3225" t="n">
        <v>0.5061</v>
      </c>
      <c r="J319" s="3225" t="n">
        <v>0.5061</v>
      </c>
      <c r="K319" s="3225" t="n">
        <v>0.5061</v>
      </c>
      <c r="L319" s="3225" t="n">
        <v>0.5061</v>
      </c>
      <c r="M319" s="3226" t="n">
        <v>0.5061</v>
      </c>
    </row>
    <row r="320" customFormat="false" ht="13.5" hidden="false" customHeight="false" outlineLevel="0" collapsed="false">
      <c r="A320" s="3224" t="n">
        <v>5.1</v>
      </c>
      <c r="B320" s="3225" t="n">
        <v>0.7375</v>
      </c>
      <c r="C320" s="3225" t="n">
        <v>0.7375</v>
      </c>
      <c r="D320" s="3225" t="n">
        <v>0.6936</v>
      </c>
      <c r="E320" s="3225" t="n">
        <v>0.6936</v>
      </c>
      <c r="F320" s="3225" t="n">
        <v>0.6936</v>
      </c>
      <c r="G320" s="3225" t="n">
        <v>0.5844</v>
      </c>
      <c r="H320" s="3225" t="n">
        <v>0.5844</v>
      </c>
      <c r="I320" s="3225" t="n">
        <v>0.5033</v>
      </c>
      <c r="J320" s="3225" t="n">
        <v>0.5033</v>
      </c>
      <c r="K320" s="3225" t="n">
        <v>0.5033</v>
      </c>
      <c r="L320" s="3225" t="n">
        <v>0.5033</v>
      </c>
      <c r="M320" s="3226" t="n">
        <v>0.5033</v>
      </c>
    </row>
    <row r="321" customFormat="false" ht="13.5" hidden="false" customHeight="false" outlineLevel="0" collapsed="false">
      <c r="A321" s="3224" t="n">
        <v>5.2</v>
      </c>
      <c r="B321" s="3225" t="n">
        <v>0.7356</v>
      </c>
      <c r="C321" s="3225" t="n">
        <v>0.7356</v>
      </c>
      <c r="D321" s="3225" t="n">
        <v>0.6911</v>
      </c>
      <c r="E321" s="3225" t="n">
        <v>0.6911</v>
      </c>
      <c r="F321" s="3225" t="n">
        <v>0.6911</v>
      </c>
      <c r="G321" s="3225" t="n">
        <v>0.5817</v>
      </c>
      <c r="H321" s="3225" t="n">
        <v>0.5817</v>
      </c>
      <c r="I321" s="3225" t="n">
        <v>0.5006</v>
      </c>
      <c r="J321" s="3225" t="n">
        <v>0.5006</v>
      </c>
      <c r="K321" s="3225" t="n">
        <v>0.5006</v>
      </c>
      <c r="L321" s="3225" t="n">
        <v>0.5006</v>
      </c>
      <c r="M321" s="3226" t="n">
        <v>0.5006</v>
      </c>
    </row>
    <row r="322" customFormat="false" ht="13.5" hidden="false" customHeight="false" outlineLevel="0" collapsed="false">
      <c r="A322" s="3224" t="n">
        <v>5.3</v>
      </c>
      <c r="B322" s="3225" t="n">
        <v>0.7338</v>
      </c>
      <c r="C322" s="3225" t="n">
        <v>0.7338</v>
      </c>
      <c r="D322" s="3225" t="n">
        <v>0.6887</v>
      </c>
      <c r="E322" s="3225" t="n">
        <v>0.6887</v>
      </c>
      <c r="F322" s="3225" t="n">
        <v>0.6887</v>
      </c>
      <c r="G322" s="3225" t="n">
        <v>0.5791</v>
      </c>
      <c r="H322" s="3225" t="n">
        <v>0.5791</v>
      </c>
      <c r="I322" s="3225" t="n">
        <v>0.4981</v>
      </c>
      <c r="J322" s="3225" t="n">
        <v>0.4981</v>
      </c>
      <c r="K322" s="3225" t="n">
        <v>0.4981</v>
      </c>
      <c r="L322" s="3225" t="n">
        <v>0.4981</v>
      </c>
      <c r="M322" s="3226" t="n">
        <v>0.4981</v>
      </c>
    </row>
    <row r="323" customFormat="false" ht="13.5" hidden="false" customHeight="false" outlineLevel="0" collapsed="false">
      <c r="A323" s="3224" t="n">
        <v>5.4</v>
      </c>
      <c r="B323" s="3225" t="n">
        <v>0.732</v>
      </c>
      <c r="C323" s="3225" t="n">
        <v>0.732</v>
      </c>
      <c r="D323" s="3225" t="n">
        <v>0.6864</v>
      </c>
      <c r="E323" s="3225" t="n">
        <v>0.6864</v>
      </c>
      <c r="F323" s="3225" t="n">
        <v>0.6864</v>
      </c>
      <c r="G323" s="3225" t="n">
        <v>0.5765</v>
      </c>
      <c r="H323" s="3225" t="n">
        <v>0.5765</v>
      </c>
      <c r="I323" s="3225" t="n">
        <v>0.4956</v>
      </c>
      <c r="J323" s="3225" t="n">
        <v>0.4956</v>
      </c>
      <c r="K323" s="3225" t="n">
        <v>0.4956</v>
      </c>
      <c r="L323" s="3225" t="n">
        <v>0.4956</v>
      </c>
      <c r="M323" s="3226" t="n">
        <v>0.4956</v>
      </c>
    </row>
    <row r="324" customFormat="false" ht="13.5" hidden="false" customHeight="false" outlineLevel="0" collapsed="false">
      <c r="A324" s="3224" t="n">
        <v>5.5</v>
      </c>
      <c r="B324" s="3225" t="n">
        <v>0.7301</v>
      </c>
      <c r="C324" s="3225" t="n">
        <v>0.7301</v>
      </c>
      <c r="D324" s="3225" t="n">
        <v>0.6842</v>
      </c>
      <c r="E324" s="3225" t="n">
        <v>0.6842</v>
      </c>
      <c r="F324" s="3225" t="n">
        <v>0.6842</v>
      </c>
      <c r="G324" s="3225" t="n">
        <v>0.574</v>
      </c>
      <c r="H324" s="3225" t="n">
        <v>0.574</v>
      </c>
      <c r="I324" s="3225" t="n">
        <v>0.4932</v>
      </c>
      <c r="J324" s="3225" t="n">
        <v>0.4932</v>
      </c>
      <c r="K324" s="3225" t="n">
        <v>0.4932</v>
      </c>
      <c r="L324" s="3225" t="n">
        <v>0.4932</v>
      </c>
      <c r="M324" s="3226" t="n">
        <v>0.4932</v>
      </c>
    </row>
    <row r="325" customFormat="false" ht="13.5" hidden="false" customHeight="false" outlineLevel="0" collapsed="false">
      <c r="A325" s="3224" t="n">
        <v>5.6</v>
      </c>
      <c r="B325" s="3225" t="n">
        <v>0.7282</v>
      </c>
      <c r="C325" s="3225" t="n">
        <v>0.7282</v>
      </c>
      <c r="D325" s="3225" t="n">
        <v>0.682</v>
      </c>
      <c r="E325" s="3225" t="n">
        <v>0.682</v>
      </c>
      <c r="F325" s="3225" t="n">
        <v>0.682</v>
      </c>
      <c r="G325" s="3225" t="n">
        <v>0.5715</v>
      </c>
      <c r="H325" s="3225" t="n">
        <v>0.5715</v>
      </c>
      <c r="I325" s="3225" t="n">
        <v>0.4908</v>
      </c>
      <c r="J325" s="3225" t="n">
        <v>0.4908</v>
      </c>
      <c r="K325" s="3225" t="n">
        <v>0.4908</v>
      </c>
      <c r="L325" s="3225" t="n">
        <v>0.4908</v>
      </c>
      <c r="M325" s="3226" t="n">
        <v>0.4908</v>
      </c>
    </row>
    <row r="326" customFormat="false" ht="13.5" hidden="false" customHeight="false" outlineLevel="0" collapsed="false">
      <c r="A326" s="3228" t="n">
        <v>5.7</v>
      </c>
      <c r="B326" s="3225" t="n">
        <v>0.7264</v>
      </c>
      <c r="C326" s="3225" t="n">
        <v>0.7264</v>
      </c>
      <c r="D326" s="3225" t="n">
        <v>0.6799</v>
      </c>
      <c r="E326" s="3225" t="n">
        <v>0.6799</v>
      </c>
      <c r="F326" s="3225" t="n">
        <v>0.6799</v>
      </c>
      <c r="G326" s="3225" t="n">
        <v>0.569</v>
      </c>
      <c r="H326" s="3225" t="n">
        <v>0.569</v>
      </c>
      <c r="I326" s="3225" t="n">
        <v>0.4884</v>
      </c>
      <c r="J326" s="3225" t="n">
        <v>0.4884</v>
      </c>
      <c r="K326" s="3225" t="n">
        <v>0.4884</v>
      </c>
      <c r="L326" s="3225" t="n">
        <v>0.4884</v>
      </c>
      <c r="M326" s="3226" t="n">
        <v>0.4884</v>
      </c>
    </row>
    <row r="327" customFormat="false" ht="13.5" hidden="false" customHeight="false" outlineLevel="0" collapsed="false">
      <c r="A327" s="3224" t="n">
        <v>5.8</v>
      </c>
      <c r="B327" s="3225" t="n">
        <v>0.7246</v>
      </c>
      <c r="C327" s="3225" t="n">
        <v>0.7246</v>
      </c>
      <c r="D327" s="3225" t="n">
        <v>0.6778</v>
      </c>
      <c r="E327" s="3225" t="n">
        <v>0.6778</v>
      </c>
      <c r="F327" s="3225" t="n">
        <v>0.6778</v>
      </c>
      <c r="G327" s="3225" t="n">
        <v>0.5666</v>
      </c>
      <c r="H327" s="3225" t="n">
        <v>0.5666</v>
      </c>
      <c r="I327" s="3225" t="n">
        <v>0.4861</v>
      </c>
      <c r="J327" s="3225" t="n">
        <v>0.4861</v>
      </c>
      <c r="K327" s="3225" t="n">
        <v>0.4861</v>
      </c>
      <c r="L327" s="3225" t="n">
        <v>0.4861</v>
      </c>
      <c r="M327" s="3226" t="n">
        <v>0.4861</v>
      </c>
    </row>
    <row r="328" customFormat="false" ht="13.5" hidden="false" customHeight="false" outlineLevel="0" collapsed="false">
      <c r="A328" s="3224" t="n">
        <v>5.9</v>
      </c>
      <c r="B328" s="3225" t="n">
        <v>0.7228</v>
      </c>
      <c r="C328" s="3225" t="n">
        <v>0.7228</v>
      </c>
      <c r="D328" s="3225" t="n">
        <v>0.6757</v>
      </c>
      <c r="E328" s="3225" t="n">
        <v>0.6757</v>
      </c>
      <c r="F328" s="3225" t="n">
        <v>0.6757</v>
      </c>
      <c r="G328" s="3225" t="n">
        <v>0.5642</v>
      </c>
      <c r="H328" s="3225" t="n">
        <v>0.5642</v>
      </c>
      <c r="I328" s="3225" t="n">
        <v>0.4838</v>
      </c>
      <c r="J328" s="3225" t="n">
        <v>0.4838</v>
      </c>
      <c r="K328" s="3225" t="n">
        <v>0.4838</v>
      </c>
      <c r="L328" s="3225" t="n">
        <v>0.4838</v>
      </c>
      <c r="M328" s="3226" t="n">
        <v>0.4838</v>
      </c>
    </row>
    <row r="329" customFormat="false" ht="13.5" hidden="false" customHeight="false" outlineLevel="0" collapsed="false">
      <c r="A329" s="3224" t="n">
        <v>6</v>
      </c>
      <c r="B329" s="3225" t="n">
        <v>0.721</v>
      </c>
      <c r="C329" s="3225" t="n">
        <v>0.721</v>
      </c>
      <c r="D329" s="3225" t="n">
        <v>0.6736</v>
      </c>
      <c r="E329" s="3225" t="n">
        <v>0.6736</v>
      </c>
      <c r="F329" s="3225" t="n">
        <v>0.6736</v>
      </c>
      <c r="G329" s="3225" t="n">
        <v>0.5618</v>
      </c>
      <c r="H329" s="3225" t="n">
        <v>0.5618</v>
      </c>
      <c r="I329" s="3225" t="n">
        <v>0.4816</v>
      </c>
      <c r="J329" s="3225" t="n">
        <v>0.4816</v>
      </c>
      <c r="K329" s="3225" t="n">
        <v>0.4816</v>
      </c>
      <c r="L329" s="3225" t="n">
        <v>0.4816</v>
      </c>
      <c r="M329" s="3226" t="n">
        <v>0.4816</v>
      </c>
    </row>
    <row r="330" customFormat="false" ht="13.5" hidden="false" customHeight="false" outlineLevel="0" collapsed="false">
      <c r="A330" s="3224" t="n">
        <v>6.1</v>
      </c>
      <c r="B330" s="3225" t="n">
        <v>0.7193</v>
      </c>
      <c r="C330" s="3225" t="n">
        <v>0.7193</v>
      </c>
      <c r="D330" s="3225" t="n">
        <v>0.6716</v>
      </c>
      <c r="E330" s="3225" t="n">
        <v>0.6716</v>
      </c>
      <c r="F330" s="3225" t="n">
        <v>0.6716</v>
      </c>
      <c r="G330" s="3225" t="n">
        <v>0.5594</v>
      </c>
      <c r="H330" s="3225" t="n">
        <v>0.5594</v>
      </c>
      <c r="I330" s="3225" t="n">
        <v>0.4793</v>
      </c>
      <c r="J330" s="3225" t="n">
        <v>0.4793</v>
      </c>
      <c r="K330" s="3225" t="n">
        <v>0.4793</v>
      </c>
      <c r="L330" s="3225" t="n">
        <v>0.4793</v>
      </c>
      <c r="M330" s="3226" t="n">
        <v>0.4793</v>
      </c>
    </row>
    <row r="331" customFormat="false" ht="13.5" hidden="false" customHeight="false" outlineLevel="0" collapsed="false">
      <c r="A331" s="3224" t="n">
        <v>6.2</v>
      </c>
      <c r="B331" s="3225" t="n">
        <v>0.7176</v>
      </c>
      <c r="C331" s="3225" t="n">
        <v>0.7176</v>
      </c>
      <c r="D331" s="3225" t="n">
        <v>0.6696</v>
      </c>
      <c r="E331" s="3225" t="n">
        <v>0.6696</v>
      </c>
      <c r="F331" s="3225" t="n">
        <v>0.6696</v>
      </c>
      <c r="G331" s="3225" t="n">
        <v>0.5571</v>
      </c>
      <c r="H331" s="3225" t="n">
        <v>0.5571</v>
      </c>
      <c r="I331" s="3225" t="n">
        <v>0.4771</v>
      </c>
      <c r="J331" s="3225" t="n">
        <v>0.4771</v>
      </c>
      <c r="K331" s="3225" t="n">
        <v>0.4771</v>
      </c>
      <c r="L331" s="3225" t="n">
        <v>0.4771</v>
      </c>
      <c r="M331" s="3226" t="n">
        <v>0.4771</v>
      </c>
    </row>
    <row r="332" customFormat="false" ht="13.5" hidden="false" customHeight="false" outlineLevel="0" collapsed="false">
      <c r="A332" s="3224" t="n">
        <v>6.3</v>
      </c>
      <c r="B332" s="3225" t="n">
        <v>0.7159</v>
      </c>
      <c r="C332" s="3225" t="n">
        <v>0.7159</v>
      </c>
      <c r="D332" s="3225" t="n">
        <v>0.6676</v>
      </c>
      <c r="E332" s="3225" t="n">
        <v>0.6676</v>
      </c>
      <c r="F332" s="3225" t="n">
        <v>0.6676</v>
      </c>
      <c r="G332" s="3225" t="n">
        <v>0.5548</v>
      </c>
      <c r="H332" s="3225" t="n">
        <v>0.5548</v>
      </c>
      <c r="I332" s="3225" t="n">
        <v>0.4749</v>
      </c>
      <c r="J332" s="3225" t="n">
        <v>0.4749</v>
      </c>
      <c r="K332" s="3225" t="n">
        <v>0.4749</v>
      </c>
      <c r="L332" s="3225" t="n">
        <v>0.4749</v>
      </c>
      <c r="M332" s="3226" t="n">
        <v>0.4749</v>
      </c>
    </row>
    <row r="333" customFormat="false" ht="13.5" hidden="false" customHeight="false" outlineLevel="0" collapsed="false">
      <c r="A333" s="3224" t="n">
        <v>6.4</v>
      </c>
      <c r="B333" s="3225" t="n">
        <v>0.7142</v>
      </c>
      <c r="C333" s="3225" t="n">
        <v>0.7142</v>
      </c>
      <c r="D333" s="3225" t="n">
        <v>0.6656</v>
      </c>
      <c r="E333" s="3225" t="n">
        <v>0.6656</v>
      </c>
      <c r="F333" s="3225" t="n">
        <v>0.6656</v>
      </c>
      <c r="G333" s="3225" t="n">
        <v>0.5525</v>
      </c>
      <c r="H333" s="3225" t="n">
        <v>0.5525</v>
      </c>
      <c r="I333" s="3225" t="n">
        <v>0.4727</v>
      </c>
      <c r="J333" s="3225" t="n">
        <v>0.4727</v>
      </c>
      <c r="K333" s="3225" t="n">
        <v>0.4727</v>
      </c>
      <c r="L333" s="3225" t="n">
        <v>0.4727</v>
      </c>
      <c r="M333" s="3226" t="n">
        <v>0.4727</v>
      </c>
    </row>
    <row r="334" customFormat="false" ht="13.5" hidden="false" customHeight="false" outlineLevel="0" collapsed="false">
      <c r="A334" s="3224" t="n">
        <v>6.5</v>
      </c>
      <c r="B334" s="3225" t="n">
        <v>0.7125</v>
      </c>
      <c r="C334" s="3225" t="n">
        <v>0.7125</v>
      </c>
      <c r="D334" s="3225" t="n">
        <v>0.6636</v>
      </c>
      <c r="E334" s="3225" t="n">
        <v>0.6636</v>
      </c>
      <c r="F334" s="3225" t="n">
        <v>0.6636</v>
      </c>
      <c r="G334" s="3225" t="n">
        <v>0.5502</v>
      </c>
      <c r="H334" s="3225" t="n">
        <v>0.5502</v>
      </c>
      <c r="I334" s="3225" t="n">
        <v>0.4706</v>
      </c>
      <c r="J334" s="3225" t="n">
        <v>0.4706</v>
      </c>
      <c r="K334" s="3225" t="n">
        <v>0.4706</v>
      </c>
      <c r="L334" s="3225" t="n">
        <v>0.4706</v>
      </c>
      <c r="M334" s="3226" t="n">
        <v>0.4706</v>
      </c>
    </row>
    <row r="335" customFormat="false" ht="13.5" hidden="false" customHeight="false" outlineLevel="0" collapsed="false">
      <c r="A335" s="3224" t="n">
        <v>6.6</v>
      </c>
      <c r="B335" s="3225" t="n">
        <v>0.7109</v>
      </c>
      <c r="C335" s="3225" t="n">
        <v>0.7109</v>
      </c>
      <c r="D335" s="3225" t="n">
        <v>0.6616</v>
      </c>
      <c r="E335" s="3225" t="n">
        <v>0.6616</v>
      </c>
      <c r="F335" s="3225" t="n">
        <v>0.6616</v>
      </c>
      <c r="G335" s="3225" t="n">
        <v>0.548</v>
      </c>
      <c r="H335" s="3225" t="n">
        <v>0.548</v>
      </c>
      <c r="I335" s="3225" t="n">
        <v>0.4684</v>
      </c>
      <c r="J335" s="3225" t="n">
        <v>0.4684</v>
      </c>
      <c r="K335" s="3225" t="n">
        <v>0.4684</v>
      </c>
      <c r="L335" s="3225" t="n">
        <v>0.4684</v>
      </c>
      <c r="M335" s="3226" t="n">
        <v>0.4684</v>
      </c>
    </row>
    <row r="336" customFormat="false" ht="13.5" hidden="false" customHeight="false" outlineLevel="0" collapsed="false">
      <c r="A336" s="3224" t="n">
        <v>6.7</v>
      </c>
      <c r="B336" s="3225" t="n">
        <v>0.7093</v>
      </c>
      <c r="C336" s="3225" t="n">
        <v>0.7093</v>
      </c>
      <c r="D336" s="3225" t="n">
        <v>0.6597</v>
      </c>
      <c r="E336" s="3225" t="n">
        <v>0.6597</v>
      </c>
      <c r="F336" s="3225" t="n">
        <v>0.6597</v>
      </c>
      <c r="G336" s="3225" t="n">
        <v>0.5458</v>
      </c>
      <c r="H336" s="3225" t="n">
        <v>0.5458</v>
      </c>
      <c r="I336" s="3225" t="n">
        <v>0.4663</v>
      </c>
      <c r="J336" s="3225" t="n">
        <v>0.4663</v>
      </c>
      <c r="K336" s="3225" t="n">
        <v>0.4663</v>
      </c>
      <c r="L336" s="3225" t="n">
        <v>0.4663</v>
      </c>
      <c r="M336" s="3226" t="n">
        <v>0.4663</v>
      </c>
    </row>
    <row r="337" customFormat="false" ht="13.5" hidden="false" customHeight="false" outlineLevel="0" collapsed="false">
      <c r="A337" s="3224" t="n">
        <v>6.8</v>
      </c>
      <c r="B337" s="3225" t="n">
        <v>0.7077</v>
      </c>
      <c r="C337" s="3225" t="n">
        <v>0.7077</v>
      </c>
      <c r="D337" s="3225" t="n">
        <v>0.6578</v>
      </c>
      <c r="E337" s="3225" t="n">
        <v>0.6578</v>
      </c>
      <c r="F337" s="3225" t="n">
        <v>0.6578</v>
      </c>
      <c r="G337" s="3225" t="n">
        <v>0.5436</v>
      </c>
      <c r="H337" s="3225" t="n">
        <v>0.5436</v>
      </c>
      <c r="I337" s="3225" t="n">
        <v>0.4641</v>
      </c>
      <c r="J337" s="3225" t="n">
        <v>0.4641</v>
      </c>
      <c r="K337" s="3225" t="n">
        <v>0.4641</v>
      </c>
      <c r="L337" s="3225" t="n">
        <v>0.4641</v>
      </c>
      <c r="M337" s="3226" t="n">
        <v>0.4641</v>
      </c>
    </row>
    <row r="338" customFormat="false" ht="13.5" hidden="false" customHeight="false" outlineLevel="0" collapsed="false">
      <c r="A338" s="3224" t="n">
        <v>6.9</v>
      </c>
      <c r="B338" s="3225" t="n">
        <v>0.7061</v>
      </c>
      <c r="C338" s="3225" t="n">
        <v>0.7061</v>
      </c>
      <c r="D338" s="3225" t="n">
        <v>0.6559</v>
      </c>
      <c r="E338" s="3225" t="n">
        <v>0.6559</v>
      </c>
      <c r="F338" s="3225" t="n">
        <v>0.6559</v>
      </c>
      <c r="G338" s="3225" t="n">
        <v>0.5414</v>
      </c>
      <c r="H338" s="3225" t="n">
        <v>0.5414</v>
      </c>
      <c r="I338" s="3225" t="n">
        <v>0.462</v>
      </c>
      <c r="J338" s="3225" t="n">
        <v>0.462</v>
      </c>
      <c r="K338" s="3225" t="n">
        <v>0.462</v>
      </c>
      <c r="L338" s="3225" t="n">
        <v>0.462</v>
      </c>
      <c r="M338" s="3226" t="n">
        <v>0.462</v>
      </c>
    </row>
    <row r="339" customFormat="false" ht="13.5" hidden="false" customHeight="false" outlineLevel="0" collapsed="false">
      <c r="A339" s="3224" t="n">
        <v>7</v>
      </c>
      <c r="B339" s="3225" t="n">
        <v>0.7045</v>
      </c>
      <c r="C339" s="3225" t="n">
        <v>0.7045</v>
      </c>
      <c r="D339" s="3225" t="n">
        <v>0.654</v>
      </c>
      <c r="E339" s="3225" t="n">
        <v>0.654</v>
      </c>
      <c r="F339" s="3225" t="n">
        <v>0.654</v>
      </c>
      <c r="G339" s="3225" t="n">
        <v>0.5392</v>
      </c>
      <c r="H339" s="3225" t="n">
        <v>0.5392</v>
      </c>
      <c r="I339" s="3225" t="n">
        <v>0.4598</v>
      </c>
      <c r="J339" s="3225" t="n">
        <v>0.4598</v>
      </c>
      <c r="K339" s="3225" t="n">
        <v>0.4598</v>
      </c>
      <c r="L339" s="3225" t="n">
        <v>0.4598</v>
      </c>
      <c r="M339" s="3226" t="n">
        <v>0.4598</v>
      </c>
    </row>
    <row r="340" customFormat="false" ht="13.5" hidden="false" customHeight="false" outlineLevel="0" collapsed="false">
      <c r="A340" s="3224" t="n">
        <v>7.1</v>
      </c>
      <c r="B340" s="3225" t="n">
        <v>0.7029</v>
      </c>
      <c r="C340" s="3225" t="n">
        <v>0.7029</v>
      </c>
      <c r="D340" s="3225" t="n">
        <v>0.6521</v>
      </c>
      <c r="E340" s="3225" t="n">
        <v>0.6521</v>
      </c>
      <c r="F340" s="3225" t="n">
        <v>0.6521</v>
      </c>
      <c r="G340" s="3225" t="n">
        <v>0.5371</v>
      </c>
      <c r="H340" s="3225" t="n">
        <v>0.5371</v>
      </c>
      <c r="I340" s="3225" t="n">
        <v>0.4578</v>
      </c>
      <c r="J340" s="3225" t="n">
        <v>0.4578</v>
      </c>
      <c r="K340" s="3225" t="n">
        <v>0.4578</v>
      </c>
      <c r="L340" s="3225" t="n">
        <v>0.4578</v>
      </c>
      <c r="M340" s="3226" t="n">
        <v>0.4578</v>
      </c>
    </row>
    <row r="341" customFormat="false" ht="13.5" hidden="false" customHeight="false" outlineLevel="0" collapsed="false">
      <c r="A341" s="3224" t="n">
        <v>7.2</v>
      </c>
      <c r="B341" s="3225" t="n">
        <v>0.7014</v>
      </c>
      <c r="C341" s="3225" t="n">
        <v>0.7014</v>
      </c>
      <c r="D341" s="3225" t="n">
        <v>0.6502</v>
      </c>
      <c r="E341" s="3225" t="n">
        <v>0.6502</v>
      </c>
      <c r="F341" s="3225" t="n">
        <v>0.6502</v>
      </c>
      <c r="G341" s="3225" t="n">
        <v>0.535</v>
      </c>
      <c r="H341" s="3225" t="n">
        <v>0.535</v>
      </c>
      <c r="I341" s="3225" t="n">
        <v>0.4557</v>
      </c>
      <c r="J341" s="3225" t="n">
        <v>0.4557</v>
      </c>
      <c r="K341" s="3225" t="n">
        <v>0.4557</v>
      </c>
      <c r="L341" s="3225" t="n">
        <v>0.4557</v>
      </c>
      <c r="M341" s="3226" t="n">
        <v>0.4557</v>
      </c>
    </row>
    <row r="342" customFormat="false" ht="13.5" hidden="false" customHeight="false" outlineLevel="0" collapsed="false">
      <c r="A342" s="3224" t="n">
        <v>7.3</v>
      </c>
      <c r="B342" s="3225" t="n">
        <v>0.6999</v>
      </c>
      <c r="C342" s="3225" t="n">
        <v>0.6999</v>
      </c>
      <c r="D342" s="3225" t="n">
        <v>0.6483</v>
      </c>
      <c r="E342" s="3225" t="n">
        <v>0.6483</v>
      </c>
      <c r="F342" s="3225" t="n">
        <v>0.6483</v>
      </c>
      <c r="G342" s="3225" t="n">
        <v>0.5329</v>
      </c>
      <c r="H342" s="3225" t="n">
        <v>0.5329</v>
      </c>
      <c r="I342" s="3225" t="n">
        <v>0.4537</v>
      </c>
      <c r="J342" s="3225" t="n">
        <v>0.4537</v>
      </c>
      <c r="K342" s="3225" t="n">
        <v>0.4537</v>
      </c>
      <c r="L342" s="3225" t="n">
        <v>0.4537</v>
      </c>
      <c r="M342" s="3226" t="n">
        <v>0.4537</v>
      </c>
    </row>
    <row r="343" customFormat="false" ht="13.5" hidden="false" customHeight="false" outlineLevel="0" collapsed="false">
      <c r="A343" s="3224" t="n">
        <v>7.4</v>
      </c>
      <c r="B343" s="3225" t="n">
        <v>0.6984</v>
      </c>
      <c r="C343" s="3225" t="n">
        <v>0.6984</v>
      </c>
      <c r="D343" s="3225" t="n">
        <v>0.6465</v>
      </c>
      <c r="E343" s="3225" t="n">
        <v>0.6465</v>
      </c>
      <c r="F343" s="3225" t="n">
        <v>0.6465</v>
      </c>
      <c r="G343" s="3225" t="n">
        <v>0.5308</v>
      </c>
      <c r="H343" s="3225" t="n">
        <v>0.5308</v>
      </c>
      <c r="I343" s="3225" t="n">
        <v>0.4516</v>
      </c>
      <c r="J343" s="3225" t="n">
        <v>0.4516</v>
      </c>
      <c r="K343" s="3225" t="n">
        <v>0.4516</v>
      </c>
      <c r="L343" s="3225" t="n">
        <v>0.4516</v>
      </c>
      <c r="M343" s="3226" t="n">
        <v>0.4516</v>
      </c>
    </row>
    <row r="344" customFormat="false" ht="13.5" hidden="false" customHeight="false" outlineLevel="0" collapsed="false">
      <c r="A344" s="3224" t="n">
        <v>7.5</v>
      </c>
      <c r="B344" s="3225" t="n">
        <v>0.6969</v>
      </c>
      <c r="C344" s="3225" t="n">
        <v>0.6969</v>
      </c>
      <c r="D344" s="3225" t="n">
        <v>0.6447</v>
      </c>
      <c r="E344" s="3225" t="n">
        <v>0.6447</v>
      </c>
      <c r="F344" s="3225" t="n">
        <v>0.6447</v>
      </c>
      <c r="G344" s="3225" t="n">
        <v>0.5287</v>
      </c>
      <c r="H344" s="3225" t="n">
        <v>0.5287</v>
      </c>
      <c r="I344" s="3225" t="n">
        <v>0.4495</v>
      </c>
      <c r="J344" s="3225" t="n">
        <v>0.4495</v>
      </c>
      <c r="K344" s="3225" t="n">
        <v>0.4495</v>
      </c>
      <c r="L344" s="3225" t="n">
        <v>0.4495</v>
      </c>
      <c r="M344" s="3226" t="n">
        <v>0.4495</v>
      </c>
    </row>
    <row r="345" customFormat="false" ht="13.5" hidden="false" customHeight="false" outlineLevel="0" collapsed="false">
      <c r="A345" s="3224" t="n">
        <v>7.6</v>
      </c>
      <c r="B345" s="3225" t="n">
        <v>0.6954</v>
      </c>
      <c r="C345" s="3225" t="n">
        <v>0.6954</v>
      </c>
      <c r="D345" s="3225" t="n">
        <v>0.6429</v>
      </c>
      <c r="E345" s="3225" t="n">
        <v>0.6429</v>
      </c>
      <c r="F345" s="3225" t="n">
        <v>0.6429</v>
      </c>
      <c r="G345" s="3225" t="n">
        <v>0.5266</v>
      </c>
      <c r="H345" s="3225" t="n">
        <v>0.5266</v>
      </c>
      <c r="I345" s="3225" t="n">
        <v>0.4475</v>
      </c>
      <c r="J345" s="3225" t="n">
        <v>0.4475</v>
      </c>
      <c r="K345" s="3225" t="n">
        <v>0.4475</v>
      </c>
      <c r="L345" s="3225" t="n">
        <v>0.4475</v>
      </c>
      <c r="M345" s="3226" t="n">
        <v>0.4475</v>
      </c>
    </row>
    <row r="346" customFormat="false" ht="13.5" hidden="false" customHeight="false" outlineLevel="0" collapsed="false">
      <c r="A346" s="3224" t="n">
        <v>7.7</v>
      </c>
      <c r="B346" s="3225" t="n">
        <v>0.6939</v>
      </c>
      <c r="C346" s="3225" t="n">
        <v>0.6939</v>
      </c>
      <c r="D346" s="3225" t="n">
        <v>0.6411</v>
      </c>
      <c r="E346" s="3225" t="n">
        <v>0.6411</v>
      </c>
      <c r="F346" s="3225" t="n">
        <v>0.6411</v>
      </c>
      <c r="G346" s="3225" t="n">
        <v>0.5246</v>
      </c>
      <c r="H346" s="3225" t="n">
        <v>0.5246</v>
      </c>
      <c r="I346" s="3225" t="n">
        <v>0.4454</v>
      </c>
      <c r="J346" s="3225" t="n">
        <v>0.4454</v>
      </c>
      <c r="K346" s="3225" t="n">
        <v>0.4454</v>
      </c>
      <c r="L346" s="3225" t="n">
        <v>0.4454</v>
      </c>
      <c r="M346" s="3226" t="n">
        <v>0.4454</v>
      </c>
    </row>
    <row r="347" customFormat="false" ht="13.5" hidden="false" customHeight="false" outlineLevel="0" collapsed="false">
      <c r="A347" s="3224" t="n">
        <v>7.8</v>
      </c>
      <c r="B347" s="3225" t="n">
        <v>0.6924</v>
      </c>
      <c r="C347" s="3225" t="n">
        <v>0.6924</v>
      </c>
      <c r="D347" s="3225" t="n">
        <v>0.6393</v>
      </c>
      <c r="E347" s="3225" t="n">
        <v>0.6393</v>
      </c>
      <c r="F347" s="3225" t="n">
        <v>0.6393</v>
      </c>
      <c r="G347" s="3225" t="n">
        <v>0.5226</v>
      </c>
      <c r="H347" s="3225" t="n">
        <v>0.5226</v>
      </c>
      <c r="I347" s="3225" t="n">
        <v>0.4434</v>
      </c>
      <c r="J347" s="3225" t="n">
        <v>0.4434</v>
      </c>
      <c r="K347" s="3225" t="n">
        <v>0.4434</v>
      </c>
      <c r="L347" s="3225" t="n">
        <v>0.4434</v>
      </c>
      <c r="M347" s="3226" t="n">
        <v>0.4434</v>
      </c>
    </row>
    <row r="348" customFormat="false" ht="13.5" hidden="false" customHeight="false" outlineLevel="0" collapsed="false">
      <c r="A348" s="3224" t="n">
        <v>7.9</v>
      </c>
      <c r="B348" s="3225" t="n">
        <v>0.691</v>
      </c>
      <c r="C348" s="3225" t="n">
        <v>0.691</v>
      </c>
      <c r="D348" s="3225" t="n">
        <v>0.6375</v>
      </c>
      <c r="E348" s="3225" t="n">
        <v>0.6375</v>
      </c>
      <c r="F348" s="3225" t="n">
        <v>0.6375</v>
      </c>
      <c r="G348" s="3225" t="n">
        <v>0.5206</v>
      </c>
      <c r="H348" s="3225" t="n">
        <v>0.5206</v>
      </c>
      <c r="I348" s="3225" t="n">
        <v>0.4413</v>
      </c>
      <c r="J348" s="3225" t="n">
        <v>0.4413</v>
      </c>
      <c r="K348" s="3225" t="n">
        <v>0.4413</v>
      </c>
      <c r="L348" s="3225" t="n">
        <v>0.4413</v>
      </c>
      <c r="M348" s="3226" t="n">
        <v>0.4413</v>
      </c>
    </row>
    <row r="349" customFormat="false" ht="13.5" hidden="false" customHeight="false" outlineLevel="0" collapsed="false">
      <c r="A349" s="3224" t="n">
        <v>8</v>
      </c>
      <c r="B349" s="3225" t="n">
        <v>0.6896</v>
      </c>
      <c r="C349" s="3225" t="n">
        <v>0.6896</v>
      </c>
      <c r="D349" s="3225" t="n">
        <v>0.6357</v>
      </c>
      <c r="E349" s="3225" t="n">
        <v>0.6357</v>
      </c>
      <c r="F349" s="3225" t="n">
        <v>0.6357</v>
      </c>
      <c r="G349" s="3225" t="n">
        <v>0.5186</v>
      </c>
      <c r="H349" s="3225" t="n">
        <v>0.5186</v>
      </c>
      <c r="I349" s="3225" t="n">
        <v>0.4392</v>
      </c>
      <c r="J349" s="3225" t="n">
        <v>0.4392</v>
      </c>
      <c r="K349" s="3225" t="n">
        <v>0.4392</v>
      </c>
      <c r="L349" s="3225" t="n">
        <v>0.4392</v>
      </c>
      <c r="M349" s="3226" t="n">
        <v>0.4392</v>
      </c>
    </row>
    <row r="350" customFormat="false" ht="13.5" hidden="false" customHeight="false" outlineLevel="0" collapsed="false">
      <c r="A350" s="3224" t="n">
        <v>8.1</v>
      </c>
      <c r="B350" s="3225" t="n">
        <v>0.6882</v>
      </c>
      <c r="C350" s="3225" t="n">
        <v>0.6882</v>
      </c>
      <c r="D350" s="3225" t="n">
        <v>0.6339</v>
      </c>
      <c r="E350" s="3225" t="n">
        <v>0.6339</v>
      </c>
      <c r="F350" s="3225" t="n">
        <v>0.6339</v>
      </c>
      <c r="G350" s="3225" t="n">
        <v>0.5166</v>
      </c>
      <c r="H350" s="3225" t="n">
        <v>0.5166</v>
      </c>
      <c r="I350" s="3225" t="n">
        <v>0.4373</v>
      </c>
      <c r="J350" s="3225" t="n">
        <v>0.4373</v>
      </c>
      <c r="K350" s="3225" t="n">
        <v>0.4373</v>
      </c>
      <c r="L350" s="3225" t="n">
        <v>0.4373</v>
      </c>
      <c r="M350" s="3226" t="n">
        <v>0.4373</v>
      </c>
    </row>
    <row r="351" customFormat="false" ht="13.5" hidden="false" customHeight="false" outlineLevel="0" collapsed="false">
      <c r="A351" s="3224" t="n">
        <v>8.2</v>
      </c>
      <c r="B351" s="3225" t="n">
        <v>0.6868</v>
      </c>
      <c r="C351" s="3225" t="n">
        <v>0.6868</v>
      </c>
      <c r="D351" s="3225" t="n">
        <v>0.6322</v>
      </c>
      <c r="E351" s="3225" t="n">
        <v>0.6322</v>
      </c>
      <c r="F351" s="3225" t="n">
        <v>0.6322</v>
      </c>
      <c r="G351" s="3225" t="n">
        <v>0.5146</v>
      </c>
      <c r="H351" s="3225" t="n">
        <v>0.5146</v>
      </c>
      <c r="I351" s="3225" t="n">
        <v>0.4353</v>
      </c>
      <c r="J351" s="3225" t="n">
        <v>0.4353</v>
      </c>
      <c r="K351" s="3225" t="n">
        <v>0.4353</v>
      </c>
      <c r="L351" s="3225" t="n">
        <v>0.4353</v>
      </c>
      <c r="M351" s="3226" t="n">
        <v>0.4353</v>
      </c>
    </row>
    <row r="352" customFormat="false" ht="13.5" hidden="false" customHeight="false" outlineLevel="0" collapsed="false">
      <c r="A352" s="3224" t="n">
        <v>8.3</v>
      </c>
      <c r="B352" s="3225" t="n">
        <v>0.6854</v>
      </c>
      <c r="C352" s="3225" t="n">
        <v>0.6854</v>
      </c>
      <c r="D352" s="3225" t="n">
        <v>0.6305</v>
      </c>
      <c r="E352" s="3225" t="n">
        <v>0.6305</v>
      </c>
      <c r="F352" s="3225" t="n">
        <v>0.6305</v>
      </c>
      <c r="G352" s="3225" t="n">
        <v>0.5126</v>
      </c>
      <c r="H352" s="3225" t="n">
        <v>0.5126</v>
      </c>
      <c r="I352" s="3225" t="n">
        <v>0.4333</v>
      </c>
      <c r="J352" s="3225" t="n">
        <v>0.4333</v>
      </c>
      <c r="K352" s="3225" t="n">
        <v>0.4333</v>
      </c>
      <c r="L352" s="3225" t="n">
        <v>0.4333</v>
      </c>
      <c r="M352" s="3226" t="n">
        <v>0.4333</v>
      </c>
    </row>
    <row r="353" customFormat="false" ht="13.5" hidden="false" customHeight="false" outlineLevel="0" collapsed="false">
      <c r="A353" s="3224" t="n">
        <v>8.4</v>
      </c>
      <c r="B353" s="3225" t="n">
        <v>0.684</v>
      </c>
      <c r="C353" s="3225" t="n">
        <v>0.684</v>
      </c>
      <c r="D353" s="3225" t="n">
        <v>0.6288</v>
      </c>
      <c r="E353" s="3225" t="n">
        <v>0.6288</v>
      </c>
      <c r="F353" s="3225" t="n">
        <v>0.6288</v>
      </c>
      <c r="G353" s="3225" t="n">
        <v>0.5107</v>
      </c>
      <c r="H353" s="3225" t="n">
        <v>0.5107</v>
      </c>
      <c r="I353" s="3225" t="n">
        <v>0.4313</v>
      </c>
      <c r="J353" s="3225" t="n">
        <v>0.4313</v>
      </c>
      <c r="K353" s="3225" t="n">
        <v>0.4313</v>
      </c>
      <c r="L353" s="3225" t="n">
        <v>0.4313</v>
      </c>
      <c r="M353" s="3226" t="n">
        <v>0.4313</v>
      </c>
    </row>
    <row r="354" customFormat="false" ht="13.5" hidden="false" customHeight="false" outlineLevel="0" collapsed="false">
      <c r="A354" s="3224" t="n">
        <v>8.5</v>
      </c>
      <c r="B354" s="3225" t="n">
        <v>0.6826</v>
      </c>
      <c r="C354" s="3225" t="n">
        <v>0.6826</v>
      </c>
      <c r="D354" s="3225" t="n">
        <v>0.6271</v>
      </c>
      <c r="E354" s="3225" t="n">
        <v>0.6271</v>
      </c>
      <c r="F354" s="3225" t="n">
        <v>0.6271</v>
      </c>
      <c r="G354" s="3225" t="n">
        <v>0.5088</v>
      </c>
      <c r="H354" s="3225" t="n">
        <v>0.5088</v>
      </c>
      <c r="I354" s="3225" t="n">
        <v>0.4294</v>
      </c>
      <c r="J354" s="3225" t="n">
        <v>0.4294</v>
      </c>
      <c r="K354" s="3225" t="n">
        <v>0.4294</v>
      </c>
      <c r="L354" s="3225" t="n">
        <v>0.4294</v>
      </c>
      <c r="M354" s="3226" t="n">
        <v>0.4294</v>
      </c>
    </row>
    <row r="355" customFormat="false" ht="13.5" hidden="false" customHeight="false" outlineLevel="0" collapsed="false">
      <c r="A355" s="3224" t="n">
        <v>8.6</v>
      </c>
      <c r="B355" s="3225" t="n">
        <v>0.6812</v>
      </c>
      <c r="C355" s="3225" t="n">
        <v>0.6812</v>
      </c>
      <c r="D355" s="3225" t="n">
        <v>0.6254</v>
      </c>
      <c r="E355" s="3225" t="n">
        <v>0.6254</v>
      </c>
      <c r="F355" s="3225" t="n">
        <v>0.6254</v>
      </c>
      <c r="G355" s="3225" t="n">
        <v>0.5069</v>
      </c>
      <c r="H355" s="3225" t="n">
        <v>0.5069</v>
      </c>
      <c r="I355" s="3225" t="n">
        <v>0.4274</v>
      </c>
      <c r="J355" s="3225" t="n">
        <v>0.4274</v>
      </c>
      <c r="K355" s="3225" t="n">
        <v>0.4274</v>
      </c>
      <c r="L355" s="3225" t="n">
        <v>0.4274</v>
      </c>
      <c r="M355" s="3226" t="n">
        <v>0.4274</v>
      </c>
    </row>
    <row r="356" customFormat="false" ht="13.5" hidden="false" customHeight="false" outlineLevel="0" collapsed="false">
      <c r="A356" s="3224" t="n">
        <v>8.7</v>
      </c>
      <c r="B356" s="3225" t="n">
        <v>0.6799</v>
      </c>
      <c r="C356" s="3225" t="n">
        <v>0.6799</v>
      </c>
      <c r="D356" s="3225" t="n">
        <v>0.6237</v>
      </c>
      <c r="E356" s="3225" t="n">
        <v>0.6237</v>
      </c>
      <c r="F356" s="3225" t="n">
        <v>0.6237</v>
      </c>
      <c r="G356" s="3225" t="n">
        <v>0.505</v>
      </c>
      <c r="H356" s="3225" t="n">
        <v>0.505</v>
      </c>
      <c r="I356" s="3225" t="n">
        <v>0.4254</v>
      </c>
      <c r="J356" s="3225" t="n">
        <v>0.4254</v>
      </c>
      <c r="K356" s="3225" t="n">
        <v>0.4254</v>
      </c>
      <c r="L356" s="3225" t="n">
        <v>0.4254</v>
      </c>
      <c r="M356" s="3226" t="n">
        <v>0.4254</v>
      </c>
    </row>
    <row r="357" customFormat="false" ht="13.5" hidden="false" customHeight="false" outlineLevel="0" collapsed="false">
      <c r="A357" s="3224" t="n">
        <v>8.8</v>
      </c>
      <c r="B357" s="3225" t="n">
        <v>0.6786</v>
      </c>
      <c r="C357" s="3225" t="n">
        <v>0.6786</v>
      </c>
      <c r="D357" s="3225" t="n">
        <v>0.622</v>
      </c>
      <c r="E357" s="3225" t="n">
        <v>0.622</v>
      </c>
      <c r="F357" s="3225" t="n">
        <v>0.622</v>
      </c>
      <c r="G357" s="3225" t="n">
        <v>0.5031</v>
      </c>
      <c r="H357" s="3225" t="n">
        <v>0.5031</v>
      </c>
      <c r="I357" s="3225" t="n">
        <v>0.4234</v>
      </c>
      <c r="J357" s="3225" t="n">
        <v>0.4234</v>
      </c>
      <c r="K357" s="3225" t="n">
        <v>0.4234</v>
      </c>
      <c r="L357" s="3225" t="n">
        <v>0.4234</v>
      </c>
      <c r="M357" s="3226" t="n">
        <v>0.4234</v>
      </c>
    </row>
    <row r="358" customFormat="false" ht="13.5" hidden="false" customHeight="false" outlineLevel="0" collapsed="false">
      <c r="A358" s="3224" t="n">
        <v>8.9</v>
      </c>
      <c r="B358" s="3225" t="n">
        <v>0.6773</v>
      </c>
      <c r="C358" s="3225" t="n">
        <v>0.6773</v>
      </c>
      <c r="D358" s="3225" t="n">
        <v>0.6203</v>
      </c>
      <c r="E358" s="3225" t="n">
        <v>0.6203</v>
      </c>
      <c r="F358" s="3225" t="n">
        <v>0.6203</v>
      </c>
      <c r="G358" s="3225" t="n">
        <v>0.5012</v>
      </c>
      <c r="H358" s="3225" t="n">
        <v>0.5012</v>
      </c>
      <c r="I358" s="3225" t="n">
        <v>0.4215</v>
      </c>
      <c r="J358" s="3225" t="n">
        <v>0.4215</v>
      </c>
      <c r="K358" s="3225" t="n">
        <v>0.4215</v>
      </c>
      <c r="L358" s="3225" t="n">
        <v>0.4215</v>
      </c>
      <c r="M358" s="3226" t="n">
        <v>0.4215</v>
      </c>
    </row>
    <row r="359" customFormat="false" ht="13.5" hidden="false" customHeight="false" outlineLevel="0" collapsed="false">
      <c r="A359" s="3228" t="n">
        <v>9</v>
      </c>
      <c r="B359" s="3225" t="n">
        <v>0.676</v>
      </c>
      <c r="C359" s="3225" t="n">
        <v>0.676</v>
      </c>
      <c r="D359" s="3225" t="n">
        <v>0.6187</v>
      </c>
      <c r="E359" s="3225" t="n">
        <v>0.6187</v>
      </c>
      <c r="F359" s="3225" t="n">
        <v>0.6187</v>
      </c>
      <c r="G359" s="3225" t="n">
        <v>0.4993</v>
      </c>
      <c r="H359" s="3225" t="n">
        <v>0.4993</v>
      </c>
      <c r="I359" s="3225" t="n">
        <v>0.4195</v>
      </c>
      <c r="J359" s="3225" t="n">
        <v>0.4195</v>
      </c>
      <c r="K359" s="3225" t="n">
        <v>0.4195</v>
      </c>
      <c r="L359" s="3225" t="n">
        <v>0.4195</v>
      </c>
      <c r="M359" s="3226" t="n">
        <v>0.4195</v>
      </c>
    </row>
    <row r="360" customFormat="false" ht="13.5" hidden="false" customHeight="false" outlineLevel="0" collapsed="false">
      <c r="A360" s="3228" t="n">
        <v>9.1</v>
      </c>
      <c r="B360" s="3225" t="n">
        <v>0.6747</v>
      </c>
      <c r="C360" s="3225" t="n">
        <v>0.6747</v>
      </c>
      <c r="D360" s="3225" t="n">
        <v>0.6171</v>
      </c>
      <c r="E360" s="3225" t="n">
        <v>0.6171</v>
      </c>
      <c r="F360" s="3225" t="n">
        <v>0.6171</v>
      </c>
      <c r="G360" s="3225" t="n">
        <v>0.4974</v>
      </c>
      <c r="H360" s="3225" t="n">
        <v>0.4974</v>
      </c>
      <c r="I360" s="3225" t="n">
        <v>0.4176</v>
      </c>
      <c r="J360" s="3225" t="n">
        <v>0.4176</v>
      </c>
      <c r="K360" s="3225" t="n">
        <v>0.4176</v>
      </c>
      <c r="L360" s="3225" t="n">
        <v>0.4176</v>
      </c>
      <c r="M360" s="3226" t="n">
        <v>0.4176</v>
      </c>
    </row>
    <row r="361" customFormat="false" ht="13.5" hidden="false" customHeight="false" outlineLevel="0" collapsed="false">
      <c r="A361" s="3228" t="n">
        <v>9.2</v>
      </c>
      <c r="B361" s="3225" t="n">
        <v>0.6734</v>
      </c>
      <c r="C361" s="3225" t="n">
        <v>0.6734</v>
      </c>
      <c r="D361" s="3225" t="n">
        <v>0.6155</v>
      </c>
      <c r="E361" s="3225" t="n">
        <v>0.6155</v>
      </c>
      <c r="F361" s="3225" t="n">
        <v>0.6155</v>
      </c>
      <c r="G361" s="3225" t="n">
        <v>0.4956</v>
      </c>
      <c r="H361" s="3225" t="n">
        <v>0.4956</v>
      </c>
      <c r="I361" s="3225" t="n">
        <v>0.4157</v>
      </c>
      <c r="J361" s="3225" t="n">
        <v>0.4157</v>
      </c>
      <c r="K361" s="3225" t="n">
        <v>0.4157</v>
      </c>
      <c r="L361" s="3225" t="n">
        <v>0.4157</v>
      </c>
      <c r="M361" s="3226" t="n">
        <v>0.4157</v>
      </c>
    </row>
    <row r="362" customFormat="false" ht="13.5" hidden="false" customHeight="false" outlineLevel="0" collapsed="false">
      <c r="A362" s="3228" t="n">
        <v>9.3</v>
      </c>
      <c r="B362" s="3225" t="n">
        <v>0.6721</v>
      </c>
      <c r="C362" s="3225" t="n">
        <v>0.6721</v>
      </c>
      <c r="D362" s="3225" t="n">
        <v>0.6139</v>
      </c>
      <c r="E362" s="3225" t="n">
        <v>0.6139</v>
      </c>
      <c r="F362" s="3225" t="n">
        <v>0.6139</v>
      </c>
      <c r="G362" s="3225" t="n">
        <v>0.4938</v>
      </c>
      <c r="H362" s="3225" t="n">
        <v>0.4938</v>
      </c>
      <c r="I362" s="3225" t="n">
        <v>0.4138</v>
      </c>
      <c r="J362" s="3225" t="n">
        <v>0.4138</v>
      </c>
      <c r="K362" s="3225" t="n">
        <v>0.4138</v>
      </c>
      <c r="L362" s="3225" t="n">
        <v>0.4138</v>
      </c>
      <c r="M362" s="3226" t="n">
        <v>0.4138</v>
      </c>
    </row>
    <row r="363" customFormat="false" ht="13.5" hidden="false" customHeight="false" outlineLevel="0" collapsed="false">
      <c r="A363" s="3228" t="n">
        <v>9.4</v>
      </c>
      <c r="B363" s="3225" t="n">
        <v>0.6708</v>
      </c>
      <c r="C363" s="3225" t="n">
        <v>0.6708</v>
      </c>
      <c r="D363" s="3225" t="n">
        <v>0.6123</v>
      </c>
      <c r="E363" s="3225" t="n">
        <v>0.6123</v>
      </c>
      <c r="F363" s="3225" t="n">
        <v>0.6123</v>
      </c>
      <c r="G363" s="3225" t="n">
        <v>0.492</v>
      </c>
      <c r="H363" s="3225" t="n">
        <v>0.492</v>
      </c>
      <c r="I363" s="3225" t="n">
        <v>0.4119</v>
      </c>
      <c r="J363" s="3225" t="n">
        <v>0.4119</v>
      </c>
      <c r="K363" s="3225" t="n">
        <v>0.4119</v>
      </c>
      <c r="L363" s="3225" t="n">
        <v>0.4119</v>
      </c>
      <c r="M363" s="3226" t="n">
        <v>0.4119</v>
      </c>
    </row>
    <row r="364" customFormat="false" ht="13.5" hidden="false" customHeight="false" outlineLevel="0" collapsed="false">
      <c r="A364" s="3228" t="n">
        <v>9.5</v>
      </c>
      <c r="B364" s="3225" t="n">
        <v>0.6696</v>
      </c>
      <c r="C364" s="3225" t="n">
        <v>0.6696</v>
      </c>
      <c r="D364" s="3225" t="n">
        <v>0.6107</v>
      </c>
      <c r="E364" s="3225" t="n">
        <v>0.6107</v>
      </c>
      <c r="F364" s="3225" t="n">
        <v>0.6107</v>
      </c>
      <c r="G364" s="3225" t="n">
        <v>0.4902</v>
      </c>
      <c r="H364" s="3225" t="n">
        <v>0.4902</v>
      </c>
      <c r="I364" s="3225" t="n">
        <v>0.41</v>
      </c>
      <c r="J364" s="3225" t="n">
        <v>0.41</v>
      </c>
      <c r="K364" s="3225" t="n">
        <v>0.41</v>
      </c>
      <c r="L364" s="3225" t="n">
        <v>0.41</v>
      </c>
      <c r="M364" s="3226" t="n">
        <v>0.41</v>
      </c>
    </row>
    <row r="365" customFormat="false" ht="13.5" hidden="false" customHeight="false" outlineLevel="0" collapsed="false">
      <c r="A365" s="3228" t="n">
        <v>9.6</v>
      </c>
      <c r="B365" s="3225" t="n">
        <v>0.6684</v>
      </c>
      <c r="C365" s="3225" t="n">
        <v>0.6684</v>
      </c>
      <c r="D365" s="3225" t="n">
        <v>0.6091</v>
      </c>
      <c r="E365" s="3225" t="n">
        <v>0.6091</v>
      </c>
      <c r="F365" s="3225" t="n">
        <v>0.6091</v>
      </c>
      <c r="G365" s="3225" t="n">
        <v>0.4884</v>
      </c>
      <c r="H365" s="3225" t="n">
        <v>0.4884</v>
      </c>
      <c r="I365" s="3225" t="n">
        <v>0.4081</v>
      </c>
      <c r="J365" s="3225" t="n">
        <v>0.4081</v>
      </c>
      <c r="K365" s="3225" t="n">
        <v>0.4081</v>
      </c>
      <c r="L365" s="3225" t="n">
        <v>0.4081</v>
      </c>
      <c r="M365" s="3226" t="n">
        <v>0.4081</v>
      </c>
    </row>
    <row r="366" customFormat="false" ht="13.5" hidden="false" customHeight="false" outlineLevel="0" collapsed="false">
      <c r="A366" s="3228" t="n">
        <v>9.7</v>
      </c>
      <c r="B366" s="3225" t="n">
        <v>0.6672</v>
      </c>
      <c r="C366" s="3225" t="n">
        <v>0.6672</v>
      </c>
      <c r="D366" s="3225" t="n">
        <v>0.6075</v>
      </c>
      <c r="E366" s="3225" t="n">
        <v>0.6075</v>
      </c>
      <c r="F366" s="3225" t="n">
        <v>0.6075</v>
      </c>
      <c r="G366" s="3225" t="n">
        <v>0.4866</v>
      </c>
      <c r="H366" s="3225" t="n">
        <v>0.4866</v>
      </c>
      <c r="I366" s="3225" t="n">
        <v>0.4062</v>
      </c>
      <c r="J366" s="3225" t="n">
        <v>0.4062</v>
      </c>
      <c r="K366" s="3225" t="n">
        <v>0.4062</v>
      </c>
      <c r="L366" s="3225" t="n">
        <v>0.4062</v>
      </c>
      <c r="M366" s="3226" t="n">
        <v>0.4062</v>
      </c>
    </row>
    <row r="367" customFormat="false" ht="13.5" hidden="false" customHeight="false" outlineLevel="0" collapsed="false">
      <c r="A367" s="3228" t="n">
        <v>9.8</v>
      </c>
      <c r="B367" s="3225" t="n">
        <v>0.666</v>
      </c>
      <c r="C367" s="3225" t="n">
        <v>0.666</v>
      </c>
      <c r="D367" s="3225" t="n">
        <v>0.606</v>
      </c>
      <c r="E367" s="3225" t="n">
        <v>0.606</v>
      </c>
      <c r="F367" s="3225" t="n">
        <v>0.606</v>
      </c>
      <c r="G367" s="3225" t="n">
        <v>0.4848</v>
      </c>
      <c r="H367" s="3225" t="n">
        <v>0.4848</v>
      </c>
      <c r="I367" s="3225" t="n">
        <v>0.4043</v>
      </c>
      <c r="J367" s="3225" t="n">
        <v>0.4043</v>
      </c>
      <c r="K367" s="3225" t="n">
        <v>0.4043</v>
      </c>
      <c r="L367" s="3225" t="n">
        <v>0.4043</v>
      </c>
      <c r="M367" s="3226" t="n">
        <v>0.4043</v>
      </c>
    </row>
    <row r="368" customFormat="false" ht="13.5" hidden="false" customHeight="false" outlineLevel="0" collapsed="false">
      <c r="A368" s="3229" t="n">
        <v>9.9</v>
      </c>
      <c r="B368" s="3230" t="n">
        <v>0.6648</v>
      </c>
      <c r="C368" s="3230" t="n">
        <v>0.6648</v>
      </c>
      <c r="D368" s="3230" t="n">
        <v>0.6045</v>
      </c>
      <c r="E368" s="3230" t="n">
        <v>0.6045</v>
      </c>
      <c r="F368" s="3230" t="n">
        <v>0.6045</v>
      </c>
      <c r="G368" s="3230" t="n">
        <v>0.483</v>
      </c>
      <c r="H368" s="3230" t="n">
        <v>0.483</v>
      </c>
      <c r="I368" s="3230" t="n">
        <v>0.4024</v>
      </c>
      <c r="J368" s="3230" t="n">
        <v>0.4024</v>
      </c>
      <c r="K368" s="3230" t="n">
        <v>0.4024</v>
      </c>
      <c r="L368" s="3230" t="n">
        <v>0.4024</v>
      </c>
      <c r="M368" s="3231" t="n">
        <v>0.4024</v>
      </c>
    </row>
    <row r="369" customFormat="false" ht="14.25" hidden="false" customHeight="false" outlineLevel="0" collapsed="false">
      <c r="A369" s="3216" t="s">
        <v>1970</v>
      </c>
      <c r="B369" s="3232"/>
      <c r="C369" s="3232"/>
      <c r="D369" s="3232"/>
      <c r="E369" s="3232"/>
      <c r="F369" s="3232"/>
      <c r="G369" s="3232"/>
      <c r="H369" s="3232"/>
      <c r="I369" s="3232"/>
      <c r="J369" s="3232"/>
      <c r="K369" s="3232"/>
      <c r="L369" s="3232"/>
      <c r="M369" s="3232"/>
    </row>
    <row r="370" customFormat="false" ht="13.5" hidden="false" customHeight="false" outlineLevel="0" collapsed="false">
      <c r="A370" s="3218" t="s">
        <v>524</v>
      </c>
      <c r="B370" s="3219" t="s">
        <v>226</v>
      </c>
      <c r="C370" s="3219" t="s">
        <v>237</v>
      </c>
      <c r="D370" s="3219" t="s">
        <v>247</v>
      </c>
      <c r="E370" s="3219" t="s">
        <v>255</v>
      </c>
      <c r="F370" s="3219" t="s">
        <v>263</v>
      </c>
      <c r="G370" s="3219" t="s">
        <v>269</v>
      </c>
      <c r="H370" s="3220" t="s">
        <v>274</v>
      </c>
      <c r="I370" s="3220" t="s">
        <v>280</v>
      </c>
      <c r="J370" s="3221" t="s">
        <v>284</v>
      </c>
      <c r="K370" s="3221" t="s">
        <v>288</v>
      </c>
      <c r="L370" s="3221" t="s">
        <v>292</v>
      </c>
      <c r="M370" s="3222" t="s">
        <v>296</v>
      </c>
      <c r="N370" s="3215" t="n">
        <f aca="false">SUMPRODUCT((A371:A460=ROUNDDOWN(基准地价修正!G3,1))*(B370:M370=基准地价修正!G2)*(B371:M460))</f>
        <v>0</v>
      </c>
      <c r="Q370" s="3223" t="s">
        <v>1961</v>
      </c>
      <c r="R370" s="3223" t="s">
        <v>1962</v>
      </c>
      <c r="S370" s="3223" t="s">
        <v>1963</v>
      </c>
      <c r="T370" s="3223" t="s">
        <v>1964</v>
      </c>
    </row>
    <row r="371" customFormat="false" ht="13.5" hidden="false" customHeight="false" outlineLevel="0" collapsed="false">
      <c r="A371" s="3224" t="n">
        <v>1</v>
      </c>
      <c r="B371" s="3225" t="n">
        <v>1.184</v>
      </c>
      <c r="C371" s="3225" t="n">
        <v>1.184</v>
      </c>
      <c r="D371" s="3225" t="n">
        <v>1.1565</v>
      </c>
      <c r="E371" s="3225" t="n">
        <v>1.1565</v>
      </c>
      <c r="F371" s="3225" t="n">
        <v>1.1565</v>
      </c>
      <c r="G371" s="3225" t="n">
        <v>1.1565</v>
      </c>
      <c r="H371" s="3225" t="n">
        <v>1.1565</v>
      </c>
      <c r="I371" s="3225" t="n">
        <v>1.1199</v>
      </c>
      <c r="J371" s="3225" t="n">
        <v>1.1199</v>
      </c>
      <c r="K371" s="3225" t="n">
        <v>1.1199</v>
      </c>
      <c r="L371" s="3225" t="n">
        <v>1.1199</v>
      </c>
      <c r="M371" s="3226" t="n">
        <v>1.1199</v>
      </c>
      <c r="Q371" s="3223" t="n">
        <v>10</v>
      </c>
      <c r="R371" s="3223" t="n">
        <f aca="false">ROUND(0.9404-0.0106*Q371,4)</f>
        <v>0.8344</v>
      </c>
      <c r="S371" s="3223" t="n">
        <f aca="false">ROUND(0.8955-0.0135*Q371,4)</f>
        <v>0.7605</v>
      </c>
      <c r="T371" s="3223" t="n">
        <f aca="false">ROUND(0.7632-0.0166*Q371,4)</f>
        <v>0.5972</v>
      </c>
    </row>
    <row r="372" customFormat="false" ht="13.5" hidden="false" customHeight="false" outlineLevel="0" collapsed="false">
      <c r="A372" s="3224" t="n">
        <v>1.1</v>
      </c>
      <c r="B372" s="3225" t="n">
        <v>1.1659</v>
      </c>
      <c r="C372" s="3225" t="n">
        <v>1.1659</v>
      </c>
      <c r="D372" s="3225" t="n">
        <v>1.1364</v>
      </c>
      <c r="E372" s="3225" t="n">
        <v>1.1364</v>
      </c>
      <c r="F372" s="3225" t="n">
        <v>1.1364</v>
      </c>
      <c r="G372" s="3225" t="n">
        <v>1.1364</v>
      </c>
      <c r="H372" s="3225" t="n">
        <v>1.1364</v>
      </c>
      <c r="I372" s="3225" t="n">
        <v>1.0931</v>
      </c>
      <c r="J372" s="3225" t="n">
        <v>1.0931</v>
      </c>
      <c r="K372" s="3225" t="n">
        <v>1.0931</v>
      </c>
      <c r="L372" s="3225" t="n">
        <v>1.0931</v>
      </c>
      <c r="M372" s="3226" t="n">
        <v>1.0931</v>
      </c>
    </row>
    <row r="373" customFormat="false" ht="13.5" hidden="false" customHeight="false" outlineLevel="0" collapsed="false">
      <c r="A373" s="3224" t="n">
        <v>1.2</v>
      </c>
      <c r="B373" s="3225" t="n">
        <v>1.1489</v>
      </c>
      <c r="C373" s="3225" t="n">
        <v>1.1489</v>
      </c>
      <c r="D373" s="3225" t="n">
        <v>1.1175</v>
      </c>
      <c r="E373" s="3225" t="n">
        <v>1.1175</v>
      </c>
      <c r="F373" s="3225" t="n">
        <v>1.1175</v>
      </c>
      <c r="G373" s="3225" t="n">
        <v>1.1175</v>
      </c>
      <c r="H373" s="3225" t="n">
        <v>1.1175</v>
      </c>
      <c r="I373" s="3225" t="n">
        <v>1.0678</v>
      </c>
      <c r="J373" s="3225" t="n">
        <v>1.0678</v>
      </c>
      <c r="K373" s="3225" t="n">
        <v>1.0678</v>
      </c>
      <c r="L373" s="3225" t="n">
        <v>1.0678</v>
      </c>
      <c r="M373" s="3226" t="n">
        <v>1.0678</v>
      </c>
    </row>
    <row r="374" customFormat="false" ht="13.5" hidden="false" customHeight="false" outlineLevel="0" collapsed="false">
      <c r="A374" s="3224" t="n">
        <v>1.3</v>
      </c>
      <c r="B374" s="3225" t="n">
        <v>1.1328</v>
      </c>
      <c r="C374" s="3225" t="n">
        <v>1.1328</v>
      </c>
      <c r="D374" s="3225" t="n">
        <v>1.0996</v>
      </c>
      <c r="E374" s="3225" t="n">
        <v>1.0996</v>
      </c>
      <c r="F374" s="3225" t="n">
        <v>1.0996</v>
      </c>
      <c r="G374" s="3225" t="n">
        <v>1.0996</v>
      </c>
      <c r="H374" s="3225" t="n">
        <v>1.0996</v>
      </c>
      <c r="I374" s="3225" t="n">
        <v>1.044</v>
      </c>
      <c r="J374" s="3225" t="n">
        <v>1.044</v>
      </c>
      <c r="K374" s="3225" t="n">
        <v>1.044</v>
      </c>
      <c r="L374" s="3225" t="n">
        <v>1.044</v>
      </c>
      <c r="M374" s="3226" t="n">
        <v>1.044</v>
      </c>
    </row>
    <row r="375" customFormat="false" ht="13.5" hidden="false" customHeight="false" outlineLevel="0" collapsed="false">
      <c r="A375" s="3224" t="n">
        <v>1.4</v>
      </c>
      <c r="B375" s="3225" t="n">
        <v>1.1176</v>
      </c>
      <c r="C375" s="3225" t="n">
        <v>1.1176</v>
      </c>
      <c r="D375" s="3225" t="n">
        <v>1.0827</v>
      </c>
      <c r="E375" s="3225" t="n">
        <v>1.0827</v>
      </c>
      <c r="F375" s="3225" t="n">
        <v>1.0827</v>
      </c>
      <c r="G375" s="3225" t="n">
        <v>1.0827</v>
      </c>
      <c r="H375" s="3225" t="n">
        <v>1.0827</v>
      </c>
      <c r="I375" s="3225" t="n">
        <v>1.0214</v>
      </c>
      <c r="J375" s="3225" t="n">
        <v>1.0214</v>
      </c>
      <c r="K375" s="3225" t="n">
        <v>1.0214</v>
      </c>
      <c r="L375" s="3225" t="n">
        <v>1.0214</v>
      </c>
      <c r="M375" s="3226" t="n">
        <v>1.0214</v>
      </c>
    </row>
    <row r="376" customFormat="false" ht="13.5" hidden="false" customHeight="false" outlineLevel="0" collapsed="false">
      <c r="A376" s="3224" t="n">
        <v>1.5</v>
      </c>
      <c r="B376" s="3225" t="n">
        <v>1.1033</v>
      </c>
      <c r="C376" s="3225" t="n">
        <v>1.1033</v>
      </c>
      <c r="D376" s="3225" t="n">
        <v>1.0668</v>
      </c>
      <c r="E376" s="3225" t="n">
        <v>1.0668</v>
      </c>
      <c r="F376" s="3225" t="n">
        <v>1.0668</v>
      </c>
      <c r="G376" s="3225" t="n">
        <v>1.0668</v>
      </c>
      <c r="H376" s="3225" t="n">
        <v>1.0668</v>
      </c>
      <c r="I376" s="3225" t="n">
        <v>1</v>
      </c>
      <c r="J376" s="3225" t="n">
        <v>1</v>
      </c>
      <c r="K376" s="3225" t="n">
        <v>1</v>
      </c>
      <c r="L376" s="3225" t="n">
        <v>1</v>
      </c>
      <c r="M376" s="3226" t="n">
        <v>1</v>
      </c>
    </row>
    <row r="377" customFormat="false" ht="13.5" hidden="false" customHeight="false" outlineLevel="0" collapsed="false">
      <c r="A377" s="3224" t="n">
        <v>1.6</v>
      </c>
      <c r="B377" s="3225" t="n">
        <v>1.0899</v>
      </c>
      <c r="C377" s="3225" t="n">
        <v>1.0899</v>
      </c>
      <c r="D377" s="3225" t="n">
        <v>1.0517</v>
      </c>
      <c r="E377" s="3225" t="n">
        <v>1.0517</v>
      </c>
      <c r="F377" s="3225" t="n">
        <v>1.0517</v>
      </c>
      <c r="G377" s="3225" t="n">
        <v>1.0517</v>
      </c>
      <c r="H377" s="3225" t="n">
        <v>1.0517</v>
      </c>
      <c r="I377" s="3225" t="n">
        <v>0.9799</v>
      </c>
      <c r="J377" s="3225" t="n">
        <v>0.9799</v>
      </c>
      <c r="K377" s="3225" t="n">
        <v>0.9799</v>
      </c>
      <c r="L377" s="3225" t="n">
        <v>0.9799</v>
      </c>
      <c r="M377" s="3226" t="n">
        <v>0.9799</v>
      </c>
    </row>
    <row r="378" customFormat="false" ht="13.5" hidden="false" customHeight="false" outlineLevel="0" collapsed="false">
      <c r="A378" s="3224" t="n">
        <v>1.7</v>
      </c>
      <c r="B378" s="3225" t="n">
        <v>1.0772</v>
      </c>
      <c r="C378" s="3225" t="n">
        <v>1.0772</v>
      </c>
      <c r="D378" s="3225" t="n">
        <v>1.0376</v>
      </c>
      <c r="E378" s="3225" t="n">
        <v>1.0376</v>
      </c>
      <c r="F378" s="3225" t="n">
        <v>1.0376</v>
      </c>
      <c r="G378" s="3225" t="n">
        <v>1.0376</v>
      </c>
      <c r="H378" s="3225" t="n">
        <v>1.0376</v>
      </c>
      <c r="I378" s="3225" t="n">
        <v>0.9609</v>
      </c>
      <c r="J378" s="3225" t="n">
        <v>0.9609</v>
      </c>
      <c r="K378" s="3225" t="n">
        <v>0.9609</v>
      </c>
      <c r="L378" s="3225" t="n">
        <v>0.9609</v>
      </c>
      <c r="M378" s="3226" t="n">
        <v>0.9609</v>
      </c>
    </row>
    <row r="379" customFormat="false" ht="13.5" hidden="false" customHeight="false" outlineLevel="0" collapsed="false">
      <c r="A379" s="3224" t="n">
        <v>1.8</v>
      </c>
      <c r="B379" s="3225" t="n">
        <v>1.0653</v>
      </c>
      <c r="C379" s="3225" t="n">
        <v>1.0653</v>
      </c>
      <c r="D379" s="3225" t="n">
        <v>1.0243</v>
      </c>
      <c r="E379" s="3225" t="n">
        <v>1.0243</v>
      </c>
      <c r="F379" s="3225" t="n">
        <v>1.0243</v>
      </c>
      <c r="G379" s="3225" t="n">
        <v>1.0243</v>
      </c>
      <c r="H379" s="3225" t="n">
        <v>1.0243</v>
      </c>
      <c r="I379" s="3225" t="n">
        <v>0.943</v>
      </c>
      <c r="J379" s="3225" t="n">
        <v>0.943</v>
      </c>
      <c r="K379" s="3225" t="n">
        <v>0.943</v>
      </c>
      <c r="L379" s="3225" t="n">
        <v>0.943</v>
      </c>
      <c r="M379" s="3226" t="n">
        <v>0.943</v>
      </c>
    </row>
    <row r="380" customFormat="false" ht="13.5" hidden="false" customHeight="false" outlineLevel="0" collapsed="false">
      <c r="A380" s="3224" t="n">
        <v>1.9</v>
      </c>
      <c r="B380" s="3225" t="n">
        <v>1.054</v>
      </c>
      <c r="C380" s="3225" t="n">
        <v>1.054</v>
      </c>
      <c r="D380" s="3225" t="n">
        <v>1.0118</v>
      </c>
      <c r="E380" s="3225" t="n">
        <v>1.0118</v>
      </c>
      <c r="F380" s="3225" t="n">
        <v>1.0118</v>
      </c>
      <c r="G380" s="3225" t="n">
        <v>1.0118</v>
      </c>
      <c r="H380" s="3225" t="n">
        <v>1.0118</v>
      </c>
      <c r="I380" s="3225" t="n">
        <v>0.9262</v>
      </c>
      <c r="J380" s="3225" t="n">
        <v>0.9262</v>
      </c>
      <c r="K380" s="3225" t="n">
        <v>0.9262</v>
      </c>
      <c r="L380" s="3225" t="n">
        <v>0.9262</v>
      </c>
      <c r="M380" s="3226" t="n">
        <v>0.9262</v>
      </c>
    </row>
    <row r="381" customFormat="false" ht="13.5" hidden="false" customHeight="false" outlineLevel="0" collapsed="false">
      <c r="A381" s="3224" t="n">
        <v>2</v>
      </c>
      <c r="B381" s="3225" t="n">
        <v>1.0435</v>
      </c>
      <c r="C381" s="3225" t="n">
        <v>1.0435</v>
      </c>
      <c r="D381" s="3225" t="n">
        <v>1</v>
      </c>
      <c r="E381" s="3225" t="n">
        <v>1</v>
      </c>
      <c r="F381" s="3225" t="n">
        <v>1</v>
      </c>
      <c r="G381" s="3225" t="n">
        <v>1</v>
      </c>
      <c r="H381" s="3225" t="n">
        <v>1</v>
      </c>
      <c r="I381" s="3225" t="n">
        <v>0.9103</v>
      </c>
      <c r="J381" s="3225" t="n">
        <v>0.9103</v>
      </c>
      <c r="K381" s="3225" t="n">
        <v>0.9103</v>
      </c>
      <c r="L381" s="3225" t="n">
        <v>0.9103</v>
      </c>
      <c r="M381" s="3226" t="n">
        <v>0.9103</v>
      </c>
    </row>
    <row r="382" customFormat="false" ht="13.5" hidden="false" customHeight="false" outlineLevel="0" collapsed="false">
      <c r="A382" s="3228" t="n">
        <v>2.1</v>
      </c>
      <c r="B382" s="3225" t="n">
        <v>1.0336</v>
      </c>
      <c r="C382" s="3225" t="n">
        <v>1.0336</v>
      </c>
      <c r="D382" s="3225" t="n">
        <v>0.989</v>
      </c>
      <c r="E382" s="3225" t="n">
        <v>0.989</v>
      </c>
      <c r="F382" s="3225" t="n">
        <v>0.989</v>
      </c>
      <c r="G382" s="3225" t="n">
        <v>0.989</v>
      </c>
      <c r="H382" s="3225" t="n">
        <v>0.989</v>
      </c>
      <c r="I382" s="3225" t="n">
        <v>0.8954</v>
      </c>
      <c r="J382" s="3225" t="n">
        <v>0.8954</v>
      </c>
      <c r="K382" s="3225" t="n">
        <v>0.8954</v>
      </c>
      <c r="L382" s="3225" t="n">
        <v>0.8954</v>
      </c>
      <c r="M382" s="3226" t="n">
        <v>0.8954</v>
      </c>
    </row>
    <row r="383" customFormat="false" ht="13.5" hidden="false" customHeight="false" outlineLevel="0" collapsed="false">
      <c r="A383" s="3228" t="n">
        <v>2.2</v>
      </c>
      <c r="B383" s="3225" t="n">
        <v>1.0243</v>
      </c>
      <c r="C383" s="3225" t="n">
        <v>1.0243</v>
      </c>
      <c r="D383" s="3225" t="n">
        <v>0.9786</v>
      </c>
      <c r="E383" s="3225" t="n">
        <v>0.9786</v>
      </c>
      <c r="F383" s="3225" t="n">
        <v>0.9786</v>
      </c>
      <c r="G383" s="3225" t="n">
        <v>0.9786</v>
      </c>
      <c r="H383" s="3225" t="n">
        <v>0.9786</v>
      </c>
      <c r="I383" s="3225" t="n">
        <v>0.8814</v>
      </c>
      <c r="J383" s="3225" t="n">
        <v>0.8814</v>
      </c>
      <c r="K383" s="3225" t="n">
        <v>0.8814</v>
      </c>
      <c r="L383" s="3225" t="n">
        <v>0.8814</v>
      </c>
      <c r="M383" s="3226" t="n">
        <v>0.8814</v>
      </c>
    </row>
    <row r="384" customFormat="false" ht="13.5" hidden="false" customHeight="false" outlineLevel="0" collapsed="false">
      <c r="A384" s="3228" t="n">
        <v>2.3</v>
      </c>
      <c r="B384" s="3225" t="n">
        <v>1.0157</v>
      </c>
      <c r="C384" s="3225" t="n">
        <v>1.0157</v>
      </c>
      <c r="D384" s="3225" t="n">
        <v>0.9689</v>
      </c>
      <c r="E384" s="3225" t="n">
        <v>0.9689</v>
      </c>
      <c r="F384" s="3225" t="n">
        <v>0.9689</v>
      </c>
      <c r="G384" s="3225" t="n">
        <v>0.9689</v>
      </c>
      <c r="H384" s="3225" t="n">
        <v>0.9689</v>
      </c>
      <c r="I384" s="3225" t="n">
        <v>0.8682</v>
      </c>
      <c r="J384" s="3225" t="n">
        <v>0.8682</v>
      </c>
      <c r="K384" s="3225" t="n">
        <v>0.8682</v>
      </c>
      <c r="L384" s="3225" t="n">
        <v>0.8682</v>
      </c>
      <c r="M384" s="3226" t="n">
        <v>0.8682</v>
      </c>
    </row>
    <row r="385" customFormat="false" ht="13.5" hidden="false" customHeight="false" outlineLevel="0" collapsed="false">
      <c r="A385" s="3228" t="n">
        <v>2.4</v>
      </c>
      <c r="B385" s="3225" t="n">
        <v>1.0076</v>
      </c>
      <c r="C385" s="3225" t="n">
        <v>1.0076</v>
      </c>
      <c r="D385" s="3225" t="n">
        <v>0.9598</v>
      </c>
      <c r="E385" s="3225" t="n">
        <v>0.9598</v>
      </c>
      <c r="F385" s="3225" t="n">
        <v>0.9598</v>
      </c>
      <c r="G385" s="3225" t="n">
        <v>0.9598</v>
      </c>
      <c r="H385" s="3225" t="n">
        <v>0.9598</v>
      </c>
      <c r="I385" s="3225" t="n">
        <v>0.8558</v>
      </c>
      <c r="J385" s="3225" t="n">
        <v>0.8558</v>
      </c>
      <c r="K385" s="3225" t="n">
        <v>0.8558</v>
      </c>
      <c r="L385" s="3225" t="n">
        <v>0.8558</v>
      </c>
      <c r="M385" s="3226" t="n">
        <v>0.8558</v>
      </c>
    </row>
    <row r="386" customFormat="false" ht="13.5" hidden="false" customHeight="false" outlineLevel="0" collapsed="false">
      <c r="A386" s="3228" t="n">
        <v>2.5</v>
      </c>
      <c r="B386" s="3225" t="n">
        <v>1</v>
      </c>
      <c r="C386" s="3225" t="n">
        <v>1</v>
      </c>
      <c r="D386" s="3225" t="n">
        <v>0.9512</v>
      </c>
      <c r="E386" s="3225" t="n">
        <v>0.9512</v>
      </c>
      <c r="F386" s="3225" t="n">
        <v>0.9512</v>
      </c>
      <c r="G386" s="3225" t="n">
        <v>0.9512</v>
      </c>
      <c r="H386" s="3225" t="n">
        <v>0.9512</v>
      </c>
      <c r="I386" s="3225" t="n">
        <v>0.8442</v>
      </c>
      <c r="J386" s="3225" t="n">
        <v>0.8442</v>
      </c>
      <c r="K386" s="3225" t="n">
        <v>0.8442</v>
      </c>
      <c r="L386" s="3225" t="n">
        <v>0.8442</v>
      </c>
      <c r="M386" s="3226" t="n">
        <v>0.8442</v>
      </c>
    </row>
    <row r="387" customFormat="false" ht="13.5" hidden="false" customHeight="false" outlineLevel="0" collapsed="false">
      <c r="A387" s="3228" t="n">
        <v>2.6</v>
      </c>
      <c r="B387" s="3225" t="n">
        <v>0.9929</v>
      </c>
      <c r="C387" s="3225" t="n">
        <v>0.9929</v>
      </c>
      <c r="D387" s="3225" t="n">
        <v>0.9432</v>
      </c>
      <c r="E387" s="3225" t="n">
        <v>0.9432</v>
      </c>
      <c r="F387" s="3225" t="n">
        <v>0.9432</v>
      </c>
      <c r="G387" s="3225" t="n">
        <v>0.9432</v>
      </c>
      <c r="H387" s="3225" t="n">
        <v>0.9432</v>
      </c>
      <c r="I387" s="3225" t="n">
        <v>0.8333</v>
      </c>
      <c r="J387" s="3225" t="n">
        <v>0.8333</v>
      </c>
      <c r="K387" s="3225" t="n">
        <v>0.8333</v>
      </c>
      <c r="L387" s="3225" t="n">
        <v>0.8333</v>
      </c>
      <c r="M387" s="3226" t="n">
        <v>0.8333</v>
      </c>
    </row>
    <row r="388" customFormat="false" ht="13.5" hidden="false" customHeight="false" outlineLevel="0" collapsed="false">
      <c r="A388" s="3228" t="n">
        <v>2.7</v>
      </c>
      <c r="B388" s="3225" t="n">
        <v>0.9863</v>
      </c>
      <c r="C388" s="3225" t="n">
        <v>0.9863</v>
      </c>
      <c r="D388" s="3225" t="n">
        <v>0.9357</v>
      </c>
      <c r="E388" s="3225" t="n">
        <v>0.9357</v>
      </c>
      <c r="F388" s="3225" t="n">
        <v>0.9357</v>
      </c>
      <c r="G388" s="3225" t="n">
        <v>0.9357</v>
      </c>
      <c r="H388" s="3225" t="n">
        <v>0.9357</v>
      </c>
      <c r="I388" s="3225" t="n">
        <v>0.8232</v>
      </c>
      <c r="J388" s="3225" t="n">
        <v>0.8232</v>
      </c>
      <c r="K388" s="3225" t="n">
        <v>0.8232</v>
      </c>
      <c r="L388" s="3225" t="n">
        <v>0.8232</v>
      </c>
      <c r="M388" s="3226" t="n">
        <v>0.8232</v>
      </c>
    </row>
    <row r="389" customFormat="false" ht="13.5" hidden="false" customHeight="false" outlineLevel="0" collapsed="false">
      <c r="A389" s="3228" t="n">
        <v>2.8</v>
      </c>
      <c r="B389" s="3225" t="n">
        <v>0.9801</v>
      </c>
      <c r="C389" s="3225" t="n">
        <v>0.9801</v>
      </c>
      <c r="D389" s="3225" t="n">
        <v>0.9288</v>
      </c>
      <c r="E389" s="3225" t="n">
        <v>0.9288</v>
      </c>
      <c r="F389" s="3225" t="n">
        <v>0.9288</v>
      </c>
      <c r="G389" s="3225" t="n">
        <v>0.9288</v>
      </c>
      <c r="H389" s="3225" t="n">
        <v>0.9288</v>
      </c>
      <c r="I389" s="3225" t="n">
        <v>0.8136</v>
      </c>
      <c r="J389" s="3225" t="n">
        <v>0.8136</v>
      </c>
      <c r="K389" s="3225" t="n">
        <v>0.8136</v>
      </c>
      <c r="L389" s="3225" t="n">
        <v>0.8136</v>
      </c>
      <c r="M389" s="3226" t="n">
        <v>0.8136</v>
      </c>
    </row>
    <row r="390" customFormat="false" ht="13.5" hidden="false" customHeight="false" outlineLevel="0" collapsed="false">
      <c r="A390" s="3228" t="n">
        <v>2.9</v>
      </c>
      <c r="B390" s="3225" t="n">
        <v>0.9743</v>
      </c>
      <c r="C390" s="3225" t="n">
        <v>0.9743</v>
      </c>
      <c r="D390" s="3225" t="n">
        <v>0.9222</v>
      </c>
      <c r="E390" s="3225" t="n">
        <v>0.9222</v>
      </c>
      <c r="F390" s="3225" t="n">
        <v>0.9222</v>
      </c>
      <c r="G390" s="3225" t="n">
        <v>0.9222</v>
      </c>
      <c r="H390" s="3225" t="n">
        <v>0.9222</v>
      </c>
      <c r="I390" s="3225" t="n">
        <v>0.8046</v>
      </c>
      <c r="J390" s="3225" t="n">
        <v>0.8046</v>
      </c>
      <c r="K390" s="3225" t="n">
        <v>0.8046</v>
      </c>
      <c r="L390" s="3225" t="n">
        <v>0.8046</v>
      </c>
      <c r="M390" s="3226" t="n">
        <v>0.8046</v>
      </c>
    </row>
    <row r="391" customFormat="false" ht="13.5" hidden="false" customHeight="false" outlineLevel="0" collapsed="false">
      <c r="A391" s="3228" t="n">
        <v>3</v>
      </c>
      <c r="B391" s="3225" t="n">
        <v>0.9689</v>
      </c>
      <c r="C391" s="3225" t="n">
        <v>0.9689</v>
      </c>
      <c r="D391" s="3225" t="n">
        <v>0.9161</v>
      </c>
      <c r="E391" s="3225" t="n">
        <v>0.9161</v>
      </c>
      <c r="F391" s="3225" t="n">
        <v>0.9161</v>
      </c>
      <c r="G391" s="3225" t="n">
        <v>0.9161</v>
      </c>
      <c r="H391" s="3225" t="n">
        <v>0.9161</v>
      </c>
      <c r="I391" s="3225" t="n">
        <v>0.7962</v>
      </c>
      <c r="J391" s="3225" t="n">
        <v>0.7962</v>
      </c>
      <c r="K391" s="3225" t="n">
        <v>0.7962</v>
      </c>
      <c r="L391" s="3225" t="n">
        <v>0.7962</v>
      </c>
      <c r="M391" s="3226" t="n">
        <v>0.7962</v>
      </c>
    </row>
    <row r="392" customFormat="false" ht="13.5" hidden="false" customHeight="false" outlineLevel="0" collapsed="false">
      <c r="A392" s="3228" t="n">
        <v>3.1</v>
      </c>
      <c r="B392" s="3225" t="n">
        <v>0.9639</v>
      </c>
      <c r="C392" s="3225" t="n">
        <v>0.9639</v>
      </c>
      <c r="D392" s="3225" t="n">
        <v>0.9104</v>
      </c>
      <c r="E392" s="3225" t="n">
        <v>0.9104</v>
      </c>
      <c r="F392" s="3225" t="n">
        <v>0.9104</v>
      </c>
      <c r="G392" s="3225" t="n">
        <v>0.9104</v>
      </c>
      <c r="H392" s="3225" t="n">
        <v>0.9104</v>
      </c>
      <c r="I392" s="3225" t="n">
        <v>0.7883</v>
      </c>
      <c r="J392" s="3225" t="n">
        <v>0.7883</v>
      </c>
      <c r="K392" s="3225" t="n">
        <v>0.7883</v>
      </c>
      <c r="L392" s="3225" t="n">
        <v>0.7883</v>
      </c>
      <c r="M392" s="3226" t="n">
        <v>0.7883</v>
      </c>
    </row>
    <row r="393" customFormat="false" ht="13.5" hidden="false" customHeight="false" outlineLevel="0" collapsed="false">
      <c r="A393" s="3228" t="n">
        <v>3.2</v>
      </c>
      <c r="B393" s="3225" t="n">
        <v>0.9593</v>
      </c>
      <c r="C393" s="3225" t="n">
        <v>0.9593</v>
      </c>
      <c r="D393" s="3225" t="n">
        <v>0.9052</v>
      </c>
      <c r="E393" s="3225" t="n">
        <v>0.9052</v>
      </c>
      <c r="F393" s="3225" t="n">
        <v>0.9052</v>
      </c>
      <c r="G393" s="3225" t="n">
        <v>0.9052</v>
      </c>
      <c r="H393" s="3225" t="n">
        <v>0.9052</v>
      </c>
      <c r="I393" s="3225" t="n">
        <v>0.7809</v>
      </c>
      <c r="J393" s="3225" t="n">
        <v>0.7809</v>
      </c>
      <c r="K393" s="3225" t="n">
        <v>0.7809</v>
      </c>
      <c r="L393" s="3225" t="n">
        <v>0.7809</v>
      </c>
      <c r="M393" s="3226" t="n">
        <v>0.7809</v>
      </c>
    </row>
    <row r="394" customFormat="false" ht="13.5" hidden="false" customHeight="false" outlineLevel="0" collapsed="false">
      <c r="A394" s="3228" t="n">
        <v>3.3</v>
      </c>
      <c r="B394" s="3225" t="n">
        <v>0.9549</v>
      </c>
      <c r="C394" s="3225" t="n">
        <v>0.9549</v>
      </c>
      <c r="D394" s="3225" t="n">
        <v>0.9002</v>
      </c>
      <c r="E394" s="3225" t="n">
        <v>0.9002</v>
      </c>
      <c r="F394" s="3225" t="n">
        <v>0.9002</v>
      </c>
      <c r="G394" s="3225" t="n">
        <v>0.9002</v>
      </c>
      <c r="H394" s="3225" t="n">
        <v>0.9002</v>
      </c>
      <c r="I394" s="3225" t="n">
        <v>0.7741</v>
      </c>
      <c r="J394" s="3225" t="n">
        <v>0.7741</v>
      </c>
      <c r="K394" s="3225" t="n">
        <v>0.7741</v>
      </c>
      <c r="L394" s="3225" t="n">
        <v>0.7741</v>
      </c>
      <c r="M394" s="3226" t="n">
        <v>0.7741</v>
      </c>
    </row>
    <row r="395" customFormat="false" ht="13.5" hidden="false" customHeight="false" outlineLevel="0" collapsed="false">
      <c r="A395" s="3228" t="n">
        <v>3.4</v>
      </c>
      <c r="B395" s="3225" t="n">
        <v>0.9509</v>
      </c>
      <c r="C395" s="3225" t="n">
        <v>0.9509</v>
      </c>
      <c r="D395" s="3225" t="n">
        <v>0.8956</v>
      </c>
      <c r="E395" s="3225" t="n">
        <v>0.8956</v>
      </c>
      <c r="F395" s="3225" t="n">
        <v>0.8956</v>
      </c>
      <c r="G395" s="3225" t="n">
        <v>0.8956</v>
      </c>
      <c r="H395" s="3225" t="n">
        <v>0.8956</v>
      </c>
      <c r="I395" s="3225" t="n">
        <v>0.7676</v>
      </c>
      <c r="J395" s="3225" t="n">
        <v>0.7676</v>
      </c>
      <c r="K395" s="3225" t="n">
        <v>0.7676</v>
      </c>
      <c r="L395" s="3225" t="n">
        <v>0.7676</v>
      </c>
      <c r="M395" s="3226" t="n">
        <v>0.7676</v>
      </c>
    </row>
    <row r="396" customFormat="false" ht="13.5" hidden="false" customHeight="false" outlineLevel="0" collapsed="false">
      <c r="A396" s="3228" t="n">
        <v>3.5</v>
      </c>
      <c r="B396" s="3225" t="n">
        <v>0.9471</v>
      </c>
      <c r="C396" s="3225" t="n">
        <v>0.9471</v>
      </c>
      <c r="D396" s="3225" t="n">
        <v>0.8913</v>
      </c>
      <c r="E396" s="3225" t="n">
        <v>0.8913</v>
      </c>
      <c r="F396" s="3225" t="n">
        <v>0.8913</v>
      </c>
      <c r="G396" s="3225" t="n">
        <v>0.8913</v>
      </c>
      <c r="H396" s="3225" t="n">
        <v>0.8913</v>
      </c>
      <c r="I396" s="3225" t="n">
        <v>0.7616</v>
      </c>
      <c r="J396" s="3225" t="n">
        <v>0.7616</v>
      </c>
      <c r="K396" s="3225" t="n">
        <v>0.7616</v>
      </c>
      <c r="L396" s="3225" t="n">
        <v>0.7616</v>
      </c>
      <c r="M396" s="3226" t="n">
        <v>0.7616</v>
      </c>
    </row>
    <row r="397" customFormat="false" ht="13.5" hidden="false" customHeight="false" outlineLevel="0" collapsed="false">
      <c r="A397" s="3228" t="n">
        <v>3.6</v>
      </c>
      <c r="B397" s="3225" t="n">
        <v>0.9436</v>
      </c>
      <c r="C397" s="3225" t="n">
        <v>0.9436</v>
      </c>
      <c r="D397" s="3225" t="n">
        <v>0.8873</v>
      </c>
      <c r="E397" s="3225" t="n">
        <v>0.8873</v>
      </c>
      <c r="F397" s="3225" t="n">
        <v>0.8873</v>
      </c>
      <c r="G397" s="3225" t="n">
        <v>0.8873</v>
      </c>
      <c r="H397" s="3225" t="n">
        <v>0.8873</v>
      </c>
      <c r="I397" s="3225" t="n">
        <v>0.7559</v>
      </c>
      <c r="J397" s="3225" t="n">
        <v>0.7559</v>
      </c>
      <c r="K397" s="3225" t="n">
        <v>0.7559</v>
      </c>
      <c r="L397" s="3225" t="n">
        <v>0.7559</v>
      </c>
      <c r="M397" s="3226" t="n">
        <v>0.7559</v>
      </c>
    </row>
    <row r="398" customFormat="false" ht="13.5" hidden="false" customHeight="false" outlineLevel="0" collapsed="false">
      <c r="A398" s="3228" t="n">
        <v>3.7</v>
      </c>
      <c r="B398" s="3225" t="n">
        <v>0.9404</v>
      </c>
      <c r="C398" s="3225" t="n">
        <v>0.9404</v>
      </c>
      <c r="D398" s="3225" t="n">
        <v>0.8835</v>
      </c>
      <c r="E398" s="3225" t="n">
        <v>0.8835</v>
      </c>
      <c r="F398" s="3225" t="n">
        <v>0.8835</v>
      </c>
      <c r="G398" s="3225" t="n">
        <v>0.8835</v>
      </c>
      <c r="H398" s="3225" t="n">
        <v>0.8835</v>
      </c>
      <c r="I398" s="3225" t="n">
        <v>0.7507</v>
      </c>
      <c r="J398" s="3225" t="n">
        <v>0.7507</v>
      </c>
      <c r="K398" s="3225" t="n">
        <v>0.7507</v>
      </c>
      <c r="L398" s="3225" t="n">
        <v>0.7507</v>
      </c>
      <c r="M398" s="3226" t="n">
        <v>0.7507</v>
      </c>
    </row>
    <row r="399" customFormat="false" ht="13.5" hidden="false" customHeight="false" outlineLevel="0" collapsed="false">
      <c r="A399" s="3228" t="n">
        <v>3.8</v>
      </c>
      <c r="B399" s="3225" t="n">
        <v>0.9374</v>
      </c>
      <c r="C399" s="3225" t="n">
        <v>0.9374</v>
      </c>
      <c r="D399" s="3225" t="n">
        <v>0.8801</v>
      </c>
      <c r="E399" s="3225" t="n">
        <v>0.8801</v>
      </c>
      <c r="F399" s="3225" t="n">
        <v>0.8801</v>
      </c>
      <c r="G399" s="3225" t="n">
        <v>0.8801</v>
      </c>
      <c r="H399" s="3225" t="n">
        <v>0.8801</v>
      </c>
      <c r="I399" s="3225" t="n">
        <v>0.7457</v>
      </c>
      <c r="J399" s="3225" t="n">
        <v>0.7457</v>
      </c>
      <c r="K399" s="3225" t="n">
        <v>0.7457</v>
      </c>
      <c r="L399" s="3225" t="n">
        <v>0.7457</v>
      </c>
      <c r="M399" s="3226" t="n">
        <v>0.7457</v>
      </c>
    </row>
    <row r="400" customFormat="false" ht="13.5" hidden="false" customHeight="false" outlineLevel="0" collapsed="false">
      <c r="A400" s="3228" t="n">
        <v>3.9</v>
      </c>
      <c r="B400" s="3225" t="n">
        <v>0.9346</v>
      </c>
      <c r="C400" s="3225" t="n">
        <v>0.9346</v>
      </c>
      <c r="D400" s="3225" t="n">
        <v>0.8768</v>
      </c>
      <c r="E400" s="3225" t="n">
        <v>0.8768</v>
      </c>
      <c r="F400" s="3225" t="n">
        <v>0.8768</v>
      </c>
      <c r="G400" s="3225" t="n">
        <v>0.8768</v>
      </c>
      <c r="H400" s="3225" t="n">
        <v>0.8768</v>
      </c>
      <c r="I400" s="3225" t="n">
        <v>0.7411</v>
      </c>
      <c r="J400" s="3225" t="n">
        <v>0.7411</v>
      </c>
      <c r="K400" s="3225" t="n">
        <v>0.7411</v>
      </c>
      <c r="L400" s="3225" t="n">
        <v>0.7411</v>
      </c>
      <c r="M400" s="3226" t="n">
        <v>0.7411</v>
      </c>
    </row>
    <row r="401" customFormat="false" ht="13.5" hidden="false" customHeight="false" outlineLevel="0" collapsed="false">
      <c r="A401" s="3228" t="n">
        <v>4</v>
      </c>
      <c r="B401" s="3225" t="n">
        <v>0.9318</v>
      </c>
      <c r="C401" s="3225" t="n">
        <v>0.9318</v>
      </c>
      <c r="D401" s="3225" t="n">
        <v>0.8738</v>
      </c>
      <c r="E401" s="3225" t="n">
        <v>0.8738</v>
      </c>
      <c r="F401" s="3225" t="n">
        <v>0.8738</v>
      </c>
      <c r="G401" s="3225" t="n">
        <v>0.8738</v>
      </c>
      <c r="H401" s="3225" t="n">
        <v>0.8738</v>
      </c>
      <c r="I401" s="3225" t="n">
        <v>0.7368</v>
      </c>
      <c r="J401" s="3225" t="n">
        <v>0.7368</v>
      </c>
      <c r="K401" s="3225" t="n">
        <v>0.7368</v>
      </c>
      <c r="L401" s="3225" t="n">
        <v>0.7368</v>
      </c>
      <c r="M401" s="3226" t="n">
        <v>0.7368</v>
      </c>
    </row>
    <row r="402" customFormat="false" ht="13.5" hidden="false" customHeight="false" outlineLevel="0" collapsed="false">
      <c r="A402" s="3228" t="n">
        <v>4.1</v>
      </c>
      <c r="B402" s="3225" t="n">
        <v>0.9292</v>
      </c>
      <c r="C402" s="3225" t="n">
        <v>0.9292</v>
      </c>
      <c r="D402" s="3225" t="n">
        <v>0.8709</v>
      </c>
      <c r="E402" s="3225" t="n">
        <v>0.8709</v>
      </c>
      <c r="F402" s="3225" t="n">
        <v>0.8709</v>
      </c>
      <c r="G402" s="3225" t="n">
        <v>0.8709</v>
      </c>
      <c r="H402" s="3225" t="n">
        <v>0.8709</v>
      </c>
      <c r="I402" s="3225" t="n">
        <v>0.7327</v>
      </c>
      <c r="J402" s="3225" t="n">
        <v>0.7327</v>
      </c>
      <c r="K402" s="3225" t="n">
        <v>0.7327</v>
      </c>
      <c r="L402" s="3225" t="n">
        <v>0.7327</v>
      </c>
      <c r="M402" s="3226" t="n">
        <v>0.7327</v>
      </c>
    </row>
    <row r="403" customFormat="false" ht="13.5" hidden="false" customHeight="false" outlineLevel="0" collapsed="false">
      <c r="A403" s="3228" t="n">
        <v>4.2</v>
      </c>
      <c r="B403" s="3225" t="n">
        <v>0.9266</v>
      </c>
      <c r="C403" s="3225" t="n">
        <v>0.9266</v>
      </c>
      <c r="D403" s="3225" t="n">
        <v>0.8682</v>
      </c>
      <c r="E403" s="3225" t="n">
        <v>0.8682</v>
      </c>
      <c r="F403" s="3225" t="n">
        <v>0.8682</v>
      </c>
      <c r="G403" s="3225" t="n">
        <v>0.8682</v>
      </c>
      <c r="H403" s="3225" t="n">
        <v>0.8682</v>
      </c>
      <c r="I403" s="3225" t="n">
        <v>0.7288</v>
      </c>
      <c r="J403" s="3225" t="n">
        <v>0.7288</v>
      </c>
      <c r="K403" s="3225" t="n">
        <v>0.7288</v>
      </c>
      <c r="L403" s="3225" t="n">
        <v>0.7288</v>
      </c>
      <c r="M403" s="3226" t="n">
        <v>0.7288</v>
      </c>
    </row>
    <row r="404" customFormat="false" ht="13.5" hidden="false" customHeight="false" outlineLevel="0" collapsed="false">
      <c r="A404" s="3228" t="n">
        <v>4.3</v>
      </c>
      <c r="B404" s="3225" t="n">
        <v>0.9241</v>
      </c>
      <c r="C404" s="3225" t="n">
        <v>0.9241</v>
      </c>
      <c r="D404" s="3225" t="n">
        <v>0.8655</v>
      </c>
      <c r="E404" s="3225" t="n">
        <v>0.8655</v>
      </c>
      <c r="F404" s="3225" t="n">
        <v>0.8655</v>
      </c>
      <c r="G404" s="3225" t="n">
        <v>0.8655</v>
      </c>
      <c r="H404" s="3225" t="n">
        <v>0.8655</v>
      </c>
      <c r="I404" s="3225" t="n">
        <v>0.7251</v>
      </c>
      <c r="J404" s="3225" t="n">
        <v>0.7251</v>
      </c>
      <c r="K404" s="3225" t="n">
        <v>0.7251</v>
      </c>
      <c r="L404" s="3225" t="n">
        <v>0.7251</v>
      </c>
      <c r="M404" s="3226" t="n">
        <v>0.7251</v>
      </c>
    </row>
    <row r="405" customFormat="false" ht="13.5" hidden="false" customHeight="false" outlineLevel="0" collapsed="false">
      <c r="A405" s="3228" t="n">
        <v>4.4</v>
      </c>
      <c r="B405" s="3225" t="n">
        <v>0.9218</v>
      </c>
      <c r="C405" s="3225" t="n">
        <v>0.9218</v>
      </c>
      <c r="D405" s="3225" t="n">
        <v>0.8629</v>
      </c>
      <c r="E405" s="3225" t="n">
        <v>0.8629</v>
      </c>
      <c r="F405" s="3225" t="n">
        <v>0.8629</v>
      </c>
      <c r="G405" s="3225" t="n">
        <v>0.8629</v>
      </c>
      <c r="H405" s="3225" t="n">
        <v>0.8629</v>
      </c>
      <c r="I405" s="3225" t="n">
        <v>0.7215</v>
      </c>
      <c r="J405" s="3225" t="n">
        <v>0.7215</v>
      </c>
      <c r="K405" s="3225" t="n">
        <v>0.7215</v>
      </c>
      <c r="L405" s="3225" t="n">
        <v>0.7215</v>
      </c>
      <c r="M405" s="3226" t="n">
        <v>0.7215</v>
      </c>
    </row>
    <row r="406" customFormat="false" ht="13.5" hidden="false" customHeight="false" outlineLevel="0" collapsed="false">
      <c r="A406" s="3228" t="n">
        <v>4.5</v>
      </c>
      <c r="B406" s="3225" t="n">
        <v>0.9195</v>
      </c>
      <c r="C406" s="3225" t="n">
        <v>0.9195</v>
      </c>
      <c r="D406" s="3225" t="n">
        <v>0.8605</v>
      </c>
      <c r="E406" s="3225" t="n">
        <v>0.8605</v>
      </c>
      <c r="F406" s="3225" t="n">
        <v>0.8605</v>
      </c>
      <c r="G406" s="3225" t="n">
        <v>0.8605</v>
      </c>
      <c r="H406" s="3225" t="n">
        <v>0.8605</v>
      </c>
      <c r="I406" s="3225" t="n">
        <v>0.7182</v>
      </c>
      <c r="J406" s="3225" t="n">
        <v>0.7182</v>
      </c>
      <c r="K406" s="3225" t="n">
        <v>0.7182</v>
      </c>
      <c r="L406" s="3225" t="n">
        <v>0.7182</v>
      </c>
      <c r="M406" s="3226" t="n">
        <v>0.7182</v>
      </c>
    </row>
    <row r="407" customFormat="false" ht="13.5" hidden="false" customHeight="false" outlineLevel="0" collapsed="false">
      <c r="A407" s="3228" t="n">
        <v>4.6</v>
      </c>
      <c r="B407" s="3225" t="n">
        <v>0.9173</v>
      </c>
      <c r="C407" s="3225" t="n">
        <v>0.9173</v>
      </c>
      <c r="D407" s="3225" t="n">
        <v>0.8581</v>
      </c>
      <c r="E407" s="3225" t="n">
        <v>0.8581</v>
      </c>
      <c r="F407" s="3225" t="n">
        <v>0.8581</v>
      </c>
      <c r="G407" s="3225" t="n">
        <v>0.8581</v>
      </c>
      <c r="H407" s="3225" t="n">
        <v>0.8581</v>
      </c>
      <c r="I407" s="3225" t="n">
        <v>0.715</v>
      </c>
      <c r="J407" s="3225" t="n">
        <v>0.715</v>
      </c>
      <c r="K407" s="3225" t="n">
        <v>0.715</v>
      </c>
      <c r="L407" s="3225" t="n">
        <v>0.715</v>
      </c>
      <c r="M407" s="3226" t="n">
        <v>0.715</v>
      </c>
    </row>
    <row r="408" customFormat="false" ht="13.5" hidden="false" customHeight="false" outlineLevel="0" collapsed="false">
      <c r="A408" s="3228" t="n">
        <v>4.7</v>
      </c>
      <c r="B408" s="3225" t="n">
        <v>0.9152</v>
      </c>
      <c r="C408" s="3225" t="n">
        <v>0.9152</v>
      </c>
      <c r="D408" s="3225" t="n">
        <v>0.8557</v>
      </c>
      <c r="E408" s="3225" t="n">
        <v>0.8557</v>
      </c>
      <c r="F408" s="3225" t="n">
        <v>0.8557</v>
      </c>
      <c r="G408" s="3225" t="n">
        <v>0.8557</v>
      </c>
      <c r="H408" s="3225" t="n">
        <v>0.8557</v>
      </c>
      <c r="I408" s="3225" t="n">
        <v>0.712</v>
      </c>
      <c r="J408" s="3225" t="n">
        <v>0.712</v>
      </c>
      <c r="K408" s="3225" t="n">
        <v>0.712</v>
      </c>
      <c r="L408" s="3225" t="n">
        <v>0.712</v>
      </c>
      <c r="M408" s="3226" t="n">
        <v>0.712</v>
      </c>
    </row>
    <row r="409" customFormat="false" ht="13.5" hidden="false" customHeight="false" outlineLevel="0" collapsed="false">
      <c r="A409" s="3228" t="n">
        <v>4.8</v>
      </c>
      <c r="B409" s="3225" t="n">
        <v>0.9131</v>
      </c>
      <c r="C409" s="3225" t="n">
        <v>0.9131</v>
      </c>
      <c r="D409" s="3225" t="n">
        <v>0.8534</v>
      </c>
      <c r="E409" s="3225" t="n">
        <v>0.8534</v>
      </c>
      <c r="F409" s="3225" t="n">
        <v>0.8534</v>
      </c>
      <c r="G409" s="3225" t="n">
        <v>0.8534</v>
      </c>
      <c r="H409" s="3225" t="n">
        <v>0.8534</v>
      </c>
      <c r="I409" s="3225" t="n">
        <v>0.7091</v>
      </c>
      <c r="J409" s="3225" t="n">
        <v>0.7091</v>
      </c>
      <c r="K409" s="3225" t="n">
        <v>0.7091</v>
      </c>
      <c r="L409" s="3225" t="n">
        <v>0.7091</v>
      </c>
      <c r="M409" s="3226" t="n">
        <v>0.7091</v>
      </c>
    </row>
    <row r="410" customFormat="false" ht="13.5" hidden="false" customHeight="false" outlineLevel="0" collapsed="false">
      <c r="A410" s="3228" t="n">
        <v>4.9</v>
      </c>
      <c r="B410" s="3225" t="n">
        <v>0.9112</v>
      </c>
      <c r="C410" s="3225" t="n">
        <v>0.9112</v>
      </c>
      <c r="D410" s="3225" t="n">
        <v>0.8511</v>
      </c>
      <c r="E410" s="3225" t="n">
        <v>0.8511</v>
      </c>
      <c r="F410" s="3225" t="n">
        <v>0.8511</v>
      </c>
      <c r="G410" s="3225" t="n">
        <v>0.8511</v>
      </c>
      <c r="H410" s="3225" t="n">
        <v>0.8511</v>
      </c>
      <c r="I410" s="3225" t="n">
        <v>0.7062</v>
      </c>
      <c r="J410" s="3225" t="n">
        <v>0.7062</v>
      </c>
      <c r="K410" s="3225" t="n">
        <v>0.7062</v>
      </c>
      <c r="L410" s="3225" t="n">
        <v>0.7062</v>
      </c>
      <c r="M410" s="3226" t="n">
        <v>0.7062</v>
      </c>
    </row>
    <row r="411" customFormat="false" ht="13.5" hidden="false" customHeight="false" outlineLevel="0" collapsed="false">
      <c r="A411" s="3228" t="n">
        <v>5</v>
      </c>
      <c r="B411" s="3225" t="n">
        <v>0.9092</v>
      </c>
      <c r="C411" s="3225" t="n">
        <v>0.9092</v>
      </c>
      <c r="D411" s="3225" t="n">
        <v>0.8489</v>
      </c>
      <c r="E411" s="3225" t="n">
        <v>0.8489</v>
      </c>
      <c r="F411" s="3225" t="n">
        <v>0.8489</v>
      </c>
      <c r="G411" s="3225" t="n">
        <v>0.8489</v>
      </c>
      <c r="H411" s="3225" t="n">
        <v>0.8489</v>
      </c>
      <c r="I411" s="3225" t="n">
        <v>0.7035</v>
      </c>
      <c r="J411" s="3225" t="n">
        <v>0.7035</v>
      </c>
      <c r="K411" s="3225" t="n">
        <v>0.7035</v>
      </c>
      <c r="L411" s="3225" t="n">
        <v>0.7035</v>
      </c>
      <c r="M411" s="3226" t="n">
        <v>0.7035</v>
      </c>
    </row>
    <row r="412" customFormat="false" ht="13.5" hidden="false" customHeight="false" outlineLevel="0" collapsed="false">
      <c r="A412" s="3224" t="n">
        <v>5.1</v>
      </c>
      <c r="B412" s="3225" t="n">
        <v>0.9072</v>
      </c>
      <c r="C412" s="3225" t="n">
        <v>0.9072</v>
      </c>
      <c r="D412" s="3225" t="n">
        <v>0.8467</v>
      </c>
      <c r="E412" s="3225" t="n">
        <v>0.8467</v>
      </c>
      <c r="F412" s="3225" t="n">
        <v>0.8467</v>
      </c>
      <c r="G412" s="3225" t="n">
        <v>0.8467</v>
      </c>
      <c r="H412" s="3225" t="n">
        <v>0.8467</v>
      </c>
      <c r="I412" s="3225" t="n">
        <v>0.7009</v>
      </c>
      <c r="J412" s="3225" t="n">
        <v>0.7009</v>
      </c>
      <c r="K412" s="3225" t="n">
        <v>0.7009</v>
      </c>
      <c r="L412" s="3225" t="n">
        <v>0.7009</v>
      </c>
      <c r="M412" s="3226" t="n">
        <v>0.7009</v>
      </c>
    </row>
    <row r="413" customFormat="false" ht="13.5" hidden="false" customHeight="false" outlineLevel="0" collapsed="false">
      <c r="A413" s="3224" t="n">
        <v>5.2</v>
      </c>
      <c r="B413" s="3225" t="n">
        <v>0.9053</v>
      </c>
      <c r="C413" s="3225" t="n">
        <v>0.9053</v>
      </c>
      <c r="D413" s="3225" t="n">
        <v>0.8445</v>
      </c>
      <c r="E413" s="3225" t="n">
        <v>0.8445</v>
      </c>
      <c r="F413" s="3225" t="n">
        <v>0.8445</v>
      </c>
      <c r="G413" s="3225" t="n">
        <v>0.8445</v>
      </c>
      <c r="H413" s="3225" t="n">
        <v>0.8445</v>
      </c>
      <c r="I413" s="3225" t="n">
        <v>0.6982</v>
      </c>
      <c r="J413" s="3225" t="n">
        <v>0.6982</v>
      </c>
      <c r="K413" s="3225" t="n">
        <v>0.6982</v>
      </c>
      <c r="L413" s="3225" t="n">
        <v>0.6982</v>
      </c>
      <c r="M413" s="3226" t="n">
        <v>0.6982</v>
      </c>
    </row>
    <row r="414" customFormat="false" ht="13.5" hidden="false" customHeight="false" outlineLevel="0" collapsed="false">
      <c r="A414" s="3224" t="n">
        <v>5.3</v>
      </c>
      <c r="B414" s="3225" t="n">
        <v>0.9034</v>
      </c>
      <c r="C414" s="3225" t="n">
        <v>0.9034</v>
      </c>
      <c r="D414" s="3225" t="n">
        <v>0.8423</v>
      </c>
      <c r="E414" s="3225" t="n">
        <v>0.8423</v>
      </c>
      <c r="F414" s="3225" t="n">
        <v>0.8423</v>
      </c>
      <c r="G414" s="3225" t="n">
        <v>0.8423</v>
      </c>
      <c r="H414" s="3225" t="n">
        <v>0.8423</v>
      </c>
      <c r="I414" s="3225" t="n">
        <v>0.6957</v>
      </c>
      <c r="J414" s="3225" t="n">
        <v>0.6957</v>
      </c>
      <c r="K414" s="3225" t="n">
        <v>0.6957</v>
      </c>
      <c r="L414" s="3225" t="n">
        <v>0.6957</v>
      </c>
      <c r="M414" s="3226" t="n">
        <v>0.6957</v>
      </c>
    </row>
    <row r="415" customFormat="false" ht="13.5" hidden="false" customHeight="false" outlineLevel="0" collapsed="false">
      <c r="A415" s="3224" t="n">
        <v>5.4</v>
      </c>
      <c r="B415" s="3225" t="n">
        <v>0.9015</v>
      </c>
      <c r="C415" s="3225" t="n">
        <v>0.9015</v>
      </c>
      <c r="D415" s="3225" t="n">
        <v>0.8402</v>
      </c>
      <c r="E415" s="3225" t="n">
        <v>0.8402</v>
      </c>
      <c r="F415" s="3225" t="n">
        <v>0.8402</v>
      </c>
      <c r="G415" s="3225" t="n">
        <v>0.8402</v>
      </c>
      <c r="H415" s="3225" t="n">
        <v>0.8402</v>
      </c>
      <c r="I415" s="3225" t="n">
        <v>0.6931</v>
      </c>
      <c r="J415" s="3225" t="n">
        <v>0.6931</v>
      </c>
      <c r="K415" s="3225" t="n">
        <v>0.6931</v>
      </c>
      <c r="L415" s="3225" t="n">
        <v>0.6931</v>
      </c>
      <c r="M415" s="3226" t="n">
        <v>0.6931</v>
      </c>
    </row>
    <row r="416" customFormat="false" ht="13.5" hidden="false" customHeight="false" outlineLevel="0" collapsed="false">
      <c r="A416" s="3224" t="n">
        <v>5.5</v>
      </c>
      <c r="B416" s="3225" t="n">
        <v>0.8996</v>
      </c>
      <c r="C416" s="3225" t="n">
        <v>0.8996</v>
      </c>
      <c r="D416" s="3225" t="n">
        <v>0.8381</v>
      </c>
      <c r="E416" s="3225" t="n">
        <v>0.8381</v>
      </c>
      <c r="F416" s="3225" t="n">
        <v>0.8381</v>
      </c>
      <c r="G416" s="3225" t="n">
        <v>0.8381</v>
      </c>
      <c r="H416" s="3225" t="n">
        <v>0.8381</v>
      </c>
      <c r="I416" s="3225" t="n">
        <v>0.6906</v>
      </c>
      <c r="J416" s="3225" t="n">
        <v>0.6906</v>
      </c>
      <c r="K416" s="3225" t="n">
        <v>0.6906</v>
      </c>
      <c r="L416" s="3225" t="n">
        <v>0.6906</v>
      </c>
      <c r="M416" s="3226" t="n">
        <v>0.6906</v>
      </c>
    </row>
    <row r="417" customFormat="false" ht="13.5" hidden="false" customHeight="false" outlineLevel="0" collapsed="false">
      <c r="A417" s="3224" t="n">
        <v>5.6</v>
      </c>
      <c r="B417" s="3225" t="n">
        <v>0.8978</v>
      </c>
      <c r="C417" s="3225" t="n">
        <v>0.8978</v>
      </c>
      <c r="D417" s="3225" t="n">
        <v>0.836</v>
      </c>
      <c r="E417" s="3225" t="n">
        <v>0.836</v>
      </c>
      <c r="F417" s="3225" t="n">
        <v>0.836</v>
      </c>
      <c r="G417" s="3225" t="n">
        <v>0.836</v>
      </c>
      <c r="H417" s="3225" t="n">
        <v>0.836</v>
      </c>
      <c r="I417" s="3225" t="n">
        <v>0.6881</v>
      </c>
      <c r="J417" s="3225" t="n">
        <v>0.6881</v>
      </c>
      <c r="K417" s="3225" t="n">
        <v>0.6881</v>
      </c>
      <c r="L417" s="3225" t="n">
        <v>0.6881</v>
      </c>
      <c r="M417" s="3226" t="n">
        <v>0.6881</v>
      </c>
    </row>
    <row r="418" customFormat="false" ht="13.5" hidden="false" customHeight="false" outlineLevel="0" collapsed="false">
      <c r="A418" s="3228" t="n">
        <v>5.7</v>
      </c>
      <c r="B418" s="3225" t="n">
        <v>0.896</v>
      </c>
      <c r="C418" s="3225" t="n">
        <v>0.896</v>
      </c>
      <c r="D418" s="3225" t="n">
        <v>0.8339</v>
      </c>
      <c r="E418" s="3225" t="n">
        <v>0.8339</v>
      </c>
      <c r="F418" s="3225" t="n">
        <v>0.8339</v>
      </c>
      <c r="G418" s="3225" t="n">
        <v>0.8339</v>
      </c>
      <c r="H418" s="3225" t="n">
        <v>0.8339</v>
      </c>
      <c r="I418" s="3225" t="n">
        <v>0.6857</v>
      </c>
      <c r="J418" s="3225" t="n">
        <v>0.6857</v>
      </c>
      <c r="K418" s="3225" t="n">
        <v>0.6857</v>
      </c>
      <c r="L418" s="3225" t="n">
        <v>0.6857</v>
      </c>
      <c r="M418" s="3226" t="n">
        <v>0.6857</v>
      </c>
    </row>
    <row r="419" customFormat="false" ht="13.5" hidden="false" customHeight="false" outlineLevel="0" collapsed="false">
      <c r="A419" s="3224" t="n">
        <v>5.8</v>
      </c>
      <c r="B419" s="3225" t="n">
        <v>0.8942</v>
      </c>
      <c r="C419" s="3225" t="n">
        <v>0.8942</v>
      </c>
      <c r="D419" s="3225" t="n">
        <v>0.8319</v>
      </c>
      <c r="E419" s="3225" t="n">
        <v>0.8319</v>
      </c>
      <c r="F419" s="3225" t="n">
        <v>0.8319</v>
      </c>
      <c r="G419" s="3225" t="n">
        <v>0.8319</v>
      </c>
      <c r="H419" s="3225" t="n">
        <v>0.8319</v>
      </c>
      <c r="I419" s="3225" t="n">
        <v>0.6832</v>
      </c>
      <c r="J419" s="3225" t="n">
        <v>0.6832</v>
      </c>
      <c r="K419" s="3225" t="n">
        <v>0.6832</v>
      </c>
      <c r="L419" s="3225" t="n">
        <v>0.6832</v>
      </c>
      <c r="M419" s="3226" t="n">
        <v>0.6832</v>
      </c>
    </row>
    <row r="420" customFormat="false" ht="13.5" hidden="false" customHeight="false" outlineLevel="0" collapsed="false">
      <c r="A420" s="3224" t="n">
        <v>5.9</v>
      </c>
      <c r="B420" s="3225" t="n">
        <v>0.8924</v>
      </c>
      <c r="C420" s="3225" t="n">
        <v>0.8924</v>
      </c>
      <c r="D420" s="3225" t="n">
        <v>0.8299</v>
      </c>
      <c r="E420" s="3225" t="n">
        <v>0.8299</v>
      </c>
      <c r="F420" s="3225" t="n">
        <v>0.8299</v>
      </c>
      <c r="G420" s="3225" t="n">
        <v>0.8299</v>
      </c>
      <c r="H420" s="3225" t="n">
        <v>0.8299</v>
      </c>
      <c r="I420" s="3225" t="n">
        <v>0.6807</v>
      </c>
      <c r="J420" s="3225" t="n">
        <v>0.6807</v>
      </c>
      <c r="K420" s="3225" t="n">
        <v>0.6807</v>
      </c>
      <c r="L420" s="3225" t="n">
        <v>0.6807</v>
      </c>
      <c r="M420" s="3226" t="n">
        <v>0.6807</v>
      </c>
    </row>
    <row r="421" customFormat="false" ht="13.5" hidden="false" customHeight="false" outlineLevel="0" collapsed="false">
      <c r="A421" s="3224" t="n">
        <v>6</v>
      </c>
      <c r="B421" s="3225" t="n">
        <v>0.8907</v>
      </c>
      <c r="C421" s="3225" t="n">
        <v>0.8907</v>
      </c>
      <c r="D421" s="3225" t="n">
        <v>0.8279</v>
      </c>
      <c r="E421" s="3225" t="n">
        <v>0.8279</v>
      </c>
      <c r="F421" s="3225" t="n">
        <v>0.8279</v>
      </c>
      <c r="G421" s="3225" t="n">
        <v>0.8279</v>
      </c>
      <c r="H421" s="3225" t="n">
        <v>0.8279</v>
      </c>
      <c r="I421" s="3225" t="n">
        <v>0.6784</v>
      </c>
      <c r="J421" s="3225" t="n">
        <v>0.6784</v>
      </c>
      <c r="K421" s="3225" t="n">
        <v>0.6784</v>
      </c>
      <c r="L421" s="3225" t="n">
        <v>0.6784</v>
      </c>
      <c r="M421" s="3226" t="n">
        <v>0.6784</v>
      </c>
    </row>
    <row r="422" customFormat="false" ht="13.5" hidden="false" customHeight="false" outlineLevel="0" collapsed="false">
      <c r="A422" s="3224" t="n">
        <v>6.1</v>
      </c>
      <c r="B422" s="3225" t="n">
        <v>0.889</v>
      </c>
      <c r="C422" s="3225" t="n">
        <v>0.889</v>
      </c>
      <c r="D422" s="3225" t="n">
        <v>0.8259</v>
      </c>
      <c r="E422" s="3225" t="n">
        <v>0.8259</v>
      </c>
      <c r="F422" s="3225" t="n">
        <v>0.8259</v>
      </c>
      <c r="G422" s="3225" t="n">
        <v>0.8259</v>
      </c>
      <c r="H422" s="3225" t="n">
        <v>0.8259</v>
      </c>
      <c r="I422" s="3225" t="n">
        <v>0.676</v>
      </c>
      <c r="J422" s="3225" t="n">
        <v>0.676</v>
      </c>
      <c r="K422" s="3225" t="n">
        <v>0.676</v>
      </c>
      <c r="L422" s="3225" t="n">
        <v>0.676</v>
      </c>
      <c r="M422" s="3226" t="n">
        <v>0.676</v>
      </c>
    </row>
    <row r="423" customFormat="false" ht="13.5" hidden="false" customHeight="false" outlineLevel="0" collapsed="false">
      <c r="A423" s="3224" t="n">
        <v>6.2</v>
      </c>
      <c r="B423" s="3225" t="n">
        <v>0.8873</v>
      </c>
      <c r="C423" s="3225" t="n">
        <v>0.8873</v>
      </c>
      <c r="D423" s="3225" t="n">
        <v>0.8239</v>
      </c>
      <c r="E423" s="3225" t="n">
        <v>0.8239</v>
      </c>
      <c r="F423" s="3225" t="n">
        <v>0.8239</v>
      </c>
      <c r="G423" s="3225" t="n">
        <v>0.8239</v>
      </c>
      <c r="H423" s="3225" t="n">
        <v>0.8239</v>
      </c>
      <c r="I423" s="3225" t="n">
        <v>0.6736</v>
      </c>
      <c r="J423" s="3225" t="n">
        <v>0.6736</v>
      </c>
      <c r="K423" s="3225" t="n">
        <v>0.6736</v>
      </c>
      <c r="L423" s="3225" t="n">
        <v>0.6736</v>
      </c>
      <c r="M423" s="3226" t="n">
        <v>0.6736</v>
      </c>
    </row>
    <row r="424" customFormat="false" ht="13.5" hidden="false" customHeight="false" outlineLevel="0" collapsed="false">
      <c r="A424" s="3224" t="n">
        <v>6.3</v>
      </c>
      <c r="B424" s="3225" t="n">
        <v>0.8856</v>
      </c>
      <c r="C424" s="3225" t="n">
        <v>0.8856</v>
      </c>
      <c r="D424" s="3225" t="n">
        <v>0.8219</v>
      </c>
      <c r="E424" s="3225" t="n">
        <v>0.8219</v>
      </c>
      <c r="F424" s="3225" t="n">
        <v>0.8219</v>
      </c>
      <c r="G424" s="3225" t="n">
        <v>0.8219</v>
      </c>
      <c r="H424" s="3225" t="n">
        <v>0.8219</v>
      </c>
      <c r="I424" s="3225" t="n">
        <v>0.6713</v>
      </c>
      <c r="J424" s="3225" t="n">
        <v>0.6713</v>
      </c>
      <c r="K424" s="3225" t="n">
        <v>0.6713</v>
      </c>
      <c r="L424" s="3225" t="n">
        <v>0.6713</v>
      </c>
      <c r="M424" s="3226" t="n">
        <v>0.6713</v>
      </c>
    </row>
    <row r="425" customFormat="false" ht="13.5" hidden="false" customHeight="false" outlineLevel="0" collapsed="false">
      <c r="A425" s="3224" t="n">
        <v>6.4</v>
      </c>
      <c r="B425" s="3225" t="n">
        <v>0.8839</v>
      </c>
      <c r="C425" s="3225" t="n">
        <v>0.8839</v>
      </c>
      <c r="D425" s="3225" t="n">
        <v>0.82</v>
      </c>
      <c r="E425" s="3225" t="n">
        <v>0.82</v>
      </c>
      <c r="F425" s="3225" t="n">
        <v>0.82</v>
      </c>
      <c r="G425" s="3225" t="n">
        <v>0.82</v>
      </c>
      <c r="H425" s="3225" t="n">
        <v>0.82</v>
      </c>
      <c r="I425" s="3225" t="n">
        <v>0.6689</v>
      </c>
      <c r="J425" s="3225" t="n">
        <v>0.6689</v>
      </c>
      <c r="K425" s="3225" t="n">
        <v>0.6689</v>
      </c>
      <c r="L425" s="3225" t="n">
        <v>0.6689</v>
      </c>
      <c r="M425" s="3226" t="n">
        <v>0.6689</v>
      </c>
    </row>
    <row r="426" customFormat="false" ht="13.5" hidden="false" customHeight="false" outlineLevel="0" collapsed="false">
      <c r="A426" s="3224" t="n">
        <v>6.5</v>
      </c>
      <c r="B426" s="3225" t="n">
        <v>0.8823</v>
      </c>
      <c r="C426" s="3225" t="n">
        <v>0.8823</v>
      </c>
      <c r="D426" s="3225" t="n">
        <v>0.8181</v>
      </c>
      <c r="E426" s="3225" t="n">
        <v>0.8181</v>
      </c>
      <c r="F426" s="3225" t="n">
        <v>0.8181</v>
      </c>
      <c r="G426" s="3225" t="n">
        <v>0.8181</v>
      </c>
      <c r="H426" s="3225" t="n">
        <v>0.8181</v>
      </c>
      <c r="I426" s="3225" t="n">
        <v>0.6666</v>
      </c>
      <c r="J426" s="3225" t="n">
        <v>0.6666</v>
      </c>
      <c r="K426" s="3225" t="n">
        <v>0.6666</v>
      </c>
      <c r="L426" s="3225" t="n">
        <v>0.6666</v>
      </c>
      <c r="M426" s="3226" t="n">
        <v>0.6666</v>
      </c>
    </row>
    <row r="427" customFormat="false" ht="13.5" hidden="false" customHeight="false" outlineLevel="0" collapsed="false">
      <c r="A427" s="3224" t="n">
        <v>6.6</v>
      </c>
      <c r="B427" s="3225" t="n">
        <v>0.8807</v>
      </c>
      <c r="C427" s="3225" t="n">
        <v>0.8807</v>
      </c>
      <c r="D427" s="3225" t="n">
        <v>0.8162</v>
      </c>
      <c r="E427" s="3225" t="n">
        <v>0.8162</v>
      </c>
      <c r="F427" s="3225" t="n">
        <v>0.8162</v>
      </c>
      <c r="G427" s="3225" t="n">
        <v>0.8162</v>
      </c>
      <c r="H427" s="3225" t="n">
        <v>0.8162</v>
      </c>
      <c r="I427" s="3225" t="n">
        <v>0.6644</v>
      </c>
      <c r="J427" s="3225" t="n">
        <v>0.6644</v>
      </c>
      <c r="K427" s="3225" t="n">
        <v>0.6644</v>
      </c>
      <c r="L427" s="3225" t="n">
        <v>0.6644</v>
      </c>
      <c r="M427" s="3226" t="n">
        <v>0.6644</v>
      </c>
    </row>
    <row r="428" customFormat="false" ht="13.5" hidden="false" customHeight="false" outlineLevel="0" collapsed="false">
      <c r="A428" s="3224" t="n">
        <v>6.7</v>
      </c>
      <c r="B428" s="3225" t="n">
        <v>0.879</v>
      </c>
      <c r="C428" s="3225" t="n">
        <v>0.879</v>
      </c>
      <c r="D428" s="3225" t="n">
        <v>0.8143</v>
      </c>
      <c r="E428" s="3225" t="n">
        <v>0.8143</v>
      </c>
      <c r="F428" s="3225" t="n">
        <v>0.8143</v>
      </c>
      <c r="G428" s="3225" t="n">
        <v>0.8143</v>
      </c>
      <c r="H428" s="3225" t="n">
        <v>0.8143</v>
      </c>
      <c r="I428" s="3225" t="n">
        <v>0.6621</v>
      </c>
      <c r="J428" s="3225" t="n">
        <v>0.6621</v>
      </c>
      <c r="K428" s="3225" t="n">
        <v>0.6621</v>
      </c>
      <c r="L428" s="3225" t="n">
        <v>0.6621</v>
      </c>
      <c r="M428" s="3226" t="n">
        <v>0.6621</v>
      </c>
    </row>
    <row r="429" customFormat="false" ht="13.5" hidden="false" customHeight="false" outlineLevel="0" collapsed="false">
      <c r="A429" s="3224" t="n">
        <v>6.8</v>
      </c>
      <c r="B429" s="3225" t="n">
        <v>0.8774</v>
      </c>
      <c r="C429" s="3225" t="n">
        <v>0.8774</v>
      </c>
      <c r="D429" s="3225" t="n">
        <v>0.8124</v>
      </c>
      <c r="E429" s="3225" t="n">
        <v>0.8124</v>
      </c>
      <c r="F429" s="3225" t="n">
        <v>0.8124</v>
      </c>
      <c r="G429" s="3225" t="n">
        <v>0.8124</v>
      </c>
      <c r="H429" s="3225" t="n">
        <v>0.8124</v>
      </c>
      <c r="I429" s="3225" t="n">
        <v>0.6598</v>
      </c>
      <c r="J429" s="3225" t="n">
        <v>0.6598</v>
      </c>
      <c r="K429" s="3225" t="n">
        <v>0.6598</v>
      </c>
      <c r="L429" s="3225" t="n">
        <v>0.6598</v>
      </c>
      <c r="M429" s="3226" t="n">
        <v>0.6598</v>
      </c>
    </row>
    <row r="430" customFormat="false" ht="13.5" hidden="false" customHeight="false" outlineLevel="0" collapsed="false">
      <c r="A430" s="3224" t="n">
        <v>6.9</v>
      </c>
      <c r="B430" s="3225" t="n">
        <v>0.8758</v>
      </c>
      <c r="C430" s="3225" t="n">
        <v>0.8758</v>
      </c>
      <c r="D430" s="3225" t="n">
        <v>0.8105</v>
      </c>
      <c r="E430" s="3225" t="n">
        <v>0.8105</v>
      </c>
      <c r="F430" s="3225" t="n">
        <v>0.8105</v>
      </c>
      <c r="G430" s="3225" t="n">
        <v>0.8105</v>
      </c>
      <c r="H430" s="3225" t="n">
        <v>0.8105</v>
      </c>
      <c r="I430" s="3225" t="n">
        <v>0.6575</v>
      </c>
      <c r="J430" s="3225" t="n">
        <v>0.6575</v>
      </c>
      <c r="K430" s="3225" t="n">
        <v>0.6575</v>
      </c>
      <c r="L430" s="3225" t="n">
        <v>0.6575</v>
      </c>
      <c r="M430" s="3226" t="n">
        <v>0.6575</v>
      </c>
    </row>
    <row r="431" customFormat="false" ht="13.5" hidden="false" customHeight="false" outlineLevel="0" collapsed="false">
      <c r="A431" s="3224" t="n">
        <v>7</v>
      </c>
      <c r="B431" s="3225" t="n">
        <v>0.8742</v>
      </c>
      <c r="C431" s="3225" t="n">
        <v>0.8742</v>
      </c>
      <c r="D431" s="3225" t="n">
        <v>0.8087</v>
      </c>
      <c r="E431" s="3225" t="n">
        <v>0.8087</v>
      </c>
      <c r="F431" s="3225" t="n">
        <v>0.8087</v>
      </c>
      <c r="G431" s="3225" t="n">
        <v>0.8087</v>
      </c>
      <c r="H431" s="3225" t="n">
        <v>0.8087</v>
      </c>
      <c r="I431" s="3225" t="n">
        <v>0.6553</v>
      </c>
      <c r="J431" s="3225" t="n">
        <v>0.6553</v>
      </c>
      <c r="K431" s="3225" t="n">
        <v>0.6553</v>
      </c>
      <c r="L431" s="3225" t="n">
        <v>0.6553</v>
      </c>
      <c r="M431" s="3226" t="n">
        <v>0.6553</v>
      </c>
    </row>
    <row r="432" customFormat="false" ht="13.5" hidden="false" customHeight="false" outlineLevel="0" collapsed="false">
      <c r="A432" s="3224" t="n">
        <v>7.1</v>
      </c>
      <c r="B432" s="3225" t="n">
        <v>0.8727</v>
      </c>
      <c r="C432" s="3225" t="n">
        <v>0.8727</v>
      </c>
      <c r="D432" s="3225" t="n">
        <v>0.8069</v>
      </c>
      <c r="E432" s="3225" t="n">
        <v>0.8069</v>
      </c>
      <c r="F432" s="3225" t="n">
        <v>0.8069</v>
      </c>
      <c r="G432" s="3225" t="n">
        <v>0.8069</v>
      </c>
      <c r="H432" s="3225" t="n">
        <v>0.8069</v>
      </c>
      <c r="I432" s="3225" t="n">
        <v>0.6532</v>
      </c>
      <c r="J432" s="3225" t="n">
        <v>0.6532</v>
      </c>
      <c r="K432" s="3225" t="n">
        <v>0.6532</v>
      </c>
      <c r="L432" s="3225" t="n">
        <v>0.6532</v>
      </c>
      <c r="M432" s="3226" t="n">
        <v>0.6532</v>
      </c>
    </row>
    <row r="433" customFormat="false" ht="13.5" hidden="false" customHeight="false" outlineLevel="0" collapsed="false">
      <c r="A433" s="3224" t="n">
        <v>7.2</v>
      </c>
      <c r="B433" s="3225" t="n">
        <v>0.8712</v>
      </c>
      <c r="C433" s="3225" t="n">
        <v>0.8712</v>
      </c>
      <c r="D433" s="3225" t="n">
        <v>0.8051</v>
      </c>
      <c r="E433" s="3225" t="n">
        <v>0.8051</v>
      </c>
      <c r="F433" s="3225" t="n">
        <v>0.8051</v>
      </c>
      <c r="G433" s="3225" t="n">
        <v>0.8051</v>
      </c>
      <c r="H433" s="3225" t="n">
        <v>0.8051</v>
      </c>
      <c r="I433" s="3225" t="n">
        <v>0.651</v>
      </c>
      <c r="J433" s="3225" t="n">
        <v>0.651</v>
      </c>
      <c r="K433" s="3225" t="n">
        <v>0.651</v>
      </c>
      <c r="L433" s="3225" t="n">
        <v>0.651</v>
      </c>
      <c r="M433" s="3226" t="n">
        <v>0.651</v>
      </c>
    </row>
    <row r="434" customFormat="false" ht="13.5" hidden="false" customHeight="false" outlineLevel="0" collapsed="false">
      <c r="A434" s="3224" t="n">
        <v>7.3</v>
      </c>
      <c r="B434" s="3225" t="n">
        <v>0.8697</v>
      </c>
      <c r="C434" s="3225" t="n">
        <v>0.8697</v>
      </c>
      <c r="D434" s="3225" t="n">
        <v>0.8033</v>
      </c>
      <c r="E434" s="3225" t="n">
        <v>0.8033</v>
      </c>
      <c r="F434" s="3225" t="n">
        <v>0.8033</v>
      </c>
      <c r="G434" s="3225" t="n">
        <v>0.8033</v>
      </c>
      <c r="H434" s="3225" t="n">
        <v>0.8033</v>
      </c>
      <c r="I434" s="3225" t="n">
        <v>0.6488</v>
      </c>
      <c r="J434" s="3225" t="n">
        <v>0.6488</v>
      </c>
      <c r="K434" s="3225" t="n">
        <v>0.6488</v>
      </c>
      <c r="L434" s="3225" t="n">
        <v>0.6488</v>
      </c>
      <c r="M434" s="3226" t="n">
        <v>0.6488</v>
      </c>
    </row>
    <row r="435" customFormat="false" ht="13.5" hidden="false" customHeight="false" outlineLevel="0" collapsed="false">
      <c r="A435" s="3224" t="n">
        <v>7.4</v>
      </c>
      <c r="B435" s="3225" t="n">
        <v>0.8682</v>
      </c>
      <c r="C435" s="3225" t="n">
        <v>0.8682</v>
      </c>
      <c r="D435" s="3225" t="n">
        <v>0.8015</v>
      </c>
      <c r="E435" s="3225" t="n">
        <v>0.8015</v>
      </c>
      <c r="F435" s="3225" t="n">
        <v>0.8015</v>
      </c>
      <c r="G435" s="3225" t="n">
        <v>0.8015</v>
      </c>
      <c r="H435" s="3225" t="n">
        <v>0.8015</v>
      </c>
      <c r="I435" s="3225" t="n">
        <v>0.6466</v>
      </c>
      <c r="J435" s="3225" t="n">
        <v>0.6466</v>
      </c>
      <c r="K435" s="3225" t="n">
        <v>0.6466</v>
      </c>
      <c r="L435" s="3225" t="n">
        <v>0.6466</v>
      </c>
      <c r="M435" s="3226" t="n">
        <v>0.6466</v>
      </c>
    </row>
    <row r="436" customFormat="false" ht="13.5" hidden="false" customHeight="false" outlineLevel="0" collapsed="false">
      <c r="A436" s="3224" t="n">
        <v>7.5</v>
      </c>
      <c r="B436" s="3225" t="n">
        <v>0.8666</v>
      </c>
      <c r="C436" s="3225" t="n">
        <v>0.8666</v>
      </c>
      <c r="D436" s="3225" t="n">
        <v>0.7997</v>
      </c>
      <c r="E436" s="3225" t="n">
        <v>0.7997</v>
      </c>
      <c r="F436" s="3225" t="n">
        <v>0.7997</v>
      </c>
      <c r="G436" s="3225" t="n">
        <v>0.7997</v>
      </c>
      <c r="H436" s="3225" t="n">
        <v>0.7997</v>
      </c>
      <c r="I436" s="3225" t="n">
        <v>0.6445</v>
      </c>
      <c r="J436" s="3225" t="n">
        <v>0.6445</v>
      </c>
      <c r="K436" s="3225" t="n">
        <v>0.6445</v>
      </c>
      <c r="L436" s="3225" t="n">
        <v>0.6445</v>
      </c>
      <c r="M436" s="3226" t="n">
        <v>0.6445</v>
      </c>
    </row>
    <row r="437" customFormat="false" ht="13.5" hidden="false" customHeight="false" outlineLevel="0" collapsed="false">
      <c r="A437" s="3224" t="n">
        <v>7.6</v>
      </c>
      <c r="B437" s="3225" t="n">
        <v>0.8651</v>
      </c>
      <c r="C437" s="3225" t="n">
        <v>0.8651</v>
      </c>
      <c r="D437" s="3225" t="n">
        <v>0.798</v>
      </c>
      <c r="E437" s="3225" t="n">
        <v>0.798</v>
      </c>
      <c r="F437" s="3225" t="n">
        <v>0.798</v>
      </c>
      <c r="G437" s="3225" t="n">
        <v>0.798</v>
      </c>
      <c r="H437" s="3225" t="n">
        <v>0.798</v>
      </c>
      <c r="I437" s="3225" t="n">
        <v>0.6424</v>
      </c>
      <c r="J437" s="3225" t="n">
        <v>0.6424</v>
      </c>
      <c r="K437" s="3225" t="n">
        <v>0.6424</v>
      </c>
      <c r="L437" s="3225" t="n">
        <v>0.6424</v>
      </c>
      <c r="M437" s="3226" t="n">
        <v>0.6424</v>
      </c>
    </row>
    <row r="438" customFormat="false" ht="13.5" hidden="false" customHeight="false" outlineLevel="0" collapsed="false">
      <c r="A438" s="3224" t="n">
        <v>7.7</v>
      </c>
      <c r="B438" s="3225" t="n">
        <v>0.8637</v>
      </c>
      <c r="C438" s="3225" t="n">
        <v>0.8637</v>
      </c>
      <c r="D438" s="3225" t="n">
        <v>0.7963</v>
      </c>
      <c r="E438" s="3225" t="n">
        <v>0.7963</v>
      </c>
      <c r="F438" s="3225" t="n">
        <v>0.7963</v>
      </c>
      <c r="G438" s="3225" t="n">
        <v>0.7963</v>
      </c>
      <c r="H438" s="3225" t="n">
        <v>0.7963</v>
      </c>
      <c r="I438" s="3225" t="n">
        <v>0.6403</v>
      </c>
      <c r="J438" s="3225" t="n">
        <v>0.6403</v>
      </c>
      <c r="K438" s="3225" t="n">
        <v>0.6403</v>
      </c>
      <c r="L438" s="3225" t="n">
        <v>0.6403</v>
      </c>
      <c r="M438" s="3226" t="n">
        <v>0.6403</v>
      </c>
    </row>
    <row r="439" customFormat="false" ht="13.5" hidden="false" customHeight="false" outlineLevel="0" collapsed="false">
      <c r="A439" s="3224" t="n">
        <v>7.8</v>
      </c>
      <c r="B439" s="3225" t="n">
        <v>0.8623</v>
      </c>
      <c r="C439" s="3225" t="n">
        <v>0.8623</v>
      </c>
      <c r="D439" s="3225" t="n">
        <v>0.7945</v>
      </c>
      <c r="E439" s="3225" t="n">
        <v>0.7945</v>
      </c>
      <c r="F439" s="3225" t="n">
        <v>0.7945</v>
      </c>
      <c r="G439" s="3225" t="n">
        <v>0.7945</v>
      </c>
      <c r="H439" s="3225" t="n">
        <v>0.7945</v>
      </c>
      <c r="I439" s="3225" t="n">
        <v>0.6382</v>
      </c>
      <c r="J439" s="3225" t="n">
        <v>0.6382</v>
      </c>
      <c r="K439" s="3225" t="n">
        <v>0.6382</v>
      </c>
      <c r="L439" s="3225" t="n">
        <v>0.6382</v>
      </c>
      <c r="M439" s="3226" t="n">
        <v>0.6382</v>
      </c>
    </row>
    <row r="440" customFormat="false" ht="13.5" hidden="false" customHeight="false" outlineLevel="0" collapsed="false">
      <c r="A440" s="3224" t="n">
        <v>7.9</v>
      </c>
      <c r="B440" s="3225" t="n">
        <v>0.8609</v>
      </c>
      <c r="C440" s="3225" t="n">
        <v>0.8609</v>
      </c>
      <c r="D440" s="3225" t="n">
        <v>0.7928</v>
      </c>
      <c r="E440" s="3225" t="n">
        <v>0.7928</v>
      </c>
      <c r="F440" s="3225" t="n">
        <v>0.7928</v>
      </c>
      <c r="G440" s="3225" t="n">
        <v>0.7928</v>
      </c>
      <c r="H440" s="3225" t="n">
        <v>0.7928</v>
      </c>
      <c r="I440" s="3225" t="n">
        <v>0.6361</v>
      </c>
      <c r="J440" s="3225" t="n">
        <v>0.6361</v>
      </c>
      <c r="K440" s="3225" t="n">
        <v>0.6361</v>
      </c>
      <c r="L440" s="3225" t="n">
        <v>0.6361</v>
      </c>
      <c r="M440" s="3226" t="n">
        <v>0.6361</v>
      </c>
    </row>
    <row r="441" customFormat="false" ht="13.5" hidden="false" customHeight="false" outlineLevel="0" collapsed="false">
      <c r="A441" s="3224" t="n">
        <v>8</v>
      </c>
      <c r="B441" s="3225" t="n">
        <v>0.8594</v>
      </c>
      <c r="C441" s="3225" t="n">
        <v>0.8594</v>
      </c>
      <c r="D441" s="3225" t="n">
        <v>0.7911</v>
      </c>
      <c r="E441" s="3225" t="n">
        <v>0.7911</v>
      </c>
      <c r="F441" s="3225" t="n">
        <v>0.7911</v>
      </c>
      <c r="G441" s="3225" t="n">
        <v>0.7911</v>
      </c>
      <c r="H441" s="3225" t="n">
        <v>0.7911</v>
      </c>
      <c r="I441" s="3225" t="n">
        <v>0.6341</v>
      </c>
      <c r="J441" s="3225" t="n">
        <v>0.6341</v>
      </c>
      <c r="K441" s="3225" t="n">
        <v>0.6341</v>
      </c>
      <c r="L441" s="3225" t="n">
        <v>0.6341</v>
      </c>
      <c r="M441" s="3226" t="n">
        <v>0.6341</v>
      </c>
    </row>
    <row r="442" customFormat="false" ht="13.5" hidden="false" customHeight="false" outlineLevel="0" collapsed="false">
      <c r="A442" s="3224" t="n">
        <v>8.1</v>
      </c>
      <c r="B442" s="3225" t="n">
        <v>0.858</v>
      </c>
      <c r="C442" s="3225" t="n">
        <v>0.858</v>
      </c>
      <c r="D442" s="3225" t="n">
        <v>0.7894</v>
      </c>
      <c r="E442" s="3225" t="n">
        <v>0.7894</v>
      </c>
      <c r="F442" s="3225" t="n">
        <v>0.7894</v>
      </c>
      <c r="G442" s="3225" t="n">
        <v>0.7894</v>
      </c>
      <c r="H442" s="3225" t="n">
        <v>0.7894</v>
      </c>
      <c r="I442" s="3225" t="n">
        <v>0.6321</v>
      </c>
      <c r="J442" s="3225" t="n">
        <v>0.6321</v>
      </c>
      <c r="K442" s="3225" t="n">
        <v>0.6321</v>
      </c>
      <c r="L442" s="3225" t="n">
        <v>0.6321</v>
      </c>
      <c r="M442" s="3226" t="n">
        <v>0.6321</v>
      </c>
    </row>
    <row r="443" customFormat="false" ht="13.5" hidden="false" customHeight="false" outlineLevel="0" collapsed="false">
      <c r="A443" s="3224" t="n">
        <v>8.2</v>
      </c>
      <c r="B443" s="3225" t="n">
        <v>0.8566</v>
      </c>
      <c r="C443" s="3225" t="n">
        <v>0.8566</v>
      </c>
      <c r="D443" s="3225" t="n">
        <v>0.7878</v>
      </c>
      <c r="E443" s="3225" t="n">
        <v>0.7878</v>
      </c>
      <c r="F443" s="3225" t="n">
        <v>0.7878</v>
      </c>
      <c r="G443" s="3225" t="n">
        <v>0.7878</v>
      </c>
      <c r="H443" s="3225" t="n">
        <v>0.7878</v>
      </c>
      <c r="I443" s="3225" t="n">
        <v>0.6301</v>
      </c>
      <c r="J443" s="3225" t="n">
        <v>0.6301</v>
      </c>
      <c r="K443" s="3225" t="n">
        <v>0.6301</v>
      </c>
      <c r="L443" s="3225" t="n">
        <v>0.6301</v>
      </c>
      <c r="M443" s="3226" t="n">
        <v>0.6301</v>
      </c>
    </row>
    <row r="444" customFormat="false" ht="13.5" hidden="false" customHeight="false" outlineLevel="0" collapsed="false">
      <c r="A444" s="3224" t="n">
        <v>8.3</v>
      </c>
      <c r="B444" s="3225" t="n">
        <v>0.8553</v>
      </c>
      <c r="C444" s="3225" t="n">
        <v>0.8553</v>
      </c>
      <c r="D444" s="3225" t="n">
        <v>0.7862</v>
      </c>
      <c r="E444" s="3225" t="n">
        <v>0.7862</v>
      </c>
      <c r="F444" s="3225" t="n">
        <v>0.7862</v>
      </c>
      <c r="G444" s="3225" t="n">
        <v>0.7862</v>
      </c>
      <c r="H444" s="3225" t="n">
        <v>0.7862</v>
      </c>
      <c r="I444" s="3225" t="n">
        <v>0.6281</v>
      </c>
      <c r="J444" s="3225" t="n">
        <v>0.6281</v>
      </c>
      <c r="K444" s="3225" t="n">
        <v>0.6281</v>
      </c>
      <c r="L444" s="3225" t="n">
        <v>0.6281</v>
      </c>
      <c r="M444" s="3226" t="n">
        <v>0.6281</v>
      </c>
    </row>
    <row r="445" customFormat="false" ht="13.5" hidden="false" customHeight="false" outlineLevel="0" collapsed="false">
      <c r="A445" s="3224" t="n">
        <v>8.4</v>
      </c>
      <c r="B445" s="3225" t="n">
        <v>0.8539</v>
      </c>
      <c r="C445" s="3225" t="n">
        <v>0.8539</v>
      </c>
      <c r="D445" s="3225" t="n">
        <v>0.7846</v>
      </c>
      <c r="E445" s="3225" t="n">
        <v>0.7846</v>
      </c>
      <c r="F445" s="3225" t="n">
        <v>0.7846</v>
      </c>
      <c r="G445" s="3225" t="n">
        <v>0.7846</v>
      </c>
      <c r="H445" s="3225" t="n">
        <v>0.7846</v>
      </c>
      <c r="I445" s="3225" t="n">
        <v>0.6261</v>
      </c>
      <c r="J445" s="3225" t="n">
        <v>0.6261</v>
      </c>
      <c r="K445" s="3225" t="n">
        <v>0.6261</v>
      </c>
      <c r="L445" s="3225" t="n">
        <v>0.6261</v>
      </c>
      <c r="M445" s="3226" t="n">
        <v>0.6261</v>
      </c>
    </row>
    <row r="446" customFormat="false" ht="13.5" hidden="false" customHeight="false" outlineLevel="0" collapsed="false">
      <c r="A446" s="3224" t="n">
        <v>8.5</v>
      </c>
      <c r="B446" s="3225" t="n">
        <v>0.8526</v>
      </c>
      <c r="C446" s="3225" t="n">
        <v>0.8526</v>
      </c>
      <c r="D446" s="3225" t="n">
        <v>0.7829</v>
      </c>
      <c r="E446" s="3225" t="n">
        <v>0.7829</v>
      </c>
      <c r="F446" s="3225" t="n">
        <v>0.7829</v>
      </c>
      <c r="G446" s="3225" t="n">
        <v>0.7829</v>
      </c>
      <c r="H446" s="3225" t="n">
        <v>0.7829</v>
      </c>
      <c r="I446" s="3225" t="n">
        <v>0.6242</v>
      </c>
      <c r="J446" s="3225" t="n">
        <v>0.6242</v>
      </c>
      <c r="K446" s="3225" t="n">
        <v>0.6242</v>
      </c>
      <c r="L446" s="3225" t="n">
        <v>0.6242</v>
      </c>
      <c r="M446" s="3226" t="n">
        <v>0.6242</v>
      </c>
    </row>
    <row r="447" customFormat="false" ht="13.5" hidden="false" customHeight="false" outlineLevel="0" collapsed="false">
      <c r="A447" s="3224" t="n">
        <v>8.6</v>
      </c>
      <c r="B447" s="3225" t="n">
        <v>0.8513</v>
      </c>
      <c r="C447" s="3225" t="n">
        <v>0.8513</v>
      </c>
      <c r="D447" s="3225" t="n">
        <v>0.7813</v>
      </c>
      <c r="E447" s="3225" t="n">
        <v>0.7813</v>
      </c>
      <c r="F447" s="3225" t="n">
        <v>0.7813</v>
      </c>
      <c r="G447" s="3225" t="n">
        <v>0.7813</v>
      </c>
      <c r="H447" s="3225" t="n">
        <v>0.7813</v>
      </c>
      <c r="I447" s="3225" t="n">
        <v>0.6223</v>
      </c>
      <c r="J447" s="3225" t="n">
        <v>0.6223</v>
      </c>
      <c r="K447" s="3225" t="n">
        <v>0.6223</v>
      </c>
      <c r="L447" s="3225" t="n">
        <v>0.6223</v>
      </c>
      <c r="M447" s="3226" t="n">
        <v>0.6223</v>
      </c>
    </row>
    <row r="448" customFormat="false" ht="13.5" hidden="false" customHeight="false" outlineLevel="0" collapsed="false">
      <c r="A448" s="3224" t="n">
        <v>8.7</v>
      </c>
      <c r="B448" s="3225" t="n">
        <v>0.85</v>
      </c>
      <c r="C448" s="3225" t="n">
        <v>0.85</v>
      </c>
      <c r="D448" s="3225" t="n">
        <v>0.7797</v>
      </c>
      <c r="E448" s="3225" t="n">
        <v>0.7797</v>
      </c>
      <c r="F448" s="3225" t="n">
        <v>0.7797</v>
      </c>
      <c r="G448" s="3225" t="n">
        <v>0.7797</v>
      </c>
      <c r="H448" s="3225" t="n">
        <v>0.7797</v>
      </c>
      <c r="I448" s="3225" t="n">
        <v>0.6204</v>
      </c>
      <c r="J448" s="3225" t="n">
        <v>0.6204</v>
      </c>
      <c r="K448" s="3225" t="n">
        <v>0.6204</v>
      </c>
      <c r="L448" s="3225" t="n">
        <v>0.6204</v>
      </c>
      <c r="M448" s="3226" t="n">
        <v>0.6204</v>
      </c>
    </row>
    <row r="449" customFormat="false" ht="13.5" hidden="false" customHeight="false" outlineLevel="0" collapsed="false">
      <c r="A449" s="3224" t="n">
        <v>8.8</v>
      </c>
      <c r="B449" s="3225" t="n">
        <v>0.8486</v>
      </c>
      <c r="C449" s="3225" t="n">
        <v>0.8486</v>
      </c>
      <c r="D449" s="3225" t="n">
        <v>0.7782</v>
      </c>
      <c r="E449" s="3225" t="n">
        <v>0.7782</v>
      </c>
      <c r="F449" s="3225" t="n">
        <v>0.7782</v>
      </c>
      <c r="G449" s="3225" t="n">
        <v>0.7782</v>
      </c>
      <c r="H449" s="3225" t="n">
        <v>0.7782</v>
      </c>
      <c r="I449" s="3225" t="n">
        <v>0.6185</v>
      </c>
      <c r="J449" s="3225" t="n">
        <v>0.6185</v>
      </c>
      <c r="K449" s="3225" t="n">
        <v>0.6185</v>
      </c>
      <c r="L449" s="3225" t="n">
        <v>0.6185</v>
      </c>
      <c r="M449" s="3226" t="n">
        <v>0.6185</v>
      </c>
    </row>
    <row r="450" customFormat="false" ht="13.5" hidden="false" customHeight="false" outlineLevel="0" collapsed="false">
      <c r="A450" s="3224" t="n">
        <v>8.9</v>
      </c>
      <c r="B450" s="3225" t="n">
        <v>0.8474</v>
      </c>
      <c r="C450" s="3225" t="n">
        <v>0.8474</v>
      </c>
      <c r="D450" s="3225" t="n">
        <v>0.7767</v>
      </c>
      <c r="E450" s="3225" t="n">
        <v>0.7767</v>
      </c>
      <c r="F450" s="3225" t="n">
        <v>0.7767</v>
      </c>
      <c r="G450" s="3225" t="n">
        <v>0.7767</v>
      </c>
      <c r="H450" s="3225" t="n">
        <v>0.7767</v>
      </c>
      <c r="I450" s="3225" t="n">
        <v>0.6167</v>
      </c>
      <c r="J450" s="3225" t="n">
        <v>0.6167</v>
      </c>
      <c r="K450" s="3225" t="n">
        <v>0.6167</v>
      </c>
      <c r="L450" s="3225" t="n">
        <v>0.6167</v>
      </c>
      <c r="M450" s="3226" t="n">
        <v>0.6167</v>
      </c>
    </row>
    <row r="451" customFormat="false" ht="13.5" hidden="false" customHeight="false" outlineLevel="0" collapsed="false">
      <c r="A451" s="3228" t="n">
        <v>9</v>
      </c>
      <c r="B451" s="3225" t="n">
        <v>0.8462</v>
      </c>
      <c r="C451" s="3225" t="n">
        <v>0.8462</v>
      </c>
      <c r="D451" s="3225" t="n">
        <v>0.7751</v>
      </c>
      <c r="E451" s="3225" t="n">
        <v>0.7751</v>
      </c>
      <c r="F451" s="3225" t="n">
        <v>0.7751</v>
      </c>
      <c r="G451" s="3225" t="n">
        <v>0.7751</v>
      </c>
      <c r="H451" s="3225" t="n">
        <v>0.7751</v>
      </c>
      <c r="I451" s="3225" t="n">
        <v>0.6148</v>
      </c>
      <c r="J451" s="3225" t="n">
        <v>0.6148</v>
      </c>
      <c r="K451" s="3225" t="n">
        <v>0.6148</v>
      </c>
      <c r="L451" s="3225" t="n">
        <v>0.6148</v>
      </c>
      <c r="M451" s="3226" t="n">
        <v>0.6148</v>
      </c>
    </row>
    <row r="452" customFormat="false" ht="13.5" hidden="false" customHeight="false" outlineLevel="0" collapsed="false">
      <c r="A452" s="3228" t="n">
        <v>9.1</v>
      </c>
      <c r="B452" s="3225" t="n">
        <v>0.845</v>
      </c>
      <c r="C452" s="3225" t="n">
        <v>0.845</v>
      </c>
      <c r="D452" s="3225" t="n">
        <v>0.7736</v>
      </c>
      <c r="E452" s="3225" t="n">
        <v>0.7736</v>
      </c>
      <c r="F452" s="3225" t="n">
        <v>0.7736</v>
      </c>
      <c r="G452" s="3225" t="n">
        <v>0.7736</v>
      </c>
      <c r="H452" s="3225" t="n">
        <v>0.7736</v>
      </c>
      <c r="I452" s="3225" t="n">
        <v>0.613</v>
      </c>
      <c r="J452" s="3225" t="n">
        <v>0.613</v>
      </c>
      <c r="K452" s="3225" t="n">
        <v>0.613</v>
      </c>
      <c r="L452" s="3225" t="n">
        <v>0.613</v>
      </c>
      <c r="M452" s="3226" t="n">
        <v>0.613</v>
      </c>
    </row>
    <row r="453" customFormat="false" ht="13.5" hidden="false" customHeight="false" outlineLevel="0" collapsed="false">
      <c r="A453" s="3228" t="n">
        <v>9.2</v>
      </c>
      <c r="B453" s="3225" t="n">
        <v>0.8437</v>
      </c>
      <c r="C453" s="3225" t="n">
        <v>0.8437</v>
      </c>
      <c r="D453" s="3225" t="n">
        <v>0.7721</v>
      </c>
      <c r="E453" s="3225" t="n">
        <v>0.7721</v>
      </c>
      <c r="F453" s="3225" t="n">
        <v>0.7721</v>
      </c>
      <c r="G453" s="3225" t="n">
        <v>0.7721</v>
      </c>
      <c r="H453" s="3225" t="n">
        <v>0.7721</v>
      </c>
      <c r="I453" s="3225" t="n">
        <v>0.6112</v>
      </c>
      <c r="J453" s="3225" t="n">
        <v>0.6112</v>
      </c>
      <c r="K453" s="3225" t="n">
        <v>0.6112</v>
      </c>
      <c r="L453" s="3225" t="n">
        <v>0.6112</v>
      </c>
      <c r="M453" s="3226" t="n">
        <v>0.6112</v>
      </c>
    </row>
    <row r="454" customFormat="false" ht="13.5" hidden="false" customHeight="false" outlineLevel="0" collapsed="false">
      <c r="A454" s="3228" t="n">
        <v>9.3</v>
      </c>
      <c r="B454" s="3225" t="n">
        <v>0.8425</v>
      </c>
      <c r="C454" s="3225" t="n">
        <v>0.8425</v>
      </c>
      <c r="D454" s="3225" t="n">
        <v>0.7706</v>
      </c>
      <c r="E454" s="3225" t="n">
        <v>0.7706</v>
      </c>
      <c r="F454" s="3225" t="n">
        <v>0.7706</v>
      </c>
      <c r="G454" s="3225" t="n">
        <v>0.7706</v>
      </c>
      <c r="H454" s="3225" t="n">
        <v>0.7706</v>
      </c>
      <c r="I454" s="3225" t="n">
        <v>0.6094</v>
      </c>
      <c r="J454" s="3225" t="n">
        <v>0.6094</v>
      </c>
      <c r="K454" s="3225" t="n">
        <v>0.6094</v>
      </c>
      <c r="L454" s="3225" t="n">
        <v>0.6094</v>
      </c>
      <c r="M454" s="3226" t="n">
        <v>0.6094</v>
      </c>
    </row>
    <row r="455" customFormat="false" ht="13.5" hidden="false" customHeight="false" outlineLevel="0" collapsed="false">
      <c r="A455" s="3228" t="n">
        <v>9.4</v>
      </c>
      <c r="B455" s="3225" t="n">
        <v>0.8413</v>
      </c>
      <c r="C455" s="3225" t="n">
        <v>0.8413</v>
      </c>
      <c r="D455" s="3225" t="n">
        <v>0.769</v>
      </c>
      <c r="E455" s="3225" t="n">
        <v>0.769</v>
      </c>
      <c r="F455" s="3225" t="n">
        <v>0.769</v>
      </c>
      <c r="G455" s="3225" t="n">
        <v>0.769</v>
      </c>
      <c r="H455" s="3225" t="n">
        <v>0.769</v>
      </c>
      <c r="I455" s="3225" t="n">
        <v>0.6076</v>
      </c>
      <c r="J455" s="3225" t="n">
        <v>0.6076</v>
      </c>
      <c r="K455" s="3225" t="n">
        <v>0.6076</v>
      </c>
      <c r="L455" s="3225" t="n">
        <v>0.6076</v>
      </c>
      <c r="M455" s="3226" t="n">
        <v>0.6076</v>
      </c>
    </row>
    <row r="456" customFormat="false" ht="13.5" hidden="false" customHeight="false" outlineLevel="0" collapsed="false">
      <c r="A456" s="3228" t="n">
        <v>9.5</v>
      </c>
      <c r="B456" s="3225" t="n">
        <v>0.8401</v>
      </c>
      <c r="C456" s="3225" t="n">
        <v>0.8401</v>
      </c>
      <c r="D456" s="3225" t="n">
        <v>0.7676</v>
      </c>
      <c r="E456" s="3225" t="n">
        <v>0.7676</v>
      </c>
      <c r="F456" s="3225" t="n">
        <v>0.7676</v>
      </c>
      <c r="G456" s="3225" t="n">
        <v>0.7676</v>
      </c>
      <c r="H456" s="3225" t="n">
        <v>0.7676</v>
      </c>
      <c r="I456" s="3225" t="n">
        <v>0.6058</v>
      </c>
      <c r="J456" s="3225" t="n">
        <v>0.6058</v>
      </c>
      <c r="K456" s="3225" t="n">
        <v>0.6058</v>
      </c>
      <c r="L456" s="3225" t="n">
        <v>0.6058</v>
      </c>
      <c r="M456" s="3226" t="n">
        <v>0.6058</v>
      </c>
    </row>
    <row r="457" customFormat="false" ht="13.5" hidden="false" customHeight="false" outlineLevel="0" collapsed="false">
      <c r="A457" s="3228" t="n">
        <v>9.6</v>
      </c>
      <c r="B457" s="3225" t="n">
        <v>0.839</v>
      </c>
      <c r="C457" s="3225" t="n">
        <v>0.839</v>
      </c>
      <c r="D457" s="3225" t="n">
        <v>0.7662</v>
      </c>
      <c r="E457" s="3225" t="n">
        <v>0.7662</v>
      </c>
      <c r="F457" s="3225" t="n">
        <v>0.7662</v>
      </c>
      <c r="G457" s="3225" t="n">
        <v>0.7662</v>
      </c>
      <c r="H457" s="3225" t="n">
        <v>0.7662</v>
      </c>
      <c r="I457" s="3225" t="n">
        <v>0.6041</v>
      </c>
      <c r="J457" s="3225" t="n">
        <v>0.6041</v>
      </c>
      <c r="K457" s="3225" t="n">
        <v>0.6041</v>
      </c>
      <c r="L457" s="3225" t="n">
        <v>0.6041</v>
      </c>
      <c r="M457" s="3226" t="n">
        <v>0.6041</v>
      </c>
    </row>
    <row r="458" customFormat="false" ht="13.5" hidden="false" customHeight="false" outlineLevel="0" collapsed="false">
      <c r="A458" s="3228" t="n">
        <v>9.7</v>
      </c>
      <c r="B458" s="3225" t="n">
        <v>0.8378</v>
      </c>
      <c r="C458" s="3225" t="n">
        <v>0.8378</v>
      </c>
      <c r="D458" s="3225" t="n">
        <v>0.7648</v>
      </c>
      <c r="E458" s="3225" t="n">
        <v>0.7648</v>
      </c>
      <c r="F458" s="3225" t="n">
        <v>0.7648</v>
      </c>
      <c r="G458" s="3225" t="n">
        <v>0.7648</v>
      </c>
      <c r="H458" s="3225" t="n">
        <v>0.7648</v>
      </c>
      <c r="I458" s="3225" t="n">
        <v>0.6024</v>
      </c>
      <c r="J458" s="3225" t="n">
        <v>0.6024</v>
      </c>
      <c r="K458" s="3225" t="n">
        <v>0.6024</v>
      </c>
      <c r="L458" s="3225" t="n">
        <v>0.6024</v>
      </c>
      <c r="M458" s="3226" t="n">
        <v>0.6024</v>
      </c>
    </row>
    <row r="459" customFormat="false" ht="13.5" hidden="false" customHeight="false" outlineLevel="0" collapsed="false">
      <c r="A459" s="3228" t="n">
        <v>9.8</v>
      </c>
      <c r="B459" s="3225" t="n">
        <v>0.8367</v>
      </c>
      <c r="C459" s="3225" t="n">
        <v>0.8367</v>
      </c>
      <c r="D459" s="3225" t="n">
        <v>0.7633</v>
      </c>
      <c r="E459" s="3225" t="n">
        <v>0.7633</v>
      </c>
      <c r="F459" s="3225" t="n">
        <v>0.7633</v>
      </c>
      <c r="G459" s="3225" t="n">
        <v>0.7633</v>
      </c>
      <c r="H459" s="3225" t="n">
        <v>0.7633</v>
      </c>
      <c r="I459" s="3225" t="n">
        <v>0.6006</v>
      </c>
      <c r="J459" s="3225" t="n">
        <v>0.6006</v>
      </c>
      <c r="K459" s="3225" t="n">
        <v>0.6006</v>
      </c>
      <c r="L459" s="3225" t="n">
        <v>0.6006</v>
      </c>
      <c r="M459" s="3226" t="n">
        <v>0.6006</v>
      </c>
    </row>
    <row r="460" customFormat="false" ht="13.5" hidden="false" customHeight="false" outlineLevel="0" collapsed="false">
      <c r="A460" s="3229" t="n">
        <v>9.9</v>
      </c>
      <c r="B460" s="3230" t="n">
        <v>0.8356</v>
      </c>
      <c r="C460" s="3230" t="n">
        <v>0.8356</v>
      </c>
      <c r="D460" s="3230" t="n">
        <v>0.7619</v>
      </c>
      <c r="E460" s="3230" t="n">
        <v>0.7619</v>
      </c>
      <c r="F460" s="3230" t="n">
        <v>0.7619</v>
      </c>
      <c r="G460" s="3230" t="n">
        <v>0.7619</v>
      </c>
      <c r="H460" s="3230" t="n">
        <v>0.7619</v>
      </c>
      <c r="I460" s="3230" t="n">
        <v>0.5989</v>
      </c>
      <c r="J460" s="3230" t="n">
        <v>0.5989</v>
      </c>
      <c r="K460" s="3230" t="n">
        <v>0.5989</v>
      </c>
      <c r="L460" s="3230" t="n">
        <v>0.5989</v>
      </c>
      <c r="M460" s="3231" t="n">
        <v>0.5989</v>
      </c>
    </row>
  </sheetData>
  <sheetProtection sheet="true" password="cee9" objects="true" scenarios="true" formatCells="false" formatColumns="false" formatRows="fals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E42"/>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A3" activeCellId="0" sqref="A3"/>
    </sheetView>
  </sheetViews>
  <sheetFormatPr defaultRowHeight="14.25" zeroHeight="false" outlineLevelRow="0" outlineLevelCol="0"/>
  <cols>
    <col collapsed="false" customWidth="true" hidden="false" outlineLevel="0" max="1" min="1" style="38" width="0.87"/>
    <col collapsed="false" customWidth="true" hidden="false" outlineLevel="0" max="2" min="2" style="38" width="37.25"/>
    <col collapsed="false" customWidth="true" hidden="false" outlineLevel="0" max="3" min="3" style="38" width="11.38"/>
    <col collapsed="false" customWidth="true" hidden="false" outlineLevel="0" max="4" min="4" style="38" width="31.75"/>
    <col collapsed="false" customWidth="true" hidden="false" outlineLevel="0" max="5" min="5" style="38" width="0.5"/>
    <col collapsed="false" customWidth="true" hidden="false" outlineLevel="0" max="7" min="6" style="38" width="13"/>
    <col collapsed="false" customWidth="true" hidden="false" outlineLevel="0" max="1025" min="8" style="38" width="9"/>
  </cols>
  <sheetData>
    <row r="1" customFormat="false" ht="18.75" hidden="false" customHeight="false" outlineLevel="0" collapsed="false">
      <c r="A1" s="39" t="s">
        <v>94</v>
      </c>
      <c r="B1" s="40"/>
      <c r="C1" s="40"/>
      <c r="D1" s="40"/>
      <c r="E1" s="40"/>
    </row>
    <row r="2" customFormat="false" ht="78" hidden="false" customHeight="true" outlineLevel="0" collapsed="false">
      <c r="A2" s="41" t="str">
        <f aca="false">"评估专业人员根据估价的目的，按照估价的程序，采用科学的估价方法，在认真分析现有资料的基础上，"&amp;IF(项目基本情况!B9="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本次评估的特殊要求，通过仔细测算和认真分析各种影响房地产价格的因素，确定估价对象在价值时点的房地产预评估价值，详见估价结果一览表。</v>
      </c>
      <c r="B2" s="41"/>
      <c r="C2" s="41"/>
      <c r="D2" s="41"/>
      <c r="E2" s="41"/>
    </row>
    <row r="3" customFormat="false" ht="18" hidden="false" customHeight="false" outlineLevel="0" collapsed="false">
      <c r="A3" s="42" t="str">
        <f aca="false">IF(项目基本情况!B9="房地产市场价值","估价结果一览表（市场价值不需“结果表-1”）","估价结果一览表")</f>
        <v>估价结果一览表（市场价值不需“结果表-1”）</v>
      </c>
      <c r="B3" s="42"/>
      <c r="C3" s="42"/>
      <c r="D3" s="42"/>
      <c r="E3" s="42"/>
    </row>
    <row r="4" customFormat="false" ht="18.75" hidden="false" customHeight="false" outlineLevel="0" collapsed="false">
      <c r="A4" s="43"/>
      <c r="B4" s="44" t="s">
        <v>95</v>
      </c>
      <c r="C4" s="44"/>
      <c r="D4" s="44"/>
      <c r="E4" s="43"/>
    </row>
    <row r="5" customFormat="false" ht="15.75" hidden="false" customHeight="true" outlineLevel="0" collapsed="false">
      <c r="A5" s="40"/>
      <c r="B5" s="45" t="s">
        <v>96</v>
      </c>
      <c r="C5" s="46" t="s">
        <v>97</v>
      </c>
      <c r="D5" s="47" t="e">
        <f aca="false">结果表!H101</f>
        <v>#VALUE!</v>
      </c>
      <c r="E5" s="40"/>
    </row>
    <row r="6" customFormat="false" ht="15.75" hidden="false" customHeight="false" outlineLevel="0" collapsed="false">
      <c r="A6" s="40"/>
      <c r="B6" s="45"/>
      <c r="C6" s="46" t="s">
        <v>98</v>
      </c>
      <c r="D6" s="47" t="e">
        <f aca="false">numberstring(INT(D5*10000),2)&amp;"元整"</f>
        <v>#VALUE!</v>
      </c>
      <c r="E6" s="40"/>
    </row>
    <row r="7" customFormat="false" ht="15.75" hidden="false" customHeight="false" outlineLevel="0" collapsed="false">
      <c r="A7" s="40"/>
      <c r="B7" s="45"/>
      <c r="C7" s="48" t="s">
        <v>99</v>
      </c>
      <c r="D7" s="49" t="e">
        <f aca="false">结果表!H102</f>
        <v>#VALUE!</v>
      </c>
      <c r="E7" s="40"/>
    </row>
    <row r="8" customFormat="false" ht="15.75" hidden="false" customHeight="false" outlineLevel="0" collapsed="false">
      <c r="A8" s="40"/>
      <c r="B8" s="50" t="str">
        <f aca="false">结果表!E103</f>
        <v>2.估价师知悉的法定优先受偿款</v>
      </c>
      <c r="C8" s="51" t="s">
        <v>100</v>
      </c>
      <c r="D8" s="49" t="n">
        <f aca="false">结果表!H103</f>
        <v>0</v>
      </c>
      <c r="E8" s="40"/>
    </row>
    <row r="9" customFormat="false" ht="15.75" hidden="false" customHeight="false" outlineLevel="0" collapsed="false">
      <c r="A9" s="40"/>
      <c r="B9" s="50"/>
      <c r="C9" s="46" t="s">
        <v>98</v>
      </c>
      <c r="D9" s="47" t="str">
        <f aca="false">numberstring(INT(D8*10000),2)&amp;"元整"</f>
        <v>零元整</v>
      </c>
      <c r="E9" s="40"/>
    </row>
    <row r="10" customFormat="false" ht="15" hidden="false" customHeight="false" outlineLevel="0" collapsed="false">
      <c r="A10" s="40"/>
      <c r="B10" s="52" t="s">
        <v>101</v>
      </c>
      <c r="C10" s="48" t="s">
        <v>100</v>
      </c>
      <c r="D10" s="53" t="n">
        <f aca="false">结果表!H104</f>
        <v>0</v>
      </c>
      <c r="E10" s="40"/>
    </row>
    <row r="11" customFormat="false" ht="15" hidden="false" customHeight="false" outlineLevel="0" collapsed="false">
      <c r="A11" s="40"/>
      <c r="B11" s="52" t="s">
        <v>102</v>
      </c>
      <c r="C11" s="48" t="s">
        <v>100</v>
      </c>
      <c r="D11" s="53" t="n">
        <f aca="false">结果表!H105</f>
        <v>0</v>
      </c>
      <c r="E11" s="40"/>
    </row>
    <row r="12" customFormat="false" ht="15" hidden="false" customHeight="false" outlineLevel="0" collapsed="false">
      <c r="A12" s="40"/>
      <c r="B12" s="52" t="s">
        <v>103</v>
      </c>
      <c r="C12" s="48" t="s">
        <v>100</v>
      </c>
      <c r="D12" s="53" t="n">
        <f aca="false">结果表!H106</f>
        <v>0</v>
      </c>
      <c r="E12" s="40"/>
    </row>
    <row r="13" customFormat="false" ht="15.75" hidden="false" customHeight="false" outlineLevel="0" collapsed="false">
      <c r="A13" s="40"/>
      <c r="B13" s="54" t="str">
        <f aca="false">结果表!E107</f>
        <v>——</v>
      </c>
      <c r="C13" s="51" t="s">
        <v>97</v>
      </c>
      <c r="D13" s="55" t="str">
        <f aca="false">结果表!H107</f>
        <v>——</v>
      </c>
      <c r="E13" s="40"/>
    </row>
    <row r="14" customFormat="false" ht="15.75" hidden="false" customHeight="false" outlineLevel="0" collapsed="false">
      <c r="A14" s="40"/>
      <c r="B14" s="54"/>
      <c r="C14" s="46" t="s">
        <v>98</v>
      </c>
      <c r="D14" s="47" t="e">
        <f aca="false">numberstring(INT(D13*10000),2)&amp;"元整"</f>
        <v>#VALUE!</v>
      </c>
      <c r="E14" s="40"/>
    </row>
    <row r="15" customFormat="false" ht="15" hidden="false" customHeight="false" outlineLevel="0" collapsed="false">
      <c r="A15" s="40"/>
      <c r="B15" s="54"/>
      <c r="C15" s="48" t="s">
        <v>99</v>
      </c>
      <c r="D15" s="56" t="e">
        <f aca="false">结果表!H108</f>
        <v>#VALUE!</v>
      </c>
      <c r="E15" s="40"/>
    </row>
    <row r="16" customFormat="false" ht="15" hidden="false" customHeight="false" outlineLevel="0" collapsed="false">
      <c r="A16" s="40"/>
      <c r="B16" s="50" t="str">
        <f aca="false">结果表!E109</f>
        <v>3.抵押担保权已注销时的房地产抵押价值</v>
      </c>
      <c r="C16" s="51" t="s">
        <v>97</v>
      </c>
      <c r="D16" s="57" t="e">
        <f aca="false">结果表!H109</f>
        <v>#VALUE!</v>
      </c>
      <c r="E16" s="40"/>
    </row>
    <row r="17" customFormat="false" ht="15.75" hidden="false" customHeight="false" outlineLevel="0" collapsed="false">
      <c r="A17" s="40"/>
      <c r="B17" s="50"/>
      <c r="C17" s="46" t="s">
        <v>98</v>
      </c>
      <c r="D17" s="47" t="e">
        <f aca="false">numberstring(INT(D16*10000),2)&amp;"元整"</f>
        <v>#VALUE!</v>
      </c>
      <c r="E17" s="40"/>
    </row>
    <row r="18" customFormat="false" ht="15" hidden="false" customHeight="false" outlineLevel="0" collapsed="false">
      <c r="A18" s="40"/>
      <c r="B18" s="50"/>
      <c r="C18" s="48" t="s">
        <v>99</v>
      </c>
      <c r="D18" s="56" t="e">
        <f aca="false">结果表!H110</f>
        <v>#VALUE!</v>
      </c>
      <c r="E18" s="40"/>
    </row>
    <row r="19" customFormat="false" ht="15.75" hidden="false" customHeight="false" outlineLevel="0" collapsed="false">
      <c r="A19" s="40"/>
      <c r="B19" s="58" t="str">
        <f aca="false">结果表!E111</f>
        <v>——</v>
      </c>
      <c r="C19" s="51" t="s">
        <v>97</v>
      </c>
      <c r="D19" s="49" t="str">
        <f aca="false">结果表!H111</f>
        <v>——</v>
      </c>
      <c r="E19" s="40"/>
    </row>
    <row r="20" customFormat="false" ht="15.75" hidden="false" customHeight="false" outlineLevel="0" collapsed="false">
      <c r="A20" s="40"/>
      <c r="B20" s="58"/>
      <c r="C20" s="46" t="s">
        <v>98</v>
      </c>
      <c r="D20" s="47" t="e">
        <f aca="false">numberstring(INT(D19*10000),2)&amp;"元整"</f>
        <v>#VALUE!</v>
      </c>
      <c r="E20" s="40"/>
    </row>
    <row r="21" customFormat="false" ht="15" hidden="false" customHeight="false" outlineLevel="0" collapsed="false">
      <c r="A21" s="40"/>
      <c r="B21" s="58"/>
      <c r="C21" s="59" t="s">
        <v>99</v>
      </c>
      <c r="D21" s="60" t="str">
        <f aca="false">结果表!H112</f>
        <v>——</v>
      </c>
      <c r="E21" s="40"/>
    </row>
    <row r="22" customFormat="false" ht="14.25" hidden="false" customHeight="false" outlineLevel="0" collapsed="false">
      <c r="A22" s="40"/>
      <c r="B22" s="61" t="s">
        <v>104</v>
      </c>
      <c r="C22" s="40"/>
      <c r="D22" s="40"/>
      <c r="E22" s="40"/>
    </row>
    <row r="23" customFormat="false" ht="14.25" hidden="false" customHeight="false" outlineLevel="0" collapsed="false">
      <c r="A23" s="40"/>
      <c r="B23" s="40"/>
      <c r="C23" s="40"/>
      <c r="D23" s="40"/>
      <c r="E23" s="40"/>
    </row>
    <row r="24" customFormat="false" ht="18.75" hidden="false" customHeight="false" outlineLevel="0" collapsed="false">
      <c r="A24" s="62"/>
      <c r="B24" s="63" t="s">
        <v>105</v>
      </c>
      <c r="C24" s="62"/>
      <c r="D24" s="62"/>
      <c r="E24" s="62"/>
    </row>
    <row r="25" customFormat="false" ht="14.25" hidden="false" customHeight="false" outlineLevel="0" collapsed="false">
      <c r="A25" s="62"/>
      <c r="B25" s="62"/>
      <c r="C25" s="62"/>
      <c r="D25" s="62"/>
      <c r="E25" s="62"/>
    </row>
    <row r="26" customFormat="false" ht="14.25" hidden="false" customHeight="false" outlineLevel="0" collapsed="false">
      <c r="A26" s="62"/>
      <c r="B26" s="62"/>
      <c r="C26" s="62"/>
      <c r="D26" s="62"/>
      <c r="E26" s="62"/>
    </row>
    <row r="27" customFormat="false" ht="14.25" hidden="false" customHeight="false" outlineLevel="0" collapsed="false">
      <c r="A27" s="62"/>
      <c r="B27" s="62"/>
      <c r="C27" s="62"/>
      <c r="D27" s="62"/>
      <c r="E27" s="62"/>
    </row>
    <row r="28" customFormat="false" ht="14.25" hidden="false" customHeight="false" outlineLevel="0" collapsed="false">
      <c r="A28" s="62"/>
      <c r="B28" s="62"/>
      <c r="C28" s="62"/>
      <c r="D28" s="62"/>
      <c r="E28" s="62"/>
    </row>
    <row r="29" customFormat="false" ht="14.25" hidden="false" customHeight="false" outlineLevel="0" collapsed="false">
      <c r="A29" s="62"/>
      <c r="B29" s="62"/>
      <c r="C29" s="62"/>
      <c r="D29" s="62"/>
      <c r="E29" s="62"/>
    </row>
    <row r="30" customFormat="false" ht="14.25" hidden="false" customHeight="false" outlineLevel="0" collapsed="false">
      <c r="A30" s="62"/>
      <c r="B30" s="62"/>
      <c r="C30" s="62"/>
      <c r="D30" s="62"/>
      <c r="E30" s="62"/>
    </row>
    <row r="31" customFormat="false" ht="14.25" hidden="false" customHeight="false" outlineLevel="0" collapsed="false">
      <c r="A31" s="62"/>
      <c r="B31" s="62"/>
      <c r="C31" s="62"/>
      <c r="D31" s="62"/>
      <c r="E31" s="62"/>
    </row>
    <row r="32" customFormat="false" ht="14.25" hidden="false" customHeight="false" outlineLevel="0" collapsed="false">
      <c r="A32" s="62"/>
      <c r="B32" s="62"/>
      <c r="C32" s="62"/>
      <c r="D32" s="62"/>
      <c r="E32" s="62"/>
    </row>
    <row r="33" customFormat="false" ht="14.25" hidden="false" customHeight="false" outlineLevel="0" collapsed="false">
      <c r="A33" s="62"/>
      <c r="B33" s="62"/>
      <c r="C33" s="62"/>
      <c r="D33" s="62"/>
      <c r="E33" s="62"/>
    </row>
    <row r="34" customFormat="false" ht="14.25" hidden="false" customHeight="false" outlineLevel="0" collapsed="false">
      <c r="A34" s="62"/>
      <c r="B34" s="62"/>
      <c r="C34" s="62"/>
      <c r="D34" s="62"/>
      <c r="E34" s="62"/>
    </row>
    <row r="35" customFormat="false" ht="14.25" hidden="false" customHeight="false" outlineLevel="0" collapsed="false">
      <c r="A35" s="62"/>
      <c r="B35" s="62"/>
      <c r="C35" s="62"/>
      <c r="D35" s="62"/>
      <c r="E35" s="62"/>
    </row>
    <row r="36" customFormat="false" ht="14.25" hidden="false" customHeight="false" outlineLevel="0" collapsed="false">
      <c r="A36" s="62"/>
      <c r="B36" s="62"/>
      <c r="C36" s="62"/>
      <c r="D36" s="62"/>
      <c r="E36" s="62"/>
    </row>
    <row r="37" customFormat="false" ht="14.25" hidden="false" customHeight="false" outlineLevel="0" collapsed="false">
      <c r="A37" s="62"/>
      <c r="B37" s="62"/>
      <c r="C37" s="62"/>
      <c r="D37" s="62"/>
      <c r="E37" s="62"/>
    </row>
    <row r="38" customFormat="false" ht="14.25" hidden="false" customHeight="false" outlineLevel="0" collapsed="false">
      <c r="A38" s="62"/>
      <c r="B38" s="62"/>
      <c r="C38" s="62"/>
      <c r="D38" s="62"/>
      <c r="E38" s="62"/>
    </row>
    <row r="39" customFormat="false" ht="14.25" hidden="false" customHeight="false" outlineLevel="0" collapsed="false">
      <c r="A39" s="62"/>
      <c r="B39" s="62"/>
      <c r="C39" s="62"/>
      <c r="D39" s="62"/>
      <c r="E39" s="62"/>
    </row>
    <row r="40" customFormat="false" ht="14.25" hidden="false" customHeight="false" outlineLevel="0" collapsed="false">
      <c r="A40" s="62"/>
      <c r="B40" s="62"/>
      <c r="C40" s="62"/>
      <c r="D40" s="62"/>
      <c r="E40" s="62"/>
    </row>
    <row r="41" customFormat="false" ht="14.25" hidden="false" customHeight="false" outlineLevel="0" collapsed="false">
      <c r="A41" s="62"/>
      <c r="B41" s="62"/>
      <c r="C41" s="62"/>
      <c r="D41" s="62"/>
      <c r="E41" s="62"/>
    </row>
    <row r="42" customFormat="false" ht="14.25" hidden="false" customHeight="false" outlineLevel="0" collapsed="false">
      <c r="A42" s="62"/>
      <c r="B42" s="62"/>
      <c r="C42" s="62"/>
      <c r="D42" s="62"/>
      <c r="E42" s="62"/>
    </row>
  </sheetData>
  <sheetProtection sheet="true" objects="true" scenarios="true" formatCells="false" formatRows="false" insertRows="false" deleteRows="false"/>
  <mergeCells count="8">
    <mergeCell ref="A2:E2"/>
    <mergeCell ref="A3:E3"/>
    <mergeCell ref="B4:D4"/>
    <mergeCell ref="B5:B7"/>
    <mergeCell ref="B8:B9"/>
    <mergeCell ref="B13:B15"/>
    <mergeCell ref="B16:B18"/>
    <mergeCell ref="B19:B21"/>
  </mergeCells>
  <printOptions headings="false" gridLines="false" gridLinesSet="true" horizontalCentered="true" verticalCentered="false"/>
  <pageMargins left="0.984027777777778" right="0.7875" top="0.83125" bottom="0.984027777777778" header="0.590277777777778" footer="0.787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&amp;C&amp;P</oddFooter>
  </headerFooter>
</worksheet>
</file>

<file path=xl/worksheets/sheet40.xml><?xml version="1.0" encoding="utf-8"?>
<worksheet xmlns="http://schemas.openxmlformats.org/spreadsheetml/2006/main" xmlns:r="http://schemas.openxmlformats.org/officeDocument/2006/relationships">
  <sheetPr filterMode="false">
    <tabColor rgb="FF92D050"/>
    <pageSetUpPr fitToPage="true"/>
  </sheetPr>
  <dimension ref="A1:G57"/>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I1" activeCellId="0" sqref="I1"/>
    </sheetView>
  </sheetViews>
  <sheetFormatPr defaultRowHeight="12.75" zeroHeight="false" outlineLevelRow="0" outlineLevelCol="0"/>
  <cols>
    <col collapsed="false" customWidth="true" hidden="false" outlineLevel="0" max="1" min="1" style="1246" width="9.38"/>
    <col collapsed="false" customWidth="true" hidden="false" outlineLevel="0" max="2" min="2" style="1247" width="29.25"/>
    <col collapsed="false" customWidth="true" hidden="false" outlineLevel="0" max="3" min="3" style="1247" width="12.12"/>
    <col collapsed="false" customWidth="true" hidden="false" outlineLevel="0" max="5" min="4" style="1248" width="11.26"/>
    <col collapsed="false" customWidth="true" hidden="false" outlineLevel="0" max="6" min="6" style="1247" width="9.5"/>
    <col collapsed="false" customWidth="true" hidden="false" outlineLevel="0" max="7" min="7" style="1247" width="31.88"/>
    <col collapsed="false" customWidth="true" hidden="false" outlineLevel="0" max="254" min="8" style="1247" width="9"/>
    <col collapsed="false" customWidth="true" hidden="false" outlineLevel="0" max="1025" min="255" style="1247" width="8.38"/>
  </cols>
  <sheetData>
    <row r="1" s="1253" customFormat="true" ht="20.25" hidden="false" customHeight="false" outlineLevel="0" collapsed="false">
      <c r="A1" s="3233" t="s">
        <v>225</v>
      </c>
      <c r="B1" s="2797"/>
      <c r="C1" s="1251"/>
      <c r="D1" s="1251"/>
      <c r="E1" s="1251"/>
      <c r="F1" s="1251"/>
      <c r="G1" s="1256"/>
    </row>
    <row r="2" s="1253" customFormat="true" ht="18" hidden="false" customHeight="true" outlineLevel="0" collapsed="false">
      <c r="A2" s="3234" t="s">
        <v>97</v>
      </c>
      <c r="B2" s="1255" t="n">
        <f aca="false">C52</f>
        <v>28475</v>
      </c>
      <c r="C2" s="3235" t="s">
        <v>722</v>
      </c>
      <c r="D2" s="1256"/>
      <c r="E2" s="1256"/>
      <c r="F2" s="1256"/>
      <c r="G2" s="1256"/>
    </row>
    <row r="3" s="1253" customFormat="true" ht="18" hidden="false" customHeight="true" outlineLevel="0" collapsed="false">
      <c r="A3" s="3236" t="s">
        <v>110</v>
      </c>
      <c r="B3" s="1262" t="n">
        <f aca="false">ROUND(B2*10000/'数据-汇总表'!E3,0)</f>
        <v>4884220</v>
      </c>
      <c r="C3" s="3235" t="s">
        <v>1971</v>
      </c>
      <c r="D3" s="1256"/>
      <c r="E3" s="1256"/>
      <c r="F3" s="1256"/>
      <c r="G3" s="1256"/>
    </row>
    <row r="4" s="1266" customFormat="true" ht="15.75" hidden="false" customHeight="false" outlineLevel="0" collapsed="false">
      <c r="A4" s="1263" t="s">
        <v>1972</v>
      </c>
      <c r="B4" s="1264"/>
      <c r="C4" s="1264"/>
      <c r="D4" s="1264"/>
      <c r="E4" s="1264"/>
      <c r="F4" s="1264"/>
      <c r="G4" s="1265"/>
    </row>
    <row r="5" s="1273" customFormat="true" ht="13.5" hidden="false" customHeight="true" outlineLevel="0" collapsed="false">
      <c r="A5" s="1267" t="s">
        <v>880</v>
      </c>
      <c r="B5" s="3237" t="s">
        <v>833</v>
      </c>
      <c r="C5" s="1269" t="n">
        <f aca="false">C6+C7+C8</f>
        <v>20610</v>
      </c>
      <c r="D5" s="3238" t="s">
        <v>728</v>
      </c>
      <c r="E5" s="3239" t="s">
        <v>99</v>
      </c>
      <c r="F5" s="3239" t="s">
        <v>789</v>
      </c>
      <c r="G5" s="1272"/>
    </row>
    <row r="6" s="1273" customFormat="true" ht="13.5" hidden="false" customHeight="true" outlineLevel="0" collapsed="false">
      <c r="A6" s="1274" t="s">
        <v>881</v>
      </c>
      <c r="B6" s="3240" t="s">
        <v>882</v>
      </c>
      <c r="C6" s="1276" t="n">
        <v>20000</v>
      </c>
      <c r="D6" s="1277"/>
      <c r="E6" s="1278"/>
      <c r="F6" s="1278"/>
      <c r="G6" s="1279"/>
    </row>
    <row r="7" s="1273" customFormat="true" ht="13.5" hidden="false" customHeight="true" outlineLevel="0" collapsed="false">
      <c r="A7" s="1274" t="s">
        <v>883</v>
      </c>
      <c r="B7" s="3240" t="s">
        <v>884</v>
      </c>
      <c r="C7" s="1280" t="n">
        <f aca="false">ROUND(C6*F7,0)</f>
        <v>610</v>
      </c>
      <c r="D7" s="1280"/>
      <c r="E7" s="1278"/>
      <c r="F7" s="1281" t="n">
        <f aca="false">'数据-取费表'!B48+'数据-取费表'!B49</f>
        <v>0.0305</v>
      </c>
      <c r="G7" s="1279"/>
    </row>
    <row r="8" s="1284" customFormat="true" ht="12.75" hidden="false" customHeight="false" outlineLevel="0" collapsed="false">
      <c r="A8" s="1274" t="s">
        <v>885</v>
      </c>
      <c r="B8" s="3240" t="s">
        <v>886</v>
      </c>
      <c r="C8" s="1280" t="str">
        <f aca="false">IF(G8="已包含在土地购买价格中","0",'数据-取费表'!B29)</f>
        <v>0</v>
      </c>
      <c r="D8" s="1282"/>
      <c r="E8" s="1280"/>
      <c r="F8" s="1281"/>
      <c r="G8" s="3241" t="s">
        <v>959</v>
      </c>
    </row>
    <row r="9" s="1273" customFormat="true" ht="13.5" hidden="false" customHeight="true" outlineLevel="0" collapsed="false">
      <c r="A9" s="1285" t="s">
        <v>887</v>
      </c>
      <c r="B9" s="3242" t="s">
        <v>156</v>
      </c>
      <c r="C9" s="1287" t="n">
        <f aca="false">ROUND(D9*E9/10000,0)</f>
        <v>1</v>
      </c>
      <c r="D9" s="1288" t="n">
        <f aca="false">'数据-汇总表'!E5</f>
        <v>58.3</v>
      </c>
      <c r="E9" s="1287" t="n">
        <f aca="false">'数据-取费表'!B27</f>
        <v>160</v>
      </c>
      <c r="F9" s="1281"/>
      <c r="G9" s="1292"/>
    </row>
    <row r="10" s="1273" customFormat="true" ht="13.5" hidden="false" customHeight="true" outlineLevel="0" collapsed="false">
      <c r="A10" s="1285" t="s">
        <v>888</v>
      </c>
      <c r="B10" s="3242" t="s">
        <v>529</v>
      </c>
      <c r="C10" s="1287" t="n">
        <f aca="false">ROUND(D10*E10/10000,0)</f>
        <v>0</v>
      </c>
      <c r="D10" s="1288" t="n">
        <f aca="false">'数据-汇总表'!E6</f>
        <v>0</v>
      </c>
      <c r="E10" s="1287" t="n">
        <f aca="false">'数据-取费表'!B28</f>
        <v>200</v>
      </c>
      <c r="F10" s="1281"/>
      <c r="G10" s="1292"/>
    </row>
    <row r="11" s="1273" customFormat="true" ht="13.5" hidden="true" customHeight="true" outlineLevel="0" collapsed="false">
      <c r="A11" s="1293" t="s">
        <v>889</v>
      </c>
      <c r="B11" s="3240" t="s">
        <v>890</v>
      </c>
      <c r="C11" s="1269"/>
      <c r="D11" s="1294"/>
      <c r="E11" s="1278"/>
      <c r="F11" s="1278"/>
      <c r="G11" s="1279"/>
    </row>
    <row r="12" s="1273" customFormat="true" ht="13.5" hidden="true" customHeight="true" outlineLevel="0" collapsed="false">
      <c r="A12" s="1293" t="s">
        <v>891</v>
      </c>
      <c r="B12" s="3240" t="s">
        <v>824</v>
      </c>
      <c r="C12" s="1269" t="n">
        <v>0</v>
      </c>
      <c r="D12" s="1294"/>
      <c r="E12" s="1295"/>
      <c r="F12" s="1281" t="n">
        <v>0.0305</v>
      </c>
      <c r="G12" s="1279"/>
    </row>
    <row r="13" s="1273" customFormat="true" ht="13.5" hidden="true" customHeight="true" outlineLevel="0" collapsed="false">
      <c r="A13" s="1293" t="s">
        <v>892</v>
      </c>
      <c r="B13" s="3240" t="s">
        <v>893</v>
      </c>
      <c r="C13" s="1269"/>
      <c r="D13" s="1294"/>
      <c r="E13" s="1278"/>
      <c r="F13" s="1278"/>
      <c r="G13" s="1279"/>
    </row>
    <row r="14" s="1273" customFormat="true" ht="13.5" hidden="true" customHeight="true" outlineLevel="0" collapsed="false">
      <c r="A14" s="1293" t="s">
        <v>894</v>
      </c>
      <c r="B14" s="3240" t="s">
        <v>886</v>
      </c>
      <c r="C14" s="1269"/>
      <c r="D14" s="1294"/>
      <c r="E14" s="1278"/>
      <c r="F14" s="1278"/>
      <c r="G14" s="3243" t="s">
        <v>895</v>
      </c>
    </row>
    <row r="15" s="1273" customFormat="true" ht="13.5" hidden="true" customHeight="true" outlineLevel="0" collapsed="false">
      <c r="A15" s="1293" t="s">
        <v>896</v>
      </c>
      <c r="B15" s="3240" t="s">
        <v>897</v>
      </c>
      <c r="C15" s="1280"/>
      <c r="D15" s="1294"/>
      <c r="E15" s="1278"/>
      <c r="F15" s="1278"/>
      <c r="G15" s="3243" t="s">
        <v>898</v>
      </c>
    </row>
    <row r="16" s="1273" customFormat="true" ht="13.5" hidden="true" customHeight="true" outlineLevel="0" collapsed="false">
      <c r="A16" s="1293" t="s">
        <v>899</v>
      </c>
      <c r="B16" s="3240" t="s">
        <v>886</v>
      </c>
      <c r="C16" s="1280"/>
      <c r="D16" s="1294"/>
      <c r="E16" s="1278"/>
      <c r="F16" s="1278"/>
      <c r="G16" s="1279"/>
    </row>
    <row r="17" s="1273" customFormat="true" ht="13.5" hidden="true" customHeight="true" outlineLevel="0" collapsed="false">
      <c r="A17" s="1293" t="s">
        <v>900</v>
      </c>
      <c r="B17" s="3240" t="s">
        <v>901</v>
      </c>
      <c r="C17" s="1296"/>
      <c r="D17" s="1297"/>
      <c r="E17" s="1296"/>
      <c r="F17" s="1296"/>
      <c r="G17" s="3243" t="s">
        <v>898</v>
      </c>
    </row>
    <row r="18" s="1273" customFormat="true" ht="13.5" hidden="true" customHeight="true" outlineLevel="0" collapsed="false">
      <c r="A18" s="1293" t="s">
        <v>902</v>
      </c>
      <c r="B18" s="3240" t="s">
        <v>838</v>
      </c>
      <c r="C18" s="1280" t="n">
        <v>0</v>
      </c>
      <c r="D18" s="1294"/>
      <c r="E18" s="1278"/>
      <c r="F18" s="1281" t="n">
        <v>0.0305</v>
      </c>
      <c r="G18" s="3243" t="s">
        <v>903</v>
      </c>
    </row>
    <row r="19" s="1284" customFormat="true" ht="13.5" hidden="false" customHeight="true" outlineLevel="0" collapsed="false">
      <c r="A19" s="1267" t="s">
        <v>1619</v>
      </c>
      <c r="B19" s="3237" t="s">
        <v>1973</v>
      </c>
      <c r="C19" s="1269" t="n">
        <f aca="false">IF(G19="已包含在土地取得成本中","0",ROUND(D19*E19/10000,0))</f>
        <v>1</v>
      </c>
      <c r="D19" s="1298" t="n">
        <f aca="false">'数据-汇总表'!E3</f>
        <v>58.3</v>
      </c>
      <c r="E19" s="1269" t="n">
        <f aca="false">'数据-取费表'!B31</f>
        <v>120</v>
      </c>
      <c r="F19" s="1299"/>
      <c r="G19" s="3241" t="s">
        <v>960</v>
      </c>
    </row>
    <row r="20" s="1273" customFormat="true" ht="13.5" hidden="false" customHeight="true" outlineLevel="0" collapsed="false">
      <c r="A20" s="1267" t="s">
        <v>1637</v>
      </c>
      <c r="B20" s="3237" t="s">
        <v>621</v>
      </c>
      <c r="C20" s="1300" t="n">
        <f aca="false">ROUND((C5+C19)*F20,0)</f>
        <v>206</v>
      </c>
      <c r="D20" s="1300"/>
      <c r="E20" s="1300"/>
      <c r="F20" s="1301" t="n">
        <f aca="false">'数据-取费表'!B37</f>
        <v>0.01</v>
      </c>
      <c r="G20" s="3244" t="s">
        <v>1974</v>
      </c>
    </row>
    <row r="21" s="1273" customFormat="true" ht="13.5" hidden="false" customHeight="true" outlineLevel="0" collapsed="false">
      <c r="A21" s="1267" t="s">
        <v>1641</v>
      </c>
      <c r="B21" s="3237" t="s">
        <v>623</v>
      </c>
      <c r="C21" s="1303" t="n">
        <f aca="false">F21</f>
        <v>0.01</v>
      </c>
      <c r="D21" s="1304" t="s">
        <v>1975</v>
      </c>
      <c r="E21" s="1300"/>
      <c r="F21" s="1301" t="n">
        <f aca="false">'数据-取费表'!B38</f>
        <v>0.01</v>
      </c>
      <c r="G21" s="3244" t="s">
        <v>910</v>
      </c>
    </row>
    <row r="22" s="1273" customFormat="true" ht="13.5" hidden="false" customHeight="true" outlineLevel="0" collapsed="false">
      <c r="A22" s="1267" t="s">
        <v>1649</v>
      </c>
      <c r="B22" s="3237" t="s">
        <v>912</v>
      </c>
      <c r="C22" s="1305" t="n">
        <f aca="false">ROUND(SUM(C23:C25),0)</f>
        <v>2692</v>
      </c>
      <c r="D22" s="1303" t="n">
        <f aca="false">C26</f>
        <v>0.0006</v>
      </c>
      <c r="E22" s="1304" t="s">
        <v>1975</v>
      </c>
      <c r="F22" s="1306" t="n">
        <f aca="false">'数据-取费表'!B40</f>
        <v>0.063</v>
      </c>
      <c r="G22" s="3244" t="str">
        <f aca="false">IF('数据-取费表'!B22&lt;=1,"单利计息","复利计息")</f>
        <v>复利计息</v>
      </c>
    </row>
    <row r="23" s="1273" customFormat="true" ht="13.5" hidden="false" customHeight="true" outlineLevel="0" collapsed="false">
      <c r="A23" s="1307" t="s">
        <v>881</v>
      </c>
      <c r="B23" s="3240" t="s">
        <v>1976</v>
      </c>
      <c r="C23" s="1308" t="n">
        <f aca="false">ROUND(IF('数据-取费表'!B22&lt;=1,C5*F22*'数据-取费表'!B23,C5*(POWER((1+F22),'数据-取费表'!B23)-1)),0)</f>
        <v>2679</v>
      </c>
      <c r="D23" s="1309"/>
      <c r="E23" s="1309"/>
      <c r="F23" s="1310"/>
      <c r="G23" s="3245" t="s">
        <v>914</v>
      </c>
    </row>
    <row r="24" s="1273" customFormat="true" ht="13.5" hidden="false" customHeight="true" outlineLevel="0" collapsed="false">
      <c r="A24" s="1307" t="s">
        <v>883</v>
      </c>
      <c r="B24" s="3240" t="s">
        <v>1977</v>
      </c>
      <c r="C24" s="1308" t="n">
        <f aca="false">ROUND(IF('数据-取费表'!B22&lt;=1,C19*F22*('数据-取费表'!B19/2+'数据-取费表'!B21),C19*(POWER((1+F22),('数据-取费表'!B19/2+'数据-取费表'!B21))-1)),0)</f>
        <v>0</v>
      </c>
      <c r="D24" s="1309"/>
      <c r="E24" s="1309"/>
      <c r="F24" s="1310"/>
      <c r="G24" s="3245" t="s">
        <v>916</v>
      </c>
    </row>
    <row r="25" s="1273" customFormat="true" ht="24" hidden="false" customHeight="false" outlineLevel="0" collapsed="false">
      <c r="A25" s="1307" t="s">
        <v>885</v>
      </c>
      <c r="B25" s="3240" t="s">
        <v>1978</v>
      </c>
      <c r="C25" s="1308" t="n">
        <f aca="false">ROUND(IF('数据-取费表'!B22&lt;=1,C20*F22*'数据-取费表'!B23/2,C20*(POWER((1+F22),'数据-取费表'!B23/2)-1)),0)</f>
        <v>13</v>
      </c>
      <c r="D25" s="1309"/>
      <c r="E25" s="1312"/>
      <c r="F25" s="1310"/>
      <c r="G25" s="3246" t="s">
        <v>918</v>
      </c>
    </row>
    <row r="26" s="1273" customFormat="true" ht="12.75" hidden="false" customHeight="false" outlineLevel="0" collapsed="false">
      <c r="A26" s="1307" t="s">
        <v>919</v>
      </c>
      <c r="B26" s="3240" t="s">
        <v>1979</v>
      </c>
      <c r="C26" s="1309" t="n">
        <f aca="false">ROUND(IF('数据-取费表'!B22&lt;=1,F21*F22*'数据-取费表'!B23/2,F21*(POWER((1+F22),'数据-取费表'!B23/2)-1)),4)</f>
        <v>0.0006</v>
      </c>
      <c r="D26" s="1309"/>
      <c r="E26" s="1312"/>
      <c r="F26" s="1310"/>
      <c r="G26" s="1314"/>
    </row>
    <row r="27" s="1273" customFormat="true" ht="24.75" hidden="false" customHeight="false" outlineLevel="0" collapsed="false">
      <c r="A27" s="1267" t="s">
        <v>1658</v>
      </c>
      <c r="B27" s="3247" t="s">
        <v>570</v>
      </c>
      <c r="C27" s="1316" t="n">
        <f aca="false">C28</f>
        <v>3123</v>
      </c>
      <c r="D27" s="1303" t="n">
        <f aca="false">C29</f>
        <v>0.0015</v>
      </c>
      <c r="E27" s="1304" t="s">
        <v>1975</v>
      </c>
      <c r="F27" s="1317" t="n">
        <f aca="false">'数据-取费表'!Q16</f>
        <v>0.15</v>
      </c>
      <c r="G27" s="3248" t="s">
        <v>1980</v>
      </c>
    </row>
    <row r="28" s="1273" customFormat="true" ht="13.5" hidden="false" customHeight="true" outlineLevel="0" collapsed="false">
      <c r="A28" s="1307" t="s">
        <v>881</v>
      </c>
      <c r="B28" s="3249" t="s">
        <v>1981</v>
      </c>
      <c r="C28" s="1320" t="n">
        <f aca="false">ROUND((C5+C19+C20)*F27*'数据-取费表'!B21/'数据-取费表'!B20,0)</f>
        <v>3123</v>
      </c>
      <c r="D28" s="1303"/>
      <c r="E28" s="1304"/>
      <c r="F28" s="1317"/>
      <c r="G28" s="1318"/>
    </row>
    <row r="29" s="1273" customFormat="true" ht="13.5" hidden="false" customHeight="true" outlineLevel="0" collapsed="false">
      <c r="A29" s="1307" t="s">
        <v>883</v>
      </c>
      <c r="B29" s="3249" t="s">
        <v>1982</v>
      </c>
      <c r="C29" s="1309" t="n">
        <f aca="false">ROUND(C21*F27*'数据-取费表'!B21/'数据-取费表'!B20,4)</f>
        <v>0.0015</v>
      </c>
      <c r="D29" s="1303"/>
      <c r="E29" s="1304"/>
      <c r="F29" s="1317"/>
      <c r="G29" s="1318"/>
    </row>
    <row r="30" s="1273" customFormat="true" ht="13.5" hidden="false" customHeight="true" outlineLevel="0" collapsed="false">
      <c r="A30" s="1267" t="s">
        <v>1983</v>
      </c>
      <c r="B30" s="3237" t="s">
        <v>926</v>
      </c>
      <c r="C30" s="1303" t="n">
        <f aca="false">F30</f>
        <v>0.055</v>
      </c>
      <c r="D30" s="1304" t="s">
        <v>1984</v>
      </c>
      <c r="E30" s="1312"/>
      <c r="F30" s="1306" t="n">
        <f aca="false">'数据-取费表'!B41</f>
        <v>0.055</v>
      </c>
      <c r="G30" s="3244" t="s">
        <v>1985</v>
      </c>
    </row>
    <row r="31" customFormat="false" ht="16.5" hidden="false" customHeight="true" outlineLevel="0" collapsed="false">
      <c r="A31" s="1321" t="n">
        <v>1</v>
      </c>
      <c r="B31" s="3237" t="s">
        <v>1986</v>
      </c>
      <c r="C31" s="1269" t="n">
        <f aca="false">ROUND((C5+C19+C20+C22+C27)/(1-C21-D22-D27-C30/(1+'数据-取费表'!B42)),0)</f>
        <v>28468</v>
      </c>
      <c r="D31" s="1322"/>
      <c r="E31" s="1269"/>
      <c r="F31" s="1323"/>
      <c r="G31" s="3244" t="s">
        <v>1987</v>
      </c>
    </row>
    <row r="32" s="1266" customFormat="true" ht="15.75" hidden="false" customHeight="false" outlineLevel="0" collapsed="false">
      <c r="A32" s="1324" t="s">
        <v>1988</v>
      </c>
      <c r="B32" s="1325"/>
      <c r="C32" s="1325"/>
      <c r="D32" s="1325"/>
      <c r="E32" s="1325"/>
      <c r="F32" s="1325"/>
      <c r="G32" s="1326"/>
    </row>
    <row r="33" s="1273" customFormat="true" ht="13.5" hidden="false" customHeight="true" outlineLevel="0" collapsed="false">
      <c r="A33" s="1267" t="s">
        <v>880</v>
      </c>
      <c r="B33" s="3237" t="s">
        <v>1989</v>
      </c>
      <c r="C33" s="1327" t="n">
        <f aca="false">SUM(C34:C38)</f>
        <v>9</v>
      </c>
      <c r="D33" s="1300"/>
      <c r="E33" s="1271"/>
      <c r="F33" s="1312"/>
      <c r="G33" s="1302"/>
    </row>
    <row r="34" s="1329" customFormat="true" ht="13.5" hidden="false" customHeight="true" outlineLevel="0" collapsed="false">
      <c r="A34" s="1307" t="s">
        <v>881</v>
      </c>
      <c r="B34" s="3240" t="s">
        <v>557</v>
      </c>
      <c r="C34" s="1280" t="n">
        <f aca="false">IF(F34=100%,'数据-取费表'!M16-SUMIF('数据-取费表'!C:C,"公共配套",'数据-取费表'!M:M),'数据-取费表'!O16-SUMIF('数据-取费表'!C:C,"公共配套",'数据-取费表'!O:O))</f>
        <v>8</v>
      </c>
      <c r="D34" s="1277"/>
      <c r="E34" s="1280"/>
      <c r="F34" s="1328" t="n">
        <f aca="false">IF('数据-取费表'!B24=0,1,'数据-取费表'!N16)</f>
        <v>1</v>
      </c>
      <c r="G34" s="3243" t="s">
        <v>1990</v>
      </c>
    </row>
    <row r="35" customFormat="false" ht="13.5" hidden="false" customHeight="true" outlineLevel="0" collapsed="false">
      <c r="A35" s="1307" t="s">
        <v>883</v>
      </c>
      <c r="B35" s="3240" t="s">
        <v>612</v>
      </c>
      <c r="C35" s="1280" t="n">
        <f aca="false">ROUND(C34*F35,0)</f>
        <v>0</v>
      </c>
      <c r="D35" s="1280"/>
      <c r="E35" s="1280"/>
      <c r="F35" s="1330" t="n">
        <f aca="false">'数据-取费表'!B33</f>
        <v>0.03</v>
      </c>
      <c r="G35" s="3243" t="s">
        <v>933</v>
      </c>
    </row>
    <row r="36" customFormat="false" ht="24" hidden="false" customHeight="false" outlineLevel="0" collapsed="false">
      <c r="A36" s="1307" t="s">
        <v>885</v>
      </c>
      <c r="B36" s="3240" t="s">
        <v>614</v>
      </c>
      <c r="C36" s="1280" t="n">
        <f aca="false">ROUND(IF(SUMIF('数据-取费表'!C:C,"住宅",IF(F34=100%,'数据-取费表'!M:M,'数据-取费表'!O:O))=0,0,IF(F36=0,SUMIF('数据-取费表'!C:C,"公共配套",IF(F34=100%,'数据-取费表'!M:M,'数据-取费表'!O:O)),SUMIF('数据-取费表'!C:C,"住宅",IF(F34=100%,'数据-取费表'!M:M,'数据-取费表'!O:O))*F36)),0)</f>
        <v>0</v>
      </c>
      <c r="D36" s="1280"/>
      <c r="E36" s="1280"/>
      <c r="F36" s="1330" t="n">
        <f aca="false">'数据-取费表'!B34</f>
        <v>0.05</v>
      </c>
      <c r="G36" s="3250" t="s">
        <v>934</v>
      </c>
    </row>
    <row r="37" s="1329" customFormat="true" ht="13.5" hidden="false" customHeight="true" outlineLevel="0" collapsed="false">
      <c r="A37" s="1307" t="s">
        <v>919</v>
      </c>
      <c r="B37" s="3240" t="s">
        <v>935</v>
      </c>
      <c r="C37" s="1320" t="n">
        <f aca="false">ROUND(E37*D37*F34/10000,0)</f>
        <v>1</v>
      </c>
      <c r="D37" s="1277" t="n">
        <f aca="false">'数据-汇总表'!E3</f>
        <v>58.3</v>
      </c>
      <c r="E37" s="1320" t="n">
        <f aca="false">'数据-取费表'!B35</f>
        <v>120</v>
      </c>
      <c r="F37" s="1330"/>
      <c r="G37" s="3251" t="s">
        <v>936</v>
      </c>
    </row>
    <row r="38" customFormat="false" ht="13.5" hidden="false" customHeight="true" outlineLevel="0" collapsed="false">
      <c r="A38" s="1307" t="s">
        <v>937</v>
      </c>
      <c r="B38" s="3240" t="s">
        <v>824</v>
      </c>
      <c r="C38" s="1280" t="n">
        <f aca="false">ROUND(C34*F38,0)</f>
        <v>0</v>
      </c>
      <c r="D38" s="1280"/>
      <c r="E38" s="1280"/>
      <c r="F38" s="1330" t="n">
        <f aca="false">'数据-取费表'!B36</f>
        <v>0.015</v>
      </c>
      <c r="G38" s="3243" t="s">
        <v>933</v>
      </c>
    </row>
    <row r="39" s="1273" customFormat="true" ht="13.5" hidden="false" customHeight="true" outlineLevel="0" collapsed="false">
      <c r="A39" s="1267" t="s">
        <v>1619</v>
      </c>
      <c r="B39" s="3237" t="s">
        <v>621</v>
      </c>
      <c r="C39" s="1300" t="n">
        <f aca="false">ROUND(C33*F20,0)</f>
        <v>0</v>
      </c>
      <c r="D39" s="1300"/>
      <c r="E39" s="1300"/>
      <c r="F39" s="1301"/>
      <c r="G39" s="3244" t="s">
        <v>1991</v>
      </c>
    </row>
    <row r="40" s="1273" customFormat="true" ht="13.5" hidden="false" customHeight="true" outlineLevel="0" collapsed="false">
      <c r="A40" s="1267" t="s">
        <v>1637</v>
      </c>
      <c r="B40" s="3237" t="s">
        <v>623</v>
      </c>
      <c r="C40" s="1351" t="n">
        <f aca="false">F21</f>
        <v>0.01</v>
      </c>
      <c r="D40" s="1304" t="s">
        <v>1992</v>
      </c>
      <c r="E40" s="1300"/>
      <c r="F40" s="1301"/>
      <c r="G40" s="3244" t="s">
        <v>1993</v>
      </c>
    </row>
    <row r="41" s="1273" customFormat="true" ht="13.5" hidden="false" customHeight="true" outlineLevel="0" collapsed="false">
      <c r="A41" s="1267" t="s">
        <v>1641</v>
      </c>
      <c r="B41" s="3237" t="s">
        <v>912</v>
      </c>
      <c r="C41" s="1300" t="n">
        <f aca="false">ROUND(SUM(C42:C43),0)</f>
        <v>1</v>
      </c>
      <c r="D41" s="1303" t="n">
        <f aca="false">C44</f>
        <v>0.0006</v>
      </c>
      <c r="E41" s="1304" t="s">
        <v>1992</v>
      </c>
      <c r="F41" s="1306"/>
      <c r="G41" s="3244" t="str">
        <f aca="false">IF('数据-取费表'!B22&lt;=1,"单利计息","复利计息")</f>
        <v>复利计息</v>
      </c>
    </row>
    <row r="42" customFormat="false" ht="13.5" hidden="false" customHeight="true" outlineLevel="0" collapsed="false">
      <c r="A42" s="1307" t="s">
        <v>881</v>
      </c>
      <c r="B42" s="3240" t="s">
        <v>1976</v>
      </c>
      <c r="C42" s="1309" t="n">
        <f aca="false">ROUND(IF('数据-取费表'!B22&lt;=1,C33*F22*'数据-取费表'!B21/2,C33*(POWER((1+F22),'数据-取费表'!B21/2)-1)),0)</f>
        <v>1</v>
      </c>
      <c r="D42" s="1309"/>
      <c r="E42" s="1309"/>
      <c r="F42" s="1310"/>
      <c r="G42" s="3252" t="s">
        <v>941</v>
      </c>
    </row>
    <row r="43" customFormat="false" ht="13.5" hidden="false" customHeight="true" outlineLevel="0" collapsed="false">
      <c r="A43" s="1307" t="s">
        <v>883</v>
      </c>
      <c r="B43" s="3240" t="s">
        <v>1977</v>
      </c>
      <c r="C43" s="1309" t="n">
        <f aca="false">ROUND(IF('数据-取费表'!B22&lt;=1,C39*F22*'数据-取费表'!B21/2,C39*(POWER((1+F22),'数据-取费表'!B21/2)-1)),0)</f>
        <v>0</v>
      </c>
      <c r="D43" s="1309"/>
      <c r="E43" s="1309"/>
      <c r="F43" s="1310"/>
      <c r="G43" s="3252"/>
    </row>
    <row r="44" customFormat="false" ht="13.5" hidden="false" customHeight="true" outlineLevel="0" collapsed="false">
      <c r="A44" s="1307" t="s">
        <v>885</v>
      </c>
      <c r="B44" s="3240" t="s">
        <v>1978</v>
      </c>
      <c r="C44" s="1309" t="n">
        <f aca="false">ROUND(IF('数据-取费表'!B22&lt;=1,C40*F22*'数据-取费表'!B21/2,C40*(POWER((1+F22),'数据-取费表'!B21/2)-1)),4)</f>
        <v>0.0006</v>
      </c>
      <c r="D44" s="1309"/>
      <c r="E44" s="1309"/>
      <c r="F44" s="1310"/>
      <c r="G44" s="3252"/>
    </row>
    <row r="45" s="1273" customFormat="true" ht="13.5" hidden="false" customHeight="true" outlineLevel="0" collapsed="false">
      <c r="A45" s="1267" t="s">
        <v>1649</v>
      </c>
      <c r="B45" s="3247" t="s">
        <v>570</v>
      </c>
      <c r="C45" s="1316" t="n">
        <f aca="false">C46</f>
        <v>1</v>
      </c>
      <c r="D45" s="1303" t="n">
        <f aca="false">C47</f>
        <v>0.0015</v>
      </c>
      <c r="E45" s="1304" t="s">
        <v>1992</v>
      </c>
      <c r="F45" s="1317"/>
      <c r="G45" s="3248" t="s">
        <v>1994</v>
      </c>
    </row>
    <row r="46" s="1273" customFormat="true" ht="13.5" hidden="false" customHeight="true" outlineLevel="0" collapsed="false">
      <c r="A46" s="1307" t="s">
        <v>881</v>
      </c>
      <c r="B46" s="3249" t="s">
        <v>1995</v>
      </c>
      <c r="C46" s="1320" t="n">
        <f aca="false">ROUND((C33+C39)*F27,0)</f>
        <v>1</v>
      </c>
      <c r="D46" s="1335"/>
      <c r="E46" s="1304"/>
      <c r="F46" s="1317"/>
      <c r="G46" s="1318"/>
    </row>
    <row r="47" s="1273" customFormat="true" ht="13.5" hidden="false" customHeight="true" outlineLevel="0" collapsed="false">
      <c r="A47" s="1307" t="s">
        <v>883</v>
      </c>
      <c r="B47" s="3249" t="s">
        <v>1996</v>
      </c>
      <c r="C47" s="1309" t="n">
        <f aca="false">ROUND(C40*F27,4)</f>
        <v>0.0015</v>
      </c>
      <c r="D47" s="1335"/>
      <c r="E47" s="1304"/>
      <c r="F47" s="1317"/>
      <c r="G47" s="1318"/>
    </row>
    <row r="48" s="1273" customFormat="true" ht="13.5" hidden="false" customHeight="true" outlineLevel="0" collapsed="false">
      <c r="A48" s="1267" t="s">
        <v>1658</v>
      </c>
      <c r="B48" s="3237" t="s">
        <v>926</v>
      </c>
      <c r="C48" s="1351" t="n">
        <f aca="false">F30</f>
        <v>0.055</v>
      </c>
      <c r="D48" s="1304" t="s">
        <v>1997</v>
      </c>
      <c r="E48" s="1300"/>
      <c r="F48" s="1306"/>
      <c r="G48" s="3244" t="s">
        <v>1998</v>
      </c>
    </row>
    <row r="49" customFormat="false" ht="16.5" hidden="false" customHeight="true" outlineLevel="0" collapsed="false">
      <c r="A49" s="1267" t="s">
        <v>1983</v>
      </c>
      <c r="B49" s="3237" t="s">
        <v>1999</v>
      </c>
      <c r="C49" s="1300" t="n">
        <f aca="false">ROUND((C33+C39+C41+C45)/(1-C40-D41-D45-C48/(1+'数据-取费表'!B42)),0)</f>
        <v>12</v>
      </c>
      <c r="D49" s="1300"/>
      <c r="E49" s="1300"/>
      <c r="F49" s="1336"/>
      <c r="G49" s="3244" t="s">
        <v>2000</v>
      </c>
    </row>
    <row r="50" s="1329" customFormat="true" ht="24" hidden="false" customHeight="false" outlineLevel="0" collapsed="false">
      <c r="A50" s="1267" t="s">
        <v>2001</v>
      </c>
      <c r="B50" s="3237" t="s">
        <v>949</v>
      </c>
      <c r="C50" s="1300"/>
      <c r="D50" s="1300"/>
      <c r="E50" s="1300"/>
      <c r="F50" s="1336" t="n">
        <f aca="false">IF('数据-取费表'!B24=0,'数据-取费表'!N16,1)</f>
        <v>0.6</v>
      </c>
      <c r="G50" s="3248" t="s">
        <v>950</v>
      </c>
    </row>
    <row r="51" customFormat="false" ht="16.5" hidden="false" customHeight="true" outlineLevel="0" collapsed="false">
      <c r="A51" s="1267" t="s">
        <v>2002</v>
      </c>
      <c r="B51" s="3237" t="s">
        <v>2003</v>
      </c>
      <c r="C51" s="1300" t="n">
        <f aca="false">ROUND(C49*F50,0)</f>
        <v>7</v>
      </c>
      <c r="D51" s="1300"/>
      <c r="E51" s="1300"/>
      <c r="F51" s="1336"/>
      <c r="G51" s="3244" t="s">
        <v>2004</v>
      </c>
    </row>
    <row r="52" s="1266" customFormat="true" ht="15.75" hidden="false" customHeight="false" outlineLevel="0" collapsed="false">
      <c r="A52" s="1337" t="s">
        <v>2005</v>
      </c>
      <c r="B52" s="1338"/>
      <c r="C52" s="1339" t="n">
        <f aca="false">C31+C51</f>
        <v>28475</v>
      </c>
      <c r="D52" s="1338"/>
      <c r="E52" s="1338"/>
      <c r="F52" s="1338"/>
      <c r="G52" s="1340"/>
    </row>
    <row r="55" customFormat="false" ht="15" hidden="false" customHeight="false" outlineLevel="0" collapsed="false">
      <c r="B55" s="3253" t="s">
        <v>955</v>
      </c>
      <c r="C55" s="1342"/>
    </row>
    <row r="56" customFormat="false" ht="12.75" hidden="false" customHeight="false" outlineLevel="0" collapsed="false">
      <c r="B56" s="3254" t="s">
        <v>2006</v>
      </c>
      <c r="C56" s="1345" t="n">
        <f aca="false">ROUND(C51/C52,3)</f>
        <v>0</v>
      </c>
    </row>
    <row r="57" customFormat="false" ht="12.75" hidden="false" customHeight="false" outlineLevel="0" collapsed="false">
      <c r="B57" s="3254" t="s">
        <v>2007</v>
      </c>
      <c r="C57" s="1344" t="n">
        <f aca="false">1-C56</f>
        <v>1</v>
      </c>
    </row>
  </sheetData>
  <mergeCells count="1">
    <mergeCell ref="G42:G44"/>
  </mergeCells>
  <dataValidations count="2">
    <dataValidation allowBlank="true" operator="between" showDropDown="false" showErrorMessage="true" showInputMessage="true" sqref="G8" type="list">
      <formula1>"已包含在土地购买价格中,未包含在土地购买价格中"</formula1>
      <formula2>0</formula2>
    </dataValidation>
    <dataValidation allowBlank="true" operator="between" showDropDown="false" showErrorMessage="true" showInputMessage="true" sqref="G19" type="list">
      <formula1>"已包含在土地取得成本中,未包含在土地取得成本中"</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1.xml><?xml version="1.0" encoding="utf-8"?>
<worksheet xmlns="http://schemas.openxmlformats.org/spreadsheetml/2006/main" xmlns:r="http://schemas.openxmlformats.org/officeDocument/2006/relationships">
  <sheetPr filterMode="false">
    <pageSetUpPr fitToPage="false"/>
  </sheetPr>
  <dimension ref="A1:T384"/>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H3" activeCellId="0" sqref="H3"/>
    </sheetView>
  </sheetViews>
  <sheetFormatPr defaultRowHeight="11.25" zeroHeight="false" outlineLevelRow="0" outlineLevelCol="0"/>
  <cols>
    <col collapsed="false" customWidth="true" hidden="false" outlineLevel="0" max="1" min="1" style="173" width="9.62"/>
    <col collapsed="false" customWidth="true" hidden="false" outlineLevel="0" max="2" min="2" style="173" width="18.62"/>
    <col collapsed="false" customWidth="true" hidden="false" outlineLevel="0" max="6" min="3" style="173" width="10.26"/>
    <col collapsed="false" customWidth="true" hidden="false" outlineLevel="0" max="7" min="7" style="173" width="10.5"/>
    <col collapsed="false" customWidth="true" hidden="false" outlineLevel="0" max="8" min="8" style="3255" width="8.88"/>
    <col collapsed="false" customWidth="true" hidden="false" outlineLevel="0" max="9" min="9" style="3255" width="13.38"/>
    <col collapsed="false" customWidth="true" hidden="false" outlineLevel="0" max="13" min="10" style="173" width="13.38"/>
    <col collapsed="false" customWidth="true" hidden="false" outlineLevel="0" max="14" min="14" style="173" width="18.25"/>
    <col collapsed="false" customWidth="true" hidden="false" outlineLevel="0" max="17" min="15" style="173" width="15.12"/>
    <col collapsed="false" customWidth="false" hidden="false" outlineLevel="0" max="20" min="18" style="173" width="11.5"/>
    <col collapsed="false" customWidth="true" hidden="false" outlineLevel="0" max="1025" min="21" style="173" width="8.88"/>
  </cols>
  <sheetData>
    <row r="1" customFormat="false" ht="11.25" hidden="false" customHeight="false" outlineLevel="0" collapsed="false">
      <c r="A1" s="3256" t="s">
        <v>2008</v>
      </c>
      <c r="B1" s="3256"/>
      <c r="C1" s="3256"/>
      <c r="D1" s="3256"/>
      <c r="E1" s="3256"/>
      <c r="F1" s="3256"/>
      <c r="G1" s="3256"/>
      <c r="I1" s="3257" t="s">
        <v>226</v>
      </c>
      <c r="J1" s="3258" t="s">
        <v>237</v>
      </c>
      <c r="K1" s="3258" t="s">
        <v>247</v>
      </c>
      <c r="L1" s="3258" t="s">
        <v>255</v>
      </c>
      <c r="M1" s="3258" t="s">
        <v>263</v>
      </c>
      <c r="N1" s="3258" t="s">
        <v>269</v>
      </c>
      <c r="O1" s="3258" t="s">
        <v>274</v>
      </c>
      <c r="P1" s="3258" t="s">
        <v>280</v>
      </c>
      <c r="Q1" s="3258" t="s">
        <v>284</v>
      </c>
      <c r="R1" s="3258" t="s">
        <v>288</v>
      </c>
      <c r="S1" s="3258" t="s">
        <v>292</v>
      </c>
      <c r="T1" s="3259" t="s">
        <v>296</v>
      </c>
    </row>
    <row r="2" customFormat="false" ht="11.25" hidden="false" customHeight="false" outlineLevel="0" collapsed="false">
      <c r="A2" s="3260" t="s">
        <v>2009</v>
      </c>
      <c r="B2" s="3260"/>
      <c r="C2" s="3260"/>
      <c r="D2" s="3260"/>
      <c r="E2" s="3260"/>
      <c r="F2" s="3260"/>
      <c r="G2" s="3261" t="s">
        <v>2010</v>
      </c>
      <c r="I2" s="3262" t="s">
        <v>2011</v>
      </c>
      <c r="J2" s="3262" t="s">
        <v>2012</v>
      </c>
      <c r="K2" s="3262" t="s">
        <v>2013</v>
      </c>
      <c r="L2" s="3262" t="s">
        <v>2014</v>
      </c>
      <c r="M2" s="3262" t="s">
        <v>2015</v>
      </c>
      <c r="N2" s="3262" t="s">
        <v>2016</v>
      </c>
      <c r="O2" s="3262" t="s">
        <v>2017</v>
      </c>
      <c r="P2" s="3262" t="s">
        <v>2018</v>
      </c>
      <c r="Q2" s="3262" t="s">
        <v>2019</v>
      </c>
      <c r="R2" s="3262" t="s">
        <v>2020</v>
      </c>
      <c r="S2" s="3262" t="s">
        <v>2021</v>
      </c>
      <c r="T2" s="3262" t="s">
        <v>2022</v>
      </c>
    </row>
    <row r="3" s="3269" customFormat="true" ht="11.25" hidden="false" customHeight="true" outlineLevel="0" collapsed="false">
      <c r="A3" s="3263" t="s">
        <v>2023</v>
      </c>
      <c r="B3" s="3264"/>
      <c r="C3" s="3265" t="s">
        <v>157</v>
      </c>
      <c r="D3" s="3265" t="s">
        <v>158</v>
      </c>
      <c r="E3" s="3265" t="s">
        <v>156</v>
      </c>
      <c r="F3" s="3265" t="s">
        <v>159</v>
      </c>
      <c r="G3" s="3265" t="s">
        <v>276</v>
      </c>
      <c r="H3" s="3266"/>
      <c r="I3" s="3267" t="s">
        <v>2024</v>
      </c>
      <c r="J3" s="3268" t="s">
        <v>2025</v>
      </c>
      <c r="K3" s="3268" t="s">
        <v>2026</v>
      </c>
      <c r="L3" s="3267" t="s">
        <v>2027</v>
      </c>
      <c r="M3" s="3267" t="s">
        <v>2028</v>
      </c>
      <c r="N3" s="3267" t="s">
        <v>2029</v>
      </c>
      <c r="O3" s="3267" t="s">
        <v>2030</v>
      </c>
      <c r="P3" s="3267" t="s">
        <v>2031</v>
      </c>
      <c r="Q3" s="3267" t="s">
        <v>2032</v>
      </c>
      <c r="R3" s="3267" t="s">
        <v>2033</v>
      </c>
      <c r="S3" s="3267" t="s">
        <v>2034</v>
      </c>
      <c r="T3" s="3267" t="s">
        <v>2035</v>
      </c>
    </row>
    <row r="4" s="3269" customFormat="true" ht="11.25" hidden="false" customHeight="false" outlineLevel="0" collapsed="false">
      <c r="A4" s="3263"/>
      <c r="B4" s="3270" t="s">
        <v>472</v>
      </c>
      <c r="C4" s="3270" t="s">
        <v>2036</v>
      </c>
      <c r="D4" s="3270" t="s">
        <v>2036</v>
      </c>
      <c r="E4" s="3270" t="s">
        <v>2036</v>
      </c>
      <c r="F4" s="3271" t="s">
        <v>2036</v>
      </c>
      <c r="G4" s="3271" t="s">
        <v>2036</v>
      </c>
      <c r="H4" s="3266"/>
      <c r="I4" s="3268" t="s">
        <v>2037</v>
      </c>
      <c r="J4" s="3268" t="s">
        <v>2038</v>
      </c>
      <c r="K4" s="3268" t="s">
        <v>2039</v>
      </c>
      <c r="L4" s="3267" t="s">
        <v>2040</v>
      </c>
      <c r="M4" s="3267" t="s">
        <v>2041</v>
      </c>
      <c r="N4" s="3267" t="s">
        <v>2042</v>
      </c>
      <c r="O4" s="3267" t="s">
        <v>2043</v>
      </c>
      <c r="P4" s="3267" t="s">
        <v>2044</v>
      </c>
      <c r="Q4" s="3267" t="s">
        <v>2045</v>
      </c>
      <c r="R4" s="3267" t="s">
        <v>2046</v>
      </c>
      <c r="S4" s="3267" t="s">
        <v>2047</v>
      </c>
      <c r="T4" s="3267" t="s">
        <v>2048</v>
      </c>
    </row>
    <row r="5" customFormat="false" ht="11.25" hidden="false" customHeight="false" outlineLevel="0" collapsed="false">
      <c r="A5" s="3272" t="s">
        <v>226</v>
      </c>
      <c r="B5" s="3262" t="s">
        <v>2011</v>
      </c>
      <c r="C5" s="3262" t="n">
        <v>34550</v>
      </c>
      <c r="D5" s="3262" t="n">
        <v>34470</v>
      </c>
      <c r="E5" s="3262" t="n">
        <v>34330</v>
      </c>
      <c r="F5" s="3262" t="n">
        <v>13400</v>
      </c>
      <c r="G5" s="3262" t="n">
        <v>25450</v>
      </c>
      <c r="H5" s="3266"/>
      <c r="I5" s="3267" t="s">
        <v>2049</v>
      </c>
      <c r="J5" s="3268" t="s">
        <v>2050</v>
      </c>
      <c r="K5" s="3268" t="s">
        <v>2051</v>
      </c>
      <c r="L5" s="3267" t="s">
        <v>2052</v>
      </c>
      <c r="M5" s="3267" t="s">
        <v>2053</v>
      </c>
      <c r="N5" s="3267" t="s">
        <v>2054</v>
      </c>
      <c r="O5" s="3267" t="s">
        <v>2055</v>
      </c>
      <c r="P5" s="3267" t="s">
        <v>2056</v>
      </c>
      <c r="Q5" s="3267" t="s">
        <v>2057</v>
      </c>
      <c r="R5" s="3267" t="s">
        <v>2058</v>
      </c>
      <c r="S5" s="3267" t="s">
        <v>2059</v>
      </c>
      <c r="T5" s="3267" t="s">
        <v>2060</v>
      </c>
    </row>
    <row r="6" customFormat="false" ht="11.25" hidden="false" customHeight="false" outlineLevel="0" collapsed="false">
      <c r="A6" s="3267" t="s">
        <v>226</v>
      </c>
      <c r="B6" s="3267" t="s">
        <v>2024</v>
      </c>
      <c r="C6" s="3267" t="n">
        <v>36990</v>
      </c>
      <c r="D6" s="3267" t="n">
        <v>36850</v>
      </c>
      <c r="E6" s="3267" t="n">
        <v>36700</v>
      </c>
      <c r="F6" s="3267" t="n">
        <v>14590</v>
      </c>
      <c r="G6" s="3267" t="n">
        <v>27450</v>
      </c>
      <c r="H6" s="3266"/>
      <c r="I6" s="3273" t="s">
        <v>2061</v>
      </c>
      <c r="J6" s="3268" t="s">
        <v>2062</v>
      </c>
      <c r="K6" s="3268" t="s">
        <v>2063</v>
      </c>
      <c r="L6" s="3267" t="s">
        <v>2064</v>
      </c>
      <c r="M6" s="3267" t="s">
        <v>2065</v>
      </c>
      <c r="N6" s="3267" t="s">
        <v>2066</v>
      </c>
      <c r="O6" s="3267" t="s">
        <v>2067</v>
      </c>
      <c r="P6" s="3267" t="s">
        <v>2068</v>
      </c>
      <c r="Q6" s="3267" t="s">
        <v>2069</v>
      </c>
      <c r="R6" s="3267" t="s">
        <v>2070</v>
      </c>
      <c r="S6" s="3267" t="s">
        <v>2071</v>
      </c>
      <c r="T6" s="3267" t="s">
        <v>2072</v>
      </c>
    </row>
    <row r="7" customFormat="false" ht="11.25" hidden="false" customHeight="false" outlineLevel="0" collapsed="false">
      <c r="A7" s="3267" t="s">
        <v>226</v>
      </c>
      <c r="B7" s="3268" t="s">
        <v>2037</v>
      </c>
      <c r="C7" s="3267" t="n">
        <v>34850</v>
      </c>
      <c r="D7" s="3267" t="n">
        <v>34690</v>
      </c>
      <c r="E7" s="3267" t="n">
        <v>34550</v>
      </c>
      <c r="F7" s="3267" t="n">
        <v>14360</v>
      </c>
      <c r="G7" s="3267" t="n">
        <v>25620</v>
      </c>
      <c r="H7" s="3266"/>
      <c r="J7" s="3268" t="s">
        <v>2073</v>
      </c>
      <c r="K7" s="3268" t="s">
        <v>2074</v>
      </c>
      <c r="L7" s="3267" t="s">
        <v>2075</v>
      </c>
      <c r="M7" s="3267" t="s">
        <v>2076</v>
      </c>
      <c r="N7" s="3267" t="s">
        <v>2077</v>
      </c>
      <c r="O7" s="3267" t="s">
        <v>2078</v>
      </c>
      <c r="P7" s="3267" t="s">
        <v>2079</v>
      </c>
      <c r="Q7" s="3267" t="s">
        <v>2080</v>
      </c>
      <c r="R7" s="3267" t="s">
        <v>2081</v>
      </c>
      <c r="S7" s="3267" t="s">
        <v>2082</v>
      </c>
      <c r="T7" s="3267" t="s">
        <v>2083</v>
      </c>
    </row>
    <row r="8" customFormat="false" ht="11.25" hidden="false" customHeight="false" outlineLevel="0" collapsed="false">
      <c r="A8" s="3267" t="s">
        <v>226</v>
      </c>
      <c r="B8" s="3267" t="s">
        <v>2049</v>
      </c>
      <c r="C8" s="3267" t="n">
        <v>32630</v>
      </c>
      <c r="D8" s="3267" t="n">
        <v>32510</v>
      </c>
      <c r="E8" s="3267" t="n">
        <v>32420</v>
      </c>
      <c r="F8" s="3267" t="n">
        <v>13300</v>
      </c>
      <c r="G8" s="3267" t="n">
        <v>24010</v>
      </c>
      <c r="H8" s="3266"/>
      <c r="J8" s="3268" t="s">
        <v>2084</v>
      </c>
      <c r="K8" s="3268" t="s">
        <v>2085</v>
      </c>
      <c r="L8" s="3267" t="s">
        <v>2086</v>
      </c>
      <c r="M8" s="3267" t="s">
        <v>2087</v>
      </c>
      <c r="N8" s="3267" t="s">
        <v>2088</v>
      </c>
      <c r="O8" s="3267" t="s">
        <v>2089</v>
      </c>
      <c r="P8" s="3267" t="s">
        <v>2090</v>
      </c>
      <c r="Q8" s="3267" t="s">
        <v>2091</v>
      </c>
      <c r="R8" s="3267" t="s">
        <v>2092</v>
      </c>
      <c r="S8" s="3267" t="s">
        <v>2093</v>
      </c>
      <c r="T8" s="3274" t="s">
        <v>2094</v>
      </c>
    </row>
    <row r="9" customFormat="false" ht="11.25" hidden="false" customHeight="false" outlineLevel="0" collapsed="false">
      <c r="A9" s="3275" t="s">
        <v>226</v>
      </c>
      <c r="B9" s="3273" t="s">
        <v>2061</v>
      </c>
      <c r="C9" s="3274" t="n">
        <v>36370</v>
      </c>
      <c r="D9" s="3274" t="n">
        <v>36210</v>
      </c>
      <c r="E9" s="3274" t="n">
        <v>36050</v>
      </c>
      <c r="F9" s="3274"/>
      <c r="G9" s="3274" t="n">
        <v>26740</v>
      </c>
      <c r="H9" s="3266"/>
      <c r="J9" s="3268" t="s">
        <v>2095</v>
      </c>
      <c r="K9" s="3268" t="s">
        <v>2096</v>
      </c>
      <c r="L9" s="3267" t="s">
        <v>2097</v>
      </c>
      <c r="M9" s="3267" t="s">
        <v>2098</v>
      </c>
      <c r="N9" s="3267" t="s">
        <v>2099</v>
      </c>
      <c r="O9" s="3267" t="s">
        <v>2100</v>
      </c>
      <c r="P9" s="3267" t="s">
        <v>2101</v>
      </c>
      <c r="Q9" s="3267" t="s">
        <v>2102</v>
      </c>
      <c r="R9" s="3267" t="s">
        <v>2103</v>
      </c>
      <c r="S9" s="3267" t="s">
        <v>2104</v>
      </c>
    </row>
    <row r="10" customFormat="false" ht="11.25" hidden="false" customHeight="false" outlineLevel="0" collapsed="false">
      <c r="A10" s="3272" t="s">
        <v>237</v>
      </c>
      <c r="B10" s="3262" t="s">
        <v>2012</v>
      </c>
      <c r="C10" s="3267" t="n">
        <v>32350</v>
      </c>
      <c r="D10" s="3267" t="n">
        <v>31430</v>
      </c>
      <c r="E10" s="3267" t="n">
        <v>31320</v>
      </c>
      <c r="F10" s="3267" t="n">
        <v>10850</v>
      </c>
      <c r="G10" s="3267" t="n">
        <v>22860</v>
      </c>
      <c r="H10" s="3266"/>
      <c r="J10" s="3268" t="s">
        <v>2105</v>
      </c>
      <c r="K10" s="3268" t="s">
        <v>2106</v>
      </c>
      <c r="L10" s="3267" t="s">
        <v>2107</v>
      </c>
      <c r="M10" s="3267" t="s">
        <v>2108</v>
      </c>
      <c r="N10" s="3267" t="s">
        <v>2109</v>
      </c>
      <c r="O10" s="3267" t="s">
        <v>2110</v>
      </c>
      <c r="P10" s="3267" t="s">
        <v>2111</v>
      </c>
      <c r="Q10" s="3267" t="s">
        <v>2112</v>
      </c>
      <c r="R10" s="3267" t="s">
        <v>2113</v>
      </c>
      <c r="S10" s="3267" t="s">
        <v>2114</v>
      </c>
    </row>
    <row r="11" customFormat="false" ht="11.25" hidden="false" customHeight="false" outlineLevel="0" collapsed="false">
      <c r="A11" s="3267" t="s">
        <v>237</v>
      </c>
      <c r="B11" s="3268" t="s">
        <v>2025</v>
      </c>
      <c r="C11" s="3267" t="n">
        <v>31590</v>
      </c>
      <c r="D11" s="3267" t="n">
        <v>29490</v>
      </c>
      <c r="E11" s="3267" t="n">
        <v>28700</v>
      </c>
      <c r="F11" s="3267" t="n">
        <v>10410</v>
      </c>
      <c r="G11" s="3267" t="n">
        <v>21460</v>
      </c>
      <c r="H11" s="3266"/>
      <c r="J11" s="3268" t="s">
        <v>2115</v>
      </c>
      <c r="K11" s="3268" t="s">
        <v>2116</v>
      </c>
      <c r="L11" s="3267" t="s">
        <v>2117</v>
      </c>
      <c r="M11" s="3267" t="s">
        <v>2118</v>
      </c>
      <c r="N11" s="3267" t="s">
        <v>2119</v>
      </c>
      <c r="O11" s="3267" t="s">
        <v>2120</v>
      </c>
      <c r="P11" s="3267" t="s">
        <v>2121</v>
      </c>
      <c r="Q11" s="3267" t="s">
        <v>2122</v>
      </c>
      <c r="R11" s="3267" t="s">
        <v>2123</v>
      </c>
      <c r="S11" s="3267" t="s">
        <v>2124</v>
      </c>
    </row>
    <row r="12" customFormat="false" ht="11.25" hidden="false" customHeight="false" outlineLevel="0" collapsed="false">
      <c r="A12" s="3267" t="s">
        <v>237</v>
      </c>
      <c r="B12" s="3268" t="s">
        <v>2038</v>
      </c>
      <c r="C12" s="3267" t="n">
        <v>29640</v>
      </c>
      <c r="D12" s="3267" t="n">
        <v>27550</v>
      </c>
      <c r="E12" s="3267" t="n">
        <v>28010</v>
      </c>
      <c r="F12" s="3267" t="n">
        <v>8730</v>
      </c>
      <c r="G12" s="3267" t="n">
        <v>20050</v>
      </c>
      <c r="H12" s="3266"/>
      <c r="J12" s="3268" t="s">
        <v>2125</v>
      </c>
      <c r="K12" s="3268" t="s">
        <v>2126</v>
      </c>
      <c r="L12" s="3267" t="s">
        <v>2127</v>
      </c>
      <c r="M12" s="3267" t="s">
        <v>2128</v>
      </c>
      <c r="N12" s="3267" t="s">
        <v>2129</v>
      </c>
      <c r="O12" s="3267" t="s">
        <v>2130</v>
      </c>
      <c r="P12" s="3267" t="s">
        <v>2131</v>
      </c>
      <c r="Q12" s="3267" t="s">
        <v>2132</v>
      </c>
      <c r="R12" s="3267" t="s">
        <v>2133</v>
      </c>
      <c r="S12" s="3267" t="s">
        <v>2134</v>
      </c>
    </row>
    <row r="13" customFormat="false" ht="11.25" hidden="false" customHeight="false" outlineLevel="0" collapsed="false">
      <c r="A13" s="3267" t="s">
        <v>237</v>
      </c>
      <c r="B13" s="3268" t="s">
        <v>2050</v>
      </c>
      <c r="C13" s="3267" t="n">
        <v>29680</v>
      </c>
      <c r="D13" s="3267" t="n">
        <v>27660</v>
      </c>
      <c r="E13" s="3267" t="n">
        <v>28210</v>
      </c>
      <c r="F13" s="3267" t="n">
        <v>9590</v>
      </c>
      <c r="G13" s="3267" t="n">
        <v>20120</v>
      </c>
      <c r="H13" s="3266"/>
      <c r="J13" s="3268" t="s">
        <v>2135</v>
      </c>
      <c r="K13" s="3268" t="s">
        <v>2136</v>
      </c>
      <c r="L13" s="3267" t="s">
        <v>2137</v>
      </c>
      <c r="M13" s="3267" t="s">
        <v>2138</v>
      </c>
      <c r="N13" s="3267" t="s">
        <v>2139</v>
      </c>
      <c r="O13" s="3267" t="s">
        <v>2140</v>
      </c>
      <c r="P13" s="3267" t="s">
        <v>2141</v>
      </c>
      <c r="Q13" s="3267" t="s">
        <v>2142</v>
      </c>
      <c r="R13" s="3267" t="s">
        <v>2143</v>
      </c>
      <c r="S13" s="3267" t="s">
        <v>2144</v>
      </c>
    </row>
    <row r="14" customFormat="false" ht="11.25" hidden="false" customHeight="false" outlineLevel="0" collapsed="false">
      <c r="A14" s="3267" t="s">
        <v>237</v>
      </c>
      <c r="B14" s="3268" t="s">
        <v>2062</v>
      </c>
      <c r="C14" s="3267" t="n">
        <v>30520</v>
      </c>
      <c r="D14" s="3267" t="n">
        <v>29510</v>
      </c>
      <c r="E14" s="3267" t="n">
        <v>29400</v>
      </c>
      <c r="F14" s="3267" t="n">
        <v>9630</v>
      </c>
      <c r="G14" s="3267" t="n">
        <v>21480</v>
      </c>
      <c r="H14" s="3266"/>
      <c r="J14" s="3268" t="s">
        <v>2145</v>
      </c>
      <c r="K14" s="3268" t="s">
        <v>2146</v>
      </c>
      <c r="L14" s="3267" t="s">
        <v>2147</v>
      </c>
      <c r="M14" s="3267" t="s">
        <v>2148</v>
      </c>
      <c r="N14" s="3267" t="s">
        <v>2149</v>
      </c>
      <c r="O14" s="3267" t="s">
        <v>2150</v>
      </c>
      <c r="P14" s="3267" t="s">
        <v>2151</v>
      </c>
      <c r="Q14" s="3267" t="s">
        <v>2152</v>
      </c>
      <c r="R14" s="3267" t="s">
        <v>2153</v>
      </c>
      <c r="S14" s="3267" t="s">
        <v>2154</v>
      </c>
    </row>
    <row r="15" customFormat="false" ht="11.25" hidden="false" customHeight="false" outlineLevel="0" collapsed="false">
      <c r="A15" s="3267" t="s">
        <v>237</v>
      </c>
      <c r="B15" s="3268" t="s">
        <v>2073</v>
      </c>
      <c r="C15" s="3267" t="n">
        <v>29090</v>
      </c>
      <c r="D15" s="3267" t="n">
        <v>27590</v>
      </c>
      <c r="E15" s="3267" t="n">
        <v>28120</v>
      </c>
      <c r="F15" s="3267" t="n">
        <v>9110</v>
      </c>
      <c r="G15" s="3267" t="n">
        <v>20070</v>
      </c>
      <c r="H15" s="3266"/>
      <c r="J15" s="3268" t="s">
        <v>2155</v>
      </c>
      <c r="K15" s="3268" t="s">
        <v>2156</v>
      </c>
      <c r="L15" s="3267" t="s">
        <v>2157</v>
      </c>
      <c r="M15" s="3267" t="s">
        <v>2158</v>
      </c>
      <c r="N15" s="3267" t="s">
        <v>2159</v>
      </c>
      <c r="O15" s="3267" t="s">
        <v>2160</v>
      </c>
      <c r="P15" s="3267" t="s">
        <v>2161</v>
      </c>
      <c r="Q15" s="3267" t="s">
        <v>2162</v>
      </c>
      <c r="R15" s="3267" t="s">
        <v>2163</v>
      </c>
      <c r="S15" s="3267" t="s">
        <v>2164</v>
      </c>
    </row>
    <row r="16" customFormat="false" ht="11.25" hidden="false" customHeight="false" outlineLevel="0" collapsed="false">
      <c r="A16" s="3267" t="s">
        <v>237</v>
      </c>
      <c r="B16" s="3268" t="s">
        <v>2084</v>
      </c>
      <c r="C16" s="3267" t="n">
        <v>26790</v>
      </c>
      <c r="D16" s="3267" t="n">
        <v>30370</v>
      </c>
      <c r="E16" s="3267" t="n">
        <v>30240</v>
      </c>
      <c r="F16" s="3267" t="n">
        <v>11590</v>
      </c>
      <c r="G16" s="3267" t="n">
        <v>22090</v>
      </c>
      <c r="H16" s="3266"/>
      <c r="J16" s="3268" t="s">
        <v>2165</v>
      </c>
      <c r="K16" s="3268" t="s">
        <v>2166</v>
      </c>
      <c r="L16" s="3267" t="s">
        <v>2167</v>
      </c>
      <c r="M16" s="3267" t="s">
        <v>2168</v>
      </c>
      <c r="N16" s="3267" t="s">
        <v>2169</v>
      </c>
      <c r="O16" s="3267" t="s">
        <v>2170</v>
      </c>
      <c r="P16" s="3267" t="s">
        <v>2171</v>
      </c>
      <c r="Q16" s="3267" t="s">
        <v>2172</v>
      </c>
      <c r="R16" s="3267" t="s">
        <v>2173</v>
      </c>
      <c r="S16" s="3267" t="s">
        <v>2174</v>
      </c>
    </row>
    <row r="17" customFormat="false" ht="14.25" hidden="false" customHeight="true" outlineLevel="0" collapsed="false">
      <c r="A17" s="3267" t="s">
        <v>237</v>
      </c>
      <c r="B17" s="3268" t="s">
        <v>2095</v>
      </c>
      <c r="C17" s="3267" t="n">
        <v>29180</v>
      </c>
      <c r="D17" s="3267" t="n">
        <v>27620</v>
      </c>
      <c r="E17" s="3267" t="n">
        <v>28180</v>
      </c>
      <c r="F17" s="3267" t="n">
        <v>10790</v>
      </c>
      <c r="G17" s="3267" t="n">
        <v>20090</v>
      </c>
      <c r="H17" s="3266"/>
      <c r="J17" s="3268" t="s">
        <v>2175</v>
      </c>
      <c r="K17" s="3268" t="s">
        <v>2176</v>
      </c>
      <c r="L17" s="3267" t="s">
        <v>2177</v>
      </c>
      <c r="M17" s="3267" t="s">
        <v>2178</v>
      </c>
      <c r="N17" s="3267" t="s">
        <v>2179</v>
      </c>
      <c r="O17" s="3267" t="s">
        <v>2180</v>
      </c>
      <c r="P17" s="3267" t="s">
        <v>2181</v>
      </c>
      <c r="Q17" s="3267" t="s">
        <v>2182</v>
      </c>
      <c r="R17" s="3267" t="s">
        <v>2183</v>
      </c>
      <c r="S17" s="3267" t="s">
        <v>2184</v>
      </c>
    </row>
    <row r="18" customFormat="false" ht="14.25" hidden="false" customHeight="true" outlineLevel="0" collapsed="false">
      <c r="A18" s="3267" t="s">
        <v>237</v>
      </c>
      <c r="B18" s="3268" t="s">
        <v>2105</v>
      </c>
      <c r="C18" s="3267" t="n">
        <v>26840</v>
      </c>
      <c r="D18" s="3267" t="n">
        <v>28930</v>
      </c>
      <c r="E18" s="3267" t="n">
        <v>28820</v>
      </c>
      <c r="F18" s="3267"/>
      <c r="G18" s="3267" t="n">
        <v>21050</v>
      </c>
      <c r="H18" s="3266"/>
      <c r="J18" s="3268" t="s">
        <v>2185</v>
      </c>
      <c r="K18" s="3268" t="s">
        <v>2186</v>
      </c>
      <c r="L18" s="3267" t="s">
        <v>2187</v>
      </c>
      <c r="M18" s="3267" t="s">
        <v>2188</v>
      </c>
      <c r="N18" s="3267" t="s">
        <v>2189</v>
      </c>
      <c r="O18" s="3267" t="s">
        <v>2190</v>
      </c>
      <c r="P18" s="3267" t="s">
        <v>2191</v>
      </c>
      <c r="Q18" s="3267" t="s">
        <v>2192</v>
      </c>
      <c r="R18" s="3267" t="s">
        <v>2193</v>
      </c>
      <c r="S18" s="3267" t="s">
        <v>2194</v>
      </c>
    </row>
    <row r="19" customFormat="false" ht="14.25" hidden="false" customHeight="true" outlineLevel="0" collapsed="false">
      <c r="A19" s="3267" t="s">
        <v>237</v>
      </c>
      <c r="B19" s="3268" t="s">
        <v>2115</v>
      </c>
      <c r="C19" s="3267" t="n">
        <v>27750</v>
      </c>
      <c r="D19" s="3267" t="n">
        <v>26680</v>
      </c>
      <c r="E19" s="3267" t="n">
        <v>26590</v>
      </c>
      <c r="F19" s="3267"/>
      <c r="G19" s="3267" t="n">
        <v>19420</v>
      </c>
      <c r="H19" s="3266"/>
      <c r="J19" s="3268" t="s">
        <v>2195</v>
      </c>
      <c r="K19" s="3268" t="s">
        <v>2196</v>
      </c>
      <c r="L19" s="3267" t="s">
        <v>2197</v>
      </c>
      <c r="M19" s="3267" t="s">
        <v>2198</v>
      </c>
      <c r="N19" s="3267" t="s">
        <v>2199</v>
      </c>
      <c r="O19" s="3267" t="s">
        <v>2200</v>
      </c>
      <c r="P19" s="3267" t="s">
        <v>2201</v>
      </c>
      <c r="Q19" s="3267" t="s">
        <v>2202</v>
      </c>
      <c r="R19" s="3267" t="s">
        <v>2203</v>
      </c>
      <c r="S19" s="3267" t="s">
        <v>2204</v>
      </c>
    </row>
    <row r="20" customFormat="false" ht="14.25" hidden="false" customHeight="true" outlineLevel="0" collapsed="false">
      <c r="A20" s="3267" t="s">
        <v>237</v>
      </c>
      <c r="B20" s="3268" t="s">
        <v>2125</v>
      </c>
      <c r="C20" s="3267" t="n">
        <v>27050</v>
      </c>
      <c r="D20" s="3267" t="n">
        <v>29010</v>
      </c>
      <c r="E20" s="3267" t="n">
        <v>28910</v>
      </c>
      <c r="F20" s="3267"/>
      <c r="G20" s="3267" t="n">
        <v>21110</v>
      </c>
      <c r="J20" s="3268" t="s">
        <v>2205</v>
      </c>
      <c r="K20" s="3268" t="s">
        <v>2206</v>
      </c>
      <c r="L20" s="3267" t="s">
        <v>2207</v>
      </c>
      <c r="M20" s="3267" t="s">
        <v>2208</v>
      </c>
      <c r="N20" s="3267" t="s">
        <v>2209</v>
      </c>
      <c r="O20" s="3267" t="s">
        <v>2210</v>
      </c>
      <c r="P20" s="3267" t="s">
        <v>2211</v>
      </c>
      <c r="Q20" s="3267" t="s">
        <v>2212</v>
      </c>
      <c r="R20" s="3267" t="s">
        <v>2213</v>
      </c>
      <c r="S20" s="3267" t="s">
        <v>2214</v>
      </c>
    </row>
    <row r="21" customFormat="false" ht="14.25" hidden="false" customHeight="true" outlineLevel="0" collapsed="false">
      <c r="A21" s="3267" t="s">
        <v>237</v>
      </c>
      <c r="B21" s="3268" t="s">
        <v>2135</v>
      </c>
      <c r="C21" s="3267" t="n">
        <v>32370</v>
      </c>
      <c r="D21" s="3267" t="n">
        <v>26730</v>
      </c>
      <c r="E21" s="3267" t="n">
        <v>26640</v>
      </c>
      <c r="F21" s="3267"/>
      <c r="G21" s="3267" t="n">
        <v>19440</v>
      </c>
      <c r="J21" s="3274" t="s">
        <v>2215</v>
      </c>
      <c r="K21" s="3268" t="s">
        <v>2216</v>
      </c>
      <c r="L21" s="3267" t="s">
        <v>2217</v>
      </c>
      <c r="M21" s="3267" t="s">
        <v>2218</v>
      </c>
      <c r="N21" s="3267" t="s">
        <v>2219</v>
      </c>
      <c r="O21" s="3267" t="s">
        <v>2220</v>
      </c>
      <c r="P21" s="3267" t="s">
        <v>2221</v>
      </c>
      <c r="Q21" s="3267" t="s">
        <v>2222</v>
      </c>
      <c r="R21" s="3267" t="s">
        <v>2223</v>
      </c>
      <c r="S21" s="3274" t="s">
        <v>2224</v>
      </c>
    </row>
    <row r="22" customFormat="false" ht="14.25" hidden="false" customHeight="true" outlineLevel="0" collapsed="false">
      <c r="A22" s="3267" t="s">
        <v>237</v>
      </c>
      <c r="B22" s="3268" t="s">
        <v>2145</v>
      </c>
      <c r="C22" s="3267" t="n">
        <v>29830</v>
      </c>
      <c r="D22" s="3267" t="n">
        <v>27600</v>
      </c>
      <c r="E22" s="3267" t="n">
        <v>28150</v>
      </c>
      <c r="F22" s="3267"/>
      <c r="G22" s="3267" t="n">
        <v>20080</v>
      </c>
      <c r="K22" s="3268" t="s">
        <v>2225</v>
      </c>
      <c r="L22" s="3267" t="s">
        <v>2226</v>
      </c>
      <c r="M22" s="3267" t="s">
        <v>2227</v>
      </c>
      <c r="N22" s="3267" t="s">
        <v>2228</v>
      </c>
      <c r="O22" s="3267" t="s">
        <v>2229</v>
      </c>
      <c r="P22" s="3267" t="s">
        <v>2230</v>
      </c>
      <c r="Q22" s="3267" t="s">
        <v>2231</v>
      </c>
      <c r="R22" s="3267" t="s">
        <v>2232</v>
      </c>
    </row>
    <row r="23" customFormat="false" ht="14.25" hidden="false" customHeight="true" outlineLevel="0" collapsed="false">
      <c r="A23" s="3267" t="s">
        <v>237</v>
      </c>
      <c r="B23" s="3268" t="s">
        <v>2155</v>
      </c>
      <c r="C23" s="3267" t="n">
        <v>27800</v>
      </c>
      <c r="D23" s="3267" t="n">
        <v>26900</v>
      </c>
      <c r="E23" s="3267" t="n">
        <v>27170</v>
      </c>
      <c r="F23" s="3267"/>
      <c r="G23" s="3267" t="n">
        <v>19570</v>
      </c>
      <c r="K23" s="3268" t="s">
        <v>2233</v>
      </c>
      <c r="L23" s="3267" t="s">
        <v>2234</v>
      </c>
      <c r="M23" s="3267" t="s">
        <v>2235</v>
      </c>
      <c r="N23" s="3267" t="s">
        <v>2236</v>
      </c>
      <c r="O23" s="3267" t="s">
        <v>2237</v>
      </c>
      <c r="P23" s="3267" t="s">
        <v>2238</v>
      </c>
      <c r="Q23" s="3267" t="s">
        <v>2239</v>
      </c>
      <c r="R23" s="3267" t="s">
        <v>2240</v>
      </c>
    </row>
    <row r="24" customFormat="false" ht="14.25" hidden="false" customHeight="true" outlineLevel="0" collapsed="false">
      <c r="A24" s="3267" t="s">
        <v>237</v>
      </c>
      <c r="B24" s="3268" t="s">
        <v>2165</v>
      </c>
      <c r="C24" s="3267" t="n">
        <v>27930</v>
      </c>
      <c r="D24" s="3267" t="n">
        <v>32260</v>
      </c>
      <c r="E24" s="3267" t="n">
        <v>32120</v>
      </c>
      <c r="F24" s="3267"/>
      <c r="G24" s="3267" t="n">
        <v>23470</v>
      </c>
      <c r="K24" s="3268" t="s">
        <v>2241</v>
      </c>
      <c r="L24" s="3267" t="s">
        <v>2242</v>
      </c>
      <c r="M24" s="3267" t="s">
        <v>2243</v>
      </c>
      <c r="N24" s="3267" t="s">
        <v>2244</v>
      </c>
      <c r="O24" s="3267" t="s">
        <v>2245</v>
      </c>
      <c r="P24" s="3267" t="s">
        <v>2246</v>
      </c>
      <c r="Q24" s="3276" t="s">
        <v>2247</v>
      </c>
      <c r="R24" s="3267" t="s">
        <v>2248</v>
      </c>
    </row>
    <row r="25" customFormat="false" ht="14.25" hidden="false" customHeight="true" outlineLevel="0" collapsed="false">
      <c r="A25" s="3267" t="s">
        <v>237</v>
      </c>
      <c r="B25" s="3268" t="s">
        <v>2175</v>
      </c>
      <c r="C25" s="3267" t="n">
        <v>32230</v>
      </c>
      <c r="D25" s="3267" t="n">
        <v>29640</v>
      </c>
      <c r="E25" s="3267" t="n">
        <v>29510</v>
      </c>
      <c r="F25" s="3267"/>
      <c r="G25" s="3267" t="n">
        <v>21560</v>
      </c>
      <c r="K25" s="3268" t="s">
        <v>2249</v>
      </c>
      <c r="L25" s="3267" t="s">
        <v>2250</v>
      </c>
      <c r="M25" s="3267" t="s">
        <v>2251</v>
      </c>
      <c r="N25" s="3267" t="s">
        <v>2252</v>
      </c>
      <c r="O25" s="3267" t="s">
        <v>2253</v>
      </c>
      <c r="P25" s="3267" t="s">
        <v>2254</v>
      </c>
      <c r="Q25" s="3276" t="s">
        <v>2255</v>
      </c>
      <c r="R25" s="3267" t="s">
        <v>2256</v>
      </c>
    </row>
    <row r="26" customFormat="false" ht="14.25" hidden="false" customHeight="true" outlineLevel="0" collapsed="false">
      <c r="A26" s="3267" t="s">
        <v>237</v>
      </c>
      <c r="B26" s="3268" t="s">
        <v>2185</v>
      </c>
      <c r="C26" s="3267" t="n">
        <v>31690</v>
      </c>
      <c r="D26" s="3267" t="n">
        <v>27650</v>
      </c>
      <c r="E26" s="3267" t="n">
        <v>28200</v>
      </c>
      <c r="F26" s="3267"/>
      <c r="G26" s="3267" t="n">
        <v>20110</v>
      </c>
      <c r="K26" s="3273" t="s">
        <v>2257</v>
      </c>
      <c r="L26" s="3267" t="s">
        <v>2258</v>
      </c>
      <c r="M26" s="3267" t="s">
        <v>2259</v>
      </c>
      <c r="N26" s="3267" t="s">
        <v>2260</v>
      </c>
      <c r="O26" s="3267" t="s">
        <v>2261</v>
      </c>
      <c r="P26" s="3267" t="s">
        <v>2262</v>
      </c>
      <c r="Q26" s="3276" t="s">
        <v>2263</v>
      </c>
      <c r="R26" s="3267" t="s">
        <v>2264</v>
      </c>
    </row>
    <row r="27" customFormat="false" ht="14.25" hidden="false" customHeight="true" outlineLevel="0" collapsed="false">
      <c r="A27" s="3267" t="s">
        <v>237</v>
      </c>
      <c r="B27" s="3268" t="s">
        <v>2195</v>
      </c>
      <c r="C27" s="3267" t="n">
        <v>29610</v>
      </c>
      <c r="D27" s="3267" t="n">
        <v>27770</v>
      </c>
      <c r="E27" s="3267" t="n">
        <v>28300</v>
      </c>
      <c r="F27" s="3267"/>
      <c r="G27" s="3267" t="n">
        <v>20210</v>
      </c>
      <c r="L27" s="3267" t="s">
        <v>2265</v>
      </c>
      <c r="M27" s="3267" t="s">
        <v>2266</v>
      </c>
      <c r="N27" s="3267" t="s">
        <v>2267</v>
      </c>
      <c r="O27" s="3267" t="s">
        <v>2268</v>
      </c>
      <c r="P27" s="3267" t="s">
        <v>2269</v>
      </c>
      <c r="Q27" s="3267" t="s">
        <v>2270</v>
      </c>
      <c r="R27" s="3267" t="s">
        <v>2271</v>
      </c>
    </row>
    <row r="28" customFormat="false" ht="14.25" hidden="false" customHeight="true" outlineLevel="0" collapsed="false">
      <c r="A28" s="3267" t="s">
        <v>237</v>
      </c>
      <c r="B28" s="3268" t="s">
        <v>2205</v>
      </c>
      <c r="C28" s="3267"/>
      <c r="D28" s="3267" t="n">
        <v>31520</v>
      </c>
      <c r="E28" s="3267" t="n">
        <v>31410</v>
      </c>
      <c r="F28" s="3267"/>
      <c r="G28" s="3267" t="n">
        <v>22940</v>
      </c>
      <c r="L28" s="3267" t="s">
        <v>2272</v>
      </c>
      <c r="M28" s="3267" t="s">
        <v>2273</v>
      </c>
      <c r="N28" s="3267" t="s">
        <v>2274</v>
      </c>
      <c r="O28" s="3267" t="s">
        <v>2275</v>
      </c>
      <c r="P28" s="3267" t="s">
        <v>2276</v>
      </c>
      <c r="Q28" s="3267" t="s">
        <v>2277</v>
      </c>
      <c r="R28" s="3267" t="s">
        <v>2278</v>
      </c>
    </row>
    <row r="29" customFormat="false" ht="14.25" hidden="false" customHeight="true" outlineLevel="0" collapsed="false">
      <c r="A29" s="3275" t="s">
        <v>237</v>
      </c>
      <c r="B29" s="3277" t="s">
        <v>2215</v>
      </c>
      <c r="C29" s="3278"/>
      <c r="D29" s="3278" t="n">
        <v>29460</v>
      </c>
      <c r="E29" s="3278" t="n">
        <v>28640</v>
      </c>
      <c r="F29" s="3278"/>
      <c r="G29" s="3278" t="n">
        <v>21430</v>
      </c>
      <c r="L29" s="3267" t="s">
        <v>2279</v>
      </c>
      <c r="M29" s="3267" t="s">
        <v>2280</v>
      </c>
      <c r="N29" s="3267" t="s">
        <v>2281</v>
      </c>
      <c r="O29" s="3267" t="s">
        <v>2282</v>
      </c>
      <c r="P29" s="3267" t="s">
        <v>2283</v>
      </c>
      <c r="Q29" s="3267" t="s">
        <v>2284</v>
      </c>
      <c r="R29" s="3267" t="s">
        <v>2285</v>
      </c>
    </row>
    <row r="30" customFormat="false" ht="14.25" hidden="false" customHeight="true" outlineLevel="0" collapsed="false">
      <c r="A30" s="3272" t="s">
        <v>247</v>
      </c>
      <c r="B30" s="3262" t="s">
        <v>2013</v>
      </c>
      <c r="C30" s="3262" t="n">
        <v>26890</v>
      </c>
      <c r="D30" s="3262" t="n">
        <v>26770</v>
      </c>
      <c r="E30" s="3262" t="n">
        <v>25700</v>
      </c>
      <c r="F30" s="3262" t="n">
        <v>8180</v>
      </c>
      <c r="G30" s="3279" t="n">
        <v>18740</v>
      </c>
      <c r="L30" s="3267" t="s">
        <v>2286</v>
      </c>
      <c r="M30" s="3267" t="s">
        <v>2287</v>
      </c>
      <c r="N30" s="3267" t="s">
        <v>2288</v>
      </c>
      <c r="O30" s="3267" t="s">
        <v>2289</v>
      </c>
      <c r="P30" s="3267" t="s">
        <v>2290</v>
      </c>
      <c r="Q30" s="3267" t="s">
        <v>2291</v>
      </c>
      <c r="R30" s="3267" t="s">
        <v>2292</v>
      </c>
    </row>
    <row r="31" customFormat="false" ht="14.25" hidden="false" customHeight="true" outlineLevel="0" collapsed="false">
      <c r="A31" s="3267" t="s">
        <v>247</v>
      </c>
      <c r="B31" s="3268" t="s">
        <v>2026</v>
      </c>
      <c r="C31" s="3267" t="n">
        <v>24550</v>
      </c>
      <c r="D31" s="3267" t="n">
        <v>23990</v>
      </c>
      <c r="E31" s="3267" t="n">
        <v>22930</v>
      </c>
      <c r="F31" s="3267" t="n">
        <v>7470</v>
      </c>
      <c r="G31" s="3280" t="n">
        <v>16790</v>
      </c>
      <c r="L31" s="3267" t="s">
        <v>2293</v>
      </c>
      <c r="M31" s="3267" t="s">
        <v>2294</v>
      </c>
      <c r="N31" s="3267" t="s">
        <v>2295</v>
      </c>
      <c r="O31" s="3267" t="s">
        <v>2296</v>
      </c>
      <c r="P31" s="3267" t="s">
        <v>2297</v>
      </c>
      <c r="Q31" s="3267" t="s">
        <v>2298</v>
      </c>
      <c r="R31" s="3267" t="s">
        <v>2299</v>
      </c>
    </row>
    <row r="32" customFormat="false" ht="14.25" hidden="false" customHeight="true" outlineLevel="0" collapsed="false">
      <c r="A32" s="3267" t="s">
        <v>247</v>
      </c>
      <c r="B32" s="3268" t="s">
        <v>2039</v>
      </c>
      <c r="C32" s="3267" t="n">
        <v>27210</v>
      </c>
      <c r="D32" s="3267" t="n">
        <v>23240</v>
      </c>
      <c r="E32" s="3267" t="n">
        <v>23260</v>
      </c>
      <c r="F32" s="3267" t="n">
        <v>7130</v>
      </c>
      <c r="G32" s="3280" t="n">
        <v>16270</v>
      </c>
      <c r="L32" s="3267" t="s">
        <v>2300</v>
      </c>
      <c r="M32" s="3267" t="s">
        <v>2301</v>
      </c>
      <c r="N32" s="3267" t="s">
        <v>2302</v>
      </c>
      <c r="O32" s="3267" t="s">
        <v>2303</v>
      </c>
      <c r="P32" s="3267" t="s">
        <v>2304</v>
      </c>
      <c r="Q32" s="3267" t="s">
        <v>2305</v>
      </c>
      <c r="R32" s="3274" t="s">
        <v>2306</v>
      </c>
    </row>
    <row r="33" customFormat="false" ht="14.25" hidden="false" customHeight="true" outlineLevel="0" collapsed="false">
      <c r="A33" s="3267" t="s">
        <v>247</v>
      </c>
      <c r="B33" s="3268" t="s">
        <v>2051</v>
      </c>
      <c r="C33" s="3267" t="n">
        <v>27300</v>
      </c>
      <c r="D33" s="3267" t="n">
        <v>22980</v>
      </c>
      <c r="E33" s="3267" t="n">
        <v>24260</v>
      </c>
      <c r="F33" s="3267" t="n">
        <v>5860</v>
      </c>
      <c r="G33" s="3280" t="n">
        <v>16090</v>
      </c>
      <c r="L33" s="3274" t="s">
        <v>2307</v>
      </c>
      <c r="M33" s="3267" t="s">
        <v>2308</v>
      </c>
      <c r="N33" s="3267" t="s">
        <v>2309</v>
      </c>
      <c r="O33" s="3267" t="s">
        <v>2310</v>
      </c>
      <c r="P33" s="3267" t="s">
        <v>2311</v>
      </c>
      <c r="Q33" s="3267" t="s">
        <v>2312</v>
      </c>
    </row>
    <row r="34" customFormat="false" ht="14.25" hidden="false" customHeight="true" outlineLevel="0" collapsed="false">
      <c r="A34" s="3267" t="s">
        <v>247</v>
      </c>
      <c r="B34" s="3268" t="s">
        <v>2063</v>
      </c>
      <c r="C34" s="3267" t="n">
        <v>23090</v>
      </c>
      <c r="D34" s="3267" t="n">
        <v>23390</v>
      </c>
      <c r="E34" s="3267" t="n">
        <v>23510</v>
      </c>
      <c r="F34" s="3267" t="n">
        <v>6700</v>
      </c>
      <c r="G34" s="3280" t="n">
        <v>16370</v>
      </c>
      <c r="M34" s="3267" t="s">
        <v>2313</v>
      </c>
      <c r="N34" s="3267" t="s">
        <v>2314</v>
      </c>
      <c r="O34" s="3267" t="s">
        <v>2315</v>
      </c>
      <c r="P34" s="3267" t="s">
        <v>2316</v>
      </c>
      <c r="Q34" s="3267" t="s">
        <v>2317</v>
      </c>
    </row>
    <row r="35" customFormat="false" ht="14.25" hidden="false" customHeight="true" outlineLevel="0" collapsed="false">
      <c r="A35" s="3267" t="s">
        <v>247</v>
      </c>
      <c r="B35" s="3268" t="s">
        <v>2074</v>
      </c>
      <c r="C35" s="3267" t="n">
        <v>27270</v>
      </c>
      <c r="D35" s="3267" t="n">
        <v>24270</v>
      </c>
      <c r="E35" s="3267" t="n">
        <v>24950</v>
      </c>
      <c r="F35" s="3267" t="n">
        <v>6600</v>
      </c>
      <c r="G35" s="3280" t="n">
        <v>16990</v>
      </c>
      <c r="M35" s="3267" t="s">
        <v>2318</v>
      </c>
      <c r="N35" s="3267" t="s">
        <v>2319</v>
      </c>
      <c r="O35" s="3267" t="s">
        <v>2320</v>
      </c>
      <c r="P35" s="3267" t="s">
        <v>2321</v>
      </c>
      <c r="Q35" s="3267" t="s">
        <v>2322</v>
      </c>
    </row>
    <row r="36" customFormat="false" ht="14.25" hidden="false" customHeight="true" outlineLevel="0" collapsed="false">
      <c r="A36" s="3267" t="s">
        <v>247</v>
      </c>
      <c r="B36" s="3268" t="s">
        <v>2085</v>
      </c>
      <c r="C36" s="3267" t="n">
        <v>23490</v>
      </c>
      <c r="D36" s="3267" t="n">
        <v>23020</v>
      </c>
      <c r="E36" s="3267" t="n">
        <v>25230</v>
      </c>
      <c r="F36" s="3267" t="n">
        <v>6780</v>
      </c>
      <c r="G36" s="3280" t="n">
        <v>16120</v>
      </c>
      <c r="M36" s="3267" t="s">
        <v>2323</v>
      </c>
      <c r="N36" s="3267" t="s">
        <v>2324</v>
      </c>
      <c r="O36" s="3267" t="s">
        <v>2325</v>
      </c>
      <c r="P36" s="3267" t="s">
        <v>2326</v>
      </c>
      <c r="Q36" s="3267" t="s">
        <v>2327</v>
      </c>
    </row>
    <row r="37" customFormat="false" ht="14.25" hidden="false" customHeight="true" outlineLevel="0" collapsed="false">
      <c r="A37" s="3267" t="s">
        <v>247</v>
      </c>
      <c r="B37" s="3268" t="s">
        <v>2096</v>
      </c>
      <c r="C37" s="3267" t="n">
        <v>24380</v>
      </c>
      <c r="D37" s="3267" t="n">
        <v>22240</v>
      </c>
      <c r="E37" s="3267" t="n">
        <v>25980</v>
      </c>
      <c r="F37" s="3267" t="n">
        <v>8160</v>
      </c>
      <c r="G37" s="3280" t="n">
        <v>15570</v>
      </c>
      <c r="M37" s="3267" t="s">
        <v>2328</v>
      </c>
      <c r="N37" s="3267" t="s">
        <v>2329</v>
      </c>
      <c r="O37" s="3267" t="s">
        <v>2330</v>
      </c>
      <c r="P37" s="3267" t="s">
        <v>2331</v>
      </c>
      <c r="Q37" s="3267" t="s">
        <v>2332</v>
      </c>
    </row>
    <row r="38" customFormat="false" ht="14.25" hidden="false" customHeight="true" outlineLevel="0" collapsed="false">
      <c r="A38" s="3267" t="s">
        <v>247</v>
      </c>
      <c r="B38" s="3268" t="s">
        <v>2106</v>
      </c>
      <c r="C38" s="3267" t="n">
        <v>23120</v>
      </c>
      <c r="D38" s="3267" t="n">
        <v>24630</v>
      </c>
      <c r="E38" s="3267" t="n">
        <v>25030</v>
      </c>
      <c r="F38" s="3267" t="n">
        <v>7710</v>
      </c>
      <c r="G38" s="3280" t="n">
        <v>17240</v>
      </c>
      <c r="M38" s="3267" t="s">
        <v>2333</v>
      </c>
      <c r="N38" s="3267" t="s">
        <v>2334</v>
      </c>
      <c r="O38" s="3267" t="s">
        <v>2335</v>
      </c>
      <c r="P38" s="3267" t="s">
        <v>2336</v>
      </c>
      <c r="Q38" s="3267" t="s">
        <v>2337</v>
      </c>
    </row>
    <row r="39" customFormat="false" ht="14.25" hidden="false" customHeight="true" outlineLevel="0" collapsed="false">
      <c r="A39" s="3267" t="s">
        <v>247</v>
      </c>
      <c r="B39" s="3268" t="s">
        <v>2116</v>
      </c>
      <c r="C39" s="3267" t="n">
        <v>22330</v>
      </c>
      <c r="D39" s="3267" t="n">
        <v>21140</v>
      </c>
      <c r="E39" s="3267" t="n">
        <v>23970</v>
      </c>
      <c r="F39" s="3267" t="n">
        <v>7940</v>
      </c>
      <c r="G39" s="3280" t="n">
        <v>14790</v>
      </c>
      <c r="M39" s="3267" t="s">
        <v>2338</v>
      </c>
      <c r="N39" s="3267" t="s">
        <v>2339</v>
      </c>
      <c r="O39" s="3267" t="s">
        <v>2340</v>
      </c>
      <c r="P39" s="3267" t="s">
        <v>2341</v>
      </c>
      <c r="Q39" s="3267" t="s">
        <v>2342</v>
      </c>
    </row>
    <row r="40" customFormat="false" ht="14.25" hidden="false" customHeight="true" outlineLevel="0" collapsed="false">
      <c r="A40" s="3267" t="s">
        <v>247</v>
      </c>
      <c r="B40" s="3268" t="s">
        <v>2126</v>
      </c>
      <c r="C40" s="3267" t="n">
        <v>24740</v>
      </c>
      <c r="D40" s="3267" t="n">
        <v>24690</v>
      </c>
      <c r="E40" s="3267" t="n">
        <v>22610</v>
      </c>
      <c r="F40" s="3267"/>
      <c r="G40" s="3280" t="n">
        <v>17280</v>
      </c>
      <c r="M40" s="3267" t="s">
        <v>2343</v>
      </c>
      <c r="N40" s="3267" t="s">
        <v>2344</v>
      </c>
      <c r="O40" s="3267" t="s">
        <v>2345</v>
      </c>
      <c r="P40" s="3267" t="s">
        <v>2346</v>
      </c>
      <c r="Q40" s="3267" t="s">
        <v>2347</v>
      </c>
    </row>
    <row r="41" customFormat="false" ht="14.25" hidden="false" customHeight="true" outlineLevel="0" collapsed="false">
      <c r="A41" s="3267" t="s">
        <v>247</v>
      </c>
      <c r="B41" s="3268" t="s">
        <v>2136</v>
      </c>
      <c r="C41" s="3267" t="n">
        <v>21220</v>
      </c>
      <c r="D41" s="3267" t="n">
        <v>21120</v>
      </c>
      <c r="E41" s="3267" t="n">
        <v>22590</v>
      </c>
      <c r="F41" s="3267"/>
      <c r="G41" s="3280" t="n">
        <v>14780</v>
      </c>
      <c r="M41" s="3274" t="s">
        <v>2348</v>
      </c>
      <c r="N41" s="3267" t="s">
        <v>2349</v>
      </c>
      <c r="O41" s="3267" t="s">
        <v>2350</v>
      </c>
      <c r="P41" s="3267" t="s">
        <v>2351</v>
      </c>
      <c r="Q41" s="3267" t="s">
        <v>2352</v>
      </c>
    </row>
    <row r="42" customFormat="false" ht="14.25" hidden="false" customHeight="true" outlineLevel="0" collapsed="false">
      <c r="A42" s="3267" t="s">
        <v>247</v>
      </c>
      <c r="B42" s="3268" t="s">
        <v>2146</v>
      </c>
      <c r="C42" s="3267" t="n">
        <v>24800</v>
      </c>
      <c r="D42" s="3267" t="n">
        <v>22280</v>
      </c>
      <c r="E42" s="3267" t="n">
        <v>24350</v>
      </c>
      <c r="F42" s="3267"/>
      <c r="G42" s="3280" t="n">
        <v>15590</v>
      </c>
      <c r="N42" s="3267" t="s">
        <v>2353</v>
      </c>
      <c r="O42" s="3267" t="s">
        <v>2354</v>
      </c>
      <c r="P42" s="3267" t="s">
        <v>2355</v>
      </c>
      <c r="Q42" s="3267" t="s">
        <v>2356</v>
      </c>
    </row>
    <row r="43" customFormat="false" ht="14.25" hidden="false" customHeight="true" outlineLevel="0" collapsed="false">
      <c r="A43" s="3267" t="s">
        <v>247</v>
      </c>
      <c r="B43" s="3268" t="s">
        <v>2156</v>
      </c>
      <c r="C43" s="3267" t="n">
        <v>21210</v>
      </c>
      <c r="D43" s="3267" t="n">
        <v>21160</v>
      </c>
      <c r="E43" s="3267" t="n">
        <v>22650</v>
      </c>
      <c r="F43" s="3267"/>
      <c r="G43" s="3280" t="n">
        <v>14800</v>
      </c>
      <c r="N43" s="3267" t="s">
        <v>2357</v>
      </c>
      <c r="O43" s="3267" t="s">
        <v>2358</v>
      </c>
      <c r="P43" s="3267" t="s">
        <v>2359</v>
      </c>
      <c r="Q43" s="3267" t="s">
        <v>2360</v>
      </c>
    </row>
    <row r="44" customFormat="false" ht="14.25" hidden="false" customHeight="true" outlineLevel="0" collapsed="false">
      <c r="A44" s="3267" t="s">
        <v>247</v>
      </c>
      <c r="B44" s="3268" t="s">
        <v>2166</v>
      </c>
      <c r="C44" s="3267" t="n">
        <v>22370</v>
      </c>
      <c r="D44" s="3267" t="n">
        <v>23140</v>
      </c>
      <c r="E44" s="3267" t="n">
        <v>25090</v>
      </c>
      <c r="F44" s="3267"/>
      <c r="G44" s="3280" t="n">
        <v>16190</v>
      </c>
      <c r="N44" s="3267" t="s">
        <v>2361</v>
      </c>
      <c r="O44" s="3267" t="s">
        <v>2362</v>
      </c>
      <c r="P44" s="3274" t="s">
        <v>2363</v>
      </c>
      <c r="Q44" s="3267" t="s">
        <v>2364</v>
      </c>
    </row>
    <row r="45" customFormat="false" ht="14.25" hidden="false" customHeight="true" outlineLevel="0" collapsed="false">
      <c r="A45" s="3267" t="s">
        <v>247</v>
      </c>
      <c r="B45" s="3268" t="s">
        <v>2176</v>
      </c>
      <c r="C45" s="3267" t="n">
        <v>21240</v>
      </c>
      <c r="D45" s="3267" t="n">
        <v>27050</v>
      </c>
      <c r="E45" s="3267" t="n">
        <v>28000</v>
      </c>
      <c r="F45" s="3267"/>
      <c r="G45" s="3280" t="n">
        <v>18940</v>
      </c>
      <c r="N45" s="3267" t="s">
        <v>2365</v>
      </c>
      <c r="O45" s="3274" t="s">
        <v>2366</v>
      </c>
      <c r="Q45" s="3267" t="s">
        <v>2367</v>
      </c>
    </row>
    <row r="46" customFormat="false" ht="14.25" hidden="false" customHeight="true" outlineLevel="0" collapsed="false">
      <c r="A46" s="3267" t="s">
        <v>247</v>
      </c>
      <c r="B46" s="3268" t="s">
        <v>2186</v>
      </c>
      <c r="C46" s="3267" t="n">
        <v>23240</v>
      </c>
      <c r="D46" s="3267" t="n">
        <v>23000</v>
      </c>
      <c r="E46" s="3267" t="n">
        <v>24980</v>
      </c>
      <c r="F46" s="3267"/>
      <c r="G46" s="3280" t="n">
        <v>16100</v>
      </c>
      <c r="N46" s="3267" t="s">
        <v>2368</v>
      </c>
      <c r="Q46" s="3267" t="s">
        <v>2369</v>
      </c>
    </row>
    <row r="47" customFormat="false" ht="14.25" hidden="false" customHeight="true" outlineLevel="0" collapsed="false">
      <c r="A47" s="3267" t="s">
        <v>247</v>
      </c>
      <c r="B47" s="3268" t="s">
        <v>2196</v>
      </c>
      <c r="C47" s="3267" t="n">
        <v>27150</v>
      </c>
      <c r="D47" s="3267" t="n">
        <v>23310</v>
      </c>
      <c r="E47" s="3267" t="n">
        <v>25150</v>
      </c>
      <c r="F47" s="3267"/>
      <c r="G47" s="3280" t="n">
        <v>16310</v>
      </c>
      <c r="N47" s="3267" t="s">
        <v>2370</v>
      </c>
      <c r="Q47" s="3267" t="s">
        <v>2371</v>
      </c>
    </row>
    <row r="48" customFormat="false" ht="14.25" hidden="false" customHeight="true" outlineLevel="0" collapsed="false">
      <c r="A48" s="3267" t="s">
        <v>247</v>
      </c>
      <c r="B48" s="3268" t="s">
        <v>2206</v>
      </c>
      <c r="C48" s="3267" t="n">
        <v>23100</v>
      </c>
      <c r="D48" s="3267" t="n">
        <v>21110</v>
      </c>
      <c r="E48" s="3267" t="n">
        <v>23080</v>
      </c>
      <c r="F48" s="3267"/>
      <c r="G48" s="3280" t="n">
        <v>14780</v>
      </c>
      <c r="N48" s="3267" t="s">
        <v>2372</v>
      </c>
      <c r="Q48" s="3267" t="s">
        <v>2373</v>
      </c>
    </row>
    <row r="49" customFormat="false" ht="14.25" hidden="false" customHeight="true" outlineLevel="0" collapsed="false">
      <c r="A49" s="3267" t="s">
        <v>247</v>
      </c>
      <c r="B49" s="3268" t="s">
        <v>2216</v>
      </c>
      <c r="C49" s="3267" t="n">
        <v>23400</v>
      </c>
      <c r="D49" s="3267" t="n">
        <v>22920</v>
      </c>
      <c r="E49" s="3267" t="n">
        <v>24900</v>
      </c>
      <c r="F49" s="3267"/>
      <c r="G49" s="3280" t="n">
        <v>16040</v>
      </c>
      <c r="N49" s="3267" t="s">
        <v>2374</v>
      </c>
      <c r="Q49" s="3267" t="s">
        <v>2375</v>
      </c>
    </row>
    <row r="50" customFormat="false" ht="14.25" hidden="false" customHeight="true" outlineLevel="0" collapsed="false">
      <c r="A50" s="3267" t="s">
        <v>247</v>
      </c>
      <c r="B50" s="3268" t="s">
        <v>2225</v>
      </c>
      <c r="C50" s="3267" t="n">
        <v>21200</v>
      </c>
      <c r="D50" s="3267" t="n">
        <v>26540</v>
      </c>
      <c r="E50" s="3267" t="n">
        <v>23200</v>
      </c>
      <c r="F50" s="3267"/>
      <c r="G50" s="3280" t="n">
        <v>18580</v>
      </c>
      <c r="N50" s="3267" t="s">
        <v>2376</v>
      </c>
      <c r="Q50" s="3268" t="s">
        <v>2377</v>
      </c>
    </row>
    <row r="51" customFormat="false" ht="14.25" hidden="false" customHeight="true" outlineLevel="0" collapsed="false">
      <c r="A51" s="3267" t="s">
        <v>247</v>
      </c>
      <c r="B51" s="3268" t="s">
        <v>2233</v>
      </c>
      <c r="C51" s="3267" t="n">
        <v>23000</v>
      </c>
      <c r="D51" s="3267" t="n">
        <v>23460</v>
      </c>
      <c r="E51" s="3267" t="n">
        <v>25290</v>
      </c>
      <c r="F51" s="3267"/>
      <c r="G51" s="3280" t="n">
        <v>16420</v>
      </c>
      <c r="N51" s="3267" t="s">
        <v>2378</v>
      </c>
      <c r="Q51" s="3274" t="s">
        <v>2379</v>
      </c>
    </row>
    <row r="52" customFormat="false" ht="14.25" hidden="false" customHeight="true" outlineLevel="0" collapsed="false">
      <c r="A52" s="3267" t="s">
        <v>247</v>
      </c>
      <c r="B52" s="3268" t="s">
        <v>2241</v>
      </c>
      <c r="C52" s="3267" t="n">
        <v>26660</v>
      </c>
      <c r="D52" s="3267" t="n">
        <v>22350</v>
      </c>
      <c r="E52" s="3267" t="n">
        <v>22920</v>
      </c>
      <c r="F52" s="3267"/>
      <c r="G52" s="3280" t="n">
        <v>15640</v>
      </c>
      <c r="N52" s="3267" t="s">
        <v>2380</v>
      </c>
    </row>
    <row r="53" customFormat="false" ht="14.25" hidden="false" customHeight="true" outlineLevel="0" collapsed="false">
      <c r="A53" s="3267" t="s">
        <v>247</v>
      </c>
      <c r="B53" s="3268" t="s">
        <v>2249</v>
      </c>
      <c r="C53" s="3267" t="n">
        <v>23580</v>
      </c>
      <c r="D53" s="3267"/>
      <c r="E53" s="3267" t="n">
        <v>24280</v>
      </c>
      <c r="F53" s="3267"/>
      <c r="G53" s="3280"/>
      <c r="N53" s="3267" t="s">
        <v>2381</v>
      </c>
    </row>
    <row r="54" customFormat="false" ht="14.25" hidden="false" customHeight="true" outlineLevel="0" collapsed="false">
      <c r="A54" s="3281" t="s">
        <v>247</v>
      </c>
      <c r="B54" s="3273" t="s">
        <v>2257</v>
      </c>
      <c r="C54" s="3274" t="n">
        <v>22460</v>
      </c>
      <c r="D54" s="3274"/>
      <c r="E54" s="3274"/>
      <c r="F54" s="3274"/>
      <c r="G54" s="3282"/>
      <c r="N54" s="3267" t="s">
        <v>2382</v>
      </c>
    </row>
    <row r="55" customFormat="false" ht="14.25" hidden="false" customHeight="true" outlineLevel="0" collapsed="false">
      <c r="A55" s="3272" t="s">
        <v>255</v>
      </c>
      <c r="B55" s="3262" t="s">
        <v>2014</v>
      </c>
      <c r="C55" s="3267" t="n">
        <v>21970</v>
      </c>
      <c r="D55" s="3267" t="n">
        <v>20370</v>
      </c>
      <c r="E55" s="3267" t="n">
        <v>20180</v>
      </c>
      <c r="F55" s="3267" t="n">
        <v>5730</v>
      </c>
      <c r="G55" s="3267" t="n">
        <v>13820</v>
      </c>
      <c r="N55" s="3267" t="s">
        <v>2383</v>
      </c>
    </row>
    <row r="56" customFormat="false" ht="14.25" hidden="false" customHeight="true" outlineLevel="0" collapsed="false">
      <c r="A56" s="3267" t="s">
        <v>255</v>
      </c>
      <c r="B56" s="3267" t="s">
        <v>2027</v>
      </c>
      <c r="C56" s="3267" t="n">
        <v>20470</v>
      </c>
      <c r="D56" s="3267" t="n">
        <v>20700</v>
      </c>
      <c r="E56" s="3267" t="n">
        <v>20380</v>
      </c>
      <c r="F56" s="3267" t="n">
        <v>4760</v>
      </c>
      <c r="G56" s="3267" t="n">
        <v>14050</v>
      </c>
      <c r="N56" s="3267" t="s">
        <v>2384</v>
      </c>
    </row>
    <row r="57" customFormat="false" ht="14.25" hidden="false" customHeight="true" outlineLevel="0" collapsed="false">
      <c r="A57" s="3267" t="s">
        <v>255</v>
      </c>
      <c r="B57" s="3267" t="s">
        <v>2040</v>
      </c>
      <c r="C57" s="3267" t="n">
        <v>20790</v>
      </c>
      <c r="D57" s="3267" t="n">
        <v>21370</v>
      </c>
      <c r="E57" s="3267" t="n">
        <v>20890</v>
      </c>
      <c r="F57" s="3267" t="n">
        <v>4910</v>
      </c>
      <c r="G57" s="3267" t="n">
        <v>14510</v>
      </c>
      <c r="N57" s="3267" t="s">
        <v>2385</v>
      </c>
    </row>
    <row r="58" customFormat="false" ht="14.25" hidden="false" customHeight="true" outlineLevel="0" collapsed="false">
      <c r="A58" s="3267" t="s">
        <v>255</v>
      </c>
      <c r="B58" s="3267" t="s">
        <v>2052</v>
      </c>
      <c r="C58" s="3267" t="n">
        <v>21460</v>
      </c>
      <c r="D58" s="3267" t="n">
        <v>20920</v>
      </c>
      <c r="E58" s="3267" t="n">
        <v>23410</v>
      </c>
      <c r="F58" s="3267" t="n">
        <v>5100</v>
      </c>
      <c r="G58" s="3267" t="n">
        <v>14200</v>
      </c>
      <c r="N58" s="3267" t="s">
        <v>2386</v>
      </c>
    </row>
    <row r="59" customFormat="false" ht="14.25" hidden="false" customHeight="true" outlineLevel="0" collapsed="false">
      <c r="A59" s="3267" t="s">
        <v>255</v>
      </c>
      <c r="B59" s="3267" t="s">
        <v>2064</v>
      </c>
      <c r="C59" s="3267" t="n">
        <v>21000</v>
      </c>
      <c r="D59" s="3267" t="n">
        <v>21550</v>
      </c>
      <c r="E59" s="3267" t="n">
        <v>21150</v>
      </c>
      <c r="F59" s="3267" t="n">
        <v>5250</v>
      </c>
      <c r="G59" s="3267" t="n">
        <v>14630</v>
      </c>
      <c r="N59" s="3267" t="s">
        <v>2387</v>
      </c>
    </row>
    <row r="60" customFormat="false" ht="14.25" hidden="false" customHeight="true" outlineLevel="0" collapsed="false">
      <c r="A60" s="3267" t="s">
        <v>255</v>
      </c>
      <c r="B60" s="3267" t="s">
        <v>2075</v>
      </c>
      <c r="C60" s="3267" t="n">
        <v>21640</v>
      </c>
      <c r="D60" s="3267" t="n">
        <v>21260</v>
      </c>
      <c r="E60" s="3267" t="n">
        <v>24040</v>
      </c>
      <c r="F60" s="3267" t="n">
        <v>4470</v>
      </c>
      <c r="G60" s="3267" t="n">
        <v>14430</v>
      </c>
      <c r="N60" s="3267" t="s">
        <v>2388</v>
      </c>
    </row>
    <row r="61" customFormat="false" ht="14.25" hidden="false" customHeight="true" outlineLevel="0" collapsed="false">
      <c r="A61" s="3267" t="s">
        <v>255</v>
      </c>
      <c r="B61" s="3267" t="s">
        <v>2086</v>
      </c>
      <c r="C61" s="3267" t="n">
        <v>21330</v>
      </c>
      <c r="D61" s="3267" t="n">
        <v>18640</v>
      </c>
      <c r="E61" s="3267" t="n">
        <v>21190</v>
      </c>
      <c r="F61" s="3267" t="n">
        <v>4180</v>
      </c>
      <c r="G61" s="3267" t="n">
        <v>12650</v>
      </c>
      <c r="N61" s="3267" t="s">
        <v>2389</v>
      </c>
    </row>
    <row r="62" customFormat="false" ht="14.25" hidden="false" customHeight="true" outlineLevel="0" collapsed="false">
      <c r="A62" s="3267" t="s">
        <v>255</v>
      </c>
      <c r="B62" s="3267" t="s">
        <v>2097</v>
      </c>
      <c r="C62" s="3267" t="n">
        <v>18710</v>
      </c>
      <c r="D62" s="3267" t="n">
        <v>19400</v>
      </c>
      <c r="E62" s="3267" t="n">
        <v>23750</v>
      </c>
      <c r="F62" s="3267" t="n">
        <v>4860</v>
      </c>
      <c r="G62" s="3267" t="n">
        <v>13170</v>
      </c>
      <c r="N62" s="3267" t="s">
        <v>2390</v>
      </c>
    </row>
    <row r="63" customFormat="false" ht="14.25" hidden="false" customHeight="true" outlineLevel="0" collapsed="false">
      <c r="A63" s="3267" t="s">
        <v>255</v>
      </c>
      <c r="B63" s="3267" t="s">
        <v>2107</v>
      </c>
      <c r="C63" s="3267" t="n">
        <v>19480</v>
      </c>
      <c r="D63" s="3267" t="n">
        <v>16830</v>
      </c>
      <c r="E63" s="3267" t="n">
        <v>21590</v>
      </c>
      <c r="F63" s="3267" t="n">
        <v>4560</v>
      </c>
      <c r="G63" s="3267" t="n">
        <v>11420</v>
      </c>
      <c r="N63" s="3267" t="s">
        <v>2391</v>
      </c>
    </row>
    <row r="64" customFormat="false" ht="14.25" hidden="false" customHeight="true" outlineLevel="0" collapsed="false">
      <c r="A64" s="3267" t="s">
        <v>255</v>
      </c>
      <c r="B64" s="3267" t="s">
        <v>2117</v>
      </c>
      <c r="C64" s="3267" t="n">
        <v>16920</v>
      </c>
      <c r="D64" s="3267" t="n">
        <v>19190</v>
      </c>
      <c r="E64" s="3267" t="n">
        <v>22200</v>
      </c>
      <c r="F64" s="3267" t="n">
        <v>4390</v>
      </c>
      <c r="G64" s="3267" t="n">
        <v>13030</v>
      </c>
      <c r="N64" s="3274" t="s">
        <v>2392</v>
      </c>
    </row>
    <row r="65" s="3255" customFormat="true" ht="14.25" hidden="false" customHeight="true" outlineLevel="0" collapsed="false">
      <c r="A65" s="3267" t="s">
        <v>255</v>
      </c>
      <c r="B65" s="3267" t="s">
        <v>2127</v>
      </c>
      <c r="C65" s="3267" t="n">
        <v>19290</v>
      </c>
      <c r="D65" s="3267" t="n">
        <v>17020</v>
      </c>
      <c r="E65" s="3267" t="n">
        <v>19880</v>
      </c>
      <c r="F65" s="3267" t="n">
        <v>4070</v>
      </c>
      <c r="G65" s="3267" t="n">
        <v>11550</v>
      </c>
    </row>
    <row r="66" s="3255" customFormat="true" ht="14.25" hidden="false" customHeight="true" outlineLevel="0" collapsed="false">
      <c r="A66" s="3267" t="s">
        <v>255</v>
      </c>
      <c r="B66" s="3267" t="s">
        <v>2137</v>
      </c>
      <c r="C66" s="3267" t="n">
        <v>17090</v>
      </c>
      <c r="D66" s="3267" t="n">
        <v>18340</v>
      </c>
      <c r="E66" s="3267" t="n">
        <v>21830</v>
      </c>
      <c r="F66" s="3267" t="n">
        <v>4690</v>
      </c>
      <c r="G66" s="3267" t="n">
        <v>12450</v>
      </c>
    </row>
    <row r="67" s="3255" customFormat="true" ht="14.25" hidden="false" customHeight="true" outlineLevel="0" collapsed="false">
      <c r="A67" s="3267" t="s">
        <v>255</v>
      </c>
      <c r="B67" s="3267" t="s">
        <v>2147</v>
      </c>
      <c r="C67" s="3267" t="n">
        <v>18420</v>
      </c>
      <c r="D67" s="3267" t="n">
        <v>16360</v>
      </c>
      <c r="E67" s="3267" t="n">
        <v>20020</v>
      </c>
      <c r="F67" s="3267" t="n">
        <v>5150</v>
      </c>
      <c r="G67" s="3267" t="n">
        <v>11110</v>
      </c>
    </row>
    <row r="68" s="3255" customFormat="true" ht="14.25" hidden="false" customHeight="true" outlineLevel="0" collapsed="false">
      <c r="A68" s="3267" t="s">
        <v>255</v>
      </c>
      <c r="B68" s="3267" t="s">
        <v>2157</v>
      </c>
      <c r="C68" s="3267" t="n">
        <v>16450</v>
      </c>
      <c r="D68" s="3267" t="n">
        <v>18430</v>
      </c>
      <c r="E68" s="3267" t="n">
        <v>21010</v>
      </c>
      <c r="F68" s="3267" t="n">
        <v>4720</v>
      </c>
      <c r="G68" s="3267" t="n">
        <v>12510</v>
      </c>
    </row>
    <row r="69" s="3255" customFormat="true" ht="14.25" hidden="false" customHeight="true" outlineLevel="0" collapsed="false">
      <c r="A69" s="3267" t="s">
        <v>255</v>
      </c>
      <c r="B69" s="3267" t="s">
        <v>2167</v>
      </c>
      <c r="C69" s="3267" t="n">
        <v>18510</v>
      </c>
      <c r="D69" s="3267" t="n">
        <v>16300</v>
      </c>
      <c r="E69" s="3267" t="n">
        <v>18830</v>
      </c>
      <c r="F69" s="3267" t="n">
        <v>5400</v>
      </c>
      <c r="G69" s="3267" t="n">
        <v>11070</v>
      </c>
    </row>
    <row r="70" s="3255" customFormat="true" ht="14.25" hidden="false" customHeight="true" outlineLevel="0" collapsed="false">
      <c r="A70" s="3267" t="s">
        <v>255</v>
      </c>
      <c r="B70" s="3267" t="s">
        <v>2177</v>
      </c>
      <c r="C70" s="3267" t="n">
        <v>16370</v>
      </c>
      <c r="D70" s="3267" t="n">
        <v>18620</v>
      </c>
      <c r="E70" s="3267" t="n">
        <v>21100</v>
      </c>
      <c r="F70" s="3267" t="n">
        <v>5700</v>
      </c>
      <c r="G70" s="3267" t="n">
        <v>12640</v>
      </c>
    </row>
    <row r="71" s="3255" customFormat="true" ht="14.25" hidden="false" customHeight="true" outlineLevel="0" collapsed="false">
      <c r="A71" s="3267" t="s">
        <v>255</v>
      </c>
      <c r="B71" s="3267" t="s">
        <v>2187</v>
      </c>
      <c r="C71" s="3267" t="n">
        <v>18700</v>
      </c>
      <c r="D71" s="3267" t="n">
        <v>16290</v>
      </c>
      <c r="E71" s="3267" t="n">
        <v>18760</v>
      </c>
      <c r="F71" s="3267" t="n">
        <v>4780</v>
      </c>
      <c r="G71" s="3267" t="n">
        <v>11050</v>
      </c>
    </row>
    <row r="72" s="3255" customFormat="true" ht="14.25" hidden="false" customHeight="true" outlineLevel="0" collapsed="false">
      <c r="A72" s="3267" t="s">
        <v>255</v>
      </c>
      <c r="B72" s="3267" t="s">
        <v>2197</v>
      </c>
      <c r="C72" s="3267" t="n">
        <v>16340</v>
      </c>
      <c r="D72" s="3267" t="n">
        <v>17520</v>
      </c>
      <c r="E72" s="3267" t="n">
        <v>21170</v>
      </c>
      <c r="F72" s="3267"/>
      <c r="G72" s="3267" t="n">
        <v>11900</v>
      </c>
    </row>
    <row r="73" s="3255" customFormat="true" ht="14.25" hidden="false" customHeight="true" outlineLevel="0" collapsed="false">
      <c r="A73" s="3267" t="s">
        <v>255</v>
      </c>
      <c r="B73" s="3267" t="s">
        <v>2207</v>
      </c>
      <c r="C73" s="3267" t="n">
        <v>17610</v>
      </c>
      <c r="D73" s="3267" t="n">
        <v>18520</v>
      </c>
      <c r="E73" s="3267" t="n">
        <v>18720</v>
      </c>
      <c r="F73" s="3267"/>
      <c r="G73" s="3267" t="n">
        <v>12570</v>
      </c>
    </row>
    <row r="74" s="3255" customFormat="true" ht="14.25" hidden="false" customHeight="true" outlineLevel="0" collapsed="false">
      <c r="A74" s="3267" t="s">
        <v>255</v>
      </c>
      <c r="B74" s="3267" t="s">
        <v>2217</v>
      </c>
      <c r="C74" s="3267" t="n">
        <v>18600</v>
      </c>
      <c r="D74" s="3267" t="n">
        <v>16480</v>
      </c>
      <c r="E74" s="3267" t="n">
        <v>20100</v>
      </c>
      <c r="F74" s="3267"/>
      <c r="G74" s="3267" t="n">
        <v>11190</v>
      </c>
    </row>
    <row r="75" s="3255" customFormat="true" ht="14.25" hidden="false" customHeight="true" outlineLevel="0" collapsed="false">
      <c r="A75" s="3267" t="s">
        <v>255</v>
      </c>
      <c r="B75" s="3267" t="s">
        <v>2226</v>
      </c>
      <c r="C75" s="3267" t="n">
        <v>16570</v>
      </c>
      <c r="D75" s="3267" t="n">
        <v>17530</v>
      </c>
      <c r="E75" s="3267" t="n">
        <v>21030</v>
      </c>
      <c r="F75" s="3267"/>
      <c r="G75" s="3267" t="n">
        <v>11900</v>
      </c>
    </row>
    <row r="76" s="3255" customFormat="true" ht="14.25" hidden="false" customHeight="true" outlineLevel="0" collapsed="false">
      <c r="A76" s="3267" t="s">
        <v>255</v>
      </c>
      <c r="B76" s="3267" t="s">
        <v>2234</v>
      </c>
      <c r="C76" s="3267" t="n">
        <v>17610</v>
      </c>
      <c r="D76" s="3267" t="n">
        <v>20800</v>
      </c>
      <c r="E76" s="3267" t="n">
        <v>18920</v>
      </c>
      <c r="F76" s="3267"/>
      <c r="G76" s="3267" t="n">
        <v>14120</v>
      </c>
    </row>
    <row r="77" s="3255" customFormat="true" ht="14.25" hidden="false" customHeight="true" outlineLevel="0" collapsed="false">
      <c r="A77" s="3267" t="s">
        <v>255</v>
      </c>
      <c r="B77" s="3267" t="s">
        <v>2242</v>
      </c>
      <c r="C77" s="3267" t="n">
        <v>20890</v>
      </c>
      <c r="D77" s="3267" t="n">
        <v>19740</v>
      </c>
      <c r="E77" s="3267" t="n">
        <v>20110</v>
      </c>
      <c r="F77" s="3267"/>
      <c r="G77" s="3267" t="n">
        <v>13400</v>
      </c>
    </row>
    <row r="78" s="3255" customFormat="true" ht="14.25" hidden="false" customHeight="true" outlineLevel="0" collapsed="false">
      <c r="A78" s="3267" t="s">
        <v>255</v>
      </c>
      <c r="B78" s="3267" t="s">
        <v>2250</v>
      </c>
      <c r="C78" s="3267" t="n">
        <v>19820</v>
      </c>
      <c r="D78" s="3267" t="n">
        <v>19780</v>
      </c>
      <c r="E78" s="3267" t="n">
        <v>18560</v>
      </c>
      <c r="F78" s="3267"/>
      <c r="G78" s="3267" t="n">
        <v>13430</v>
      </c>
    </row>
    <row r="79" s="3255" customFormat="true" ht="14.25" hidden="false" customHeight="true" outlineLevel="0" collapsed="false">
      <c r="A79" s="3267" t="s">
        <v>255</v>
      </c>
      <c r="B79" s="3267" t="s">
        <v>2258</v>
      </c>
      <c r="C79" s="3267" t="n">
        <v>21660</v>
      </c>
      <c r="D79" s="3267" t="n">
        <v>18000</v>
      </c>
      <c r="E79" s="3267" t="n">
        <v>22570</v>
      </c>
      <c r="F79" s="3267"/>
      <c r="G79" s="3267" t="n">
        <v>12220</v>
      </c>
    </row>
    <row r="80" s="3255" customFormat="true" ht="14.25" hidden="false" customHeight="true" outlineLevel="0" collapsed="false">
      <c r="A80" s="3267" t="s">
        <v>255</v>
      </c>
      <c r="B80" s="3267" t="s">
        <v>2265</v>
      </c>
      <c r="C80" s="3267" t="n">
        <v>19850</v>
      </c>
      <c r="D80" s="3267"/>
      <c r="E80" s="3267" t="n">
        <v>21700</v>
      </c>
      <c r="F80" s="3267"/>
      <c r="G80" s="3267"/>
    </row>
    <row r="81" s="3255" customFormat="true" ht="14.25" hidden="false" customHeight="true" outlineLevel="0" collapsed="false">
      <c r="A81" s="3267" t="s">
        <v>255</v>
      </c>
      <c r="B81" s="3267" t="s">
        <v>2272</v>
      </c>
      <c r="C81" s="3267" t="n">
        <v>18080</v>
      </c>
      <c r="D81" s="3267"/>
      <c r="E81" s="3267" t="n">
        <v>20900</v>
      </c>
      <c r="F81" s="3267"/>
      <c r="G81" s="3267"/>
    </row>
    <row r="82" s="3255" customFormat="true" ht="14.25" hidden="false" customHeight="true" outlineLevel="0" collapsed="false">
      <c r="A82" s="3267" t="s">
        <v>255</v>
      </c>
      <c r="B82" s="3267" t="s">
        <v>2279</v>
      </c>
      <c r="C82" s="3267"/>
      <c r="D82" s="3267"/>
      <c r="E82" s="3267" t="n">
        <v>20840</v>
      </c>
      <c r="F82" s="3267"/>
      <c r="G82" s="3267"/>
    </row>
    <row r="83" s="3255" customFormat="true" ht="14.25" hidden="false" customHeight="true" outlineLevel="0" collapsed="false">
      <c r="A83" s="3267" t="s">
        <v>255</v>
      </c>
      <c r="B83" s="3267" t="s">
        <v>2286</v>
      </c>
      <c r="C83" s="3267"/>
      <c r="D83" s="3267"/>
      <c r="E83" s="3267"/>
      <c r="F83" s="3267" t="n">
        <v>4770</v>
      </c>
      <c r="G83" s="3267"/>
    </row>
    <row r="84" s="3255" customFormat="true" ht="14.25" hidden="false" customHeight="true" outlineLevel="0" collapsed="false">
      <c r="A84" s="3267" t="s">
        <v>255</v>
      </c>
      <c r="B84" s="3267" t="s">
        <v>2293</v>
      </c>
      <c r="C84" s="3267"/>
      <c r="D84" s="3267"/>
      <c r="E84" s="3267"/>
      <c r="F84" s="3267" t="n">
        <v>4600</v>
      </c>
      <c r="G84" s="3267"/>
    </row>
    <row r="85" s="3255" customFormat="true" ht="14.25" hidden="false" customHeight="true" outlineLevel="0" collapsed="false">
      <c r="A85" s="3267" t="s">
        <v>255</v>
      </c>
      <c r="B85" s="3267" t="s">
        <v>2300</v>
      </c>
      <c r="C85" s="3267"/>
      <c r="D85" s="3267"/>
      <c r="E85" s="3267"/>
      <c r="F85" s="3267" t="n">
        <v>4680</v>
      </c>
      <c r="G85" s="3267"/>
    </row>
    <row r="86" s="3255" customFormat="true" ht="14.25" hidden="false" customHeight="true" outlineLevel="0" collapsed="false">
      <c r="A86" s="3275" t="s">
        <v>255</v>
      </c>
      <c r="B86" s="3277" t="s">
        <v>2307</v>
      </c>
      <c r="C86" s="3278" t="n">
        <v>16610</v>
      </c>
      <c r="D86" s="3278" t="n">
        <v>16540</v>
      </c>
      <c r="E86" s="3278" t="n">
        <v>18850</v>
      </c>
      <c r="F86" s="3278"/>
      <c r="G86" s="3278" t="n">
        <v>11220</v>
      </c>
    </row>
    <row r="87" s="3255" customFormat="true" ht="14.25" hidden="false" customHeight="true" outlineLevel="0" collapsed="false">
      <c r="A87" s="3272" t="s">
        <v>263</v>
      </c>
      <c r="B87" s="3262" t="s">
        <v>2015</v>
      </c>
      <c r="C87" s="3262" t="n">
        <v>15240</v>
      </c>
      <c r="D87" s="3262" t="n">
        <v>15170</v>
      </c>
      <c r="E87" s="3262" t="n">
        <v>18260</v>
      </c>
      <c r="F87" s="3262" t="n">
        <v>3830</v>
      </c>
      <c r="G87" s="3279" t="n">
        <v>10020</v>
      </c>
    </row>
    <row r="88" s="3255" customFormat="true" ht="14.25" hidden="false" customHeight="true" outlineLevel="0" collapsed="false">
      <c r="A88" s="3267" t="s">
        <v>263</v>
      </c>
      <c r="B88" s="3267" t="s">
        <v>2028</v>
      </c>
      <c r="C88" s="3267" t="n">
        <v>17310</v>
      </c>
      <c r="D88" s="3267" t="n">
        <v>17220</v>
      </c>
      <c r="E88" s="3267" t="n">
        <v>18610</v>
      </c>
      <c r="F88" s="3267" t="n">
        <v>3990</v>
      </c>
      <c r="G88" s="3280" t="n">
        <v>11380</v>
      </c>
    </row>
    <row r="89" s="3255" customFormat="true" ht="14.25" hidden="false" customHeight="true" outlineLevel="0" collapsed="false">
      <c r="A89" s="3267" t="s">
        <v>263</v>
      </c>
      <c r="B89" s="3267" t="s">
        <v>2041</v>
      </c>
      <c r="C89" s="3267" t="n">
        <v>15600</v>
      </c>
      <c r="D89" s="3267" t="n">
        <v>15550</v>
      </c>
      <c r="E89" s="3267" t="n">
        <v>19200</v>
      </c>
      <c r="F89" s="3267" t="n">
        <v>4110</v>
      </c>
      <c r="G89" s="3280" t="n">
        <v>10270</v>
      </c>
    </row>
    <row r="90" s="3255" customFormat="true" ht="14.25" hidden="false" customHeight="true" outlineLevel="0" collapsed="false">
      <c r="A90" s="3267" t="s">
        <v>263</v>
      </c>
      <c r="B90" s="3267" t="s">
        <v>2053</v>
      </c>
      <c r="C90" s="3267" t="n">
        <v>17330</v>
      </c>
      <c r="D90" s="3267" t="n">
        <v>17240</v>
      </c>
      <c r="E90" s="3267" t="n">
        <v>18570</v>
      </c>
      <c r="F90" s="3267" t="n">
        <v>4070</v>
      </c>
      <c r="G90" s="3280" t="n">
        <v>11390</v>
      </c>
    </row>
    <row r="91" s="3255" customFormat="true" ht="14.25" hidden="false" customHeight="true" outlineLevel="0" collapsed="false">
      <c r="A91" s="3267" t="s">
        <v>263</v>
      </c>
      <c r="B91" s="3267" t="s">
        <v>2065</v>
      </c>
      <c r="C91" s="3267" t="n">
        <v>16330</v>
      </c>
      <c r="D91" s="3267" t="n">
        <v>16260</v>
      </c>
      <c r="E91" s="3267" t="n">
        <v>16800</v>
      </c>
      <c r="F91" s="3267" t="n">
        <v>3410</v>
      </c>
      <c r="G91" s="3280" t="n">
        <v>10740</v>
      </c>
    </row>
    <row r="92" s="3255" customFormat="true" ht="14.25" hidden="false" customHeight="true" outlineLevel="0" collapsed="false">
      <c r="A92" s="3267" t="s">
        <v>263</v>
      </c>
      <c r="B92" s="3267" t="s">
        <v>2076</v>
      </c>
      <c r="C92" s="3267" t="n">
        <v>15570</v>
      </c>
      <c r="D92" s="3267" t="n">
        <v>15500</v>
      </c>
      <c r="E92" s="3267" t="n">
        <v>17360</v>
      </c>
      <c r="F92" s="3267" t="n">
        <v>3510</v>
      </c>
      <c r="G92" s="3280" t="n">
        <v>10240</v>
      </c>
    </row>
    <row r="93" s="3255" customFormat="true" ht="14.25" hidden="false" customHeight="true" outlineLevel="0" collapsed="false">
      <c r="A93" s="3267" t="s">
        <v>263</v>
      </c>
      <c r="B93" s="3267" t="s">
        <v>2087</v>
      </c>
      <c r="C93" s="3267" t="n">
        <v>14000</v>
      </c>
      <c r="D93" s="3267" t="n">
        <v>13930</v>
      </c>
      <c r="E93" s="3267" t="n">
        <v>18200</v>
      </c>
      <c r="F93" s="3267" t="n">
        <v>3640</v>
      </c>
      <c r="G93" s="3280" t="n">
        <v>9210</v>
      </c>
    </row>
    <row r="94" s="3255" customFormat="true" ht="14.25" hidden="false" customHeight="true" outlineLevel="0" collapsed="false">
      <c r="A94" s="3267" t="s">
        <v>263</v>
      </c>
      <c r="B94" s="3267" t="s">
        <v>2098</v>
      </c>
      <c r="C94" s="3267" t="n">
        <v>14530</v>
      </c>
      <c r="D94" s="3267" t="n">
        <v>14470</v>
      </c>
      <c r="E94" s="3267" t="n">
        <v>18240</v>
      </c>
      <c r="F94" s="3267" t="n">
        <v>3180</v>
      </c>
      <c r="G94" s="3280" t="n">
        <v>9560</v>
      </c>
    </row>
    <row r="95" s="3255" customFormat="true" ht="14.25" hidden="false" customHeight="true" outlineLevel="0" collapsed="false">
      <c r="A95" s="3267" t="s">
        <v>263</v>
      </c>
      <c r="B95" s="3267" t="s">
        <v>2108</v>
      </c>
      <c r="C95" s="3267" t="n">
        <v>17330</v>
      </c>
      <c r="D95" s="3267" t="n">
        <v>17260</v>
      </c>
      <c r="E95" s="3267" t="n">
        <v>18420</v>
      </c>
      <c r="F95" s="3267" t="n">
        <v>3060</v>
      </c>
      <c r="G95" s="3280" t="n">
        <v>11410</v>
      </c>
    </row>
    <row r="96" s="3255" customFormat="true" ht="14.25" hidden="false" customHeight="true" outlineLevel="0" collapsed="false">
      <c r="A96" s="3267" t="s">
        <v>263</v>
      </c>
      <c r="B96" s="3267" t="s">
        <v>2118</v>
      </c>
      <c r="C96" s="3267" t="n">
        <v>15030</v>
      </c>
      <c r="D96" s="3267" t="n">
        <v>14970</v>
      </c>
      <c r="E96" s="3267" t="n">
        <v>17580</v>
      </c>
      <c r="F96" s="3267" t="n">
        <v>2970</v>
      </c>
      <c r="G96" s="3280" t="n">
        <v>9890</v>
      </c>
    </row>
    <row r="97" s="3255" customFormat="true" ht="14.25" hidden="false" customHeight="true" outlineLevel="0" collapsed="false">
      <c r="A97" s="3267" t="s">
        <v>263</v>
      </c>
      <c r="B97" s="3267" t="s">
        <v>2128</v>
      </c>
      <c r="C97" s="3267" t="n">
        <v>17400</v>
      </c>
      <c r="D97" s="3267" t="n">
        <v>17330</v>
      </c>
      <c r="E97" s="3267" t="n">
        <v>16430</v>
      </c>
      <c r="F97" s="3267" t="n">
        <v>2950</v>
      </c>
      <c r="G97" s="3280" t="n">
        <v>11450</v>
      </c>
    </row>
    <row r="98" s="3255" customFormat="true" ht="14.25" hidden="false" customHeight="true" outlineLevel="0" collapsed="false">
      <c r="A98" s="3267" t="s">
        <v>263</v>
      </c>
      <c r="B98" s="3267" t="s">
        <v>2138</v>
      </c>
      <c r="C98" s="3267" t="n">
        <v>15200</v>
      </c>
      <c r="D98" s="3267" t="n">
        <v>15120</v>
      </c>
      <c r="E98" s="3267" t="n">
        <v>17550</v>
      </c>
      <c r="F98" s="3267" t="n">
        <v>3080</v>
      </c>
      <c r="G98" s="3280" t="n">
        <v>9990</v>
      </c>
    </row>
    <row r="99" s="3255" customFormat="true" ht="14.25" hidden="false" customHeight="true" outlineLevel="0" collapsed="false">
      <c r="A99" s="3267" t="s">
        <v>263</v>
      </c>
      <c r="B99" s="3267" t="s">
        <v>2148</v>
      </c>
      <c r="C99" s="3267" t="n">
        <v>17520</v>
      </c>
      <c r="D99" s="3267" t="n">
        <v>17430</v>
      </c>
      <c r="E99" s="3267" t="n">
        <v>16350</v>
      </c>
      <c r="F99" s="3267" t="n">
        <v>3260</v>
      </c>
      <c r="G99" s="3280" t="n">
        <v>11510</v>
      </c>
    </row>
    <row r="100" s="3255" customFormat="true" ht="14.25" hidden="false" customHeight="true" outlineLevel="0" collapsed="false">
      <c r="A100" s="3267" t="s">
        <v>263</v>
      </c>
      <c r="B100" s="3267" t="s">
        <v>2158</v>
      </c>
      <c r="C100" s="3267" t="n">
        <v>15340</v>
      </c>
      <c r="D100" s="3267" t="n">
        <v>15260</v>
      </c>
      <c r="E100" s="3267" t="n">
        <v>15930</v>
      </c>
      <c r="F100" s="3267" t="n">
        <v>2740</v>
      </c>
      <c r="G100" s="3280" t="n">
        <v>10080</v>
      </c>
    </row>
    <row r="101" s="3255" customFormat="true" ht="14.25" hidden="false" customHeight="true" outlineLevel="0" collapsed="false">
      <c r="A101" s="3267" t="s">
        <v>263</v>
      </c>
      <c r="B101" s="3267" t="s">
        <v>2168</v>
      </c>
      <c r="C101" s="3267" t="n">
        <v>14620</v>
      </c>
      <c r="D101" s="3267" t="n">
        <v>14560</v>
      </c>
      <c r="E101" s="3267" t="n">
        <v>15570</v>
      </c>
      <c r="F101" s="3267" t="n">
        <v>3500</v>
      </c>
      <c r="G101" s="3280" t="n">
        <v>9630</v>
      </c>
    </row>
    <row r="102" s="3255" customFormat="true" ht="14.25" hidden="false" customHeight="true" outlineLevel="0" collapsed="false">
      <c r="A102" s="3267" t="s">
        <v>263</v>
      </c>
      <c r="B102" s="3267" t="s">
        <v>2178</v>
      </c>
      <c r="C102" s="3267" t="n">
        <v>13680</v>
      </c>
      <c r="D102" s="3267" t="n">
        <v>13610</v>
      </c>
      <c r="E102" s="3267" t="n">
        <v>15690</v>
      </c>
      <c r="F102" s="3267" t="n">
        <v>2870</v>
      </c>
      <c r="G102" s="3280" t="n">
        <v>8990</v>
      </c>
    </row>
    <row r="103" s="3255" customFormat="true" ht="14.25" hidden="false" customHeight="true" outlineLevel="0" collapsed="false">
      <c r="A103" s="3267" t="s">
        <v>263</v>
      </c>
      <c r="B103" s="3267" t="s">
        <v>2188</v>
      </c>
      <c r="C103" s="3267" t="n">
        <v>14620</v>
      </c>
      <c r="D103" s="3267" t="n">
        <v>14540</v>
      </c>
      <c r="E103" s="3267" t="n">
        <v>15240</v>
      </c>
      <c r="F103" s="3267" t="n">
        <v>2840</v>
      </c>
      <c r="G103" s="3280" t="n">
        <v>9610</v>
      </c>
    </row>
    <row r="104" s="3255" customFormat="true" ht="14.25" hidden="false" customHeight="true" outlineLevel="0" collapsed="false">
      <c r="A104" s="3267" t="s">
        <v>263</v>
      </c>
      <c r="B104" s="3267" t="s">
        <v>2198</v>
      </c>
      <c r="C104" s="3267" t="n">
        <v>13610</v>
      </c>
      <c r="D104" s="3267" t="n">
        <v>13540</v>
      </c>
      <c r="E104" s="3267" t="n">
        <v>15750</v>
      </c>
      <c r="F104" s="3267" t="n">
        <v>2770</v>
      </c>
      <c r="G104" s="3280" t="n">
        <v>8940</v>
      </c>
    </row>
    <row r="105" s="3255" customFormat="true" ht="14.25" hidden="false" customHeight="true" outlineLevel="0" collapsed="false">
      <c r="A105" s="3267" t="s">
        <v>263</v>
      </c>
      <c r="B105" s="3267" t="s">
        <v>2208</v>
      </c>
      <c r="C105" s="3267" t="n">
        <v>13310</v>
      </c>
      <c r="D105" s="3267" t="n">
        <v>13240</v>
      </c>
      <c r="E105" s="3267" t="n">
        <v>16280</v>
      </c>
      <c r="F105" s="3267" t="n">
        <v>3210</v>
      </c>
      <c r="G105" s="3280" t="n">
        <v>8750</v>
      </c>
    </row>
    <row r="106" s="3255" customFormat="true" ht="14.25" hidden="false" customHeight="true" outlineLevel="0" collapsed="false">
      <c r="A106" s="3267" t="s">
        <v>263</v>
      </c>
      <c r="B106" s="3267" t="s">
        <v>2218</v>
      </c>
      <c r="C106" s="3267" t="n">
        <v>13010</v>
      </c>
      <c r="D106" s="3267" t="n">
        <v>12930</v>
      </c>
      <c r="E106" s="3267" t="n">
        <v>14960</v>
      </c>
      <c r="F106" s="3267" t="n">
        <v>3530</v>
      </c>
      <c r="G106" s="3280" t="n">
        <v>8550</v>
      </c>
    </row>
    <row r="107" s="3255" customFormat="true" ht="14.25" hidden="false" customHeight="true" outlineLevel="0" collapsed="false">
      <c r="A107" s="3267" t="s">
        <v>263</v>
      </c>
      <c r="B107" s="3267" t="s">
        <v>2227</v>
      </c>
      <c r="C107" s="3267" t="n">
        <v>13070</v>
      </c>
      <c r="D107" s="3267" t="n">
        <v>13000</v>
      </c>
      <c r="E107" s="3267" t="n">
        <v>15910</v>
      </c>
      <c r="F107" s="3267" t="n">
        <v>3990</v>
      </c>
      <c r="G107" s="3280" t="n">
        <v>8580</v>
      </c>
    </row>
    <row r="108" s="3255" customFormat="true" ht="14.25" hidden="false" customHeight="true" outlineLevel="0" collapsed="false">
      <c r="A108" s="3267" t="s">
        <v>263</v>
      </c>
      <c r="B108" s="3267" t="s">
        <v>2235</v>
      </c>
      <c r="C108" s="3267" t="n">
        <v>12640</v>
      </c>
      <c r="D108" s="3267" t="n">
        <v>12580</v>
      </c>
      <c r="E108" s="3267" t="n">
        <v>15730</v>
      </c>
      <c r="F108" s="3267"/>
      <c r="G108" s="3280" t="n">
        <v>8310</v>
      </c>
    </row>
    <row r="109" s="3255" customFormat="true" ht="14.25" hidden="false" customHeight="true" outlineLevel="0" collapsed="false">
      <c r="A109" s="3267" t="s">
        <v>263</v>
      </c>
      <c r="B109" s="3267" t="s">
        <v>2243</v>
      </c>
      <c r="C109" s="3267" t="n">
        <v>13130</v>
      </c>
      <c r="D109" s="3267" t="n">
        <v>13070</v>
      </c>
      <c r="E109" s="3267" t="n">
        <v>15000</v>
      </c>
      <c r="F109" s="3267"/>
      <c r="G109" s="3280" t="n">
        <v>8630</v>
      </c>
    </row>
    <row r="110" s="3255" customFormat="true" ht="14.25" hidden="false" customHeight="true" outlineLevel="0" collapsed="false">
      <c r="A110" s="3267" t="s">
        <v>263</v>
      </c>
      <c r="B110" s="3267" t="s">
        <v>2251</v>
      </c>
      <c r="C110" s="3267" t="n">
        <v>13560</v>
      </c>
      <c r="D110" s="3267" t="n">
        <v>13490</v>
      </c>
      <c r="E110" s="3267" t="n">
        <v>16300</v>
      </c>
      <c r="F110" s="3267"/>
      <c r="G110" s="3280" t="n">
        <v>8920</v>
      </c>
    </row>
    <row r="111" s="3255" customFormat="true" ht="14.25" hidden="false" customHeight="true" outlineLevel="0" collapsed="false">
      <c r="A111" s="3267" t="s">
        <v>263</v>
      </c>
      <c r="B111" s="3267" t="s">
        <v>2259</v>
      </c>
      <c r="C111" s="3267" t="n">
        <v>12440</v>
      </c>
      <c r="D111" s="3267" t="n">
        <v>12380</v>
      </c>
      <c r="E111" s="3267" t="n">
        <v>17850</v>
      </c>
      <c r="F111" s="3267"/>
      <c r="G111" s="3280" t="n">
        <v>8180</v>
      </c>
    </row>
    <row r="112" s="3255" customFormat="true" ht="14.25" hidden="false" customHeight="true" outlineLevel="0" collapsed="false">
      <c r="A112" s="3267" t="s">
        <v>263</v>
      </c>
      <c r="B112" s="3267" t="s">
        <v>2266</v>
      </c>
      <c r="C112" s="3267" t="n">
        <v>13260</v>
      </c>
      <c r="D112" s="3267" t="n">
        <v>13180</v>
      </c>
      <c r="E112" s="3267" t="n">
        <v>19740</v>
      </c>
      <c r="F112" s="3267"/>
      <c r="G112" s="3280" t="n">
        <v>8710</v>
      </c>
    </row>
    <row r="113" s="3255" customFormat="true" ht="14.25" hidden="false" customHeight="true" outlineLevel="0" collapsed="false">
      <c r="A113" s="3267" t="s">
        <v>263</v>
      </c>
      <c r="B113" s="3267" t="s">
        <v>2273</v>
      </c>
      <c r="C113" s="3267" t="n">
        <v>15520</v>
      </c>
      <c r="D113" s="3267" t="n">
        <v>15450</v>
      </c>
      <c r="E113" s="3267"/>
      <c r="F113" s="3267"/>
      <c r="G113" s="3280" t="n">
        <v>10210</v>
      </c>
    </row>
    <row r="114" s="3255" customFormat="true" ht="14.25" hidden="false" customHeight="true" outlineLevel="0" collapsed="false">
      <c r="A114" s="3267" t="s">
        <v>263</v>
      </c>
      <c r="B114" s="3267" t="s">
        <v>2280</v>
      </c>
      <c r="C114" s="3267" t="n">
        <v>13110</v>
      </c>
      <c r="D114" s="3267" t="n">
        <v>13050</v>
      </c>
      <c r="E114" s="3267"/>
      <c r="F114" s="3267"/>
      <c r="G114" s="3280" t="n">
        <v>8620</v>
      </c>
    </row>
    <row r="115" s="3255" customFormat="true" ht="14.25" hidden="false" customHeight="true" outlineLevel="0" collapsed="false">
      <c r="A115" s="3267" t="s">
        <v>263</v>
      </c>
      <c r="B115" s="3267" t="s">
        <v>2287</v>
      </c>
      <c r="C115" s="3267" t="n">
        <v>12460</v>
      </c>
      <c r="D115" s="3267" t="n">
        <v>12390</v>
      </c>
      <c r="E115" s="3267"/>
      <c r="F115" s="3267"/>
      <c r="G115" s="3280" t="n">
        <v>8190</v>
      </c>
    </row>
    <row r="116" s="3255" customFormat="true" ht="14.25" hidden="false" customHeight="true" outlineLevel="0" collapsed="false">
      <c r="A116" s="3267" t="s">
        <v>263</v>
      </c>
      <c r="B116" s="3267" t="s">
        <v>2294</v>
      </c>
      <c r="C116" s="3267" t="n">
        <v>13580</v>
      </c>
      <c r="D116" s="3267" t="n">
        <v>13520</v>
      </c>
      <c r="E116" s="3267"/>
      <c r="F116" s="3267"/>
      <c r="G116" s="3280" t="n">
        <v>8930</v>
      </c>
    </row>
    <row r="117" s="3255" customFormat="true" ht="14.25" hidden="false" customHeight="true" outlineLevel="0" collapsed="false">
      <c r="A117" s="3267" t="s">
        <v>263</v>
      </c>
      <c r="B117" s="3267" t="s">
        <v>2301</v>
      </c>
      <c r="C117" s="3267" t="n">
        <v>17120</v>
      </c>
      <c r="D117" s="3267" t="n">
        <v>17040</v>
      </c>
      <c r="E117" s="3267"/>
      <c r="F117" s="3267"/>
      <c r="G117" s="3280" t="n">
        <v>11260</v>
      </c>
    </row>
    <row r="118" s="3255" customFormat="true" ht="14.25" hidden="false" customHeight="true" outlineLevel="0" collapsed="false">
      <c r="A118" s="3267" t="s">
        <v>263</v>
      </c>
      <c r="B118" s="3267" t="s">
        <v>2308</v>
      </c>
      <c r="C118" s="3267" t="n">
        <v>14860</v>
      </c>
      <c r="D118" s="3267" t="n">
        <v>14790</v>
      </c>
      <c r="E118" s="3267"/>
      <c r="F118" s="3267"/>
      <c r="G118" s="3280" t="n">
        <v>9780</v>
      </c>
    </row>
    <row r="119" s="3255" customFormat="true" ht="14.25" hidden="false" customHeight="true" outlineLevel="0" collapsed="false">
      <c r="A119" s="3267" t="s">
        <v>263</v>
      </c>
      <c r="B119" s="3267" t="s">
        <v>2313</v>
      </c>
      <c r="C119" s="3267" t="n">
        <v>16470</v>
      </c>
      <c r="D119" s="3267" t="n">
        <v>16400</v>
      </c>
      <c r="E119" s="3267"/>
      <c r="F119" s="3267"/>
      <c r="G119" s="3280" t="n">
        <v>10840</v>
      </c>
    </row>
    <row r="120" s="3255" customFormat="true" ht="14.25" hidden="false" customHeight="true" outlineLevel="0" collapsed="false">
      <c r="A120" s="3267" t="s">
        <v>263</v>
      </c>
      <c r="B120" s="3267" t="s">
        <v>2318</v>
      </c>
      <c r="C120" s="3267"/>
      <c r="D120" s="3267"/>
      <c r="E120" s="3267"/>
      <c r="F120" s="3267" t="n">
        <v>4160</v>
      </c>
      <c r="G120" s="3280"/>
    </row>
    <row r="121" s="3255" customFormat="true" ht="14.25" hidden="false" customHeight="true" outlineLevel="0" collapsed="false">
      <c r="A121" s="3267" t="s">
        <v>263</v>
      </c>
      <c r="B121" s="3267" t="s">
        <v>2323</v>
      </c>
      <c r="C121" s="3267"/>
      <c r="D121" s="3267"/>
      <c r="E121" s="3267"/>
      <c r="F121" s="3267" t="n">
        <v>3880</v>
      </c>
      <c r="G121" s="3280"/>
    </row>
    <row r="122" s="3255" customFormat="true" ht="14.25" hidden="false" customHeight="true" outlineLevel="0" collapsed="false">
      <c r="A122" s="3267" t="s">
        <v>263</v>
      </c>
      <c r="B122" s="3267" t="s">
        <v>2328</v>
      </c>
      <c r="C122" s="3267" t="n">
        <v>13750</v>
      </c>
      <c r="D122" s="3267" t="n">
        <v>13680</v>
      </c>
      <c r="E122" s="3267" t="n">
        <v>16460</v>
      </c>
      <c r="F122" s="3267" t="n">
        <v>2880</v>
      </c>
      <c r="G122" s="3280" t="n">
        <v>9040</v>
      </c>
    </row>
    <row r="123" s="3255" customFormat="true" ht="14.25" hidden="false" customHeight="true" outlineLevel="0" collapsed="false">
      <c r="A123" s="3267" t="s">
        <v>263</v>
      </c>
      <c r="B123" s="3267" t="s">
        <v>2333</v>
      </c>
      <c r="C123" s="3267" t="n">
        <v>13590</v>
      </c>
      <c r="D123" s="3267" t="n">
        <v>13520</v>
      </c>
      <c r="E123" s="3267" t="n">
        <v>16290</v>
      </c>
      <c r="F123" s="3267" t="n">
        <v>2790</v>
      </c>
      <c r="G123" s="3280" t="n">
        <v>8930</v>
      </c>
    </row>
    <row r="124" s="3255" customFormat="true" ht="14.25" hidden="false" customHeight="true" outlineLevel="0" collapsed="false">
      <c r="A124" s="3267" t="s">
        <v>263</v>
      </c>
      <c r="B124" s="3267" t="s">
        <v>2338</v>
      </c>
      <c r="C124" s="3267" t="n">
        <v>13400</v>
      </c>
      <c r="D124" s="3267" t="n">
        <v>13320</v>
      </c>
      <c r="E124" s="3267" t="n">
        <v>16100</v>
      </c>
      <c r="F124" s="3267" t="n">
        <v>2320</v>
      </c>
      <c r="G124" s="3280" t="n">
        <v>8800</v>
      </c>
    </row>
    <row r="125" s="3255" customFormat="true" ht="14.25" hidden="false" customHeight="true" outlineLevel="0" collapsed="false">
      <c r="A125" s="3267" t="s">
        <v>263</v>
      </c>
      <c r="B125" s="3267" t="s">
        <v>2343</v>
      </c>
      <c r="C125" s="3267" t="n">
        <v>12860</v>
      </c>
      <c r="D125" s="3267" t="n">
        <v>12790</v>
      </c>
      <c r="E125" s="3267" t="n">
        <v>15370</v>
      </c>
      <c r="F125" s="3267" t="n">
        <v>2280</v>
      </c>
      <c r="G125" s="3280" t="n">
        <v>8450</v>
      </c>
    </row>
    <row r="126" s="3255" customFormat="true" ht="14.25" hidden="false" customHeight="true" outlineLevel="0" collapsed="false">
      <c r="A126" s="3281" t="s">
        <v>263</v>
      </c>
      <c r="B126" s="3274" t="s">
        <v>2348</v>
      </c>
      <c r="C126" s="3274" t="n">
        <v>12960</v>
      </c>
      <c r="D126" s="3274" t="n">
        <v>12890</v>
      </c>
      <c r="E126" s="3274" t="n">
        <v>15530</v>
      </c>
      <c r="F126" s="3274" t="n">
        <v>2910</v>
      </c>
      <c r="G126" s="3282" t="n">
        <v>8520</v>
      </c>
    </row>
    <row r="127" s="3255" customFormat="true" ht="14.25" hidden="false" customHeight="true" outlineLevel="0" collapsed="false">
      <c r="A127" s="3272" t="s">
        <v>269</v>
      </c>
      <c r="B127" s="3262" t="s">
        <v>2016</v>
      </c>
      <c r="C127" s="3267" t="n">
        <v>12280</v>
      </c>
      <c r="D127" s="3267" t="n">
        <v>12250</v>
      </c>
      <c r="E127" s="3267" t="n">
        <v>15130</v>
      </c>
      <c r="F127" s="3267" t="n">
        <v>2710</v>
      </c>
      <c r="G127" s="3267" t="n">
        <v>7870</v>
      </c>
    </row>
    <row r="128" s="3255" customFormat="true" ht="14.25" hidden="false" customHeight="true" outlineLevel="0" collapsed="false">
      <c r="A128" s="3267" t="s">
        <v>269</v>
      </c>
      <c r="B128" s="3267" t="s">
        <v>2029</v>
      </c>
      <c r="C128" s="3267" t="n">
        <v>13180</v>
      </c>
      <c r="D128" s="3267" t="n">
        <v>13150</v>
      </c>
      <c r="E128" s="3267" t="n">
        <v>16190</v>
      </c>
      <c r="F128" s="3267" t="n">
        <v>2820</v>
      </c>
      <c r="G128" s="3267" t="n">
        <v>8460</v>
      </c>
    </row>
    <row r="129" s="3255" customFormat="true" ht="14.25" hidden="false" customHeight="true" outlineLevel="0" collapsed="false">
      <c r="A129" s="3267" t="s">
        <v>269</v>
      </c>
      <c r="B129" s="3267" t="s">
        <v>2042</v>
      </c>
      <c r="C129" s="3267" t="n">
        <v>10950</v>
      </c>
      <c r="D129" s="3267" t="n">
        <v>10920</v>
      </c>
      <c r="E129" s="3267" t="n">
        <v>13820</v>
      </c>
      <c r="F129" s="3267" t="n">
        <v>2500</v>
      </c>
      <c r="G129" s="3267" t="n">
        <v>7020</v>
      </c>
    </row>
    <row r="130" s="3255" customFormat="true" ht="14.25" hidden="false" customHeight="true" outlineLevel="0" collapsed="false">
      <c r="A130" s="3267" t="s">
        <v>269</v>
      </c>
      <c r="B130" s="3267" t="s">
        <v>2054</v>
      </c>
      <c r="C130" s="3267" t="n">
        <v>10910</v>
      </c>
      <c r="D130" s="3267" t="n">
        <v>10860</v>
      </c>
      <c r="E130" s="3267" t="n">
        <v>13730</v>
      </c>
      <c r="F130" s="3267" t="n">
        <v>2760</v>
      </c>
      <c r="G130" s="3267" t="n">
        <v>6990</v>
      </c>
    </row>
    <row r="131" s="3255" customFormat="true" ht="14.25" hidden="false" customHeight="true" outlineLevel="0" collapsed="false">
      <c r="A131" s="3267" t="s">
        <v>269</v>
      </c>
      <c r="B131" s="3267" t="s">
        <v>2066</v>
      </c>
      <c r="C131" s="3267" t="n">
        <v>12910</v>
      </c>
      <c r="D131" s="3267" t="n">
        <v>12870</v>
      </c>
      <c r="E131" s="3267" t="n">
        <v>15720</v>
      </c>
      <c r="F131" s="3267" t="n">
        <v>2750</v>
      </c>
      <c r="G131" s="3267" t="n">
        <v>8280</v>
      </c>
    </row>
    <row r="132" s="3255" customFormat="true" ht="14.25" hidden="false" customHeight="true" outlineLevel="0" collapsed="false">
      <c r="A132" s="3267" t="s">
        <v>269</v>
      </c>
      <c r="B132" s="3267" t="s">
        <v>2077</v>
      </c>
      <c r="C132" s="3267" t="n">
        <v>11910</v>
      </c>
      <c r="D132" s="3267" t="n">
        <v>11860</v>
      </c>
      <c r="E132" s="3267" t="n">
        <v>14730</v>
      </c>
      <c r="F132" s="3267" t="n">
        <v>2360</v>
      </c>
      <c r="G132" s="3267" t="n">
        <v>7630</v>
      </c>
    </row>
    <row r="133" s="3255" customFormat="true" ht="14.25" hidden="false" customHeight="true" outlineLevel="0" collapsed="false">
      <c r="A133" s="3267" t="s">
        <v>269</v>
      </c>
      <c r="B133" s="3267" t="s">
        <v>2088</v>
      </c>
      <c r="C133" s="3267" t="n">
        <v>12270</v>
      </c>
      <c r="D133" s="3267" t="n">
        <v>12210</v>
      </c>
      <c r="E133" s="3267" t="n">
        <v>15010</v>
      </c>
      <c r="F133" s="3267" t="n">
        <v>2580</v>
      </c>
      <c r="G133" s="3267" t="n">
        <v>7860</v>
      </c>
    </row>
    <row r="134" s="3255" customFormat="true" ht="14.25" hidden="false" customHeight="true" outlineLevel="0" collapsed="false">
      <c r="A134" s="3267" t="s">
        <v>269</v>
      </c>
      <c r="B134" s="3267" t="s">
        <v>2099</v>
      </c>
      <c r="C134" s="3267" t="n">
        <v>10800</v>
      </c>
      <c r="D134" s="3267" t="n">
        <v>10780</v>
      </c>
      <c r="E134" s="3267" t="n">
        <v>13640</v>
      </c>
      <c r="F134" s="3267" t="n">
        <v>2110</v>
      </c>
      <c r="G134" s="3267" t="n">
        <v>6930</v>
      </c>
    </row>
    <row r="135" s="3255" customFormat="true" ht="14.25" hidden="false" customHeight="true" outlineLevel="0" collapsed="false">
      <c r="A135" s="3267" t="s">
        <v>269</v>
      </c>
      <c r="B135" s="3267" t="s">
        <v>2109</v>
      </c>
      <c r="C135" s="3267" t="n">
        <v>10430</v>
      </c>
      <c r="D135" s="3267" t="n">
        <v>10390</v>
      </c>
      <c r="E135" s="3267" t="n">
        <v>13140</v>
      </c>
      <c r="F135" s="3267" t="n">
        <v>2240</v>
      </c>
      <c r="G135" s="3267" t="n">
        <v>6680</v>
      </c>
    </row>
    <row r="136" s="3255" customFormat="true" ht="14.25" hidden="false" customHeight="true" outlineLevel="0" collapsed="false">
      <c r="A136" s="3267" t="s">
        <v>269</v>
      </c>
      <c r="B136" s="3267" t="s">
        <v>2119</v>
      </c>
      <c r="C136" s="3267" t="n">
        <v>11930</v>
      </c>
      <c r="D136" s="3267" t="n">
        <v>11880</v>
      </c>
      <c r="E136" s="3267" t="n">
        <v>14770</v>
      </c>
      <c r="F136" s="3267" t="n">
        <v>1970</v>
      </c>
      <c r="G136" s="3267" t="n">
        <v>7640</v>
      </c>
    </row>
    <row r="137" s="3255" customFormat="true" ht="14.25" hidden="false" customHeight="true" outlineLevel="0" collapsed="false">
      <c r="A137" s="3267" t="s">
        <v>269</v>
      </c>
      <c r="B137" s="3267" t="s">
        <v>2129</v>
      </c>
      <c r="C137" s="3267" t="n">
        <v>10470</v>
      </c>
      <c r="D137" s="3267" t="n">
        <v>10430</v>
      </c>
      <c r="E137" s="3267" t="n">
        <v>13190</v>
      </c>
      <c r="F137" s="3267" t="n">
        <v>1990</v>
      </c>
      <c r="G137" s="3267" t="n">
        <v>6710</v>
      </c>
    </row>
    <row r="138" s="3255" customFormat="true" ht="14.25" hidden="false" customHeight="true" outlineLevel="0" collapsed="false">
      <c r="A138" s="3267" t="s">
        <v>269</v>
      </c>
      <c r="B138" s="3267" t="s">
        <v>2139</v>
      </c>
      <c r="C138" s="3267" t="n">
        <v>10410</v>
      </c>
      <c r="D138" s="3267" t="n">
        <v>10380</v>
      </c>
      <c r="E138" s="3267" t="n">
        <v>13130</v>
      </c>
      <c r="F138" s="3267" t="n">
        <v>2030</v>
      </c>
      <c r="G138" s="3267" t="n">
        <v>6680</v>
      </c>
    </row>
    <row r="139" s="3255" customFormat="true" ht="14.25" hidden="false" customHeight="true" outlineLevel="0" collapsed="false">
      <c r="A139" s="3267" t="s">
        <v>269</v>
      </c>
      <c r="B139" s="3267" t="s">
        <v>2149</v>
      </c>
      <c r="C139" s="3267" t="n">
        <v>9460</v>
      </c>
      <c r="D139" s="3267" t="n">
        <v>9410</v>
      </c>
      <c r="E139" s="3267" t="n">
        <v>12050</v>
      </c>
      <c r="F139" s="3267" t="n">
        <v>2140</v>
      </c>
      <c r="G139" s="3267" t="n">
        <v>6050</v>
      </c>
    </row>
    <row r="140" s="3255" customFormat="true" ht="14.25" hidden="false" customHeight="true" outlineLevel="0" collapsed="false">
      <c r="A140" s="3267" t="s">
        <v>269</v>
      </c>
      <c r="B140" s="3267" t="s">
        <v>2159</v>
      </c>
      <c r="C140" s="3267" t="n">
        <v>11030</v>
      </c>
      <c r="D140" s="3267" t="n">
        <v>10980</v>
      </c>
      <c r="E140" s="3267" t="n">
        <v>13880</v>
      </c>
      <c r="F140" s="3267" t="n">
        <v>2210</v>
      </c>
      <c r="G140" s="3267" t="n">
        <v>7060</v>
      </c>
    </row>
    <row r="141" s="3255" customFormat="true" ht="14.25" hidden="false" customHeight="true" outlineLevel="0" collapsed="false">
      <c r="A141" s="3267" t="s">
        <v>269</v>
      </c>
      <c r="B141" s="3267" t="s">
        <v>2169</v>
      </c>
      <c r="C141" s="3267" t="n">
        <v>11200</v>
      </c>
      <c r="D141" s="3267" t="n">
        <v>11150</v>
      </c>
      <c r="E141" s="3267" t="n">
        <v>14100</v>
      </c>
      <c r="F141" s="3267" t="n">
        <v>2470</v>
      </c>
      <c r="G141" s="3267" t="n">
        <v>7170</v>
      </c>
    </row>
    <row r="142" s="3255" customFormat="true" ht="14.25" hidden="false" customHeight="true" outlineLevel="0" collapsed="false">
      <c r="A142" s="3267" t="s">
        <v>269</v>
      </c>
      <c r="B142" s="3267" t="s">
        <v>2179</v>
      </c>
      <c r="C142" s="3267" t="n">
        <v>10780</v>
      </c>
      <c r="D142" s="3267" t="n">
        <v>10730</v>
      </c>
      <c r="E142" s="3267" t="n">
        <v>13540</v>
      </c>
      <c r="F142" s="3267" t="n">
        <v>2280</v>
      </c>
      <c r="G142" s="3267" t="n">
        <v>6900</v>
      </c>
    </row>
    <row r="143" s="3255" customFormat="true" ht="14.25" hidden="false" customHeight="true" outlineLevel="0" collapsed="false">
      <c r="A143" s="3267" t="s">
        <v>269</v>
      </c>
      <c r="B143" s="3267" t="s">
        <v>2189</v>
      </c>
      <c r="C143" s="3267" t="n">
        <v>11550</v>
      </c>
      <c r="D143" s="3267" t="n">
        <v>11490</v>
      </c>
      <c r="E143" s="3267" t="n">
        <v>14480</v>
      </c>
      <c r="F143" s="3267" t="n">
        <v>2070</v>
      </c>
      <c r="G143" s="3267" t="n">
        <v>7390</v>
      </c>
    </row>
    <row r="144" s="3255" customFormat="true" ht="14.25" hidden="false" customHeight="true" outlineLevel="0" collapsed="false">
      <c r="A144" s="3267" t="s">
        <v>269</v>
      </c>
      <c r="B144" s="3267" t="s">
        <v>2199</v>
      </c>
      <c r="C144" s="3267" t="n">
        <v>10720</v>
      </c>
      <c r="D144" s="3267" t="n">
        <v>10680</v>
      </c>
      <c r="E144" s="3267" t="n">
        <v>13480</v>
      </c>
      <c r="F144" s="3267" t="n">
        <v>2440</v>
      </c>
      <c r="G144" s="3267" t="n">
        <v>6870</v>
      </c>
    </row>
    <row r="145" s="3255" customFormat="true" ht="14.25" hidden="false" customHeight="true" outlineLevel="0" collapsed="false">
      <c r="A145" s="3267" t="s">
        <v>269</v>
      </c>
      <c r="B145" s="3267" t="s">
        <v>2209</v>
      </c>
      <c r="C145" s="3267" t="n">
        <v>10340</v>
      </c>
      <c r="D145" s="3267" t="n">
        <v>10290</v>
      </c>
      <c r="E145" s="3267" t="n">
        <v>12880</v>
      </c>
      <c r="F145" s="3267" t="n">
        <v>2650</v>
      </c>
      <c r="G145" s="3267" t="n">
        <v>6620</v>
      </c>
    </row>
    <row r="146" s="3255" customFormat="true" ht="14.25" hidden="false" customHeight="true" outlineLevel="0" collapsed="false">
      <c r="A146" s="3267" t="s">
        <v>269</v>
      </c>
      <c r="B146" s="3267" t="s">
        <v>2219</v>
      </c>
      <c r="C146" s="3267" t="n">
        <v>11890</v>
      </c>
      <c r="D146" s="3267" t="n">
        <v>11830</v>
      </c>
      <c r="E146" s="3267" t="n">
        <v>14670</v>
      </c>
      <c r="F146" s="3267"/>
      <c r="G146" s="3267" t="n">
        <v>7610</v>
      </c>
    </row>
    <row r="147" s="3255" customFormat="true" ht="14.25" hidden="false" customHeight="true" outlineLevel="0" collapsed="false">
      <c r="A147" s="3267" t="s">
        <v>269</v>
      </c>
      <c r="B147" s="3267" t="s">
        <v>2228</v>
      </c>
      <c r="C147" s="3267" t="n">
        <v>12650</v>
      </c>
      <c r="D147" s="3267" t="n">
        <v>12600</v>
      </c>
      <c r="E147" s="3267" t="n">
        <v>15440</v>
      </c>
      <c r="F147" s="3267"/>
      <c r="G147" s="3267" t="n">
        <v>8110</v>
      </c>
    </row>
    <row r="148" s="3255" customFormat="true" ht="14.25" hidden="false" customHeight="true" outlineLevel="0" collapsed="false">
      <c r="A148" s="3267" t="s">
        <v>269</v>
      </c>
      <c r="B148" s="3267" t="s">
        <v>2236</v>
      </c>
      <c r="C148" s="3267" t="n">
        <v>10370</v>
      </c>
      <c r="D148" s="3267" t="n">
        <v>10310</v>
      </c>
      <c r="E148" s="3267" t="n">
        <v>12970</v>
      </c>
      <c r="F148" s="3267"/>
      <c r="G148" s="3267" t="n">
        <v>6630</v>
      </c>
    </row>
    <row r="149" s="3255" customFormat="true" ht="14.25" hidden="false" customHeight="true" outlineLevel="0" collapsed="false">
      <c r="A149" s="3267" t="s">
        <v>269</v>
      </c>
      <c r="B149" s="3267" t="s">
        <v>2244</v>
      </c>
      <c r="C149" s="3267" t="n">
        <v>11600</v>
      </c>
      <c r="D149" s="3267" t="n">
        <v>11560</v>
      </c>
      <c r="E149" s="3267" t="n">
        <v>14540</v>
      </c>
      <c r="F149" s="3267" t="n">
        <v>2390</v>
      </c>
      <c r="G149" s="3267" t="n">
        <v>7430</v>
      </c>
    </row>
    <row r="150" s="3255" customFormat="true" ht="14.25" hidden="false" customHeight="true" outlineLevel="0" collapsed="false">
      <c r="A150" s="3267" t="s">
        <v>269</v>
      </c>
      <c r="B150" s="3267" t="s">
        <v>2252</v>
      </c>
      <c r="C150" s="3267" t="n">
        <v>9950</v>
      </c>
      <c r="D150" s="3267" t="n">
        <v>9890</v>
      </c>
      <c r="E150" s="3267" t="n">
        <v>12590</v>
      </c>
      <c r="F150" s="3267" t="n">
        <v>1970</v>
      </c>
      <c r="G150" s="3267" t="n">
        <v>6360</v>
      </c>
    </row>
    <row r="151" s="3255" customFormat="true" ht="14.25" hidden="false" customHeight="true" outlineLevel="0" collapsed="false">
      <c r="A151" s="3267" t="s">
        <v>269</v>
      </c>
      <c r="B151" s="3267" t="s">
        <v>2260</v>
      </c>
      <c r="C151" s="3267" t="n">
        <v>10700</v>
      </c>
      <c r="D151" s="3267" t="n">
        <v>10650</v>
      </c>
      <c r="E151" s="3267" t="n">
        <v>13420</v>
      </c>
      <c r="F151" s="3267" t="n">
        <v>2020</v>
      </c>
      <c r="G151" s="3267" t="n">
        <v>6850</v>
      </c>
    </row>
    <row r="152" s="3255" customFormat="true" ht="14.25" hidden="false" customHeight="true" outlineLevel="0" collapsed="false">
      <c r="A152" s="3267" t="s">
        <v>269</v>
      </c>
      <c r="B152" s="3267" t="s">
        <v>2267</v>
      </c>
      <c r="C152" s="3267" t="n">
        <v>10310</v>
      </c>
      <c r="D152" s="3267" t="n">
        <v>10260</v>
      </c>
      <c r="E152" s="3267" t="n">
        <v>12820</v>
      </c>
      <c r="F152" s="3267" t="n">
        <v>1980</v>
      </c>
      <c r="G152" s="3267" t="n">
        <v>6600</v>
      </c>
    </row>
    <row r="153" s="3255" customFormat="true" ht="14.25" hidden="false" customHeight="true" outlineLevel="0" collapsed="false">
      <c r="A153" s="3267" t="s">
        <v>269</v>
      </c>
      <c r="B153" s="3267" t="s">
        <v>2274</v>
      </c>
      <c r="C153" s="3267" t="n">
        <v>10880</v>
      </c>
      <c r="D153" s="3267" t="n">
        <v>10820</v>
      </c>
      <c r="E153" s="3267" t="n">
        <v>13660</v>
      </c>
      <c r="F153" s="3267" t="n">
        <v>2260</v>
      </c>
      <c r="G153" s="3267" t="n">
        <v>6970</v>
      </c>
    </row>
    <row r="154" s="3255" customFormat="true" ht="14.25" hidden="false" customHeight="true" outlineLevel="0" collapsed="false">
      <c r="A154" s="3267" t="s">
        <v>269</v>
      </c>
      <c r="B154" s="3267" t="s">
        <v>2281</v>
      </c>
      <c r="C154" s="3267" t="n">
        <v>11220</v>
      </c>
      <c r="D154" s="3267" t="n">
        <v>11160</v>
      </c>
      <c r="E154" s="3267" t="n">
        <v>14130</v>
      </c>
      <c r="F154" s="3267" t="n">
        <v>2230</v>
      </c>
      <c r="G154" s="3267" t="n">
        <v>7180</v>
      </c>
    </row>
    <row r="155" s="3255" customFormat="true" ht="14.25" hidden="false" customHeight="true" outlineLevel="0" collapsed="false">
      <c r="A155" s="3267" t="s">
        <v>269</v>
      </c>
      <c r="B155" s="3267" t="s">
        <v>2288</v>
      </c>
      <c r="C155" s="3267" t="n">
        <v>10430</v>
      </c>
      <c r="D155" s="3267" t="n">
        <v>10380</v>
      </c>
      <c r="E155" s="3267" t="n">
        <v>13140</v>
      </c>
      <c r="F155" s="3267" t="n">
        <v>2080</v>
      </c>
      <c r="G155" s="3267" t="n">
        <v>6650</v>
      </c>
    </row>
    <row r="156" s="3255" customFormat="true" ht="14.25" hidden="false" customHeight="true" outlineLevel="0" collapsed="false">
      <c r="A156" s="3267" t="s">
        <v>269</v>
      </c>
      <c r="B156" s="3267" t="s">
        <v>2295</v>
      </c>
      <c r="C156" s="3267" t="n">
        <v>10440</v>
      </c>
      <c r="D156" s="3267" t="n">
        <v>10400</v>
      </c>
      <c r="E156" s="3267" t="n">
        <v>13150</v>
      </c>
      <c r="F156" s="3267" t="n">
        <v>2490</v>
      </c>
      <c r="G156" s="3267" t="n">
        <v>6690</v>
      </c>
    </row>
    <row r="157" s="3255" customFormat="true" ht="14.25" hidden="false" customHeight="true" outlineLevel="0" collapsed="false">
      <c r="A157" s="3267" t="s">
        <v>269</v>
      </c>
      <c r="B157" s="3267" t="s">
        <v>2302</v>
      </c>
      <c r="C157" s="3267" t="n">
        <v>10970</v>
      </c>
      <c r="D157" s="3267" t="n">
        <v>10920</v>
      </c>
      <c r="E157" s="3267" t="n">
        <v>13840</v>
      </c>
      <c r="F157" s="3267" t="n">
        <v>2420</v>
      </c>
      <c r="G157" s="3267" t="n">
        <v>7020</v>
      </c>
    </row>
    <row r="158" s="3255" customFormat="true" ht="14.25" hidden="false" customHeight="true" outlineLevel="0" collapsed="false">
      <c r="A158" s="3267" t="s">
        <v>269</v>
      </c>
      <c r="B158" s="3267" t="s">
        <v>2309</v>
      </c>
      <c r="C158" s="3267" t="n">
        <v>9590</v>
      </c>
      <c r="D158" s="3267" t="n">
        <v>9540</v>
      </c>
      <c r="E158" s="3267" t="n">
        <v>12210</v>
      </c>
      <c r="F158" s="3267" t="n">
        <v>2100</v>
      </c>
      <c r="G158" s="3267" t="n">
        <v>6130</v>
      </c>
    </row>
    <row r="159" s="3255" customFormat="true" ht="14.25" hidden="false" customHeight="true" outlineLevel="0" collapsed="false">
      <c r="A159" s="3267" t="s">
        <v>269</v>
      </c>
      <c r="B159" s="3267" t="s">
        <v>2314</v>
      </c>
      <c r="C159" s="3267" t="n">
        <v>11190</v>
      </c>
      <c r="D159" s="3267" t="n">
        <v>11140</v>
      </c>
      <c r="E159" s="3267" t="n">
        <v>14090</v>
      </c>
      <c r="F159" s="3267" t="n">
        <v>2470</v>
      </c>
      <c r="G159" s="3267" t="n">
        <v>7170</v>
      </c>
    </row>
    <row r="160" s="3255" customFormat="true" ht="14.25" hidden="false" customHeight="true" outlineLevel="0" collapsed="false">
      <c r="A160" s="3267" t="s">
        <v>269</v>
      </c>
      <c r="B160" s="3267" t="s">
        <v>2319</v>
      </c>
      <c r="C160" s="3267" t="n">
        <v>11180</v>
      </c>
      <c r="D160" s="3267" t="n">
        <v>11140</v>
      </c>
      <c r="E160" s="3267" t="n">
        <v>14050</v>
      </c>
      <c r="F160" s="3267" t="n">
        <v>2270</v>
      </c>
      <c r="G160" s="3267" t="n">
        <v>7170</v>
      </c>
    </row>
    <row r="161" s="3255" customFormat="true" ht="14.25" hidden="false" customHeight="true" outlineLevel="0" collapsed="false">
      <c r="A161" s="3267" t="s">
        <v>269</v>
      </c>
      <c r="B161" s="3267" t="s">
        <v>2324</v>
      </c>
      <c r="C161" s="3267" t="n">
        <v>11160</v>
      </c>
      <c r="D161" s="3267" t="n">
        <v>11120</v>
      </c>
      <c r="E161" s="3267" t="n">
        <v>14020</v>
      </c>
      <c r="F161" s="3267" t="n">
        <v>2150</v>
      </c>
      <c r="G161" s="3267" t="n">
        <v>7160</v>
      </c>
    </row>
    <row r="162" s="3255" customFormat="true" ht="14.25" hidden="false" customHeight="true" outlineLevel="0" collapsed="false">
      <c r="A162" s="3267" t="s">
        <v>269</v>
      </c>
      <c r="B162" s="3267" t="s">
        <v>2329</v>
      </c>
      <c r="C162" s="3267" t="n">
        <v>9620</v>
      </c>
      <c r="D162" s="3267" t="n">
        <v>9570</v>
      </c>
      <c r="E162" s="3267" t="n">
        <v>12320</v>
      </c>
      <c r="F162" s="3267" t="n">
        <v>2010</v>
      </c>
      <c r="G162" s="3267" t="n">
        <v>6160</v>
      </c>
    </row>
    <row r="163" s="3255" customFormat="true" ht="14.25" hidden="false" customHeight="true" outlineLevel="0" collapsed="false">
      <c r="A163" s="3267" t="s">
        <v>269</v>
      </c>
      <c r="B163" s="3267" t="s">
        <v>2334</v>
      </c>
      <c r="C163" s="3267" t="n">
        <v>9320</v>
      </c>
      <c r="D163" s="3267" t="n">
        <v>9270</v>
      </c>
      <c r="E163" s="3267" t="n">
        <v>11790</v>
      </c>
      <c r="F163" s="3267" t="n">
        <v>1920</v>
      </c>
      <c r="G163" s="3267" t="n">
        <v>5960</v>
      </c>
    </row>
    <row r="164" s="3255" customFormat="true" ht="14.25" hidden="false" customHeight="true" outlineLevel="0" collapsed="false">
      <c r="A164" s="3267" t="s">
        <v>269</v>
      </c>
      <c r="B164" s="3267" t="s">
        <v>2339</v>
      </c>
      <c r="C164" s="3267"/>
      <c r="D164" s="3267"/>
      <c r="E164" s="3267"/>
      <c r="F164" s="3267" t="n">
        <v>1980</v>
      </c>
      <c r="G164" s="3267"/>
    </row>
    <row r="165" s="3255" customFormat="true" ht="14.25" hidden="false" customHeight="true" outlineLevel="0" collapsed="false">
      <c r="A165" s="3267" t="s">
        <v>269</v>
      </c>
      <c r="B165" s="3267" t="s">
        <v>2344</v>
      </c>
      <c r="C165" s="3267" t="n">
        <v>11060</v>
      </c>
      <c r="D165" s="3267" t="n">
        <v>11030</v>
      </c>
      <c r="E165" s="3267" t="n">
        <v>13850</v>
      </c>
      <c r="F165" s="3267" t="n">
        <v>2170</v>
      </c>
      <c r="G165" s="3267" t="n">
        <v>7090</v>
      </c>
    </row>
    <row r="166" s="3255" customFormat="true" ht="14.25" hidden="false" customHeight="true" outlineLevel="0" collapsed="false">
      <c r="A166" s="3267" t="s">
        <v>269</v>
      </c>
      <c r="B166" s="3267" t="s">
        <v>2349</v>
      </c>
      <c r="C166" s="3267" t="n">
        <v>11050</v>
      </c>
      <c r="D166" s="3267" t="n">
        <v>11010</v>
      </c>
      <c r="E166" s="3267" t="n">
        <v>13920</v>
      </c>
      <c r="F166" s="3267" t="n">
        <v>2140</v>
      </c>
      <c r="G166" s="3267" t="n">
        <v>7080</v>
      </c>
    </row>
    <row r="167" s="3255" customFormat="true" ht="14.25" hidden="false" customHeight="true" outlineLevel="0" collapsed="false">
      <c r="A167" s="3267" t="s">
        <v>269</v>
      </c>
      <c r="B167" s="3267" t="s">
        <v>2353</v>
      </c>
      <c r="C167" s="3267" t="n">
        <v>10930</v>
      </c>
      <c r="D167" s="3267" t="n">
        <v>10890</v>
      </c>
      <c r="E167" s="3267" t="n">
        <v>13790</v>
      </c>
      <c r="F167" s="3267" t="n">
        <v>2010</v>
      </c>
      <c r="G167" s="3267" t="n">
        <v>7000</v>
      </c>
    </row>
    <row r="168" s="3255" customFormat="true" ht="14.25" hidden="false" customHeight="true" outlineLevel="0" collapsed="false">
      <c r="A168" s="3267" t="s">
        <v>269</v>
      </c>
      <c r="B168" s="3267" t="s">
        <v>2357</v>
      </c>
      <c r="C168" s="3267" t="n">
        <v>9420</v>
      </c>
      <c r="D168" s="3267" t="n">
        <v>9380</v>
      </c>
      <c r="E168" s="3267" t="n">
        <v>11970</v>
      </c>
      <c r="F168" s="3267"/>
      <c r="G168" s="3267" t="n">
        <v>6040</v>
      </c>
    </row>
    <row r="169" s="3255" customFormat="true" ht="14.25" hidden="false" customHeight="true" outlineLevel="0" collapsed="false">
      <c r="A169" s="3267" t="s">
        <v>269</v>
      </c>
      <c r="B169" s="3267" t="s">
        <v>2361</v>
      </c>
      <c r="C169" s="3267"/>
      <c r="D169" s="3267"/>
      <c r="E169" s="3267"/>
      <c r="F169" s="3267" t="n">
        <v>2880</v>
      </c>
      <c r="G169" s="3267"/>
    </row>
    <row r="170" s="3255" customFormat="true" ht="14.25" hidden="false" customHeight="true" outlineLevel="0" collapsed="false">
      <c r="A170" s="3267" t="s">
        <v>269</v>
      </c>
      <c r="B170" s="3267" t="s">
        <v>2365</v>
      </c>
      <c r="C170" s="3267"/>
      <c r="D170" s="3267"/>
      <c r="E170" s="3267"/>
      <c r="F170" s="3267" t="n">
        <v>2880</v>
      </c>
      <c r="G170" s="3267"/>
    </row>
    <row r="171" s="3255" customFormat="true" ht="14.25" hidden="false" customHeight="true" outlineLevel="0" collapsed="false">
      <c r="A171" s="3267" t="s">
        <v>269</v>
      </c>
      <c r="B171" s="3267" t="s">
        <v>2368</v>
      </c>
      <c r="C171" s="3267"/>
      <c r="D171" s="3267"/>
      <c r="E171" s="3267"/>
      <c r="F171" s="3267" t="n">
        <v>2880</v>
      </c>
      <c r="G171" s="3267"/>
    </row>
    <row r="172" s="3255" customFormat="true" ht="14.25" hidden="false" customHeight="true" outlineLevel="0" collapsed="false">
      <c r="A172" s="3267" t="s">
        <v>269</v>
      </c>
      <c r="B172" s="3267" t="s">
        <v>2370</v>
      </c>
      <c r="C172" s="3267"/>
      <c r="D172" s="3267"/>
      <c r="E172" s="3267"/>
      <c r="F172" s="3267" t="n">
        <v>2880</v>
      </c>
      <c r="G172" s="3267"/>
    </row>
    <row r="173" s="3255" customFormat="true" ht="14.25" hidden="false" customHeight="true" outlineLevel="0" collapsed="false">
      <c r="A173" s="3267" t="s">
        <v>269</v>
      </c>
      <c r="B173" s="3267" t="s">
        <v>2372</v>
      </c>
      <c r="C173" s="3267"/>
      <c r="D173" s="3267"/>
      <c r="E173" s="3267"/>
      <c r="F173" s="3267" t="n">
        <v>2150</v>
      </c>
      <c r="G173" s="3267"/>
    </row>
    <row r="174" s="3255" customFormat="true" ht="14.25" hidden="false" customHeight="true" outlineLevel="0" collapsed="false">
      <c r="A174" s="3267" t="s">
        <v>269</v>
      </c>
      <c r="B174" s="3267" t="s">
        <v>2374</v>
      </c>
      <c r="C174" s="3267"/>
      <c r="D174" s="3267"/>
      <c r="E174" s="3267"/>
      <c r="F174" s="3267" t="n">
        <v>2030</v>
      </c>
      <c r="G174" s="3267"/>
    </row>
    <row r="175" s="3255" customFormat="true" ht="14.25" hidden="false" customHeight="true" outlineLevel="0" collapsed="false">
      <c r="A175" s="3267" t="s">
        <v>269</v>
      </c>
      <c r="B175" s="3267" t="s">
        <v>2376</v>
      </c>
      <c r="C175" s="3267"/>
      <c r="D175" s="3267"/>
      <c r="E175" s="3267"/>
      <c r="F175" s="3267" t="n">
        <v>2780</v>
      </c>
      <c r="G175" s="3267"/>
    </row>
    <row r="176" s="3255" customFormat="true" ht="14.25" hidden="false" customHeight="true" outlineLevel="0" collapsed="false">
      <c r="A176" s="3267" t="s">
        <v>269</v>
      </c>
      <c r="B176" s="3267" t="s">
        <v>2378</v>
      </c>
      <c r="C176" s="3267"/>
      <c r="D176" s="3267"/>
      <c r="E176" s="3267"/>
      <c r="F176" s="3267" t="n">
        <v>2780</v>
      </c>
      <c r="G176" s="3267"/>
    </row>
    <row r="177" s="3255" customFormat="true" ht="14.25" hidden="false" customHeight="true" outlineLevel="0" collapsed="false">
      <c r="A177" s="3267" t="s">
        <v>269</v>
      </c>
      <c r="B177" s="3267" t="s">
        <v>2380</v>
      </c>
      <c r="C177" s="3267"/>
      <c r="D177" s="3267"/>
      <c r="E177" s="3267"/>
      <c r="F177" s="3267" t="n">
        <v>2780</v>
      </c>
      <c r="G177" s="3267"/>
    </row>
    <row r="178" s="3255" customFormat="true" ht="14.25" hidden="false" customHeight="true" outlineLevel="0" collapsed="false">
      <c r="A178" s="3267" t="s">
        <v>269</v>
      </c>
      <c r="B178" s="3267" t="s">
        <v>2381</v>
      </c>
      <c r="C178" s="3267"/>
      <c r="D178" s="3267"/>
      <c r="E178" s="3267"/>
      <c r="F178" s="3267" t="n">
        <v>2060</v>
      </c>
      <c r="G178" s="3267"/>
    </row>
    <row r="179" s="3255" customFormat="true" ht="14.25" hidden="false" customHeight="true" outlineLevel="0" collapsed="false">
      <c r="A179" s="3267" t="s">
        <v>269</v>
      </c>
      <c r="B179" s="3267" t="s">
        <v>2382</v>
      </c>
      <c r="C179" s="3267"/>
      <c r="D179" s="3267"/>
      <c r="E179" s="3267"/>
      <c r="F179" s="3267" t="n">
        <v>2120</v>
      </c>
      <c r="G179" s="3267"/>
    </row>
    <row r="180" s="3255" customFormat="true" ht="14.25" hidden="false" customHeight="true" outlineLevel="0" collapsed="false">
      <c r="A180" s="3267" t="s">
        <v>269</v>
      </c>
      <c r="B180" s="3267" t="s">
        <v>2383</v>
      </c>
      <c r="C180" s="3267"/>
      <c r="D180" s="3267"/>
      <c r="E180" s="3267"/>
      <c r="F180" s="3267" t="n">
        <v>2340</v>
      </c>
      <c r="G180" s="3267"/>
    </row>
    <row r="181" s="3255" customFormat="true" ht="14.25" hidden="false" customHeight="true" outlineLevel="0" collapsed="false">
      <c r="A181" s="3267" t="s">
        <v>269</v>
      </c>
      <c r="B181" s="3267" t="s">
        <v>2384</v>
      </c>
      <c r="C181" s="3267"/>
      <c r="D181" s="3267"/>
      <c r="E181" s="3267"/>
      <c r="F181" s="3267" t="n">
        <v>2340</v>
      </c>
      <c r="G181" s="3267"/>
    </row>
    <row r="182" s="3255" customFormat="true" ht="14.25" hidden="false" customHeight="true" outlineLevel="0" collapsed="false">
      <c r="A182" s="3267" t="s">
        <v>269</v>
      </c>
      <c r="B182" s="3267" t="s">
        <v>2385</v>
      </c>
      <c r="C182" s="3267"/>
      <c r="D182" s="3267"/>
      <c r="E182" s="3267"/>
      <c r="F182" s="3267" t="n">
        <v>2340</v>
      </c>
      <c r="G182" s="3267"/>
    </row>
    <row r="183" s="3255" customFormat="true" ht="14.25" hidden="false" customHeight="true" outlineLevel="0" collapsed="false">
      <c r="A183" s="3267" t="s">
        <v>269</v>
      </c>
      <c r="B183" s="3267" t="s">
        <v>2386</v>
      </c>
      <c r="C183" s="3267"/>
      <c r="D183" s="3267"/>
      <c r="E183" s="3267"/>
      <c r="F183" s="3267" t="n">
        <v>2340</v>
      </c>
      <c r="G183" s="3267"/>
    </row>
    <row r="184" s="3255" customFormat="true" ht="14.25" hidden="false" customHeight="true" outlineLevel="0" collapsed="false">
      <c r="A184" s="3267" t="s">
        <v>269</v>
      </c>
      <c r="B184" s="3267" t="s">
        <v>2387</v>
      </c>
      <c r="C184" s="3267"/>
      <c r="D184" s="3267"/>
      <c r="E184" s="3267"/>
      <c r="F184" s="3267" t="n">
        <v>2340</v>
      </c>
      <c r="G184" s="3267"/>
    </row>
    <row r="185" s="3255" customFormat="true" ht="14.25" hidden="false" customHeight="true" outlineLevel="0" collapsed="false">
      <c r="A185" s="3267" t="s">
        <v>269</v>
      </c>
      <c r="B185" s="3267" t="s">
        <v>2388</v>
      </c>
      <c r="C185" s="3267"/>
      <c r="D185" s="3267"/>
      <c r="E185" s="3267"/>
      <c r="F185" s="3267" t="n">
        <v>2530</v>
      </c>
      <c r="G185" s="3267"/>
    </row>
    <row r="186" s="3255" customFormat="true" ht="14.25" hidden="false" customHeight="true" outlineLevel="0" collapsed="false">
      <c r="A186" s="3267" t="s">
        <v>269</v>
      </c>
      <c r="B186" s="3267" t="s">
        <v>2389</v>
      </c>
      <c r="C186" s="3267"/>
      <c r="D186" s="3267"/>
      <c r="E186" s="3267"/>
      <c r="F186" s="3267" t="n">
        <v>2550</v>
      </c>
      <c r="G186" s="3267"/>
    </row>
    <row r="187" s="3255" customFormat="true" ht="14.25" hidden="false" customHeight="true" outlineLevel="0" collapsed="false">
      <c r="A187" s="3267" t="s">
        <v>269</v>
      </c>
      <c r="B187" s="3267" t="s">
        <v>2390</v>
      </c>
      <c r="C187" s="3267"/>
      <c r="D187" s="3267"/>
      <c r="E187" s="3267"/>
      <c r="F187" s="3267" t="n">
        <v>2070</v>
      </c>
      <c r="G187" s="3267"/>
    </row>
    <row r="188" s="3255" customFormat="true" ht="14.25" hidden="false" customHeight="true" outlineLevel="0" collapsed="false">
      <c r="A188" s="3267" t="s">
        <v>269</v>
      </c>
      <c r="B188" s="3267" t="s">
        <v>2391</v>
      </c>
      <c r="C188" s="3267"/>
      <c r="D188" s="3267"/>
      <c r="E188" s="3267"/>
      <c r="F188" s="3267" t="n">
        <v>2340</v>
      </c>
      <c r="G188" s="3267"/>
    </row>
    <row r="189" s="3255" customFormat="true" ht="14.25" hidden="false" customHeight="true" outlineLevel="0" collapsed="false">
      <c r="A189" s="3275" t="s">
        <v>269</v>
      </c>
      <c r="B189" s="3278" t="s">
        <v>2392</v>
      </c>
      <c r="C189" s="3278"/>
      <c r="D189" s="3278"/>
      <c r="E189" s="3278"/>
      <c r="F189" s="3278" t="n">
        <v>2050</v>
      </c>
      <c r="G189" s="3278"/>
    </row>
    <row r="190" s="3255" customFormat="true" ht="14.25" hidden="false" customHeight="true" outlineLevel="0" collapsed="false">
      <c r="A190" s="3272" t="s">
        <v>274</v>
      </c>
      <c r="B190" s="3262" t="s">
        <v>2017</v>
      </c>
      <c r="C190" s="3262" t="n">
        <v>8830</v>
      </c>
      <c r="D190" s="3262" t="n">
        <v>8790</v>
      </c>
      <c r="E190" s="3262" t="n">
        <v>11630</v>
      </c>
      <c r="F190" s="3262" t="n">
        <v>1790</v>
      </c>
      <c r="G190" s="3279" t="n">
        <v>5550</v>
      </c>
    </row>
    <row r="191" s="3255" customFormat="true" ht="14.25" hidden="false" customHeight="true" outlineLevel="0" collapsed="false">
      <c r="A191" s="3267" t="s">
        <v>274</v>
      </c>
      <c r="B191" s="3267" t="s">
        <v>2030</v>
      </c>
      <c r="C191" s="3267" t="n">
        <v>9780</v>
      </c>
      <c r="D191" s="3267" t="n">
        <v>9710</v>
      </c>
      <c r="E191" s="3267" t="n">
        <v>12550</v>
      </c>
      <c r="F191" s="3267" t="n">
        <v>1980</v>
      </c>
      <c r="G191" s="3280" t="n">
        <v>6130</v>
      </c>
    </row>
    <row r="192" s="3255" customFormat="true" ht="14.25" hidden="false" customHeight="true" outlineLevel="0" collapsed="false">
      <c r="A192" s="3267" t="s">
        <v>274</v>
      </c>
      <c r="B192" s="3267" t="s">
        <v>2043</v>
      </c>
      <c r="C192" s="3267" t="n">
        <v>8180</v>
      </c>
      <c r="D192" s="3267" t="n">
        <v>8140</v>
      </c>
      <c r="E192" s="3267" t="n">
        <v>10870</v>
      </c>
      <c r="F192" s="3267" t="n">
        <v>1690</v>
      </c>
      <c r="G192" s="3280" t="n">
        <v>5140</v>
      </c>
    </row>
    <row r="193" s="3255" customFormat="true" ht="14.25" hidden="false" customHeight="true" outlineLevel="0" collapsed="false">
      <c r="A193" s="3267" t="s">
        <v>274</v>
      </c>
      <c r="B193" s="3267" t="s">
        <v>2055</v>
      </c>
      <c r="C193" s="3267" t="n">
        <v>8440</v>
      </c>
      <c r="D193" s="3267" t="n">
        <v>8390</v>
      </c>
      <c r="E193" s="3267" t="n">
        <v>11210</v>
      </c>
      <c r="F193" s="3267" t="n">
        <v>1600</v>
      </c>
      <c r="G193" s="3280" t="n">
        <v>5300</v>
      </c>
    </row>
    <row r="194" s="3255" customFormat="true" ht="14.25" hidden="false" customHeight="true" outlineLevel="0" collapsed="false">
      <c r="A194" s="3267" t="s">
        <v>274</v>
      </c>
      <c r="B194" s="3267" t="s">
        <v>2067</v>
      </c>
      <c r="C194" s="3267" t="n">
        <v>8780</v>
      </c>
      <c r="D194" s="3267" t="n">
        <v>8730</v>
      </c>
      <c r="E194" s="3267" t="n">
        <v>11550</v>
      </c>
      <c r="F194" s="3267" t="n">
        <v>1660</v>
      </c>
      <c r="G194" s="3280" t="n">
        <v>5520</v>
      </c>
    </row>
    <row r="195" s="3255" customFormat="true" ht="14.25" hidden="false" customHeight="true" outlineLevel="0" collapsed="false">
      <c r="A195" s="3267" t="s">
        <v>274</v>
      </c>
      <c r="B195" s="3267" t="s">
        <v>2078</v>
      </c>
      <c r="C195" s="3267" t="n">
        <v>8720</v>
      </c>
      <c r="D195" s="3267" t="n">
        <v>8670</v>
      </c>
      <c r="E195" s="3267" t="n">
        <v>11450</v>
      </c>
      <c r="F195" s="3267" t="n">
        <v>1720</v>
      </c>
      <c r="G195" s="3280" t="n">
        <v>5480</v>
      </c>
    </row>
    <row r="196" s="3255" customFormat="true" ht="14.25" hidden="false" customHeight="true" outlineLevel="0" collapsed="false">
      <c r="A196" s="3267" t="s">
        <v>274</v>
      </c>
      <c r="B196" s="3267" t="s">
        <v>2089</v>
      </c>
      <c r="C196" s="3267" t="n">
        <v>8460</v>
      </c>
      <c r="D196" s="3267" t="n">
        <v>8410</v>
      </c>
      <c r="E196" s="3267" t="n">
        <v>11230</v>
      </c>
      <c r="F196" s="3267" t="n">
        <v>1730</v>
      </c>
      <c r="G196" s="3280" t="n">
        <v>5310</v>
      </c>
    </row>
    <row r="197" s="3255" customFormat="true" ht="14.25" hidden="false" customHeight="true" outlineLevel="0" collapsed="false">
      <c r="A197" s="3267" t="s">
        <v>274</v>
      </c>
      <c r="B197" s="3267" t="s">
        <v>2100</v>
      </c>
      <c r="C197" s="3267" t="n">
        <v>8790</v>
      </c>
      <c r="D197" s="3267" t="n">
        <v>8730</v>
      </c>
      <c r="E197" s="3267" t="n">
        <v>11560</v>
      </c>
      <c r="F197" s="3267" t="n">
        <v>1750</v>
      </c>
      <c r="G197" s="3280" t="n">
        <v>5520</v>
      </c>
    </row>
    <row r="198" s="3255" customFormat="true" ht="14.25" hidden="false" customHeight="true" outlineLevel="0" collapsed="false">
      <c r="A198" s="3267" t="s">
        <v>274</v>
      </c>
      <c r="B198" s="3267" t="s">
        <v>2110</v>
      </c>
      <c r="C198" s="3267" t="n">
        <v>8720</v>
      </c>
      <c r="D198" s="3267" t="n">
        <v>8680</v>
      </c>
      <c r="E198" s="3267" t="n">
        <v>11470</v>
      </c>
      <c r="F198" s="3267"/>
      <c r="G198" s="3280" t="n">
        <v>5480</v>
      </c>
    </row>
    <row r="199" s="3255" customFormat="true" ht="14.25" hidden="false" customHeight="true" outlineLevel="0" collapsed="false">
      <c r="A199" s="3267" t="s">
        <v>274</v>
      </c>
      <c r="B199" s="3267" t="s">
        <v>2120</v>
      </c>
      <c r="C199" s="3267" t="n">
        <v>8690</v>
      </c>
      <c r="D199" s="3267" t="n">
        <v>8630</v>
      </c>
      <c r="E199" s="3267" t="n">
        <v>11350</v>
      </c>
      <c r="F199" s="3267" t="n">
        <v>1600</v>
      </c>
      <c r="G199" s="3280" t="n">
        <v>5450</v>
      </c>
    </row>
    <row r="200" s="3255" customFormat="true" ht="14.25" hidden="false" customHeight="true" outlineLevel="0" collapsed="false">
      <c r="A200" s="3267" t="s">
        <v>274</v>
      </c>
      <c r="B200" s="3267" t="s">
        <v>2130</v>
      </c>
      <c r="C200" s="3267"/>
      <c r="D200" s="3267"/>
      <c r="E200" s="3267"/>
      <c r="F200" s="3267" t="n">
        <v>1510</v>
      </c>
      <c r="G200" s="3280"/>
    </row>
    <row r="201" s="3255" customFormat="true" ht="14.25" hidden="false" customHeight="true" outlineLevel="0" collapsed="false">
      <c r="A201" s="3267" t="s">
        <v>274</v>
      </c>
      <c r="B201" s="3267" t="s">
        <v>2140</v>
      </c>
      <c r="C201" s="3267" t="n">
        <v>8440</v>
      </c>
      <c r="D201" s="3267" t="n">
        <v>8390</v>
      </c>
      <c r="E201" s="3267" t="n">
        <v>10930</v>
      </c>
      <c r="F201" s="3267" t="n">
        <v>1500</v>
      </c>
      <c r="G201" s="3280" t="n">
        <v>5300</v>
      </c>
    </row>
    <row r="202" s="3255" customFormat="true" ht="14.25" hidden="false" customHeight="true" outlineLevel="0" collapsed="false">
      <c r="A202" s="3267" t="s">
        <v>274</v>
      </c>
      <c r="B202" s="3267" t="s">
        <v>2150</v>
      </c>
      <c r="C202" s="3267" t="n">
        <v>8530</v>
      </c>
      <c r="D202" s="3267" t="n">
        <v>8490</v>
      </c>
      <c r="E202" s="3267" t="n">
        <v>11160</v>
      </c>
      <c r="F202" s="3267" t="n">
        <v>1580</v>
      </c>
      <c r="G202" s="3280" t="n">
        <v>5360</v>
      </c>
    </row>
    <row r="203" s="3255" customFormat="true" ht="14.25" hidden="false" customHeight="true" outlineLevel="0" collapsed="false">
      <c r="A203" s="3267" t="s">
        <v>274</v>
      </c>
      <c r="B203" s="3267" t="s">
        <v>2160</v>
      </c>
      <c r="C203" s="3267" t="n">
        <v>8130</v>
      </c>
      <c r="D203" s="3267" t="n">
        <v>8070</v>
      </c>
      <c r="E203" s="3267" t="n">
        <v>10820</v>
      </c>
      <c r="F203" s="3267" t="n">
        <v>1690</v>
      </c>
      <c r="G203" s="3280" t="n">
        <v>5100</v>
      </c>
    </row>
    <row r="204" s="3255" customFormat="true" ht="14.25" hidden="false" customHeight="true" outlineLevel="0" collapsed="false">
      <c r="A204" s="3267" t="s">
        <v>274</v>
      </c>
      <c r="B204" s="3267" t="s">
        <v>2170</v>
      </c>
      <c r="C204" s="3267" t="n">
        <v>8350</v>
      </c>
      <c r="D204" s="3267" t="n">
        <v>8290</v>
      </c>
      <c r="E204" s="3267" t="n">
        <v>11080</v>
      </c>
      <c r="F204" s="3267" t="n">
        <v>1450</v>
      </c>
      <c r="G204" s="3280" t="n">
        <v>5240</v>
      </c>
    </row>
    <row r="205" s="3255" customFormat="true" ht="14.25" hidden="false" customHeight="true" outlineLevel="0" collapsed="false">
      <c r="A205" s="3267" t="s">
        <v>274</v>
      </c>
      <c r="B205" s="3267" t="s">
        <v>2180</v>
      </c>
      <c r="C205" s="3267" t="n">
        <v>7190</v>
      </c>
      <c r="D205" s="3267" t="n">
        <v>7130</v>
      </c>
      <c r="E205" s="3267" t="n">
        <v>9490</v>
      </c>
      <c r="F205" s="3267" t="n">
        <v>1470</v>
      </c>
      <c r="G205" s="3280" t="n">
        <v>4510</v>
      </c>
    </row>
    <row r="206" s="3255" customFormat="true" ht="14.25" hidden="false" customHeight="true" outlineLevel="0" collapsed="false">
      <c r="A206" s="3267" t="s">
        <v>274</v>
      </c>
      <c r="B206" s="3267" t="s">
        <v>2190</v>
      </c>
      <c r="C206" s="3267" t="n">
        <v>7000</v>
      </c>
      <c r="D206" s="3267" t="n">
        <v>6950</v>
      </c>
      <c r="E206" s="3267" t="n">
        <v>9170</v>
      </c>
      <c r="F206" s="3267" t="n">
        <v>1400</v>
      </c>
      <c r="G206" s="3280" t="n">
        <v>4380</v>
      </c>
    </row>
    <row r="207" s="3255" customFormat="true" ht="14.25" hidden="false" customHeight="true" outlineLevel="0" collapsed="false">
      <c r="A207" s="3267" t="s">
        <v>274</v>
      </c>
      <c r="B207" s="3267" t="s">
        <v>2200</v>
      </c>
      <c r="C207" s="3267" t="n">
        <v>6950</v>
      </c>
      <c r="D207" s="3267" t="n">
        <v>6900</v>
      </c>
      <c r="E207" s="3267" t="n">
        <v>9110</v>
      </c>
      <c r="F207" s="3267" t="n">
        <v>1790</v>
      </c>
      <c r="G207" s="3280" t="n">
        <v>4360</v>
      </c>
    </row>
    <row r="208" s="3255" customFormat="true" ht="14.25" hidden="false" customHeight="true" outlineLevel="0" collapsed="false">
      <c r="A208" s="3267" t="s">
        <v>274</v>
      </c>
      <c r="B208" s="3267" t="s">
        <v>2210</v>
      </c>
      <c r="C208" s="3267" t="n">
        <v>9470</v>
      </c>
      <c r="D208" s="3267" t="n">
        <v>9410</v>
      </c>
      <c r="E208" s="3267" t="n">
        <v>12330</v>
      </c>
      <c r="F208" s="3267" t="n">
        <v>1770</v>
      </c>
      <c r="G208" s="3280" t="n">
        <v>5940</v>
      </c>
    </row>
    <row r="209" s="3255" customFormat="true" ht="14.25" hidden="false" customHeight="true" outlineLevel="0" collapsed="false">
      <c r="A209" s="3267" t="s">
        <v>274</v>
      </c>
      <c r="B209" s="3267" t="s">
        <v>2220</v>
      </c>
      <c r="C209" s="3267" t="n">
        <v>8740</v>
      </c>
      <c r="D209" s="3267" t="n">
        <v>8700</v>
      </c>
      <c r="E209" s="3267" t="n">
        <v>11500</v>
      </c>
      <c r="F209" s="3267" t="n">
        <v>1730</v>
      </c>
      <c r="G209" s="3280" t="n">
        <v>5490</v>
      </c>
    </row>
    <row r="210" s="3255" customFormat="true" ht="14.25" hidden="false" customHeight="true" outlineLevel="0" collapsed="false">
      <c r="A210" s="3267" t="s">
        <v>274</v>
      </c>
      <c r="B210" s="3267" t="s">
        <v>2229</v>
      </c>
      <c r="C210" s="3267" t="n">
        <v>8710</v>
      </c>
      <c r="D210" s="3267" t="n">
        <v>8660</v>
      </c>
      <c r="E210" s="3267" t="n">
        <v>11440</v>
      </c>
      <c r="F210" s="3267" t="n">
        <v>1740</v>
      </c>
      <c r="G210" s="3280" t="n">
        <v>5470</v>
      </c>
    </row>
    <row r="211" s="3255" customFormat="true" ht="14.25" hidden="false" customHeight="true" outlineLevel="0" collapsed="false">
      <c r="A211" s="3267" t="s">
        <v>274</v>
      </c>
      <c r="B211" s="3267" t="s">
        <v>2237</v>
      </c>
      <c r="C211" s="3267" t="n">
        <v>9480</v>
      </c>
      <c r="D211" s="3267" t="n">
        <v>9430</v>
      </c>
      <c r="E211" s="3267" t="n">
        <v>12360</v>
      </c>
      <c r="F211" s="3267" t="n">
        <v>1820</v>
      </c>
      <c r="G211" s="3280" t="n">
        <v>5950</v>
      </c>
    </row>
    <row r="212" s="3255" customFormat="true" ht="14.25" hidden="false" customHeight="true" outlineLevel="0" collapsed="false">
      <c r="A212" s="3267" t="s">
        <v>274</v>
      </c>
      <c r="B212" s="3267" t="s">
        <v>2245</v>
      </c>
      <c r="C212" s="3267" t="n">
        <v>9070</v>
      </c>
      <c r="D212" s="3267" t="n">
        <v>9020</v>
      </c>
      <c r="E212" s="3267" t="n">
        <v>11720</v>
      </c>
      <c r="F212" s="3267" t="n">
        <v>1850</v>
      </c>
      <c r="G212" s="3280" t="n">
        <v>5700</v>
      </c>
    </row>
    <row r="213" s="3255" customFormat="true" ht="14.25" hidden="false" customHeight="true" outlineLevel="0" collapsed="false">
      <c r="A213" s="3267" t="s">
        <v>274</v>
      </c>
      <c r="B213" s="3267" t="s">
        <v>2253</v>
      </c>
      <c r="C213" s="3267" t="n">
        <v>9030</v>
      </c>
      <c r="D213" s="3267" t="n">
        <v>8980</v>
      </c>
      <c r="E213" s="3267" t="n">
        <v>11670</v>
      </c>
      <c r="F213" s="3267" t="n">
        <v>1690</v>
      </c>
      <c r="G213" s="3280" t="n">
        <v>5670</v>
      </c>
    </row>
    <row r="214" s="3255" customFormat="true" ht="14.25" hidden="false" customHeight="true" outlineLevel="0" collapsed="false">
      <c r="A214" s="3267" t="s">
        <v>274</v>
      </c>
      <c r="B214" s="3267" t="s">
        <v>2261</v>
      </c>
      <c r="C214" s="3267" t="n">
        <v>8090</v>
      </c>
      <c r="D214" s="3267" t="n">
        <v>8030</v>
      </c>
      <c r="E214" s="3267" t="n">
        <v>10780</v>
      </c>
      <c r="F214" s="3267" t="n">
        <v>1570</v>
      </c>
      <c r="G214" s="3280" t="n">
        <v>5070</v>
      </c>
    </row>
    <row r="215" s="3255" customFormat="true" ht="14.25" hidden="false" customHeight="true" outlineLevel="0" collapsed="false">
      <c r="A215" s="3267" t="s">
        <v>274</v>
      </c>
      <c r="B215" s="3267" t="s">
        <v>2268</v>
      </c>
      <c r="C215" s="3267" t="n">
        <v>7950</v>
      </c>
      <c r="D215" s="3267" t="n">
        <v>7900</v>
      </c>
      <c r="E215" s="3267" t="n">
        <v>10560</v>
      </c>
      <c r="F215" s="3267" t="n">
        <v>1630</v>
      </c>
      <c r="G215" s="3280" t="n">
        <v>4990</v>
      </c>
    </row>
    <row r="216" s="3255" customFormat="true" ht="14.25" hidden="false" customHeight="true" outlineLevel="0" collapsed="false">
      <c r="A216" s="3267" t="s">
        <v>274</v>
      </c>
      <c r="B216" s="3267" t="s">
        <v>2275</v>
      </c>
      <c r="C216" s="3267" t="n">
        <v>8490</v>
      </c>
      <c r="D216" s="3267" t="n">
        <v>8440</v>
      </c>
      <c r="E216" s="3267" t="n">
        <v>11260</v>
      </c>
      <c r="F216" s="3267" t="n">
        <v>1690</v>
      </c>
      <c r="G216" s="3280" t="n">
        <v>5330</v>
      </c>
    </row>
    <row r="217" s="3255" customFormat="true" ht="14.25" hidden="false" customHeight="true" outlineLevel="0" collapsed="false">
      <c r="A217" s="3267" t="s">
        <v>274</v>
      </c>
      <c r="B217" s="3267" t="s">
        <v>2282</v>
      </c>
      <c r="C217" s="3267" t="n">
        <v>8200</v>
      </c>
      <c r="D217" s="3267" t="n">
        <v>8150</v>
      </c>
      <c r="E217" s="3267" t="n">
        <v>10910</v>
      </c>
      <c r="F217" s="3267" t="n">
        <v>1670</v>
      </c>
      <c r="G217" s="3280" t="n">
        <v>5150</v>
      </c>
    </row>
    <row r="218" s="3255" customFormat="true" ht="14.25" hidden="false" customHeight="true" outlineLevel="0" collapsed="false">
      <c r="A218" s="3267" t="s">
        <v>274</v>
      </c>
      <c r="B218" s="3267" t="s">
        <v>2289</v>
      </c>
      <c r="C218" s="3267"/>
      <c r="D218" s="3267"/>
      <c r="E218" s="3267"/>
      <c r="F218" s="3267" t="n">
        <v>2040</v>
      </c>
      <c r="G218" s="3280"/>
    </row>
    <row r="219" s="3255" customFormat="true" ht="14.25" hidden="false" customHeight="true" outlineLevel="0" collapsed="false">
      <c r="A219" s="3267" t="s">
        <v>274</v>
      </c>
      <c r="B219" s="3267" t="s">
        <v>2296</v>
      </c>
      <c r="C219" s="3267"/>
      <c r="D219" s="3267"/>
      <c r="E219" s="3267"/>
      <c r="F219" s="3267" t="n">
        <v>2040</v>
      </c>
      <c r="G219" s="3280"/>
    </row>
    <row r="220" s="3255" customFormat="true" ht="14.25" hidden="false" customHeight="true" outlineLevel="0" collapsed="false">
      <c r="A220" s="3267" t="s">
        <v>274</v>
      </c>
      <c r="B220" s="3267" t="s">
        <v>2303</v>
      </c>
      <c r="C220" s="3267"/>
      <c r="D220" s="3267"/>
      <c r="E220" s="3267"/>
      <c r="F220" s="3267" t="n">
        <v>2040</v>
      </c>
      <c r="G220" s="3280"/>
    </row>
    <row r="221" s="3255" customFormat="true" ht="14.25" hidden="false" customHeight="true" outlineLevel="0" collapsed="false">
      <c r="A221" s="3267" t="s">
        <v>274</v>
      </c>
      <c r="B221" s="3267" t="s">
        <v>2310</v>
      </c>
      <c r="C221" s="3267"/>
      <c r="D221" s="3267"/>
      <c r="E221" s="3267"/>
      <c r="F221" s="3267" t="n">
        <v>2040</v>
      </c>
      <c r="G221" s="3280"/>
    </row>
    <row r="222" s="3255" customFormat="true" ht="14.25" hidden="false" customHeight="true" outlineLevel="0" collapsed="false">
      <c r="A222" s="3267" t="s">
        <v>274</v>
      </c>
      <c r="B222" s="3267" t="s">
        <v>2315</v>
      </c>
      <c r="C222" s="3267"/>
      <c r="D222" s="3267"/>
      <c r="E222" s="3267"/>
      <c r="F222" s="3267" t="n">
        <v>2040</v>
      </c>
      <c r="G222" s="3280"/>
    </row>
    <row r="223" s="3255" customFormat="true" ht="14.25" hidden="false" customHeight="true" outlineLevel="0" collapsed="false">
      <c r="A223" s="3267" t="s">
        <v>274</v>
      </c>
      <c r="B223" s="3267" t="s">
        <v>2320</v>
      </c>
      <c r="C223" s="3267"/>
      <c r="D223" s="3267"/>
      <c r="E223" s="3267"/>
      <c r="F223" s="3267" t="n">
        <v>1930</v>
      </c>
      <c r="G223" s="3280"/>
    </row>
    <row r="224" s="3255" customFormat="true" ht="14.25" hidden="false" customHeight="true" outlineLevel="0" collapsed="false">
      <c r="A224" s="3267" t="s">
        <v>274</v>
      </c>
      <c r="B224" s="3267" t="s">
        <v>2325</v>
      </c>
      <c r="C224" s="3267"/>
      <c r="D224" s="3267"/>
      <c r="E224" s="3267"/>
      <c r="F224" s="3267" t="n">
        <v>1930</v>
      </c>
      <c r="G224" s="3280"/>
    </row>
    <row r="225" s="3255" customFormat="true" ht="14.25" hidden="false" customHeight="true" outlineLevel="0" collapsed="false">
      <c r="A225" s="3267" t="s">
        <v>274</v>
      </c>
      <c r="B225" s="3267" t="s">
        <v>2330</v>
      </c>
      <c r="C225" s="3267"/>
      <c r="D225" s="3267"/>
      <c r="E225" s="3267"/>
      <c r="F225" s="3267" t="n">
        <v>1930</v>
      </c>
      <c r="G225" s="3280"/>
    </row>
    <row r="226" s="3255" customFormat="true" ht="14.25" hidden="false" customHeight="true" outlineLevel="0" collapsed="false">
      <c r="A226" s="3267" t="s">
        <v>274</v>
      </c>
      <c r="B226" s="3267" t="s">
        <v>2335</v>
      </c>
      <c r="C226" s="3267"/>
      <c r="D226" s="3267"/>
      <c r="E226" s="3267"/>
      <c r="F226" s="3267" t="n">
        <v>1700</v>
      </c>
      <c r="G226" s="3280"/>
    </row>
    <row r="227" s="3255" customFormat="true" ht="14.25" hidden="false" customHeight="true" outlineLevel="0" collapsed="false">
      <c r="A227" s="3267" t="s">
        <v>274</v>
      </c>
      <c r="B227" s="3267" t="s">
        <v>2340</v>
      </c>
      <c r="C227" s="3267"/>
      <c r="D227" s="3267"/>
      <c r="E227" s="3267"/>
      <c r="F227" s="3267" t="n">
        <v>1520</v>
      </c>
      <c r="G227" s="3280"/>
    </row>
    <row r="228" s="3255" customFormat="true" ht="14.25" hidden="false" customHeight="true" outlineLevel="0" collapsed="false">
      <c r="A228" s="3267" t="s">
        <v>274</v>
      </c>
      <c r="B228" s="3267" t="s">
        <v>2345</v>
      </c>
      <c r="C228" s="3267"/>
      <c r="D228" s="3267"/>
      <c r="E228" s="3267"/>
      <c r="F228" s="3267" t="n">
        <v>1520</v>
      </c>
      <c r="G228" s="3280"/>
    </row>
    <row r="229" s="3255" customFormat="true" ht="14.25" hidden="false" customHeight="true" outlineLevel="0" collapsed="false">
      <c r="A229" s="3267" t="s">
        <v>274</v>
      </c>
      <c r="B229" s="3267" t="s">
        <v>2350</v>
      </c>
      <c r="C229" s="3267"/>
      <c r="D229" s="3267"/>
      <c r="E229" s="3267"/>
      <c r="F229" s="3267" t="n">
        <v>1520</v>
      </c>
      <c r="G229" s="3280"/>
    </row>
    <row r="230" s="3255" customFormat="true" ht="14.25" hidden="false" customHeight="true" outlineLevel="0" collapsed="false">
      <c r="A230" s="3267" t="s">
        <v>274</v>
      </c>
      <c r="B230" s="3267" t="s">
        <v>2354</v>
      </c>
      <c r="C230" s="3267"/>
      <c r="D230" s="3267"/>
      <c r="E230" s="3267"/>
      <c r="F230" s="3267" t="n">
        <v>1820</v>
      </c>
      <c r="G230" s="3280"/>
    </row>
    <row r="231" s="3255" customFormat="true" ht="14.25" hidden="false" customHeight="true" outlineLevel="0" collapsed="false">
      <c r="A231" s="3267" t="s">
        <v>274</v>
      </c>
      <c r="B231" s="3267" t="s">
        <v>2358</v>
      </c>
      <c r="C231" s="3267"/>
      <c r="D231" s="3267"/>
      <c r="E231" s="3267"/>
      <c r="F231" s="3267" t="n">
        <v>1760</v>
      </c>
      <c r="G231" s="3280"/>
    </row>
    <row r="232" s="3255" customFormat="true" ht="14.25" hidden="false" customHeight="true" outlineLevel="0" collapsed="false">
      <c r="A232" s="3267" t="s">
        <v>274</v>
      </c>
      <c r="B232" s="3267" t="s">
        <v>2362</v>
      </c>
      <c r="C232" s="3267"/>
      <c r="D232" s="3267"/>
      <c r="E232" s="3267"/>
      <c r="F232" s="3267" t="n">
        <v>1840</v>
      </c>
      <c r="G232" s="3280"/>
    </row>
    <row r="233" s="3255" customFormat="true" ht="14.25" hidden="false" customHeight="true" outlineLevel="0" collapsed="false">
      <c r="A233" s="3281" t="s">
        <v>274</v>
      </c>
      <c r="B233" s="3274" t="s">
        <v>2366</v>
      </c>
      <c r="C233" s="3274"/>
      <c r="D233" s="3274"/>
      <c r="E233" s="3274"/>
      <c r="F233" s="3274" t="n">
        <v>1770</v>
      </c>
      <c r="G233" s="3282"/>
    </row>
    <row r="234" s="3255" customFormat="true" ht="14.25" hidden="false" customHeight="true" outlineLevel="0" collapsed="false">
      <c r="A234" s="3272" t="s">
        <v>280</v>
      </c>
      <c r="B234" s="3262" t="s">
        <v>2018</v>
      </c>
      <c r="C234" s="3267" t="n">
        <v>6980</v>
      </c>
      <c r="D234" s="3267" t="n">
        <v>6970</v>
      </c>
      <c r="E234" s="3267" t="n">
        <v>8720</v>
      </c>
      <c r="F234" s="3267" t="n">
        <v>1350</v>
      </c>
      <c r="G234" s="3267" t="n">
        <v>4280</v>
      </c>
    </row>
    <row r="235" s="3255" customFormat="true" ht="14.25" hidden="false" customHeight="true" outlineLevel="0" collapsed="false">
      <c r="A235" s="3267" t="s">
        <v>280</v>
      </c>
      <c r="B235" s="3267" t="s">
        <v>2031</v>
      </c>
      <c r="C235" s="3267" t="n">
        <v>7620</v>
      </c>
      <c r="D235" s="3267" t="n">
        <v>7580</v>
      </c>
      <c r="E235" s="3267" t="n">
        <v>9360</v>
      </c>
      <c r="F235" s="3267" t="n">
        <v>1490</v>
      </c>
      <c r="G235" s="3267" t="n">
        <v>4650</v>
      </c>
    </row>
    <row r="236" s="3255" customFormat="true" ht="14.25" hidden="false" customHeight="true" outlineLevel="0" collapsed="false">
      <c r="A236" s="3267" t="s">
        <v>280</v>
      </c>
      <c r="B236" s="3267" t="s">
        <v>2044</v>
      </c>
      <c r="C236" s="3267" t="n">
        <v>6650</v>
      </c>
      <c r="D236" s="3267" t="n">
        <v>6630</v>
      </c>
      <c r="E236" s="3267" t="n">
        <v>8330</v>
      </c>
      <c r="F236" s="3267" t="n">
        <v>1250</v>
      </c>
      <c r="G236" s="3267" t="n">
        <v>4070</v>
      </c>
    </row>
    <row r="237" s="3255" customFormat="true" ht="14.25" hidden="false" customHeight="true" outlineLevel="0" collapsed="false">
      <c r="A237" s="3267" t="s">
        <v>280</v>
      </c>
      <c r="B237" s="3267" t="s">
        <v>2056</v>
      </c>
      <c r="C237" s="3267" t="n">
        <v>5850</v>
      </c>
      <c r="D237" s="3267" t="n">
        <v>5820</v>
      </c>
      <c r="E237" s="3267" t="n">
        <v>7260</v>
      </c>
      <c r="F237" s="3267" t="n">
        <v>1140</v>
      </c>
      <c r="G237" s="3267" t="n">
        <v>3570</v>
      </c>
    </row>
    <row r="238" s="3255" customFormat="true" ht="14.25" hidden="false" customHeight="true" outlineLevel="0" collapsed="false">
      <c r="A238" s="3267" t="s">
        <v>280</v>
      </c>
      <c r="B238" s="3267" t="s">
        <v>2068</v>
      </c>
      <c r="C238" s="3267" t="n">
        <v>6920</v>
      </c>
      <c r="D238" s="3267" t="n">
        <v>6890</v>
      </c>
      <c r="E238" s="3267" t="n">
        <v>8640</v>
      </c>
      <c r="F238" s="3267" t="n">
        <v>1310</v>
      </c>
      <c r="G238" s="3267" t="n">
        <v>4230</v>
      </c>
    </row>
    <row r="239" s="3255" customFormat="true" ht="14.25" hidden="false" customHeight="true" outlineLevel="0" collapsed="false">
      <c r="A239" s="3267" t="s">
        <v>280</v>
      </c>
      <c r="B239" s="3267" t="s">
        <v>2079</v>
      </c>
      <c r="C239" s="3267" t="n">
        <v>6780</v>
      </c>
      <c r="D239" s="3267" t="n">
        <v>6750</v>
      </c>
      <c r="E239" s="3267" t="n">
        <v>8440</v>
      </c>
      <c r="F239" s="3267" t="n">
        <v>1160</v>
      </c>
      <c r="G239" s="3267" t="n">
        <v>4140</v>
      </c>
    </row>
    <row r="240" s="3255" customFormat="true" ht="14.25" hidden="false" customHeight="true" outlineLevel="0" collapsed="false">
      <c r="A240" s="3267" t="s">
        <v>280</v>
      </c>
      <c r="B240" s="3267" t="s">
        <v>2090</v>
      </c>
      <c r="C240" s="3267" t="n">
        <v>5420</v>
      </c>
      <c r="D240" s="3267" t="n">
        <v>5380</v>
      </c>
      <c r="E240" s="3267" t="n">
        <v>6640</v>
      </c>
      <c r="F240" s="3267" t="n">
        <v>1020</v>
      </c>
      <c r="G240" s="3267" t="n">
        <v>3300</v>
      </c>
    </row>
    <row r="241" s="3255" customFormat="true" ht="14.25" hidden="false" customHeight="true" outlineLevel="0" collapsed="false">
      <c r="A241" s="3267" t="s">
        <v>280</v>
      </c>
      <c r="B241" s="3267" t="s">
        <v>2101</v>
      </c>
      <c r="C241" s="3267" t="n">
        <v>6660</v>
      </c>
      <c r="D241" s="3267" t="n">
        <v>6640</v>
      </c>
      <c r="E241" s="3267" t="n">
        <v>8340</v>
      </c>
      <c r="F241" s="3267" t="n">
        <v>1130</v>
      </c>
      <c r="G241" s="3267" t="n">
        <v>4080</v>
      </c>
    </row>
    <row r="242" s="3255" customFormat="true" ht="14.25" hidden="false" customHeight="true" outlineLevel="0" collapsed="false">
      <c r="A242" s="3267" t="s">
        <v>280</v>
      </c>
      <c r="B242" s="3267" t="s">
        <v>2111</v>
      </c>
      <c r="C242" s="3267" t="n">
        <v>6580</v>
      </c>
      <c r="D242" s="3267" t="n">
        <v>6550</v>
      </c>
      <c r="E242" s="3267" t="n">
        <v>8090</v>
      </c>
      <c r="F242" s="3267" t="n">
        <v>1240</v>
      </c>
      <c r="G242" s="3267" t="n">
        <v>4020</v>
      </c>
    </row>
    <row r="243" s="3255" customFormat="true" ht="14.25" hidden="false" customHeight="true" outlineLevel="0" collapsed="false">
      <c r="A243" s="3267" t="s">
        <v>280</v>
      </c>
      <c r="B243" s="3267" t="s">
        <v>2121</v>
      </c>
      <c r="C243" s="3267" t="n">
        <v>6000</v>
      </c>
      <c r="D243" s="3267" t="n">
        <v>5970</v>
      </c>
      <c r="E243" s="3267" t="n">
        <v>7370</v>
      </c>
      <c r="F243" s="3267" t="n">
        <v>1070</v>
      </c>
      <c r="G243" s="3267" t="n">
        <v>3670</v>
      </c>
    </row>
    <row r="244" s="3255" customFormat="true" ht="14.25" hidden="false" customHeight="true" outlineLevel="0" collapsed="false">
      <c r="A244" s="3267" t="s">
        <v>280</v>
      </c>
      <c r="B244" s="3267" t="s">
        <v>2131</v>
      </c>
      <c r="C244" s="3267" t="n">
        <v>5840</v>
      </c>
      <c r="D244" s="3267" t="n">
        <v>5810</v>
      </c>
      <c r="E244" s="3267" t="n">
        <v>7240</v>
      </c>
      <c r="F244" s="3267" t="n">
        <v>1100</v>
      </c>
      <c r="G244" s="3267" t="n">
        <v>3560</v>
      </c>
    </row>
    <row r="245" s="3255" customFormat="true" ht="14.25" hidden="false" customHeight="true" outlineLevel="0" collapsed="false">
      <c r="A245" s="3267" t="s">
        <v>280</v>
      </c>
      <c r="B245" s="3267" t="s">
        <v>2141</v>
      </c>
      <c r="C245" s="3267" t="n">
        <v>6040</v>
      </c>
      <c r="D245" s="3267" t="n">
        <v>6000</v>
      </c>
      <c r="E245" s="3267" t="n">
        <v>7420</v>
      </c>
      <c r="F245" s="3267" t="n">
        <v>1140</v>
      </c>
      <c r="G245" s="3267" t="n">
        <v>3690</v>
      </c>
    </row>
    <row r="246" s="3255" customFormat="true" ht="14.25" hidden="false" customHeight="true" outlineLevel="0" collapsed="false">
      <c r="A246" s="3267" t="s">
        <v>280</v>
      </c>
      <c r="B246" s="3267" t="s">
        <v>2151</v>
      </c>
      <c r="C246" s="3267" t="n">
        <v>5890</v>
      </c>
      <c r="D246" s="3267" t="n">
        <v>5860</v>
      </c>
      <c r="E246" s="3267" t="n">
        <v>7300</v>
      </c>
      <c r="F246" s="3267" t="n">
        <v>1110</v>
      </c>
      <c r="G246" s="3267" t="n">
        <v>3590</v>
      </c>
    </row>
    <row r="247" s="3255" customFormat="true" ht="14.25" hidden="false" customHeight="true" outlineLevel="0" collapsed="false">
      <c r="A247" s="3267" t="s">
        <v>280</v>
      </c>
      <c r="B247" s="3267" t="s">
        <v>2161</v>
      </c>
      <c r="C247" s="3267" t="n">
        <v>6480</v>
      </c>
      <c r="D247" s="3267" t="n">
        <v>6450</v>
      </c>
      <c r="E247" s="3267" t="n">
        <v>8010</v>
      </c>
      <c r="F247" s="3267" t="n">
        <v>1170</v>
      </c>
      <c r="G247" s="3267" t="n">
        <v>3960</v>
      </c>
    </row>
    <row r="248" s="3255" customFormat="true" ht="14.25" hidden="false" customHeight="true" outlineLevel="0" collapsed="false">
      <c r="A248" s="3267" t="s">
        <v>280</v>
      </c>
      <c r="B248" s="3267" t="s">
        <v>2171</v>
      </c>
      <c r="C248" s="3267" t="n">
        <v>6860</v>
      </c>
      <c r="D248" s="3267" t="n">
        <v>6840</v>
      </c>
      <c r="E248" s="3267" t="n">
        <v>8520</v>
      </c>
      <c r="F248" s="3267" t="n">
        <v>1240</v>
      </c>
      <c r="G248" s="3267" t="n">
        <v>4200</v>
      </c>
    </row>
    <row r="249" s="3255" customFormat="true" ht="14.25" hidden="false" customHeight="true" outlineLevel="0" collapsed="false">
      <c r="A249" s="3267" t="s">
        <v>280</v>
      </c>
      <c r="B249" s="3267" t="s">
        <v>2181</v>
      </c>
      <c r="C249" s="3267" t="n">
        <v>7180</v>
      </c>
      <c r="D249" s="3267" t="n">
        <v>7140</v>
      </c>
      <c r="E249" s="3267" t="n">
        <v>8900</v>
      </c>
      <c r="F249" s="3267" t="n">
        <v>1350</v>
      </c>
      <c r="G249" s="3267" t="n">
        <v>4380</v>
      </c>
    </row>
    <row r="250" s="3255" customFormat="true" ht="14.25" hidden="false" customHeight="true" outlineLevel="0" collapsed="false">
      <c r="A250" s="3267" t="s">
        <v>280</v>
      </c>
      <c r="B250" s="3267" t="s">
        <v>2191</v>
      </c>
      <c r="C250" s="3267" t="n">
        <v>6880</v>
      </c>
      <c r="D250" s="3267" t="n">
        <v>6860</v>
      </c>
      <c r="E250" s="3267" t="n">
        <v>8550</v>
      </c>
      <c r="F250" s="3267" t="n">
        <v>1220</v>
      </c>
      <c r="G250" s="3267" t="n">
        <v>4210</v>
      </c>
    </row>
    <row r="251" s="3255" customFormat="true" ht="14.25" hidden="false" customHeight="true" outlineLevel="0" collapsed="false">
      <c r="A251" s="3267" t="s">
        <v>280</v>
      </c>
      <c r="B251" s="3267" t="s">
        <v>2201</v>
      </c>
      <c r="C251" s="3267"/>
      <c r="D251" s="3267"/>
      <c r="E251" s="3267"/>
      <c r="F251" s="3267" t="n">
        <v>1100</v>
      </c>
      <c r="G251" s="3267"/>
    </row>
    <row r="252" s="3255" customFormat="true" ht="14.25" hidden="false" customHeight="true" outlineLevel="0" collapsed="false">
      <c r="A252" s="3267" t="s">
        <v>280</v>
      </c>
      <c r="B252" s="3267" t="s">
        <v>2211</v>
      </c>
      <c r="C252" s="3267" t="n">
        <v>7240</v>
      </c>
      <c r="D252" s="3267" t="n">
        <v>7200</v>
      </c>
      <c r="E252" s="3267" t="n">
        <v>9040</v>
      </c>
      <c r="F252" s="3267" t="n">
        <v>1380</v>
      </c>
      <c r="G252" s="3267" t="n">
        <v>4420</v>
      </c>
    </row>
    <row r="253" s="3255" customFormat="true" ht="14.25" hidden="false" customHeight="true" outlineLevel="0" collapsed="false">
      <c r="A253" s="3267" t="s">
        <v>280</v>
      </c>
      <c r="B253" s="3267" t="s">
        <v>2221</v>
      </c>
      <c r="C253" s="3267" t="n">
        <v>6670</v>
      </c>
      <c r="D253" s="3267" t="n">
        <v>6650</v>
      </c>
      <c r="E253" s="3267" t="n">
        <v>8350</v>
      </c>
      <c r="F253" s="3267" t="n">
        <v>1260</v>
      </c>
      <c r="G253" s="3267" t="n">
        <v>4080</v>
      </c>
    </row>
    <row r="254" s="3255" customFormat="true" ht="14.25" hidden="false" customHeight="true" outlineLevel="0" collapsed="false">
      <c r="A254" s="3267" t="s">
        <v>280</v>
      </c>
      <c r="B254" s="3267" t="s">
        <v>2230</v>
      </c>
      <c r="C254" s="3267" t="n">
        <v>7630</v>
      </c>
      <c r="D254" s="3267" t="n">
        <v>7590</v>
      </c>
      <c r="E254" s="3267" t="n">
        <v>9380</v>
      </c>
      <c r="F254" s="3267" t="n">
        <v>1320</v>
      </c>
      <c r="G254" s="3267" t="n">
        <v>4660</v>
      </c>
    </row>
    <row r="255" s="3255" customFormat="true" ht="14.25" hidden="false" customHeight="true" outlineLevel="0" collapsed="false">
      <c r="A255" s="3267" t="s">
        <v>280</v>
      </c>
      <c r="B255" s="3267" t="s">
        <v>2238</v>
      </c>
      <c r="C255" s="3267" t="n">
        <v>6940</v>
      </c>
      <c r="D255" s="3267" t="n">
        <v>6890</v>
      </c>
      <c r="E255" s="3267" t="n">
        <v>8650</v>
      </c>
      <c r="F255" s="3267" t="n">
        <v>1210</v>
      </c>
      <c r="G255" s="3267" t="n">
        <v>4230</v>
      </c>
    </row>
    <row r="256" s="3255" customFormat="true" ht="14.25" hidden="false" customHeight="true" outlineLevel="0" collapsed="false">
      <c r="A256" s="3267" t="s">
        <v>280</v>
      </c>
      <c r="B256" s="3267" t="s">
        <v>2246</v>
      </c>
      <c r="C256" s="3267" t="n">
        <v>7520</v>
      </c>
      <c r="D256" s="3267" t="n">
        <v>7490</v>
      </c>
      <c r="E256" s="3267" t="n">
        <v>9240</v>
      </c>
      <c r="F256" s="3267" t="n">
        <v>1270</v>
      </c>
      <c r="G256" s="3267" t="n">
        <v>4590</v>
      </c>
    </row>
    <row r="257" s="3255" customFormat="true" ht="14.25" hidden="false" customHeight="true" outlineLevel="0" collapsed="false">
      <c r="A257" s="3267" t="s">
        <v>280</v>
      </c>
      <c r="B257" s="3267" t="s">
        <v>2254</v>
      </c>
      <c r="C257" s="3267" t="n">
        <v>6280</v>
      </c>
      <c r="D257" s="3267" t="n">
        <v>6230</v>
      </c>
      <c r="E257" s="3267" t="n">
        <v>7740</v>
      </c>
      <c r="F257" s="3267" t="n">
        <v>1080</v>
      </c>
      <c r="G257" s="3267" t="n">
        <v>3830</v>
      </c>
    </row>
    <row r="258" s="3255" customFormat="true" ht="14.25" hidden="false" customHeight="true" outlineLevel="0" collapsed="false">
      <c r="A258" s="3267" t="s">
        <v>280</v>
      </c>
      <c r="B258" s="3267" t="s">
        <v>2262</v>
      </c>
      <c r="C258" s="3267" t="n">
        <v>6190</v>
      </c>
      <c r="D258" s="3267" t="n">
        <v>6160</v>
      </c>
      <c r="E258" s="3267" t="n">
        <v>7680</v>
      </c>
      <c r="F258" s="3267" t="n">
        <v>1170</v>
      </c>
      <c r="G258" s="3267" t="n">
        <v>3780</v>
      </c>
    </row>
    <row r="259" s="3255" customFormat="true" ht="14.25" hidden="false" customHeight="true" outlineLevel="0" collapsed="false">
      <c r="A259" s="3267" t="s">
        <v>280</v>
      </c>
      <c r="B259" s="3267" t="s">
        <v>2269</v>
      </c>
      <c r="C259" s="3267" t="n">
        <v>7610</v>
      </c>
      <c r="D259" s="3267" t="n">
        <v>7570</v>
      </c>
      <c r="E259" s="3267" t="n">
        <v>9350</v>
      </c>
      <c r="F259" s="3267" t="n">
        <v>1350</v>
      </c>
      <c r="G259" s="3267" t="n">
        <v>4650</v>
      </c>
    </row>
    <row r="260" s="3255" customFormat="true" ht="14.25" hidden="false" customHeight="true" outlineLevel="0" collapsed="false">
      <c r="A260" s="3267" t="s">
        <v>280</v>
      </c>
      <c r="B260" s="3267" t="s">
        <v>2276</v>
      </c>
      <c r="C260" s="3267" t="n">
        <v>6920</v>
      </c>
      <c r="D260" s="3267" t="n">
        <v>6880</v>
      </c>
      <c r="E260" s="3267" t="n">
        <v>8380</v>
      </c>
      <c r="F260" s="3267" t="n">
        <v>1160</v>
      </c>
      <c r="G260" s="3267" t="n">
        <v>4220</v>
      </c>
    </row>
    <row r="261" s="3255" customFormat="true" ht="14.25" hidden="false" customHeight="true" outlineLevel="0" collapsed="false">
      <c r="A261" s="3267" t="s">
        <v>280</v>
      </c>
      <c r="B261" s="3267" t="s">
        <v>2283</v>
      </c>
      <c r="C261" s="3267" t="n">
        <v>6850</v>
      </c>
      <c r="D261" s="3267" t="n">
        <v>6810</v>
      </c>
      <c r="E261" s="3267" t="n">
        <v>8290</v>
      </c>
      <c r="F261" s="3267" t="n">
        <v>1130</v>
      </c>
      <c r="G261" s="3267" t="n">
        <v>4180</v>
      </c>
    </row>
    <row r="262" s="3255" customFormat="true" ht="14.25" hidden="false" customHeight="true" outlineLevel="0" collapsed="false">
      <c r="A262" s="3267" t="s">
        <v>280</v>
      </c>
      <c r="B262" s="3267" t="s">
        <v>2290</v>
      </c>
      <c r="C262" s="3267" t="n">
        <v>5860</v>
      </c>
      <c r="D262" s="3267" t="n">
        <v>5820</v>
      </c>
      <c r="E262" s="3267" t="n">
        <v>7640</v>
      </c>
      <c r="F262" s="3267" t="n">
        <v>1070</v>
      </c>
      <c r="G262" s="3267" t="n">
        <v>3570</v>
      </c>
    </row>
    <row r="263" s="3255" customFormat="true" ht="14.25" hidden="false" customHeight="true" outlineLevel="0" collapsed="false">
      <c r="A263" s="3267" t="s">
        <v>280</v>
      </c>
      <c r="B263" s="3267" t="s">
        <v>2297</v>
      </c>
      <c r="C263" s="3267" t="n">
        <v>5870</v>
      </c>
      <c r="D263" s="3267" t="n">
        <v>5840</v>
      </c>
      <c r="E263" s="3267" t="n">
        <v>7270</v>
      </c>
      <c r="F263" s="3267" t="n">
        <v>1190</v>
      </c>
      <c r="G263" s="3267" t="n">
        <v>3580</v>
      </c>
    </row>
    <row r="264" s="3255" customFormat="true" ht="14.25" hidden="false" customHeight="true" outlineLevel="0" collapsed="false">
      <c r="A264" s="3267" t="s">
        <v>280</v>
      </c>
      <c r="B264" s="3267" t="s">
        <v>2304</v>
      </c>
      <c r="C264" s="3267" t="n">
        <v>6190</v>
      </c>
      <c r="D264" s="3267" t="n">
        <v>6150</v>
      </c>
      <c r="E264" s="3267" t="n">
        <v>7660</v>
      </c>
      <c r="F264" s="3267" t="n">
        <v>1160</v>
      </c>
      <c r="G264" s="3267" t="n">
        <v>3770</v>
      </c>
    </row>
    <row r="265" s="3255" customFormat="true" ht="14.25" hidden="false" customHeight="true" outlineLevel="0" collapsed="false">
      <c r="A265" s="3267" t="s">
        <v>280</v>
      </c>
      <c r="B265" s="3267" t="s">
        <v>2311</v>
      </c>
      <c r="C265" s="3267"/>
      <c r="D265" s="3267"/>
      <c r="E265" s="3267"/>
      <c r="F265" s="3267" t="n">
        <v>1500</v>
      </c>
      <c r="G265" s="3267"/>
    </row>
    <row r="266" s="3255" customFormat="true" ht="14.25" hidden="false" customHeight="true" outlineLevel="0" collapsed="false">
      <c r="A266" s="3267" t="s">
        <v>280</v>
      </c>
      <c r="B266" s="3267" t="s">
        <v>2316</v>
      </c>
      <c r="C266" s="3267"/>
      <c r="D266" s="3267"/>
      <c r="E266" s="3267"/>
      <c r="F266" s="3267" t="n">
        <v>1500</v>
      </c>
      <c r="G266" s="3267"/>
    </row>
    <row r="267" s="3255" customFormat="true" ht="14.25" hidden="false" customHeight="true" outlineLevel="0" collapsed="false">
      <c r="A267" s="3267" t="s">
        <v>280</v>
      </c>
      <c r="B267" s="3267" t="s">
        <v>2321</v>
      </c>
      <c r="C267" s="3267"/>
      <c r="D267" s="3267"/>
      <c r="E267" s="3267"/>
      <c r="F267" s="3267" t="n">
        <v>1500</v>
      </c>
      <c r="G267" s="3267"/>
    </row>
    <row r="268" s="3255" customFormat="true" ht="14.25" hidden="false" customHeight="true" outlineLevel="0" collapsed="false">
      <c r="A268" s="3267" t="s">
        <v>280</v>
      </c>
      <c r="B268" s="3267" t="s">
        <v>2326</v>
      </c>
      <c r="C268" s="3267"/>
      <c r="D268" s="3267"/>
      <c r="E268" s="3267"/>
      <c r="F268" s="3267" t="n">
        <v>1290</v>
      </c>
      <c r="G268" s="3267"/>
    </row>
    <row r="269" s="3255" customFormat="true" ht="14.25" hidden="false" customHeight="true" outlineLevel="0" collapsed="false">
      <c r="A269" s="3267" t="s">
        <v>280</v>
      </c>
      <c r="B269" s="3267" t="s">
        <v>2331</v>
      </c>
      <c r="C269" s="3267"/>
      <c r="D269" s="3267"/>
      <c r="E269" s="3267"/>
      <c r="F269" s="3267" t="n">
        <v>1150</v>
      </c>
      <c r="G269" s="3267"/>
    </row>
    <row r="270" s="3255" customFormat="true" ht="14.25" hidden="false" customHeight="true" outlineLevel="0" collapsed="false">
      <c r="A270" s="3267" t="s">
        <v>280</v>
      </c>
      <c r="B270" s="3267" t="s">
        <v>2336</v>
      </c>
      <c r="C270" s="3267"/>
      <c r="D270" s="3267"/>
      <c r="E270" s="3267"/>
      <c r="F270" s="3267" t="n">
        <v>1380</v>
      </c>
      <c r="G270" s="3267"/>
    </row>
    <row r="271" s="3255" customFormat="true" ht="14.25" hidden="false" customHeight="true" outlineLevel="0" collapsed="false">
      <c r="A271" s="3267" t="s">
        <v>280</v>
      </c>
      <c r="B271" s="3267" t="s">
        <v>2341</v>
      </c>
      <c r="C271" s="3267"/>
      <c r="D271" s="3267"/>
      <c r="E271" s="3267"/>
      <c r="F271" s="3267" t="n">
        <v>1460</v>
      </c>
      <c r="G271" s="3267"/>
    </row>
    <row r="272" s="3255" customFormat="true" ht="14.25" hidden="false" customHeight="true" outlineLevel="0" collapsed="false">
      <c r="A272" s="3267" t="s">
        <v>280</v>
      </c>
      <c r="B272" s="3267" t="s">
        <v>2346</v>
      </c>
      <c r="C272" s="3267"/>
      <c r="D272" s="3267"/>
      <c r="E272" s="3267"/>
      <c r="F272" s="3267" t="n">
        <v>1460</v>
      </c>
      <c r="G272" s="3267"/>
    </row>
    <row r="273" s="3255" customFormat="true" ht="14.25" hidden="false" customHeight="true" outlineLevel="0" collapsed="false">
      <c r="A273" s="3267" t="s">
        <v>280</v>
      </c>
      <c r="B273" s="3267" t="s">
        <v>2351</v>
      </c>
      <c r="C273" s="3267"/>
      <c r="D273" s="3267"/>
      <c r="E273" s="3267"/>
      <c r="F273" s="3267" t="n">
        <v>1490</v>
      </c>
      <c r="G273" s="3267"/>
    </row>
    <row r="274" s="3255" customFormat="true" ht="14.25" hidden="false" customHeight="true" outlineLevel="0" collapsed="false">
      <c r="A274" s="3267" t="s">
        <v>280</v>
      </c>
      <c r="B274" s="3267" t="s">
        <v>2355</v>
      </c>
      <c r="C274" s="3267"/>
      <c r="D274" s="3267"/>
      <c r="E274" s="3267"/>
      <c r="F274" s="3267" t="n">
        <v>1490</v>
      </c>
      <c r="G274" s="3267"/>
    </row>
    <row r="275" s="3255" customFormat="true" ht="14.25" hidden="false" customHeight="true" outlineLevel="0" collapsed="false">
      <c r="A275" s="3267" t="s">
        <v>280</v>
      </c>
      <c r="B275" s="3267" t="s">
        <v>2359</v>
      </c>
      <c r="C275" s="3267"/>
      <c r="D275" s="3267"/>
      <c r="E275" s="3267"/>
      <c r="F275" s="3267" t="n">
        <v>1220</v>
      </c>
      <c r="G275" s="3267"/>
    </row>
    <row r="276" s="3255" customFormat="true" ht="14.25" hidden="false" customHeight="true" outlineLevel="0" collapsed="false">
      <c r="A276" s="3275" t="s">
        <v>280</v>
      </c>
      <c r="B276" s="3277" t="s">
        <v>2363</v>
      </c>
      <c r="C276" s="3278"/>
      <c r="D276" s="3278"/>
      <c r="E276" s="3278"/>
      <c r="F276" s="3278" t="n">
        <v>1380</v>
      </c>
      <c r="G276" s="3278"/>
    </row>
    <row r="277" s="3255" customFormat="true" ht="14.25" hidden="false" customHeight="true" outlineLevel="0" collapsed="false">
      <c r="A277" s="3272" t="s">
        <v>284</v>
      </c>
      <c r="B277" s="3262" t="s">
        <v>2019</v>
      </c>
      <c r="C277" s="3262" t="n">
        <v>5790</v>
      </c>
      <c r="D277" s="3262" t="n">
        <v>5740</v>
      </c>
      <c r="E277" s="3262" t="n">
        <v>6730</v>
      </c>
      <c r="F277" s="3262" t="n">
        <v>1110</v>
      </c>
      <c r="G277" s="3279" t="n">
        <v>3460</v>
      </c>
    </row>
    <row r="278" s="3255" customFormat="true" ht="14.25" hidden="false" customHeight="true" outlineLevel="0" collapsed="false">
      <c r="A278" s="3267" t="s">
        <v>284</v>
      </c>
      <c r="B278" s="3267" t="s">
        <v>2032</v>
      </c>
      <c r="C278" s="3267" t="n">
        <v>5740</v>
      </c>
      <c r="D278" s="3267" t="n">
        <v>5670</v>
      </c>
      <c r="E278" s="3267" t="n">
        <v>6680</v>
      </c>
      <c r="F278" s="3267" t="n">
        <v>1070</v>
      </c>
      <c r="G278" s="3280" t="n">
        <v>3420</v>
      </c>
    </row>
    <row r="279" s="3255" customFormat="true" ht="14.25" hidden="false" customHeight="true" outlineLevel="0" collapsed="false">
      <c r="A279" s="3267" t="s">
        <v>284</v>
      </c>
      <c r="B279" s="3267" t="s">
        <v>2045</v>
      </c>
      <c r="C279" s="3267" t="n">
        <v>4760</v>
      </c>
      <c r="D279" s="3267" t="n">
        <v>4720</v>
      </c>
      <c r="E279" s="3267" t="n">
        <v>5540</v>
      </c>
      <c r="F279" s="3267" t="n">
        <v>810</v>
      </c>
      <c r="G279" s="3280" t="n">
        <v>2850</v>
      </c>
    </row>
    <row r="280" s="3255" customFormat="true" ht="14.25" hidden="false" customHeight="true" outlineLevel="0" collapsed="false">
      <c r="A280" s="3267" t="s">
        <v>284</v>
      </c>
      <c r="B280" s="3267" t="s">
        <v>2057</v>
      </c>
      <c r="C280" s="3267" t="n">
        <v>4010</v>
      </c>
      <c r="D280" s="3267" t="n">
        <v>3950</v>
      </c>
      <c r="E280" s="3267" t="n">
        <v>4710</v>
      </c>
      <c r="F280" s="3267" t="n">
        <v>800</v>
      </c>
      <c r="G280" s="3280" t="n">
        <v>2390</v>
      </c>
    </row>
    <row r="281" s="3255" customFormat="true" ht="14.25" hidden="false" customHeight="true" outlineLevel="0" collapsed="false">
      <c r="A281" s="3267" t="s">
        <v>284</v>
      </c>
      <c r="B281" s="3267" t="s">
        <v>2069</v>
      </c>
      <c r="C281" s="3267" t="n">
        <v>4480</v>
      </c>
      <c r="D281" s="3267" t="n">
        <v>4420</v>
      </c>
      <c r="E281" s="3267" t="n">
        <v>5230</v>
      </c>
      <c r="F281" s="3267" t="n">
        <v>870</v>
      </c>
      <c r="G281" s="3280" t="n">
        <v>2660</v>
      </c>
    </row>
    <row r="282" s="3255" customFormat="true" ht="14.25" hidden="false" customHeight="true" outlineLevel="0" collapsed="false">
      <c r="A282" s="3267" t="s">
        <v>284</v>
      </c>
      <c r="B282" s="3267" t="s">
        <v>2080</v>
      </c>
      <c r="C282" s="3267" t="n">
        <v>5360</v>
      </c>
      <c r="D282" s="3267" t="n">
        <v>5300</v>
      </c>
      <c r="E282" s="3267" t="n">
        <v>6190</v>
      </c>
      <c r="F282" s="3267" t="n">
        <v>950</v>
      </c>
      <c r="G282" s="3280" t="n">
        <v>3190</v>
      </c>
    </row>
    <row r="283" s="3255" customFormat="true" ht="14.25" hidden="false" customHeight="true" outlineLevel="0" collapsed="false">
      <c r="A283" s="3267" t="s">
        <v>284</v>
      </c>
      <c r="B283" s="3267" t="s">
        <v>2091</v>
      </c>
      <c r="C283" s="3267" t="n">
        <v>4950</v>
      </c>
      <c r="D283" s="3267" t="n">
        <v>4900</v>
      </c>
      <c r="E283" s="3267" t="n">
        <v>5720</v>
      </c>
      <c r="F283" s="3267" t="n">
        <v>920</v>
      </c>
      <c r="G283" s="3280" t="n">
        <v>2950</v>
      </c>
    </row>
    <row r="284" s="3255" customFormat="true" ht="14.25" hidden="false" customHeight="true" outlineLevel="0" collapsed="false">
      <c r="A284" s="3267" t="s">
        <v>284</v>
      </c>
      <c r="B284" s="3267" t="s">
        <v>2102</v>
      </c>
      <c r="C284" s="3267" t="n">
        <v>5610</v>
      </c>
      <c r="D284" s="3267" t="n">
        <v>5560</v>
      </c>
      <c r="E284" s="3267" t="n">
        <v>6520</v>
      </c>
      <c r="F284" s="3267" t="n">
        <v>1030</v>
      </c>
      <c r="G284" s="3280" t="n">
        <v>3360</v>
      </c>
    </row>
    <row r="285" s="3255" customFormat="true" ht="14.25" hidden="false" customHeight="true" outlineLevel="0" collapsed="false">
      <c r="A285" s="3267" t="s">
        <v>284</v>
      </c>
      <c r="B285" s="3267" t="s">
        <v>2112</v>
      </c>
      <c r="C285" s="3267" t="n">
        <v>5340</v>
      </c>
      <c r="D285" s="3267" t="n">
        <v>5290</v>
      </c>
      <c r="E285" s="3267" t="n">
        <v>6170</v>
      </c>
      <c r="F285" s="3267" t="n">
        <v>1080</v>
      </c>
      <c r="G285" s="3280" t="n">
        <v>3180</v>
      </c>
    </row>
    <row r="286" s="3255" customFormat="true" ht="14.25" hidden="false" customHeight="true" outlineLevel="0" collapsed="false">
      <c r="A286" s="3267" t="s">
        <v>284</v>
      </c>
      <c r="B286" s="3267" t="s">
        <v>2122</v>
      </c>
      <c r="C286" s="3267" t="n">
        <v>4890</v>
      </c>
      <c r="D286" s="3267" t="n">
        <v>4840</v>
      </c>
      <c r="E286" s="3267" t="n">
        <v>5640</v>
      </c>
      <c r="F286" s="3267" t="n">
        <v>960</v>
      </c>
      <c r="G286" s="3280" t="n">
        <v>2910</v>
      </c>
    </row>
    <row r="287" s="3255" customFormat="true" ht="14.25" hidden="false" customHeight="true" outlineLevel="0" collapsed="false">
      <c r="A287" s="3267" t="s">
        <v>284</v>
      </c>
      <c r="B287" s="3267" t="s">
        <v>2132</v>
      </c>
      <c r="C287" s="3267" t="n">
        <v>4960</v>
      </c>
      <c r="D287" s="3267" t="n">
        <v>4920</v>
      </c>
      <c r="E287" s="3267" t="n">
        <v>5730</v>
      </c>
      <c r="F287" s="3267" t="n">
        <v>930</v>
      </c>
      <c r="G287" s="3280" t="n">
        <v>2960</v>
      </c>
    </row>
    <row r="288" s="3255" customFormat="true" ht="14.25" hidden="false" customHeight="true" outlineLevel="0" collapsed="false">
      <c r="A288" s="3267" t="s">
        <v>284</v>
      </c>
      <c r="B288" s="3267" t="s">
        <v>2142</v>
      </c>
      <c r="C288" s="3267" t="n">
        <v>4350</v>
      </c>
      <c r="D288" s="3267" t="n">
        <v>4300</v>
      </c>
      <c r="E288" s="3267" t="n">
        <v>4900</v>
      </c>
      <c r="F288" s="3267" t="n">
        <v>820</v>
      </c>
      <c r="G288" s="3280" t="n">
        <v>2590</v>
      </c>
    </row>
    <row r="289" s="3255" customFormat="true" ht="14.25" hidden="false" customHeight="true" outlineLevel="0" collapsed="false">
      <c r="A289" s="3267" t="s">
        <v>284</v>
      </c>
      <c r="B289" s="3267" t="s">
        <v>2152</v>
      </c>
      <c r="C289" s="3267" t="n">
        <v>5230</v>
      </c>
      <c r="D289" s="3267" t="n">
        <v>5170</v>
      </c>
      <c r="E289" s="3267" t="n">
        <v>6060</v>
      </c>
      <c r="F289" s="3267" t="n">
        <v>900</v>
      </c>
      <c r="G289" s="3280" t="n">
        <v>3120</v>
      </c>
    </row>
    <row r="290" s="3255" customFormat="true" ht="14.25" hidden="false" customHeight="true" outlineLevel="0" collapsed="false">
      <c r="A290" s="3267" t="s">
        <v>284</v>
      </c>
      <c r="B290" s="3267" t="s">
        <v>2162</v>
      </c>
      <c r="C290" s="3267" t="n">
        <v>5550</v>
      </c>
      <c r="D290" s="3267" t="n">
        <v>5500</v>
      </c>
      <c r="E290" s="3267" t="n">
        <v>6440</v>
      </c>
      <c r="F290" s="3267" t="n">
        <v>960</v>
      </c>
      <c r="G290" s="3280" t="n">
        <v>3320</v>
      </c>
    </row>
    <row r="291" s="3255" customFormat="true" ht="14.25" hidden="false" customHeight="true" outlineLevel="0" collapsed="false">
      <c r="A291" s="3267" t="s">
        <v>284</v>
      </c>
      <c r="B291" s="3267" t="s">
        <v>2172</v>
      </c>
      <c r="C291" s="3267" t="n">
        <v>5440</v>
      </c>
      <c r="D291" s="3267" t="n">
        <v>5400</v>
      </c>
      <c r="E291" s="3267" t="n">
        <v>6320</v>
      </c>
      <c r="F291" s="3267" t="n">
        <v>930</v>
      </c>
      <c r="G291" s="3280" t="n">
        <v>3250</v>
      </c>
    </row>
    <row r="292" s="3255" customFormat="true" ht="14.25" hidden="false" customHeight="true" outlineLevel="0" collapsed="false">
      <c r="A292" s="3267" t="s">
        <v>284</v>
      </c>
      <c r="B292" s="3267" t="s">
        <v>2182</v>
      </c>
      <c r="C292" s="3267" t="n">
        <v>5400</v>
      </c>
      <c r="D292" s="3267" t="n">
        <v>5360</v>
      </c>
      <c r="E292" s="3267" t="n">
        <v>6270</v>
      </c>
      <c r="F292" s="3267" t="n">
        <v>1040</v>
      </c>
      <c r="G292" s="3280" t="n">
        <v>3230</v>
      </c>
    </row>
    <row r="293" s="3255" customFormat="true" ht="14.25" hidden="false" customHeight="true" outlineLevel="0" collapsed="false">
      <c r="A293" s="3267" t="s">
        <v>284</v>
      </c>
      <c r="B293" s="3267" t="s">
        <v>2192</v>
      </c>
      <c r="C293" s="3267" t="n">
        <v>5320</v>
      </c>
      <c r="D293" s="3267" t="n">
        <v>5270</v>
      </c>
      <c r="E293" s="3267" t="n">
        <v>6160</v>
      </c>
      <c r="F293" s="3267" t="n">
        <v>990</v>
      </c>
      <c r="G293" s="3280" t="n">
        <v>3170</v>
      </c>
    </row>
    <row r="294" s="3255" customFormat="true" ht="14.25" hidden="false" customHeight="true" outlineLevel="0" collapsed="false">
      <c r="A294" s="3267" t="s">
        <v>284</v>
      </c>
      <c r="B294" s="3267" t="s">
        <v>2202</v>
      </c>
      <c r="C294" s="3267" t="n">
        <v>5260</v>
      </c>
      <c r="D294" s="3267" t="n">
        <v>5210</v>
      </c>
      <c r="E294" s="3267" t="n">
        <v>6100</v>
      </c>
      <c r="F294" s="3267" t="n">
        <v>950</v>
      </c>
      <c r="G294" s="3280" t="n">
        <v>3150</v>
      </c>
    </row>
    <row r="295" s="3255" customFormat="true" ht="14.25" hidden="false" customHeight="true" outlineLevel="0" collapsed="false">
      <c r="A295" s="3267" t="s">
        <v>284</v>
      </c>
      <c r="B295" s="3267" t="s">
        <v>2212</v>
      </c>
      <c r="C295" s="3267" t="n">
        <v>5610</v>
      </c>
      <c r="D295" s="3267" t="n">
        <v>5570</v>
      </c>
      <c r="E295" s="3267" t="n">
        <v>6530</v>
      </c>
      <c r="F295" s="3267" t="n">
        <v>960</v>
      </c>
      <c r="G295" s="3280" t="n">
        <v>3360</v>
      </c>
    </row>
    <row r="296" s="3255" customFormat="true" ht="14.25" hidden="false" customHeight="true" outlineLevel="0" collapsed="false">
      <c r="A296" s="3267" t="s">
        <v>284</v>
      </c>
      <c r="B296" s="3267" t="s">
        <v>2222</v>
      </c>
      <c r="C296" s="3267" t="n">
        <v>5540</v>
      </c>
      <c r="D296" s="3267" t="n">
        <v>5490</v>
      </c>
      <c r="E296" s="3267" t="n">
        <v>6430</v>
      </c>
      <c r="F296" s="3267" t="n">
        <v>980</v>
      </c>
      <c r="G296" s="3280" t="n">
        <v>3310</v>
      </c>
    </row>
    <row r="297" s="3255" customFormat="true" ht="14.25" hidden="false" customHeight="true" outlineLevel="0" collapsed="false">
      <c r="A297" s="3267" t="s">
        <v>284</v>
      </c>
      <c r="B297" s="3267" t="s">
        <v>2231</v>
      </c>
      <c r="C297" s="3267" t="n">
        <v>5480</v>
      </c>
      <c r="D297" s="3267" t="n">
        <v>5420</v>
      </c>
      <c r="E297" s="3267" t="n">
        <v>6370</v>
      </c>
      <c r="F297" s="3267" t="n">
        <v>990</v>
      </c>
      <c r="G297" s="3280" t="n">
        <v>3270</v>
      </c>
    </row>
    <row r="298" s="3255" customFormat="true" ht="14.25" hidden="false" customHeight="true" outlineLevel="0" collapsed="false">
      <c r="A298" s="3267" t="s">
        <v>284</v>
      </c>
      <c r="B298" s="3267" t="s">
        <v>2239</v>
      </c>
      <c r="C298" s="3267" t="n">
        <v>5090</v>
      </c>
      <c r="D298" s="3267" t="n">
        <v>5050</v>
      </c>
      <c r="E298" s="3267" t="n">
        <v>5910</v>
      </c>
      <c r="F298" s="3267" t="n">
        <v>900</v>
      </c>
      <c r="G298" s="3280" t="n">
        <v>3040</v>
      </c>
    </row>
    <row r="299" s="3255" customFormat="true" ht="14.25" hidden="false" customHeight="true" outlineLevel="0" collapsed="false">
      <c r="A299" s="3267" t="s">
        <v>284</v>
      </c>
      <c r="B299" s="3276" t="s">
        <v>2247</v>
      </c>
      <c r="C299" s="3267" t="n">
        <v>5430</v>
      </c>
      <c r="D299" s="3267" t="n">
        <v>5380</v>
      </c>
      <c r="E299" s="3267" t="n">
        <v>6280</v>
      </c>
      <c r="F299" s="3267" t="n">
        <v>1000</v>
      </c>
      <c r="G299" s="3280" t="n">
        <v>3240</v>
      </c>
    </row>
    <row r="300" s="3255" customFormat="true" ht="14.25" hidden="false" customHeight="true" outlineLevel="0" collapsed="false">
      <c r="A300" s="3267" t="s">
        <v>284</v>
      </c>
      <c r="B300" s="3276" t="s">
        <v>2255</v>
      </c>
      <c r="C300" s="3267" t="n">
        <v>4740</v>
      </c>
      <c r="D300" s="3267" t="n">
        <v>4680</v>
      </c>
      <c r="E300" s="3267" t="n">
        <v>5450</v>
      </c>
      <c r="F300" s="3267" t="n">
        <v>900</v>
      </c>
      <c r="G300" s="3280" t="n">
        <v>2830</v>
      </c>
    </row>
    <row r="301" s="3255" customFormat="true" ht="14.25" hidden="false" customHeight="true" outlineLevel="0" collapsed="false">
      <c r="A301" s="3267" t="s">
        <v>284</v>
      </c>
      <c r="B301" s="3276" t="s">
        <v>2263</v>
      </c>
      <c r="C301" s="3267" t="n">
        <v>4870</v>
      </c>
      <c r="D301" s="3267" t="n">
        <v>4810</v>
      </c>
      <c r="E301" s="3267" t="n">
        <v>5560</v>
      </c>
      <c r="F301" s="3267" t="n">
        <v>990</v>
      </c>
      <c r="G301" s="3280" t="n">
        <v>2910</v>
      </c>
    </row>
    <row r="302" s="3255" customFormat="true" ht="14.25" hidden="false" customHeight="true" outlineLevel="0" collapsed="false">
      <c r="A302" s="3267" t="s">
        <v>284</v>
      </c>
      <c r="B302" s="3267" t="s">
        <v>2270</v>
      </c>
      <c r="C302" s="3267" t="n">
        <v>5520</v>
      </c>
      <c r="D302" s="3267" t="n">
        <v>5470</v>
      </c>
      <c r="E302" s="3267" t="n">
        <v>6410</v>
      </c>
      <c r="F302" s="3267" t="n">
        <v>950</v>
      </c>
      <c r="G302" s="3280" t="n">
        <v>3300</v>
      </c>
    </row>
    <row r="303" s="3255" customFormat="true" ht="14.25" hidden="false" customHeight="true" outlineLevel="0" collapsed="false">
      <c r="A303" s="3267" t="s">
        <v>284</v>
      </c>
      <c r="B303" s="3267" t="s">
        <v>2277</v>
      </c>
      <c r="C303" s="3267" t="n">
        <v>5630</v>
      </c>
      <c r="D303" s="3267" t="n">
        <v>5590</v>
      </c>
      <c r="E303" s="3267" t="n">
        <v>6550</v>
      </c>
      <c r="F303" s="3267" t="n">
        <v>1010</v>
      </c>
      <c r="G303" s="3280" t="n">
        <v>3370</v>
      </c>
    </row>
    <row r="304" s="3255" customFormat="true" ht="14.25" hidden="false" customHeight="true" outlineLevel="0" collapsed="false">
      <c r="A304" s="3267" t="s">
        <v>284</v>
      </c>
      <c r="B304" s="3267" t="s">
        <v>2284</v>
      </c>
      <c r="C304" s="3267" t="n">
        <v>5680</v>
      </c>
      <c r="D304" s="3267" t="n">
        <v>5620</v>
      </c>
      <c r="E304" s="3267" t="n">
        <v>6620</v>
      </c>
      <c r="F304" s="3267" t="n">
        <v>1050</v>
      </c>
      <c r="G304" s="3280" t="n">
        <v>3390</v>
      </c>
    </row>
    <row r="305" s="3255" customFormat="true" ht="14.25" hidden="false" customHeight="true" outlineLevel="0" collapsed="false">
      <c r="A305" s="3267" t="s">
        <v>284</v>
      </c>
      <c r="B305" s="3267" t="s">
        <v>2291</v>
      </c>
      <c r="C305" s="3267" t="n">
        <v>5590</v>
      </c>
      <c r="D305" s="3267" t="n">
        <v>5530</v>
      </c>
      <c r="E305" s="3267" t="n">
        <v>6460</v>
      </c>
      <c r="F305" s="3267" t="n">
        <v>900</v>
      </c>
      <c r="G305" s="3280" t="n">
        <v>3340</v>
      </c>
    </row>
    <row r="306" s="3255" customFormat="true" ht="14.25" hidden="false" customHeight="true" outlineLevel="0" collapsed="false">
      <c r="A306" s="3267" t="s">
        <v>284</v>
      </c>
      <c r="B306" s="3267" t="s">
        <v>2298</v>
      </c>
      <c r="C306" s="3267" t="n">
        <v>5560</v>
      </c>
      <c r="D306" s="3267" t="n">
        <v>5510</v>
      </c>
      <c r="E306" s="3267" t="n">
        <v>6440</v>
      </c>
      <c r="F306" s="3267" t="n">
        <v>900</v>
      </c>
      <c r="G306" s="3280" t="n">
        <v>3320</v>
      </c>
    </row>
    <row r="307" s="3255" customFormat="true" ht="14.25" hidden="false" customHeight="true" outlineLevel="0" collapsed="false">
      <c r="A307" s="3267" t="s">
        <v>284</v>
      </c>
      <c r="B307" s="3267" t="s">
        <v>2305</v>
      </c>
      <c r="C307" s="3267" t="n">
        <v>5650</v>
      </c>
      <c r="D307" s="3267" t="n">
        <v>5600</v>
      </c>
      <c r="E307" s="3267" t="n">
        <v>6590</v>
      </c>
      <c r="F307" s="3267" t="n">
        <v>930</v>
      </c>
      <c r="G307" s="3280" t="n">
        <v>3380</v>
      </c>
    </row>
    <row r="308" s="3255" customFormat="true" ht="14.25" hidden="false" customHeight="true" outlineLevel="0" collapsed="false">
      <c r="A308" s="3267" t="s">
        <v>284</v>
      </c>
      <c r="B308" s="3267" t="s">
        <v>2312</v>
      </c>
      <c r="C308" s="3267" t="n">
        <v>5620</v>
      </c>
      <c r="D308" s="3267" t="n">
        <v>5580</v>
      </c>
      <c r="E308" s="3267" t="n">
        <v>6540</v>
      </c>
      <c r="F308" s="3267" t="n">
        <v>910</v>
      </c>
      <c r="G308" s="3280" t="n">
        <v>3370</v>
      </c>
    </row>
    <row r="309" s="3255" customFormat="true" ht="14.25" hidden="false" customHeight="true" outlineLevel="0" collapsed="false">
      <c r="A309" s="3267" t="s">
        <v>284</v>
      </c>
      <c r="B309" s="3267" t="s">
        <v>2317</v>
      </c>
      <c r="C309" s="3267" t="n">
        <v>5060</v>
      </c>
      <c r="D309" s="3267" t="n">
        <v>5020</v>
      </c>
      <c r="E309" s="3267" t="n">
        <v>6370</v>
      </c>
      <c r="F309" s="3267" t="n">
        <v>800</v>
      </c>
      <c r="G309" s="3280" t="n">
        <v>3020</v>
      </c>
    </row>
    <row r="310" s="3255" customFormat="true" ht="14.25" hidden="false" customHeight="true" outlineLevel="0" collapsed="false">
      <c r="A310" s="3267" t="s">
        <v>284</v>
      </c>
      <c r="B310" s="3267" t="s">
        <v>2322</v>
      </c>
      <c r="C310" s="3267" t="n">
        <v>5150</v>
      </c>
      <c r="D310" s="3267" t="n">
        <v>5110</v>
      </c>
      <c r="E310" s="3267" t="n">
        <v>6500</v>
      </c>
      <c r="F310" s="3267" t="n">
        <v>880</v>
      </c>
      <c r="G310" s="3280" t="n">
        <v>3080</v>
      </c>
    </row>
    <row r="311" s="3255" customFormat="true" ht="14.25" hidden="false" customHeight="true" outlineLevel="0" collapsed="false">
      <c r="A311" s="3267" t="s">
        <v>284</v>
      </c>
      <c r="B311" s="3267" t="s">
        <v>2327</v>
      </c>
      <c r="C311" s="3267" t="n">
        <v>4750</v>
      </c>
      <c r="D311" s="3267" t="n">
        <v>4710</v>
      </c>
      <c r="E311" s="3267" t="n">
        <v>5510</v>
      </c>
      <c r="F311" s="3267" t="n">
        <v>880</v>
      </c>
      <c r="G311" s="3280" t="n">
        <v>2840</v>
      </c>
    </row>
    <row r="312" s="3255" customFormat="true" ht="14.25" hidden="false" customHeight="true" outlineLevel="0" collapsed="false">
      <c r="A312" s="3267" t="s">
        <v>284</v>
      </c>
      <c r="B312" s="3267" t="s">
        <v>2332</v>
      </c>
      <c r="C312" s="3267" t="n">
        <v>4690</v>
      </c>
      <c r="D312" s="3267" t="n">
        <v>4640</v>
      </c>
      <c r="E312" s="3267" t="n">
        <v>5420</v>
      </c>
      <c r="F312" s="3267" t="n">
        <v>800</v>
      </c>
      <c r="G312" s="3280" t="n">
        <v>2800</v>
      </c>
    </row>
    <row r="313" s="3255" customFormat="true" ht="14.25" hidden="false" customHeight="true" outlineLevel="0" collapsed="false">
      <c r="A313" s="3267" t="s">
        <v>284</v>
      </c>
      <c r="B313" s="3267" t="s">
        <v>2337</v>
      </c>
      <c r="C313" s="3267" t="n">
        <v>4810</v>
      </c>
      <c r="D313" s="3267" t="n">
        <v>4760</v>
      </c>
      <c r="E313" s="3267" t="n">
        <v>5550</v>
      </c>
      <c r="F313" s="3267" t="n">
        <v>920</v>
      </c>
      <c r="G313" s="3280" t="n">
        <v>2870</v>
      </c>
    </row>
    <row r="314" s="3255" customFormat="true" ht="14.25" hidden="false" customHeight="true" outlineLevel="0" collapsed="false">
      <c r="A314" s="3267" t="s">
        <v>284</v>
      </c>
      <c r="B314" s="3267" t="s">
        <v>2342</v>
      </c>
      <c r="C314" s="3267"/>
      <c r="D314" s="3267"/>
      <c r="E314" s="3267"/>
      <c r="F314" s="3267" t="n">
        <v>1020</v>
      </c>
      <c r="G314" s="3280"/>
    </row>
    <row r="315" s="3255" customFormat="true" ht="14.25" hidden="false" customHeight="true" outlineLevel="0" collapsed="false">
      <c r="A315" s="3267" t="s">
        <v>284</v>
      </c>
      <c r="B315" s="3267" t="s">
        <v>2347</v>
      </c>
      <c r="C315" s="3267"/>
      <c r="D315" s="3267"/>
      <c r="E315" s="3267"/>
      <c r="F315" s="3267" t="n">
        <v>1050</v>
      </c>
      <c r="G315" s="3280"/>
    </row>
    <row r="316" s="3255" customFormat="true" ht="14.25" hidden="false" customHeight="true" outlineLevel="0" collapsed="false">
      <c r="A316" s="3267" t="s">
        <v>284</v>
      </c>
      <c r="B316" s="3267" t="s">
        <v>2352</v>
      </c>
      <c r="C316" s="3267"/>
      <c r="D316" s="3267"/>
      <c r="E316" s="3267"/>
      <c r="F316" s="3267" t="n">
        <v>900</v>
      </c>
      <c r="G316" s="3280"/>
    </row>
    <row r="317" s="3255" customFormat="true" ht="14.25" hidden="false" customHeight="true" outlineLevel="0" collapsed="false">
      <c r="A317" s="3267" t="s">
        <v>284</v>
      </c>
      <c r="B317" s="3267" t="s">
        <v>2356</v>
      </c>
      <c r="C317" s="3267"/>
      <c r="D317" s="3267"/>
      <c r="E317" s="3267"/>
      <c r="F317" s="3267" t="n">
        <v>920</v>
      </c>
      <c r="G317" s="3280"/>
    </row>
    <row r="318" s="3255" customFormat="true" ht="14.25" hidden="false" customHeight="true" outlineLevel="0" collapsed="false">
      <c r="A318" s="3267" t="s">
        <v>284</v>
      </c>
      <c r="B318" s="3267" t="s">
        <v>2360</v>
      </c>
      <c r="C318" s="3267"/>
      <c r="D318" s="3267"/>
      <c r="E318" s="3267"/>
      <c r="F318" s="3267" t="n">
        <v>1080</v>
      </c>
      <c r="G318" s="3280"/>
    </row>
    <row r="319" s="3255" customFormat="true" ht="14.25" hidden="false" customHeight="true" outlineLevel="0" collapsed="false">
      <c r="A319" s="3267" t="s">
        <v>284</v>
      </c>
      <c r="B319" s="3267" t="s">
        <v>2364</v>
      </c>
      <c r="C319" s="3267"/>
      <c r="D319" s="3267"/>
      <c r="E319" s="3267"/>
      <c r="F319" s="3267" t="n">
        <v>1020</v>
      </c>
      <c r="G319" s="3280"/>
    </row>
    <row r="320" s="3255" customFormat="true" ht="14.25" hidden="false" customHeight="true" outlineLevel="0" collapsed="false">
      <c r="A320" s="3267" t="s">
        <v>284</v>
      </c>
      <c r="B320" s="3267" t="s">
        <v>2367</v>
      </c>
      <c r="C320" s="3267"/>
      <c r="D320" s="3267"/>
      <c r="E320" s="3267"/>
      <c r="F320" s="3267" t="n">
        <v>1050</v>
      </c>
      <c r="G320" s="3280"/>
    </row>
    <row r="321" s="3255" customFormat="true" ht="14.25" hidden="false" customHeight="true" outlineLevel="0" collapsed="false">
      <c r="A321" s="3267" t="s">
        <v>284</v>
      </c>
      <c r="B321" s="3267" t="s">
        <v>2369</v>
      </c>
      <c r="C321" s="3267"/>
      <c r="D321" s="3267"/>
      <c r="E321" s="3267"/>
      <c r="F321" s="3267" t="n">
        <v>960</v>
      </c>
      <c r="G321" s="3280"/>
    </row>
    <row r="322" s="3255" customFormat="true" ht="14.25" hidden="false" customHeight="true" outlineLevel="0" collapsed="false">
      <c r="A322" s="3267" t="s">
        <v>284</v>
      </c>
      <c r="B322" s="3267" t="s">
        <v>2371</v>
      </c>
      <c r="C322" s="3267"/>
      <c r="D322" s="3267"/>
      <c r="E322" s="3267"/>
      <c r="F322" s="3267" t="n">
        <v>960</v>
      </c>
      <c r="G322" s="3280"/>
    </row>
    <row r="323" s="3255" customFormat="true" ht="14.25" hidden="false" customHeight="true" outlineLevel="0" collapsed="false">
      <c r="A323" s="3267" t="s">
        <v>284</v>
      </c>
      <c r="B323" s="3267" t="s">
        <v>2373</v>
      </c>
      <c r="C323" s="3267"/>
      <c r="D323" s="3267"/>
      <c r="E323" s="3267"/>
      <c r="F323" s="3267" t="n">
        <v>880</v>
      </c>
      <c r="G323" s="3280"/>
    </row>
    <row r="324" s="3255" customFormat="true" ht="14.25" hidden="false" customHeight="true" outlineLevel="0" collapsed="false">
      <c r="A324" s="3267" t="s">
        <v>284</v>
      </c>
      <c r="B324" s="3267" t="s">
        <v>2375</v>
      </c>
      <c r="C324" s="3267"/>
      <c r="D324" s="3267"/>
      <c r="E324" s="3267"/>
      <c r="F324" s="3267" t="n">
        <v>930</v>
      </c>
      <c r="G324" s="3280"/>
    </row>
    <row r="325" s="3255" customFormat="true" ht="14.25" hidden="false" customHeight="true" outlineLevel="0" collapsed="false">
      <c r="A325" s="3267" t="s">
        <v>284</v>
      </c>
      <c r="B325" s="3268" t="s">
        <v>2377</v>
      </c>
      <c r="C325" s="3267"/>
      <c r="D325" s="3267"/>
      <c r="E325" s="3267"/>
      <c r="F325" s="3267" t="n">
        <v>900</v>
      </c>
      <c r="G325" s="3280"/>
    </row>
    <row r="326" s="3255" customFormat="true" ht="14.25" hidden="false" customHeight="true" outlineLevel="0" collapsed="false">
      <c r="A326" s="3281" t="s">
        <v>284</v>
      </c>
      <c r="B326" s="3274" t="s">
        <v>2379</v>
      </c>
      <c r="C326" s="3274"/>
      <c r="D326" s="3274"/>
      <c r="E326" s="3274"/>
      <c r="F326" s="3274" t="n">
        <v>790</v>
      </c>
      <c r="G326" s="3282"/>
    </row>
    <row r="327" s="3255" customFormat="true" ht="14.25" hidden="false" customHeight="true" outlineLevel="0" collapsed="false">
      <c r="A327" s="3272" t="s">
        <v>288</v>
      </c>
      <c r="B327" s="3262" t="s">
        <v>2020</v>
      </c>
      <c r="C327" s="3267" t="n">
        <v>3750</v>
      </c>
      <c r="D327" s="3267" t="n">
        <v>3710</v>
      </c>
      <c r="E327" s="3267" t="n">
        <v>4080</v>
      </c>
      <c r="F327" s="3267" t="n">
        <v>860</v>
      </c>
      <c r="G327" s="3267" t="n">
        <v>2210</v>
      </c>
    </row>
    <row r="328" s="3255" customFormat="true" ht="14.25" hidden="false" customHeight="true" outlineLevel="0" collapsed="false">
      <c r="A328" s="3267" t="s">
        <v>288</v>
      </c>
      <c r="B328" s="3267" t="s">
        <v>2033</v>
      </c>
      <c r="C328" s="3267" t="n">
        <v>3330</v>
      </c>
      <c r="D328" s="3267" t="n">
        <v>3290</v>
      </c>
      <c r="E328" s="3267" t="n">
        <v>3610</v>
      </c>
      <c r="F328" s="3267" t="n">
        <v>850</v>
      </c>
      <c r="G328" s="3267" t="n">
        <v>1960</v>
      </c>
    </row>
    <row r="329" s="3255" customFormat="true" ht="14.25" hidden="false" customHeight="true" outlineLevel="0" collapsed="false">
      <c r="A329" s="3267" t="s">
        <v>288</v>
      </c>
      <c r="B329" s="3267" t="s">
        <v>2046</v>
      </c>
      <c r="C329" s="3267" t="n">
        <v>2730</v>
      </c>
      <c r="D329" s="3267" t="n">
        <v>2690</v>
      </c>
      <c r="E329" s="3267" t="n">
        <v>3100</v>
      </c>
      <c r="F329" s="3267" t="n">
        <v>660</v>
      </c>
      <c r="G329" s="3267" t="n">
        <v>1610</v>
      </c>
    </row>
    <row r="330" s="3255" customFormat="true" ht="14.25" hidden="false" customHeight="true" outlineLevel="0" collapsed="false">
      <c r="A330" s="3267" t="s">
        <v>288</v>
      </c>
      <c r="B330" s="3267" t="s">
        <v>2058</v>
      </c>
      <c r="C330" s="3267" t="n">
        <v>3270</v>
      </c>
      <c r="D330" s="3267" t="n">
        <v>3240</v>
      </c>
      <c r="E330" s="3267" t="n">
        <v>3560</v>
      </c>
      <c r="F330" s="3267" t="n">
        <v>680</v>
      </c>
      <c r="G330" s="3267" t="n">
        <v>1940</v>
      </c>
    </row>
    <row r="331" s="3255" customFormat="true" ht="14.25" hidden="false" customHeight="true" outlineLevel="0" collapsed="false">
      <c r="A331" s="3267" t="s">
        <v>288</v>
      </c>
      <c r="B331" s="3267" t="s">
        <v>2070</v>
      </c>
      <c r="C331" s="3267" t="n">
        <v>3770</v>
      </c>
      <c r="D331" s="3267" t="n">
        <v>3740</v>
      </c>
      <c r="E331" s="3267" t="n">
        <v>4110</v>
      </c>
      <c r="F331" s="3267" t="n">
        <v>730</v>
      </c>
      <c r="G331" s="3267" t="n">
        <v>2230</v>
      </c>
    </row>
    <row r="332" s="3255" customFormat="true" ht="14.25" hidden="false" customHeight="true" outlineLevel="0" collapsed="false">
      <c r="A332" s="3267" t="s">
        <v>288</v>
      </c>
      <c r="B332" s="3267" t="s">
        <v>2081</v>
      </c>
      <c r="C332" s="3267" t="n">
        <v>3520</v>
      </c>
      <c r="D332" s="3267" t="n">
        <v>3480</v>
      </c>
      <c r="E332" s="3267" t="n">
        <v>3830</v>
      </c>
      <c r="F332" s="3267" t="n">
        <v>720</v>
      </c>
      <c r="G332" s="3267" t="n">
        <v>2090</v>
      </c>
    </row>
    <row r="333" s="3255" customFormat="true" ht="14.25" hidden="false" customHeight="true" outlineLevel="0" collapsed="false">
      <c r="A333" s="3267" t="s">
        <v>288</v>
      </c>
      <c r="B333" s="3267" t="s">
        <v>2092</v>
      </c>
      <c r="C333" s="3267" t="n">
        <v>3840</v>
      </c>
      <c r="D333" s="3267" t="n">
        <v>3800</v>
      </c>
      <c r="E333" s="3267" t="n">
        <v>4200</v>
      </c>
      <c r="F333" s="3267" t="n">
        <v>760</v>
      </c>
      <c r="G333" s="3267" t="n">
        <v>2270</v>
      </c>
    </row>
    <row r="334" s="3255" customFormat="true" ht="14.25" hidden="false" customHeight="true" outlineLevel="0" collapsed="false">
      <c r="A334" s="3267" t="s">
        <v>288</v>
      </c>
      <c r="B334" s="3267" t="s">
        <v>2103</v>
      </c>
      <c r="C334" s="3267" t="n">
        <v>3960</v>
      </c>
      <c r="D334" s="3267" t="n">
        <v>3910</v>
      </c>
      <c r="E334" s="3267" t="n">
        <v>4340</v>
      </c>
      <c r="F334" s="3267" t="n">
        <v>780</v>
      </c>
      <c r="G334" s="3267" t="n">
        <v>2340</v>
      </c>
    </row>
    <row r="335" s="3255" customFormat="true" ht="14.25" hidden="false" customHeight="true" outlineLevel="0" collapsed="false">
      <c r="A335" s="3267" t="s">
        <v>288</v>
      </c>
      <c r="B335" s="3267" t="s">
        <v>2113</v>
      </c>
      <c r="C335" s="3267" t="n">
        <v>3710</v>
      </c>
      <c r="D335" s="3267" t="n">
        <v>3670</v>
      </c>
      <c r="E335" s="3267" t="n">
        <v>4030</v>
      </c>
      <c r="F335" s="3267" t="n">
        <v>750</v>
      </c>
      <c r="G335" s="3267" t="n">
        <v>2200</v>
      </c>
    </row>
    <row r="336" s="3255" customFormat="true" ht="14.25" hidden="false" customHeight="true" outlineLevel="0" collapsed="false">
      <c r="A336" s="3267" t="s">
        <v>288</v>
      </c>
      <c r="B336" s="3267" t="s">
        <v>2123</v>
      </c>
      <c r="C336" s="3267" t="n">
        <v>3570</v>
      </c>
      <c r="D336" s="3267" t="n">
        <v>3530</v>
      </c>
      <c r="E336" s="3267" t="n">
        <v>3880</v>
      </c>
      <c r="F336" s="3267" t="n">
        <v>770</v>
      </c>
      <c r="G336" s="3267" t="n">
        <v>2110</v>
      </c>
    </row>
    <row r="337" s="3255" customFormat="true" ht="14.25" hidden="false" customHeight="true" outlineLevel="0" collapsed="false">
      <c r="A337" s="3267" t="s">
        <v>288</v>
      </c>
      <c r="B337" s="3267" t="s">
        <v>2133</v>
      </c>
      <c r="C337" s="3267" t="n">
        <v>3780</v>
      </c>
      <c r="D337" s="3267" t="n">
        <v>3750</v>
      </c>
      <c r="E337" s="3267" t="n">
        <v>4130</v>
      </c>
      <c r="F337" s="3267" t="n">
        <v>750</v>
      </c>
      <c r="G337" s="3267" t="n">
        <v>2240</v>
      </c>
    </row>
    <row r="338" s="3255" customFormat="true" ht="14.25" hidden="false" customHeight="true" outlineLevel="0" collapsed="false">
      <c r="A338" s="3267" t="s">
        <v>288</v>
      </c>
      <c r="B338" s="3267" t="s">
        <v>2143</v>
      </c>
      <c r="C338" s="3267" t="n">
        <v>3600</v>
      </c>
      <c r="D338" s="3267" t="n">
        <v>3570</v>
      </c>
      <c r="E338" s="3267" t="n">
        <v>3920</v>
      </c>
      <c r="F338" s="3267" t="n">
        <v>790</v>
      </c>
      <c r="G338" s="3267" t="n">
        <v>2140</v>
      </c>
    </row>
    <row r="339" s="3255" customFormat="true" ht="14.25" hidden="false" customHeight="true" outlineLevel="0" collapsed="false">
      <c r="A339" s="3267" t="s">
        <v>288</v>
      </c>
      <c r="B339" s="3267" t="s">
        <v>2153</v>
      </c>
      <c r="C339" s="3267" t="n">
        <v>3540</v>
      </c>
      <c r="D339" s="3267" t="n">
        <v>3500</v>
      </c>
      <c r="E339" s="3267" t="n">
        <v>3850</v>
      </c>
      <c r="F339" s="3267" t="n">
        <v>780</v>
      </c>
      <c r="G339" s="3267" t="n">
        <v>2100</v>
      </c>
    </row>
    <row r="340" s="3255" customFormat="true" ht="14.25" hidden="false" customHeight="true" outlineLevel="0" collapsed="false">
      <c r="A340" s="3267" t="s">
        <v>288</v>
      </c>
      <c r="B340" s="3267" t="s">
        <v>2163</v>
      </c>
      <c r="C340" s="3267" t="n">
        <v>3850</v>
      </c>
      <c r="D340" s="3267" t="n">
        <v>3810</v>
      </c>
      <c r="E340" s="3267" t="n">
        <v>4210</v>
      </c>
      <c r="F340" s="3267" t="n">
        <v>750</v>
      </c>
      <c r="G340" s="3267" t="n">
        <v>2280</v>
      </c>
    </row>
    <row r="341" s="3255" customFormat="true" ht="14.25" hidden="false" customHeight="true" outlineLevel="0" collapsed="false">
      <c r="A341" s="3267" t="s">
        <v>288</v>
      </c>
      <c r="B341" s="3267" t="s">
        <v>2173</v>
      </c>
      <c r="C341" s="3267" t="n">
        <v>3780</v>
      </c>
      <c r="D341" s="3267" t="n">
        <v>3750</v>
      </c>
      <c r="E341" s="3267" t="n">
        <v>4140</v>
      </c>
      <c r="F341" s="3267" t="n">
        <v>720</v>
      </c>
      <c r="G341" s="3267" t="n">
        <v>2240</v>
      </c>
    </row>
    <row r="342" s="3255" customFormat="true" ht="14.25" hidden="false" customHeight="true" outlineLevel="0" collapsed="false">
      <c r="A342" s="3267" t="s">
        <v>288</v>
      </c>
      <c r="B342" s="3267" t="s">
        <v>2183</v>
      </c>
      <c r="C342" s="3267" t="n">
        <v>3670</v>
      </c>
      <c r="D342" s="3267" t="n">
        <v>3620</v>
      </c>
      <c r="E342" s="3267" t="n">
        <v>3990</v>
      </c>
      <c r="F342" s="3267" t="n">
        <v>760</v>
      </c>
      <c r="G342" s="3267" t="n">
        <v>2170</v>
      </c>
    </row>
    <row r="343" s="3255" customFormat="true" ht="14.25" hidden="false" customHeight="true" outlineLevel="0" collapsed="false">
      <c r="A343" s="3267" t="s">
        <v>288</v>
      </c>
      <c r="B343" s="3267" t="s">
        <v>2193</v>
      </c>
      <c r="C343" s="3267" t="n">
        <v>3760</v>
      </c>
      <c r="D343" s="3267" t="n">
        <v>3720</v>
      </c>
      <c r="E343" s="3267" t="n">
        <v>4090</v>
      </c>
      <c r="F343" s="3267" t="n">
        <v>780</v>
      </c>
      <c r="G343" s="3267" t="n">
        <v>2220</v>
      </c>
    </row>
    <row r="344" s="3255" customFormat="true" ht="14.25" hidden="false" customHeight="true" outlineLevel="0" collapsed="false">
      <c r="A344" s="3267" t="s">
        <v>288</v>
      </c>
      <c r="B344" s="3267" t="s">
        <v>2203</v>
      </c>
      <c r="C344" s="3267" t="n">
        <v>3680</v>
      </c>
      <c r="D344" s="3267" t="n">
        <v>3640</v>
      </c>
      <c r="E344" s="3267" t="n">
        <v>4010</v>
      </c>
      <c r="F344" s="3267" t="n">
        <v>750</v>
      </c>
      <c r="G344" s="3267" t="n">
        <v>2180</v>
      </c>
    </row>
    <row r="345" customFormat="false" ht="11.25" hidden="false" customHeight="false" outlineLevel="0" collapsed="false">
      <c r="A345" s="3267" t="s">
        <v>288</v>
      </c>
      <c r="B345" s="3267" t="s">
        <v>2213</v>
      </c>
      <c r="C345" s="3267" t="n">
        <v>3190</v>
      </c>
      <c r="D345" s="3267" t="n">
        <v>3140</v>
      </c>
      <c r="E345" s="3267" t="n">
        <v>3450</v>
      </c>
      <c r="F345" s="3267" t="n">
        <v>720</v>
      </c>
      <c r="G345" s="3267" t="n">
        <v>1880</v>
      </c>
      <c r="J345" s="3255"/>
    </row>
    <row r="346" customFormat="false" ht="11.25" hidden="false" customHeight="false" outlineLevel="0" collapsed="false">
      <c r="A346" s="3267" t="s">
        <v>288</v>
      </c>
      <c r="B346" s="3267" t="s">
        <v>2223</v>
      </c>
      <c r="C346" s="3267" t="n">
        <v>3630</v>
      </c>
      <c r="D346" s="3267" t="n">
        <v>3590</v>
      </c>
      <c r="E346" s="3267" t="n">
        <v>3940</v>
      </c>
      <c r="F346" s="3267" t="n">
        <v>730</v>
      </c>
      <c r="G346" s="3267" t="n">
        <v>2150</v>
      </c>
      <c r="J346" s="3255"/>
    </row>
    <row r="347" customFormat="false" ht="11.25" hidden="false" customHeight="false" outlineLevel="0" collapsed="false">
      <c r="A347" s="3267" t="s">
        <v>288</v>
      </c>
      <c r="B347" s="3267" t="s">
        <v>2232</v>
      </c>
      <c r="C347" s="3267" t="n">
        <v>3860</v>
      </c>
      <c r="D347" s="3267" t="n">
        <v>3820</v>
      </c>
      <c r="E347" s="3267" t="n">
        <v>4220</v>
      </c>
      <c r="F347" s="3267" t="n">
        <v>750</v>
      </c>
      <c r="G347" s="3267" t="n">
        <v>2280</v>
      </c>
      <c r="J347" s="3255"/>
    </row>
    <row r="348" customFormat="false" ht="11.25" hidden="false" customHeight="false" outlineLevel="0" collapsed="false">
      <c r="A348" s="3267" t="s">
        <v>288</v>
      </c>
      <c r="B348" s="3267" t="s">
        <v>2240</v>
      </c>
      <c r="C348" s="3267" t="n">
        <v>4000</v>
      </c>
      <c r="D348" s="3267" t="n">
        <v>3950</v>
      </c>
      <c r="E348" s="3267" t="n">
        <v>4430</v>
      </c>
      <c r="F348" s="3267" t="n">
        <v>760</v>
      </c>
      <c r="G348" s="3267" t="n">
        <v>2360</v>
      </c>
      <c r="J348" s="3255"/>
    </row>
    <row r="349" customFormat="false" ht="11.25" hidden="false" customHeight="false" outlineLevel="0" collapsed="false">
      <c r="A349" s="3267" t="s">
        <v>288</v>
      </c>
      <c r="B349" s="3267" t="s">
        <v>2248</v>
      </c>
      <c r="C349" s="3267" t="n">
        <v>3820</v>
      </c>
      <c r="D349" s="3267" t="n">
        <v>3780</v>
      </c>
      <c r="E349" s="3267" t="n">
        <v>4170</v>
      </c>
      <c r="F349" s="3267" t="n">
        <v>710</v>
      </c>
      <c r="G349" s="3267" t="n">
        <v>2260</v>
      </c>
      <c r="J349" s="3255"/>
    </row>
    <row r="350" customFormat="false" ht="11.25" hidden="false" customHeight="false" outlineLevel="0" collapsed="false">
      <c r="A350" s="3267" t="s">
        <v>288</v>
      </c>
      <c r="B350" s="3267" t="s">
        <v>2256</v>
      </c>
      <c r="C350" s="3267" t="n">
        <v>3760</v>
      </c>
      <c r="D350" s="3267" t="n">
        <v>3730</v>
      </c>
      <c r="E350" s="3267" t="n">
        <v>4100</v>
      </c>
      <c r="F350" s="3267" t="n">
        <v>800</v>
      </c>
      <c r="G350" s="3267" t="n">
        <v>2230</v>
      </c>
      <c r="J350" s="3255"/>
    </row>
    <row r="351" customFormat="false" ht="11.25" hidden="false" customHeight="false" outlineLevel="0" collapsed="false">
      <c r="A351" s="3267" t="s">
        <v>288</v>
      </c>
      <c r="B351" s="3267" t="s">
        <v>2264</v>
      </c>
      <c r="C351" s="3267" t="n">
        <v>3610</v>
      </c>
      <c r="D351" s="3267" t="n">
        <v>3580</v>
      </c>
      <c r="E351" s="3267" t="n">
        <v>3930</v>
      </c>
      <c r="F351" s="3267" t="n">
        <v>700</v>
      </c>
      <c r="G351" s="3267" t="n">
        <v>2140</v>
      </c>
      <c r="J351" s="3255"/>
    </row>
    <row r="352" customFormat="false" ht="11.25" hidden="false" customHeight="false" outlineLevel="0" collapsed="false">
      <c r="A352" s="3267" t="s">
        <v>288</v>
      </c>
      <c r="B352" s="3267" t="s">
        <v>2271</v>
      </c>
      <c r="C352" s="3267" t="n">
        <v>3670</v>
      </c>
      <c r="D352" s="3267" t="n">
        <v>3630</v>
      </c>
      <c r="E352" s="3267" t="n">
        <v>4000</v>
      </c>
      <c r="F352" s="3267" t="n">
        <v>750</v>
      </c>
      <c r="G352" s="3267" t="n">
        <v>2180</v>
      </c>
    </row>
    <row r="353" s="173" customFormat="true" ht="11.25" hidden="false" customHeight="false" outlineLevel="0" collapsed="false">
      <c r="A353" s="3267" t="s">
        <v>288</v>
      </c>
      <c r="B353" s="3267" t="s">
        <v>2278</v>
      </c>
      <c r="C353" s="3267" t="n">
        <v>3190</v>
      </c>
      <c r="D353" s="3267" t="n">
        <v>3150</v>
      </c>
      <c r="E353" s="3267" t="n">
        <v>3640</v>
      </c>
      <c r="F353" s="3267" t="n">
        <v>630</v>
      </c>
      <c r="G353" s="3267" t="n">
        <v>1890</v>
      </c>
    </row>
    <row r="354" s="173" customFormat="true" ht="11.25" hidden="false" customHeight="false" outlineLevel="0" collapsed="false">
      <c r="A354" s="3267" t="s">
        <v>288</v>
      </c>
      <c r="B354" s="3267" t="s">
        <v>2285</v>
      </c>
      <c r="C354" s="3267" t="n">
        <v>3450</v>
      </c>
      <c r="D354" s="3267" t="n">
        <v>3420</v>
      </c>
      <c r="E354" s="3267" t="n">
        <v>3960</v>
      </c>
      <c r="F354" s="3267" t="n">
        <v>660</v>
      </c>
      <c r="G354" s="3267" t="n">
        <v>2050</v>
      </c>
    </row>
    <row r="355" s="173" customFormat="true" ht="11.25" hidden="false" customHeight="false" outlineLevel="0" collapsed="false">
      <c r="A355" s="3267" t="s">
        <v>288</v>
      </c>
      <c r="B355" s="3267" t="s">
        <v>2292</v>
      </c>
      <c r="C355" s="3267" t="n">
        <v>3650</v>
      </c>
      <c r="D355" s="3267" t="n">
        <v>3610</v>
      </c>
      <c r="E355" s="3267" t="n">
        <v>4200</v>
      </c>
      <c r="F355" s="3267" t="n">
        <v>640</v>
      </c>
      <c r="G355" s="3267" t="n">
        <v>2160</v>
      </c>
    </row>
    <row r="356" s="173" customFormat="true" ht="11.25" hidden="false" customHeight="false" outlineLevel="0" collapsed="false">
      <c r="A356" s="3267" t="s">
        <v>288</v>
      </c>
      <c r="B356" s="3267" t="s">
        <v>2299</v>
      </c>
      <c r="C356" s="3267" t="n">
        <v>3260</v>
      </c>
      <c r="D356" s="3267" t="n">
        <v>3230</v>
      </c>
      <c r="E356" s="3267" t="n">
        <v>3740</v>
      </c>
      <c r="F356" s="3267" t="n">
        <v>600</v>
      </c>
      <c r="G356" s="3267" t="n">
        <v>1930</v>
      </c>
    </row>
    <row r="357" s="173" customFormat="true" ht="11.25" hidden="false" customHeight="false" outlineLevel="0" collapsed="false">
      <c r="A357" s="3275" t="s">
        <v>288</v>
      </c>
      <c r="B357" s="3278" t="s">
        <v>2306</v>
      </c>
      <c r="C357" s="3278" t="n">
        <v>3690</v>
      </c>
      <c r="D357" s="3278" t="n">
        <v>3650</v>
      </c>
      <c r="E357" s="3278" t="n">
        <v>4020</v>
      </c>
      <c r="F357" s="3278" t="n">
        <v>700</v>
      </c>
      <c r="G357" s="3278" t="n">
        <v>2190</v>
      </c>
    </row>
    <row r="358" s="173" customFormat="true" ht="11.25" hidden="false" customHeight="false" outlineLevel="0" collapsed="false">
      <c r="A358" s="3272" t="s">
        <v>292</v>
      </c>
      <c r="B358" s="3262" t="s">
        <v>2021</v>
      </c>
      <c r="C358" s="3262" t="n">
        <v>2080</v>
      </c>
      <c r="D358" s="3262" t="n">
        <v>2040</v>
      </c>
      <c r="E358" s="3262" t="n">
        <v>2010</v>
      </c>
      <c r="F358" s="3262" t="n">
        <v>530</v>
      </c>
      <c r="G358" s="3279" t="n">
        <v>1230</v>
      </c>
    </row>
    <row r="359" s="173" customFormat="true" ht="11.25" hidden="false" customHeight="false" outlineLevel="0" collapsed="false">
      <c r="A359" s="3267" t="s">
        <v>292</v>
      </c>
      <c r="B359" s="3267" t="s">
        <v>2034</v>
      </c>
      <c r="C359" s="3267" t="n">
        <v>1850</v>
      </c>
      <c r="D359" s="3267" t="n">
        <v>1820</v>
      </c>
      <c r="E359" s="3267" t="n">
        <v>1780</v>
      </c>
      <c r="F359" s="3267" t="n">
        <v>520</v>
      </c>
      <c r="G359" s="3280" t="n">
        <v>1100</v>
      </c>
    </row>
    <row r="360" s="173" customFormat="true" ht="11.25" hidden="false" customHeight="false" outlineLevel="0" collapsed="false">
      <c r="A360" s="3267" t="s">
        <v>292</v>
      </c>
      <c r="B360" s="3267" t="s">
        <v>2047</v>
      </c>
      <c r="C360" s="3267" t="n">
        <v>2020</v>
      </c>
      <c r="D360" s="3267" t="n">
        <v>1990</v>
      </c>
      <c r="E360" s="3267" t="n">
        <v>1950</v>
      </c>
      <c r="F360" s="3267" t="n">
        <v>500</v>
      </c>
      <c r="G360" s="3280" t="n">
        <v>1200</v>
      </c>
    </row>
    <row r="361" s="173" customFormat="true" ht="11.25" hidden="false" customHeight="false" outlineLevel="0" collapsed="false">
      <c r="A361" s="3267" t="s">
        <v>292</v>
      </c>
      <c r="B361" s="3267" t="s">
        <v>2059</v>
      </c>
      <c r="C361" s="3267" t="n">
        <v>2260</v>
      </c>
      <c r="D361" s="3267" t="n">
        <v>2220</v>
      </c>
      <c r="E361" s="3267" t="n">
        <v>2180</v>
      </c>
      <c r="F361" s="3267" t="n">
        <v>580</v>
      </c>
      <c r="G361" s="3280" t="n">
        <v>1340</v>
      </c>
    </row>
    <row r="362" s="173" customFormat="true" ht="11.25" hidden="false" customHeight="false" outlineLevel="0" collapsed="false">
      <c r="A362" s="3267" t="s">
        <v>292</v>
      </c>
      <c r="B362" s="3267" t="s">
        <v>2071</v>
      </c>
      <c r="C362" s="3267" t="n">
        <v>2650</v>
      </c>
      <c r="D362" s="3267" t="n">
        <v>2610</v>
      </c>
      <c r="E362" s="3267" t="n">
        <v>2570</v>
      </c>
      <c r="F362" s="3267" t="n">
        <v>630</v>
      </c>
      <c r="G362" s="3280" t="n">
        <v>1570</v>
      </c>
    </row>
    <row r="363" s="173" customFormat="true" ht="11.25" hidden="false" customHeight="false" outlineLevel="0" collapsed="false">
      <c r="A363" s="3267" t="s">
        <v>292</v>
      </c>
      <c r="B363" s="3267" t="s">
        <v>2082</v>
      </c>
      <c r="C363" s="3267" t="n">
        <v>2390</v>
      </c>
      <c r="D363" s="3267" t="n">
        <v>2360</v>
      </c>
      <c r="E363" s="3267" t="n">
        <v>2320</v>
      </c>
      <c r="F363" s="3267" t="n">
        <v>600</v>
      </c>
      <c r="G363" s="3280" t="n">
        <v>1420</v>
      </c>
    </row>
    <row r="364" s="173" customFormat="true" ht="11.25" hidden="false" customHeight="false" outlineLevel="0" collapsed="false">
      <c r="A364" s="3267" t="s">
        <v>292</v>
      </c>
      <c r="B364" s="3267" t="s">
        <v>2093</v>
      </c>
      <c r="C364" s="3267" t="n">
        <v>2050</v>
      </c>
      <c r="D364" s="3267" t="n">
        <v>2030</v>
      </c>
      <c r="E364" s="3267" t="n">
        <v>1990</v>
      </c>
      <c r="F364" s="3267" t="n">
        <v>550</v>
      </c>
      <c r="G364" s="3280" t="n">
        <v>1220</v>
      </c>
    </row>
    <row r="365" s="173" customFormat="true" ht="11.25" hidden="false" customHeight="false" outlineLevel="0" collapsed="false">
      <c r="A365" s="3267" t="s">
        <v>292</v>
      </c>
      <c r="B365" s="3267" t="s">
        <v>2104</v>
      </c>
      <c r="C365" s="3267" t="n">
        <v>2140</v>
      </c>
      <c r="D365" s="3267" t="n">
        <v>2100</v>
      </c>
      <c r="E365" s="3267" t="n">
        <v>2060</v>
      </c>
      <c r="F365" s="3267" t="n">
        <v>540</v>
      </c>
      <c r="G365" s="3280" t="n">
        <v>1270</v>
      </c>
    </row>
    <row r="366" s="173" customFormat="true" ht="11.25" hidden="false" customHeight="false" outlineLevel="0" collapsed="false">
      <c r="A366" s="3267" t="s">
        <v>292</v>
      </c>
      <c r="B366" s="3267" t="s">
        <v>2114</v>
      </c>
      <c r="C366" s="3267" t="n">
        <v>2410</v>
      </c>
      <c r="D366" s="3267" t="n">
        <v>2370</v>
      </c>
      <c r="E366" s="3267" t="n">
        <v>2330</v>
      </c>
      <c r="F366" s="3267" t="n">
        <v>570</v>
      </c>
      <c r="G366" s="3280" t="n">
        <v>1440</v>
      </c>
    </row>
    <row r="367" s="173" customFormat="true" ht="11.25" hidden="false" customHeight="false" outlineLevel="0" collapsed="false">
      <c r="A367" s="3267" t="s">
        <v>292</v>
      </c>
      <c r="B367" s="3267" t="s">
        <v>2124</v>
      </c>
      <c r="C367" s="3267" t="n">
        <v>2300</v>
      </c>
      <c r="D367" s="3267" t="n">
        <v>2260</v>
      </c>
      <c r="E367" s="3267" t="n">
        <v>2220</v>
      </c>
      <c r="F367" s="3267" t="n">
        <v>560</v>
      </c>
      <c r="G367" s="3280" t="n">
        <v>1370</v>
      </c>
    </row>
    <row r="368" s="173" customFormat="true" ht="11.25" hidden="false" customHeight="false" outlineLevel="0" collapsed="false">
      <c r="A368" s="3267" t="s">
        <v>292</v>
      </c>
      <c r="B368" s="3267" t="s">
        <v>2134</v>
      </c>
      <c r="C368" s="3267" t="n">
        <v>2430</v>
      </c>
      <c r="D368" s="3267" t="n">
        <v>2390</v>
      </c>
      <c r="E368" s="3267" t="n">
        <v>2350</v>
      </c>
      <c r="F368" s="3267" t="n">
        <v>570</v>
      </c>
      <c r="G368" s="3280" t="n">
        <v>1450</v>
      </c>
    </row>
    <row r="369" s="173" customFormat="true" ht="11.25" hidden="false" customHeight="false" outlineLevel="0" collapsed="false">
      <c r="A369" s="3267" t="s">
        <v>292</v>
      </c>
      <c r="B369" s="3267" t="s">
        <v>2144</v>
      </c>
      <c r="C369" s="3267" t="n">
        <v>2320</v>
      </c>
      <c r="D369" s="3267" t="n">
        <v>2290</v>
      </c>
      <c r="E369" s="3267" t="n">
        <v>2250</v>
      </c>
      <c r="F369" s="3267" t="n">
        <v>550</v>
      </c>
      <c r="G369" s="3280" t="n">
        <v>1380</v>
      </c>
    </row>
    <row r="370" s="173" customFormat="true" ht="11.25" hidden="false" customHeight="false" outlineLevel="0" collapsed="false">
      <c r="A370" s="3267" t="s">
        <v>292</v>
      </c>
      <c r="B370" s="3267" t="s">
        <v>2154</v>
      </c>
      <c r="C370" s="3267" t="n">
        <v>2190</v>
      </c>
      <c r="D370" s="3267" t="n">
        <v>2170</v>
      </c>
      <c r="E370" s="3267" t="n">
        <v>2130</v>
      </c>
      <c r="F370" s="3267" t="n">
        <v>530</v>
      </c>
      <c r="G370" s="3280" t="n">
        <v>1310</v>
      </c>
    </row>
    <row r="371" s="173" customFormat="true" ht="11.25" hidden="false" customHeight="false" outlineLevel="0" collapsed="false">
      <c r="A371" s="3267" t="s">
        <v>292</v>
      </c>
      <c r="B371" s="3267" t="s">
        <v>2164</v>
      </c>
      <c r="C371" s="3267" t="n">
        <v>2460</v>
      </c>
      <c r="D371" s="3267" t="n">
        <v>2420</v>
      </c>
      <c r="E371" s="3267" t="n">
        <v>2370</v>
      </c>
      <c r="F371" s="3267" t="n">
        <v>560</v>
      </c>
      <c r="G371" s="3280" t="n">
        <v>1470</v>
      </c>
    </row>
    <row r="372" s="173" customFormat="true" ht="11.25" hidden="false" customHeight="false" outlineLevel="0" collapsed="false">
      <c r="A372" s="3267" t="s">
        <v>292</v>
      </c>
      <c r="B372" s="3267" t="s">
        <v>2174</v>
      </c>
      <c r="C372" s="3267" t="n">
        <v>2250</v>
      </c>
      <c r="D372" s="3267" t="n">
        <v>2210</v>
      </c>
      <c r="E372" s="3267" t="n">
        <v>2180</v>
      </c>
      <c r="F372" s="3267" t="n">
        <v>550</v>
      </c>
      <c r="G372" s="3280" t="n">
        <v>1340</v>
      </c>
    </row>
    <row r="373" s="173" customFormat="true" ht="11.25" hidden="false" customHeight="false" outlineLevel="0" collapsed="false">
      <c r="A373" s="3267" t="s">
        <v>292</v>
      </c>
      <c r="B373" s="3267" t="s">
        <v>2184</v>
      </c>
      <c r="C373" s="3267" t="n">
        <v>2210</v>
      </c>
      <c r="D373" s="3267" t="n">
        <v>2190</v>
      </c>
      <c r="E373" s="3267" t="n">
        <v>2150</v>
      </c>
      <c r="F373" s="3267" t="n">
        <v>530</v>
      </c>
      <c r="G373" s="3280" t="n">
        <v>1320</v>
      </c>
    </row>
    <row r="374" s="173" customFormat="true" ht="11.25" hidden="false" customHeight="false" outlineLevel="0" collapsed="false">
      <c r="A374" s="3267" t="s">
        <v>292</v>
      </c>
      <c r="B374" s="3267" t="s">
        <v>2194</v>
      </c>
      <c r="C374" s="3267" t="n">
        <v>2320</v>
      </c>
      <c r="D374" s="3267" t="n">
        <v>2280</v>
      </c>
      <c r="E374" s="3267" t="n">
        <v>2230</v>
      </c>
      <c r="F374" s="3267" t="n">
        <v>580</v>
      </c>
      <c r="G374" s="3280" t="n">
        <v>1380</v>
      </c>
    </row>
    <row r="375" s="173" customFormat="true" ht="11.25" hidden="false" customHeight="false" outlineLevel="0" collapsed="false">
      <c r="A375" s="3267" t="s">
        <v>292</v>
      </c>
      <c r="B375" s="3267" t="s">
        <v>2204</v>
      </c>
      <c r="C375" s="3267" t="n">
        <v>2090</v>
      </c>
      <c r="D375" s="3267" t="n">
        <v>2050</v>
      </c>
      <c r="E375" s="3267" t="n">
        <v>2020</v>
      </c>
      <c r="F375" s="3267" t="n">
        <v>520</v>
      </c>
      <c r="G375" s="3280" t="n">
        <v>1240</v>
      </c>
    </row>
    <row r="376" s="173" customFormat="true" ht="11.25" hidden="false" customHeight="false" outlineLevel="0" collapsed="false">
      <c r="A376" s="3267" t="s">
        <v>292</v>
      </c>
      <c r="B376" s="3267" t="s">
        <v>2214</v>
      </c>
      <c r="C376" s="3267" t="n">
        <v>2010</v>
      </c>
      <c r="D376" s="3267" t="n">
        <v>1980</v>
      </c>
      <c r="E376" s="3267" t="n">
        <v>1940</v>
      </c>
      <c r="F376" s="3267" t="n">
        <v>540</v>
      </c>
      <c r="G376" s="3280" t="n">
        <v>1190</v>
      </c>
    </row>
    <row r="377" s="173" customFormat="true" ht="11.25" hidden="false" customHeight="false" outlineLevel="0" collapsed="false">
      <c r="A377" s="3275" t="s">
        <v>292</v>
      </c>
      <c r="B377" s="3278" t="s">
        <v>2224</v>
      </c>
      <c r="C377" s="3278" t="n">
        <v>1930</v>
      </c>
      <c r="D377" s="3278" t="n">
        <v>1890</v>
      </c>
      <c r="E377" s="3278" t="n">
        <v>1860</v>
      </c>
      <c r="F377" s="3278" t="n">
        <v>530</v>
      </c>
      <c r="G377" s="3283" t="n">
        <v>1150</v>
      </c>
    </row>
    <row r="378" s="173" customFormat="true" ht="11.25" hidden="false" customHeight="false" outlineLevel="0" collapsed="false">
      <c r="A378" s="3284" t="s">
        <v>296</v>
      </c>
      <c r="B378" s="3262" t="s">
        <v>2022</v>
      </c>
      <c r="C378" s="3262" t="n">
        <v>1520</v>
      </c>
      <c r="D378" s="3262" t="n">
        <v>1490</v>
      </c>
      <c r="E378" s="3262" t="n">
        <v>1460</v>
      </c>
      <c r="F378" s="3262" t="n">
        <v>460</v>
      </c>
      <c r="G378" s="3279" t="n">
        <v>940</v>
      </c>
    </row>
    <row r="379" s="173" customFormat="true" ht="11.25" hidden="false" customHeight="false" outlineLevel="0" collapsed="false">
      <c r="A379" s="3285" t="s">
        <v>296</v>
      </c>
      <c r="B379" s="3267" t="s">
        <v>2035</v>
      </c>
      <c r="C379" s="3267" t="n">
        <v>1500</v>
      </c>
      <c r="D379" s="3267" t="n">
        <v>1470</v>
      </c>
      <c r="E379" s="3267" t="n">
        <v>1430</v>
      </c>
      <c r="F379" s="3267" t="n">
        <v>460</v>
      </c>
      <c r="G379" s="3280" t="n">
        <v>920</v>
      </c>
    </row>
    <row r="380" s="173" customFormat="true" ht="11.25" hidden="false" customHeight="false" outlineLevel="0" collapsed="false">
      <c r="A380" s="3285" t="s">
        <v>296</v>
      </c>
      <c r="B380" s="3267" t="s">
        <v>2048</v>
      </c>
      <c r="C380" s="3267" t="n">
        <v>1620</v>
      </c>
      <c r="D380" s="3267" t="n">
        <v>1590</v>
      </c>
      <c r="E380" s="3267" t="n">
        <v>1560</v>
      </c>
      <c r="F380" s="3267" t="n">
        <v>480</v>
      </c>
      <c r="G380" s="3280" t="n">
        <v>1000</v>
      </c>
    </row>
    <row r="381" s="173" customFormat="true" ht="11.25" hidden="false" customHeight="false" outlineLevel="0" collapsed="false">
      <c r="A381" s="3285" t="s">
        <v>296</v>
      </c>
      <c r="B381" s="3267" t="s">
        <v>2060</v>
      </c>
      <c r="C381" s="3267" t="n">
        <v>1460</v>
      </c>
      <c r="D381" s="3267" t="n">
        <v>1430</v>
      </c>
      <c r="E381" s="3267" t="n">
        <v>1390</v>
      </c>
      <c r="F381" s="3267" t="n">
        <v>450</v>
      </c>
      <c r="G381" s="3280" t="n">
        <v>900</v>
      </c>
    </row>
    <row r="382" s="173" customFormat="true" ht="11.25" hidden="false" customHeight="false" outlineLevel="0" collapsed="false">
      <c r="A382" s="3285" t="s">
        <v>296</v>
      </c>
      <c r="B382" s="3267" t="s">
        <v>2072</v>
      </c>
      <c r="C382" s="3267" t="n">
        <v>1310</v>
      </c>
      <c r="D382" s="3267" t="n">
        <v>1280</v>
      </c>
      <c r="E382" s="3267" t="n">
        <v>1250</v>
      </c>
      <c r="F382" s="3267" t="n">
        <v>440</v>
      </c>
      <c r="G382" s="3280" t="n">
        <v>800</v>
      </c>
    </row>
    <row r="383" s="173" customFormat="true" ht="11.25" hidden="false" customHeight="false" outlineLevel="0" collapsed="false">
      <c r="A383" s="3285" t="s">
        <v>296</v>
      </c>
      <c r="B383" s="3267" t="s">
        <v>2083</v>
      </c>
      <c r="C383" s="3267" t="n">
        <v>1260</v>
      </c>
      <c r="D383" s="3267" t="n">
        <v>1230</v>
      </c>
      <c r="E383" s="3267" t="n">
        <v>1200</v>
      </c>
      <c r="F383" s="3267" t="n">
        <v>420</v>
      </c>
      <c r="G383" s="3280" t="n">
        <v>770</v>
      </c>
    </row>
    <row r="384" s="173" customFormat="true" ht="11.25" hidden="false" customHeight="false" outlineLevel="0" collapsed="false">
      <c r="A384" s="3286" t="s">
        <v>296</v>
      </c>
      <c r="B384" s="3274" t="s">
        <v>2094</v>
      </c>
      <c r="C384" s="3274" t="n">
        <v>1170</v>
      </c>
      <c r="D384" s="3274" t="n">
        <v>1140</v>
      </c>
      <c r="E384" s="3274" t="n">
        <v>1120</v>
      </c>
      <c r="F384" s="3274" t="n">
        <v>400</v>
      </c>
      <c r="G384" s="3282" t="n">
        <v>710</v>
      </c>
    </row>
  </sheetData>
  <sheetProtection sheet="true" password="cee9" objects="true" scenarios="true" formatCells="false" formatColumns="false" formatRows="false"/>
  <mergeCells count="2">
    <mergeCell ref="A1:G1"/>
    <mergeCell ref="A3:A4"/>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2.xml><?xml version="1.0" encoding="utf-8"?>
<worksheet xmlns="http://schemas.openxmlformats.org/spreadsheetml/2006/main" xmlns:r="http://schemas.openxmlformats.org/officeDocument/2006/relationships">
  <sheetPr filterMode="false">
    <pageSetUpPr fitToPage="false"/>
  </sheetPr>
  <dimension ref="A1:G384"/>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RowHeight="13.5" zeroHeight="false" outlineLevelRow="0" outlineLevelCol="0"/>
  <cols>
    <col collapsed="false" customWidth="true" hidden="false" outlineLevel="0" max="1" min="1" style="3287" width="12.62"/>
    <col collapsed="false" customWidth="true" hidden="false" outlineLevel="0" max="2" min="2" style="3287" width="20.01"/>
    <col collapsed="false" customWidth="true" hidden="false" outlineLevel="0" max="7" min="3" style="3288" width="8.88"/>
    <col collapsed="false" customWidth="true" hidden="false" outlineLevel="0" max="1025" min="8" style="3289" width="8.88"/>
  </cols>
  <sheetData>
    <row r="1" customFormat="false" ht="13.5" hidden="false" customHeight="false" outlineLevel="0" collapsed="false">
      <c r="A1" s="3290" t="s">
        <v>2393</v>
      </c>
      <c r="B1" s="3290"/>
    </row>
    <row r="2" customFormat="false" ht="13.5" hidden="false" customHeight="false" outlineLevel="0" collapsed="false">
      <c r="A2" s="3291"/>
      <c r="B2" s="3291"/>
    </row>
    <row r="3" customFormat="false" ht="13.5" hidden="false" customHeight="false" outlineLevel="0" collapsed="false">
      <c r="A3" s="3291"/>
      <c r="B3" s="3291"/>
      <c r="C3" s="3292" t="s">
        <v>157</v>
      </c>
      <c r="D3" s="3292" t="s">
        <v>158</v>
      </c>
      <c r="E3" s="3292" t="s">
        <v>156</v>
      </c>
      <c r="F3" s="3292" t="s">
        <v>159</v>
      </c>
      <c r="G3" s="3292" t="s">
        <v>276</v>
      </c>
    </row>
    <row r="4" customFormat="false" ht="13.5" hidden="false" customHeight="false" outlineLevel="0" collapsed="false">
      <c r="A4" s="3293" t="s">
        <v>2023</v>
      </c>
      <c r="B4" s="3294" t="s">
        <v>472</v>
      </c>
      <c r="C4" s="3292"/>
      <c r="D4" s="3292"/>
      <c r="E4" s="3292"/>
      <c r="F4" s="3292"/>
      <c r="G4" s="3292"/>
    </row>
    <row r="5" customFormat="false" ht="13.5" hidden="false" customHeight="false" outlineLevel="0" collapsed="false">
      <c r="A5" s="3295" t="s">
        <v>226</v>
      </c>
      <c r="B5" s="3296" t="s">
        <v>2011</v>
      </c>
      <c r="C5" s="3297" t="n">
        <v>0.098</v>
      </c>
      <c r="D5" s="3297" t="n">
        <v>0.087</v>
      </c>
      <c r="E5" s="3297" t="n">
        <v>0.087</v>
      </c>
      <c r="F5" s="3297" t="n">
        <v>0.098</v>
      </c>
      <c r="G5" s="3298" t="n">
        <v>0.095</v>
      </c>
    </row>
    <row r="6" customFormat="false" ht="13.5" hidden="false" customHeight="false" outlineLevel="0" collapsed="false">
      <c r="A6" s="3299" t="s">
        <v>226</v>
      </c>
      <c r="B6" s="3300" t="s">
        <v>2024</v>
      </c>
      <c r="C6" s="3301" t="n">
        <v>0.098</v>
      </c>
      <c r="D6" s="3301" t="n">
        <v>0.098</v>
      </c>
      <c r="E6" s="3301" t="n">
        <v>0.098</v>
      </c>
      <c r="F6" s="3301" t="n">
        <v>0.1</v>
      </c>
      <c r="G6" s="3302" t="n">
        <v>0.099</v>
      </c>
    </row>
    <row r="7" customFormat="false" ht="13.5" hidden="false" customHeight="false" outlineLevel="0" collapsed="false">
      <c r="A7" s="3299" t="s">
        <v>226</v>
      </c>
      <c r="B7" s="3300" t="s">
        <v>2037</v>
      </c>
      <c r="C7" s="3301" t="n">
        <v>0.097</v>
      </c>
      <c r="D7" s="3301" t="n">
        <v>0.097</v>
      </c>
      <c r="E7" s="3301" t="n">
        <v>0.096</v>
      </c>
      <c r="F7" s="3301" t="n">
        <v>0.1</v>
      </c>
      <c r="G7" s="3302" t="n">
        <v>0.098</v>
      </c>
    </row>
    <row r="8" customFormat="false" ht="13.5" hidden="false" customHeight="false" outlineLevel="0" collapsed="false">
      <c r="A8" s="3299" t="s">
        <v>226</v>
      </c>
      <c r="B8" s="3300" t="s">
        <v>2049</v>
      </c>
      <c r="C8" s="3301" t="n">
        <v>0.081</v>
      </c>
      <c r="D8" s="3301" t="n">
        <v>0.082</v>
      </c>
      <c r="E8" s="3301" t="n">
        <v>0.07</v>
      </c>
      <c r="F8" s="3301" t="n">
        <v>0.096</v>
      </c>
      <c r="G8" s="3302" t="n">
        <v>0.089</v>
      </c>
    </row>
    <row r="9" customFormat="false" ht="13.5" hidden="false" customHeight="false" outlineLevel="0" collapsed="false">
      <c r="A9" s="3303" t="s">
        <v>226</v>
      </c>
      <c r="B9" s="3304" t="s">
        <v>2061</v>
      </c>
      <c r="C9" s="3305" t="n">
        <v>0.1</v>
      </c>
      <c r="D9" s="3305" t="n">
        <v>0.1</v>
      </c>
      <c r="E9" s="3305" t="n">
        <v>0.1</v>
      </c>
      <c r="F9" s="3306"/>
      <c r="G9" s="3307" t="n">
        <v>0.1</v>
      </c>
    </row>
    <row r="10" customFormat="false" ht="13.5" hidden="false" customHeight="false" outlineLevel="0" collapsed="false">
      <c r="A10" s="3295" t="s">
        <v>237</v>
      </c>
      <c r="B10" s="3296" t="s">
        <v>2012</v>
      </c>
      <c r="C10" s="3297" t="n">
        <v>0.067</v>
      </c>
      <c r="D10" s="3297" t="n">
        <v>0.079</v>
      </c>
      <c r="E10" s="3297" t="n">
        <v>0.079</v>
      </c>
      <c r="F10" s="3297" t="n">
        <v>0.1</v>
      </c>
      <c r="G10" s="3298" t="n">
        <v>0.091</v>
      </c>
    </row>
    <row r="11" customFormat="false" ht="13.5" hidden="false" customHeight="false" outlineLevel="0" collapsed="false">
      <c r="A11" s="3299" t="s">
        <v>237</v>
      </c>
      <c r="B11" s="3300" t="s">
        <v>2025</v>
      </c>
      <c r="C11" s="3301" t="n">
        <v>0.05</v>
      </c>
      <c r="D11" s="3301" t="n">
        <v>0.053</v>
      </c>
      <c r="E11" s="3301" t="n">
        <v>0.063</v>
      </c>
      <c r="F11" s="3301" t="n">
        <v>0.1</v>
      </c>
      <c r="G11" s="3302" t="n">
        <v>0.072</v>
      </c>
    </row>
    <row r="12" customFormat="false" ht="13.5" hidden="false" customHeight="false" outlineLevel="0" collapsed="false">
      <c r="A12" s="3299" t="s">
        <v>237</v>
      </c>
      <c r="B12" s="3300" t="s">
        <v>2038</v>
      </c>
      <c r="C12" s="3301" t="n">
        <v>0.053</v>
      </c>
      <c r="D12" s="3301" t="n">
        <v>0.09</v>
      </c>
      <c r="E12" s="3301" t="n">
        <v>0.072</v>
      </c>
      <c r="F12" s="3301" t="n">
        <v>0.1</v>
      </c>
      <c r="G12" s="3302" t="n">
        <v>0.097</v>
      </c>
    </row>
    <row r="13" customFormat="false" ht="13.5" hidden="false" customHeight="false" outlineLevel="0" collapsed="false">
      <c r="A13" s="3299" t="s">
        <v>237</v>
      </c>
      <c r="B13" s="3300" t="s">
        <v>2050</v>
      </c>
      <c r="C13" s="3301" t="n">
        <v>0.097</v>
      </c>
      <c r="D13" s="3301" t="n">
        <v>0.092</v>
      </c>
      <c r="E13" s="3301" t="n">
        <v>0.095</v>
      </c>
      <c r="F13" s="3301" t="n">
        <v>0.1</v>
      </c>
      <c r="G13" s="3302" t="n">
        <v>0.097</v>
      </c>
    </row>
    <row r="14" customFormat="false" ht="13.5" hidden="false" customHeight="false" outlineLevel="0" collapsed="false">
      <c r="A14" s="3299" t="s">
        <v>237</v>
      </c>
      <c r="B14" s="3300" t="s">
        <v>2062</v>
      </c>
      <c r="C14" s="3301" t="n">
        <v>0.097</v>
      </c>
      <c r="D14" s="3301" t="n">
        <v>0.097</v>
      </c>
      <c r="E14" s="3301" t="n">
        <v>0.097</v>
      </c>
      <c r="F14" s="3301" t="n">
        <v>0.1</v>
      </c>
      <c r="G14" s="3302" t="n">
        <v>0.098</v>
      </c>
    </row>
    <row r="15" customFormat="false" ht="13.5" hidden="false" customHeight="false" outlineLevel="0" collapsed="false">
      <c r="A15" s="3299" t="s">
        <v>237</v>
      </c>
      <c r="B15" s="3300" t="s">
        <v>2073</v>
      </c>
      <c r="C15" s="3301" t="n">
        <v>0.098</v>
      </c>
      <c r="D15" s="3301" t="n">
        <v>0.091</v>
      </c>
      <c r="E15" s="3301" t="n">
        <v>0.06</v>
      </c>
      <c r="F15" s="3301" t="n">
        <v>0.1</v>
      </c>
      <c r="G15" s="3302" t="n">
        <v>0.097</v>
      </c>
    </row>
    <row r="16" customFormat="false" ht="13.5" hidden="false" customHeight="false" outlineLevel="0" collapsed="false">
      <c r="A16" s="3299" t="s">
        <v>237</v>
      </c>
      <c r="B16" s="3300" t="s">
        <v>2084</v>
      </c>
      <c r="C16" s="3301" t="n">
        <v>0.098</v>
      </c>
      <c r="D16" s="3301" t="n">
        <v>0.097</v>
      </c>
      <c r="E16" s="3301" t="n">
        <v>0.095</v>
      </c>
      <c r="F16" s="3301" t="n">
        <v>0.1</v>
      </c>
      <c r="G16" s="3302" t="n">
        <v>0.099</v>
      </c>
    </row>
    <row r="17" customFormat="false" ht="13.5" hidden="false" customHeight="false" outlineLevel="0" collapsed="false">
      <c r="A17" s="3299" t="s">
        <v>237</v>
      </c>
      <c r="B17" s="3300" t="s">
        <v>2095</v>
      </c>
      <c r="C17" s="3301" t="n">
        <v>0.089</v>
      </c>
      <c r="D17" s="3301" t="n">
        <v>0.092</v>
      </c>
      <c r="E17" s="3301" t="n">
        <v>0.061</v>
      </c>
      <c r="F17" s="3301" t="n">
        <v>0.1</v>
      </c>
      <c r="G17" s="3302" t="n">
        <v>0.097</v>
      </c>
    </row>
    <row r="18" customFormat="false" ht="13.5" hidden="false" customHeight="false" outlineLevel="0" collapsed="false">
      <c r="A18" s="3299" t="s">
        <v>237</v>
      </c>
      <c r="B18" s="3300" t="s">
        <v>2105</v>
      </c>
      <c r="C18" s="3301" t="n">
        <v>0.098</v>
      </c>
      <c r="D18" s="3301" t="n">
        <v>0.098</v>
      </c>
      <c r="E18" s="3301" t="n">
        <v>0.098</v>
      </c>
      <c r="F18" s="3308"/>
      <c r="G18" s="3302" t="n">
        <v>0.099</v>
      </c>
    </row>
    <row r="19" customFormat="false" ht="13.5" hidden="false" customHeight="false" outlineLevel="0" collapsed="false">
      <c r="A19" s="3299" t="s">
        <v>237</v>
      </c>
      <c r="B19" s="3300" t="s">
        <v>2115</v>
      </c>
      <c r="C19" s="3301" t="n">
        <v>0.099</v>
      </c>
      <c r="D19" s="3301" t="n">
        <v>0.074</v>
      </c>
      <c r="E19" s="3301" t="n">
        <v>0.081</v>
      </c>
      <c r="F19" s="3308"/>
      <c r="G19" s="3302" t="n">
        <v>0.093</v>
      </c>
    </row>
    <row r="20" customFormat="false" ht="13.5" hidden="false" customHeight="false" outlineLevel="0" collapsed="false">
      <c r="A20" s="3299" t="s">
        <v>237</v>
      </c>
      <c r="B20" s="3300" t="s">
        <v>2125</v>
      </c>
      <c r="C20" s="3301" t="n">
        <v>0.1</v>
      </c>
      <c r="D20" s="3301" t="n">
        <v>0.089</v>
      </c>
      <c r="E20" s="3301" t="n">
        <v>0.089</v>
      </c>
      <c r="F20" s="3308"/>
      <c r="G20" s="3302" t="n">
        <v>0.095</v>
      </c>
    </row>
    <row r="21" customFormat="false" ht="13.5" hidden="false" customHeight="false" outlineLevel="0" collapsed="false">
      <c r="A21" s="3299" t="s">
        <v>237</v>
      </c>
      <c r="B21" s="3300" t="s">
        <v>2135</v>
      </c>
      <c r="C21" s="3301" t="n">
        <v>0.1</v>
      </c>
      <c r="D21" s="3301" t="n">
        <v>0.091</v>
      </c>
      <c r="E21" s="3301" t="n">
        <v>0.082</v>
      </c>
      <c r="F21" s="3308"/>
      <c r="G21" s="3302" t="n">
        <v>0.097</v>
      </c>
    </row>
    <row r="22" customFormat="false" ht="13.5" hidden="false" customHeight="false" outlineLevel="0" collapsed="false">
      <c r="A22" s="3299" t="s">
        <v>237</v>
      </c>
      <c r="B22" s="3300" t="s">
        <v>2145</v>
      </c>
      <c r="C22" s="3301" t="n">
        <v>0.095</v>
      </c>
      <c r="D22" s="3301" t="n">
        <v>0.099</v>
      </c>
      <c r="E22" s="3301" t="n">
        <v>0.098</v>
      </c>
      <c r="F22" s="3308"/>
      <c r="G22" s="3302" t="n">
        <v>0.1</v>
      </c>
    </row>
    <row r="23" customFormat="false" ht="13.5" hidden="false" customHeight="false" outlineLevel="0" collapsed="false">
      <c r="A23" s="3299" t="s">
        <v>237</v>
      </c>
      <c r="B23" s="3300" t="s">
        <v>2155</v>
      </c>
      <c r="C23" s="3301" t="n">
        <v>0.099</v>
      </c>
      <c r="D23" s="3301" t="n">
        <v>0.1</v>
      </c>
      <c r="E23" s="3301" t="n">
        <v>0.1</v>
      </c>
      <c r="F23" s="3308"/>
      <c r="G23" s="3302" t="n">
        <v>0.1</v>
      </c>
    </row>
    <row r="24" customFormat="false" ht="13.5" hidden="false" customHeight="false" outlineLevel="0" collapsed="false">
      <c r="A24" s="3299" t="s">
        <v>237</v>
      </c>
      <c r="B24" s="3300" t="s">
        <v>2165</v>
      </c>
      <c r="C24" s="3301" t="n">
        <v>0.095</v>
      </c>
      <c r="D24" s="3301" t="n">
        <v>0.1</v>
      </c>
      <c r="E24" s="3301" t="n">
        <v>0.098</v>
      </c>
      <c r="F24" s="3308"/>
      <c r="G24" s="3302" t="n">
        <v>0.1</v>
      </c>
    </row>
    <row r="25" customFormat="false" ht="13.5" hidden="false" customHeight="false" outlineLevel="0" collapsed="false">
      <c r="A25" s="3299" t="s">
        <v>237</v>
      </c>
      <c r="B25" s="3300" t="s">
        <v>2175</v>
      </c>
      <c r="C25" s="3301" t="n">
        <v>0.05</v>
      </c>
      <c r="D25" s="3301" t="n">
        <v>0.096</v>
      </c>
      <c r="E25" s="3301" t="n">
        <v>0.096</v>
      </c>
      <c r="F25" s="3308"/>
      <c r="G25" s="3302" t="n">
        <v>0.096</v>
      </c>
    </row>
    <row r="26" customFormat="false" ht="13.5" hidden="false" customHeight="false" outlineLevel="0" collapsed="false">
      <c r="A26" s="3299" t="s">
        <v>237</v>
      </c>
      <c r="B26" s="3300" t="s">
        <v>2185</v>
      </c>
      <c r="C26" s="3301" t="n">
        <v>0.063</v>
      </c>
      <c r="D26" s="3301" t="n">
        <v>0.099</v>
      </c>
      <c r="E26" s="3301" t="n">
        <v>0.098</v>
      </c>
      <c r="F26" s="3308"/>
      <c r="G26" s="3302" t="n">
        <v>0.1</v>
      </c>
    </row>
    <row r="27" customFormat="false" ht="13.5" hidden="false" customHeight="false" outlineLevel="0" collapsed="false">
      <c r="A27" s="3299" t="s">
        <v>237</v>
      </c>
      <c r="B27" s="3300" t="s">
        <v>2195</v>
      </c>
      <c r="C27" s="3301" t="n">
        <v>0.052</v>
      </c>
      <c r="D27" s="3301" t="n">
        <v>0.095</v>
      </c>
      <c r="E27" s="3301" t="n">
        <v>0.064</v>
      </c>
      <c r="F27" s="3308"/>
      <c r="G27" s="3302" t="n">
        <v>0.097</v>
      </c>
    </row>
    <row r="28" customFormat="false" ht="13.5" hidden="false" customHeight="false" outlineLevel="0" collapsed="false">
      <c r="A28" s="3299" t="s">
        <v>237</v>
      </c>
      <c r="B28" s="3300" t="s">
        <v>2205</v>
      </c>
      <c r="C28" s="3308"/>
      <c r="D28" s="3301" t="n">
        <v>0.063</v>
      </c>
      <c r="E28" s="3301" t="n">
        <v>0.052</v>
      </c>
      <c r="F28" s="3308"/>
      <c r="G28" s="3302" t="n">
        <v>0.063</v>
      </c>
    </row>
    <row r="29" customFormat="false" ht="13.5" hidden="false" customHeight="false" outlineLevel="0" collapsed="false">
      <c r="A29" s="3303" t="s">
        <v>237</v>
      </c>
      <c r="B29" s="3304" t="s">
        <v>2215</v>
      </c>
      <c r="C29" s="3309"/>
      <c r="D29" s="3305" t="n">
        <v>0.052</v>
      </c>
      <c r="E29" s="3305" t="n">
        <v>0.07</v>
      </c>
      <c r="F29" s="3309"/>
      <c r="G29" s="3307" t="n">
        <v>0.071</v>
      </c>
    </row>
    <row r="30" customFormat="false" ht="13.5" hidden="false" customHeight="false" outlineLevel="0" collapsed="false">
      <c r="A30" s="3310" t="s">
        <v>247</v>
      </c>
      <c r="B30" s="3296" t="s">
        <v>2013</v>
      </c>
      <c r="C30" s="3297" t="n">
        <v>0.066</v>
      </c>
      <c r="D30" s="3297" t="n">
        <v>0.066</v>
      </c>
      <c r="E30" s="3297" t="n">
        <v>0.057</v>
      </c>
      <c r="F30" s="3297" t="n">
        <v>0.1</v>
      </c>
      <c r="G30" s="3298" t="n">
        <v>0.068</v>
      </c>
    </row>
    <row r="31" customFormat="false" ht="13.5" hidden="false" customHeight="false" outlineLevel="0" collapsed="false">
      <c r="A31" s="3311" t="s">
        <v>247</v>
      </c>
      <c r="B31" s="3300" t="s">
        <v>2026</v>
      </c>
      <c r="C31" s="3301" t="n">
        <v>0.055</v>
      </c>
      <c r="D31" s="3301" t="n">
        <v>0.082</v>
      </c>
      <c r="E31" s="3301" t="n">
        <v>0.064</v>
      </c>
      <c r="F31" s="3301" t="n">
        <v>0.1</v>
      </c>
      <c r="G31" s="3302" t="n">
        <v>0.095</v>
      </c>
    </row>
    <row r="32" customFormat="false" ht="13.5" hidden="false" customHeight="false" outlineLevel="0" collapsed="false">
      <c r="A32" s="3311" t="s">
        <v>247</v>
      </c>
      <c r="B32" s="3300" t="s">
        <v>2039</v>
      </c>
      <c r="C32" s="3301" t="n">
        <v>0.082</v>
      </c>
      <c r="D32" s="3301" t="n">
        <v>0.087</v>
      </c>
      <c r="E32" s="3301" t="n">
        <v>0.095</v>
      </c>
      <c r="F32" s="3301" t="n">
        <v>0.1</v>
      </c>
      <c r="G32" s="3302" t="n">
        <v>0.096</v>
      </c>
    </row>
    <row r="33" customFormat="false" ht="13.5" hidden="false" customHeight="false" outlineLevel="0" collapsed="false">
      <c r="A33" s="3311" t="s">
        <v>247</v>
      </c>
      <c r="B33" s="3300" t="s">
        <v>2051</v>
      </c>
      <c r="C33" s="3301" t="n">
        <v>0.099</v>
      </c>
      <c r="D33" s="3301" t="n">
        <v>0.092</v>
      </c>
      <c r="E33" s="3301" t="n">
        <v>0.087</v>
      </c>
      <c r="F33" s="3301" t="n">
        <v>0.1</v>
      </c>
      <c r="G33" s="3302" t="n">
        <v>0.097</v>
      </c>
    </row>
    <row r="34" customFormat="false" ht="13.5" hidden="false" customHeight="false" outlineLevel="0" collapsed="false">
      <c r="A34" s="3311" t="s">
        <v>247</v>
      </c>
      <c r="B34" s="3300" t="s">
        <v>2063</v>
      </c>
      <c r="C34" s="3301" t="n">
        <v>0.084</v>
      </c>
      <c r="D34" s="3301" t="n">
        <v>0.097</v>
      </c>
      <c r="E34" s="3301" t="n">
        <v>0.071</v>
      </c>
      <c r="F34" s="3301" t="n">
        <v>0.1</v>
      </c>
      <c r="G34" s="3302" t="n">
        <v>0.098</v>
      </c>
    </row>
    <row r="35" customFormat="false" ht="13.5" hidden="false" customHeight="false" outlineLevel="0" collapsed="false">
      <c r="A35" s="3311" t="s">
        <v>247</v>
      </c>
      <c r="B35" s="3300" t="s">
        <v>2074</v>
      </c>
      <c r="C35" s="3301" t="n">
        <v>0.083</v>
      </c>
      <c r="D35" s="3301" t="n">
        <v>0.097</v>
      </c>
      <c r="E35" s="3301" t="n">
        <v>0.061</v>
      </c>
      <c r="F35" s="3301" t="n">
        <v>0.1</v>
      </c>
      <c r="G35" s="3302" t="n">
        <v>0.099</v>
      </c>
    </row>
    <row r="36" customFormat="false" ht="13.5" hidden="false" customHeight="false" outlineLevel="0" collapsed="false">
      <c r="A36" s="3311" t="s">
        <v>247</v>
      </c>
      <c r="B36" s="3300" t="s">
        <v>2085</v>
      </c>
      <c r="C36" s="3301" t="n">
        <v>0.097</v>
      </c>
      <c r="D36" s="3301" t="n">
        <v>0.097</v>
      </c>
      <c r="E36" s="3301" t="n">
        <v>0.078</v>
      </c>
      <c r="F36" s="3301" t="n">
        <v>0.1</v>
      </c>
      <c r="G36" s="3302" t="n">
        <v>0.099</v>
      </c>
    </row>
    <row r="37" customFormat="false" ht="13.5" hidden="false" customHeight="false" outlineLevel="0" collapsed="false">
      <c r="A37" s="3311" t="s">
        <v>247</v>
      </c>
      <c r="B37" s="3300" t="s">
        <v>2096</v>
      </c>
      <c r="C37" s="3301" t="n">
        <v>0.097</v>
      </c>
      <c r="D37" s="3301" t="n">
        <v>0.095</v>
      </c>
      <c r="E37" s="3301" t="n">
        <v>0.078</v>
      </c>
      <c r="F37" s="3301" t="n">
        <v>0.1</v>
      </c>
      <c r="G37" s="3302" t="n">
        <v>0.097</v>
      </c>
    </row>
    <row r="38" customFormat="false" ht="13.5" hidden="false" customHeight="false" outlineLevel="0" collapsed="false">
      <c r="A38" s="3311" t="s">
        <v>247</v>
      </c>
      <c r="B38" s="3300" t="s">
        <v>2106</v>
      </c>
      <c r="C38" s="3301" t="n">
        <v>0.097</v>
      </c>
      <c r="D38" s="3301" t="n">
        <v>0.077</v>
      </c>
      <c r="E38" s="3301" t="n">
        <v>0.07</v>
      </c>
      <c r="F38" s="3301" t="n">
        <v>0.1</v>
      </c>
      <c r="G38" s="3302" t="n">
        <v>0.077</v>
      </c>
    </row>
    <row r="39" customFormat="false" ht="13.5" hidden="false" customHeight="false" outlineLevel="0" collapsed="false">
      <c r="A39" s="3311" t="s">
        <v>247</v>
      </c>
      <c r="B39" s="3300" t="s">
        <v>2116</v>
      </c>
      <c r="C39" s="3301" t="n">
        <v>0.095</v>
      </c>
      <c r="D39" s="3301" t="n">
        <v>0.077</v>
      </c>
      <c r="E39" s="3301" t="n">
        <v>0.066</v>
      </c>
      <c r="F39" s="3301" t="n">
        <v>0.1</v>
      </c>
      <c r="G39" s="3302" t="n">
        <v>0.086</v>
      </c>
    </row>
    <row r="40" customFormat="false" ht="13.5" hidden="false" customHeight="false" outlineLevel="0" collapsed="false">
      <c r="A40" s="3311" t="s">
        <v>247</v>
      </c>
      <c r="B40" s="3300" t="s">
        <v>2126</v>
      </c>
      <c r="C40" s="3301" t="n">
        <v>0.077</v>
      </c>
      <c r="D40" s="3301" t="n">
        <v>0.078</v>
      </c>
      <c r="E40" s="3301" t="n">
        <v>0.082</v>
      </c>
      <c r="F40" s="3312"/>
      <c r="G40" s="3302" t="n">
        <v>0.078</v>
      </c>
    </row>
    <row r="41" customFormat="false" ht="13.5" hidden="false" customHeight="false" outlineLevel="0" collapsed="false">
      <c r="A41" s="3311" t="s">
        <v>247</v>
      </c>
      <c r="B41" s="3300" t="s">
        <v>2136</v>
      </c>
      <c r="C41" s="3301" t="n">
        <v>0.078</v>
      </c>
      <c r="D41" s="3301" t="n">
        <v>0.078</v>
      </c>
      <c r="E41" s="3301" t="n">
        <v>0.082</v>
      </c>
      <c r="F41" s="3312"/>
      <c r="G41" s="3302" t="n">
        <v>0.086</v>
      </c>
    </row>
    <row r="42" customFormat="false" ht="13.5" hidden="false" customHeight="false" outlineLevel="0" collapsed="false">
      <c r="A42" s="3311" t="s">
        <v>247</v>
      </c>
      <c r="B42" s="3300" t="s">
        <v>2146</v>
      </c>
      <c r="C42" s="3301" t="n">
        <v>0.078</v>
      </c>
      <c r="D42" s="3301" t="n">
        <v>0.096</v>
      </c>
      <c r="E42" s="3301" t="n">
        <v>0.072</v>
      </c>
      <c r="F42" s="3312"/>
      <c r="G42" s="3302" t="n">
        <v>0.098</v>
      </c>
    </row>
    <row r="43" customFormat="false" ht="13.5" hidden="false" customHeight="false" outlineLevel="0" collapsed="false">
      <c r="A43" s="3311" t="s">
        <v>247</v>
      </c>
      <c r="B43" s="3300" t="s">
        <v>2156</v>
      </c>
      <c r="C43" s="3301" t="n">
        <v>0.078</v>
      </c>
      <c r="D43" s="3301" t="n">
        <v>0.099</v>
      </c>
      <c r="E43" s="3301" t="n">
        <v>0.096</v>
      </c>
      <c r="F43" s="3312"/>
      <c r="G43" s="3302" t="n">
        <v>0.1</v>
      </c>
    </row>
    <row r="44" customFormat="false" ht="13.5" hidden="false" customHeight="false" outlineLevel="0" collapsed="false">
      <c r="A44" s="3311" t="s">
        <v>247</v>
      </c>
      <c r="B44" s="3300" t="s">
        <v>2166</v>
      </c>
      <c r="C44" s="3301" t="n">
        <v>0.096</v>
      </c>
      <c r="D44" s="3301" t="n">
        <v>0.1</v>
      </c>
      <c r="E44" s="3301" t="n">
        <v>0.098</v>
      </c>
      <c r="F44" s="3312"/>
      <c r="G44" s="3302" t="n">
        <v>0.1</v>
      </c>
    </row>
    <row r="45" customFormat="false" ht="13.5" hidden="false" customHeight="false" outlineLevel="0" collapsed="false">
      <c r="A45" s="3311" t="s">
        <v>247</v>
      </c>
      <c r="B45" s="3300" t="s">
        <v>2176</v>
      </c>
      <c r="C45" s="3301" t="n">
        <v>0.099</v>
      </c>
      <c r="D45" s="3301" t="n">
        <v>0.098</v>
      </c>
      <c r="E45" s="3301" t="n">
        <v>0.095</v>
      </c>
      <c r="F45" s="3312"/>
      <c r="G45" s="3302" t="n">
        <v>0.098</v>
      </c>
    </row>
    <row r="46" customFormat="false" ht="13.5" hidden="false" customHeight="false" outlineLevel="0" collapsed="false">
      <c r="A46" s="3311" t="s">
        <v>247</v>
      </c>
      <c r="B46" s="3300" t="s">
        <v>2186</v>
      </c>
      <c r="C46" s="3301" t="n">
        <v>0.1</v>
      </c>
      <c r="D46" s="3301" t="n">
        <v>0.099</v>
      </c>
      <c r="E46" s="3301" t="n">
        <v>0.096</v>
      </c>
      <c r="F46" s="3312"/>
      <c r="G46" s="3302" t="n">
        <v>0.1</v>
      </c>
    </row>
    <row r="47" customFormat="false" ht="13.5" hidden="false" customHeight="false" outlineLevel="0" collapsed="false">
      <c r="A47" s="3311" t="s">
        <v>247</v>
      </c>
      <c r="B47" s="3300" t="s">
        <v>2196</v>
      </c>
      <c r="C47" s="3301" t="n">
        <v>0.098</v>
      </c>
      <c r="D47" s="3301" t="n">
        <v>0.087</v>
      </c>
      <c r="E47" s="3301" t="n">
        <v>0.059</v>
      </c>
      <c r="F47" s="3312"/>
      <c r="G47" s="3302" t="n">
        <v>0.096</v>
      </c>
    </row>
    <row r="48" customFormat="false" ht="13.5" hidden="false" customHeight="false" outlineLevel="0" collapsed="false">
      <c r="A48" s="3311" t="s">
        <v>247</v>
      </c>
      <c r="B48" s="3300" t="s">
        <v>2206</v>
      </c>
      <c r="C48" s="3301" t="n">
        <v>0.099</v>
      </c>
      <c r="D48" s="3301" t="n">
        <v>0.098</v>
      </c>
      <c r="E48" s="3301" t="n">
        <v>0.095</v>
      </c>
      <c r="F48" s="3312"/>
      <c r="G48" s="3302" t="n">
        <v>0.098</v>
      </c>
    </row>
    <row r="49" customFormat="false" ht="13.5" hidden="false" customHeight="false" outlineLevel="0" collapsed="false">
      <c r="A49" s="3311" t="s">
        <v>247</v>
      </c>
      <c r="B49" s="3300" t="s">
        <v>2216</v>
      </c>
      <c r="C49" s="3301" t="n">
        <v>0.088</v>
      </c>
      <c r="D49" s="3301" t="n">
        <v>0.099</v>
      </c>
      <c r="E49" s="3301" t="n">
        <v>0.07</v>
      </c>
      <c r="F49" s="3312"/>
      <c r="G49" s="3302" t="n">
        <v>0.1</v>
      </c>
    </row>
    <row r="50" customFormat="false" ht="13.5" hidden="false" customHeight="false" outlineLevel="0" collapsed="false">
      <c r="A50" s="3311" t="s">
        <v>247</v>
      </c>
      <c r="B50" s="3300" t="s">
        <v>2225</v>
      </c>
      <c r="C50" s="3301" t="n">
        <v>0.098</v>
      </c>
      <c r="D50" s="3301" t="n">
        <v>0.073</v>
      </c>
      <c r="E50" s="3301" t="n">
        <v>0.071</v>
      </c>
      <c r="F50" s="3312"/>
      <c r="G50" s="3302" t="n">
        <v>0.073</v>
      </c>
    </row>
    <row r="51" customFormat="false" ht="13.5" hidden="false" customHeight="false" outlineLevel="0" collapsed="false">
      <c r="A51" s="3311" t="s">
        <v>247</v>
      </c>
      <c r="B51" s="3300" t="s">
        <v>2233</v>
      </c>
      <c r="C51" s="3301" t="n">
        <v>0.099</v>
      </c>
      <c r="D51" s="3301" t="n">
        <v>0.085</v>
      </c>
      <c r="E51" s="3301" t="n">
        <v>0.063</v>
      </c>
      <c r="F51" s="3312"/>
      <c r="G51" s="3302" t="n">
        <v>0.096</v>
      </c>
    </row>
    <row r="52" customFormat="false" ht="13.5" hidden="false" customHeight="false" outlineLevel="0" collapsed="false">
      <c r="A52" s="3311" t="s">
        <v>247</v>
      </c>
      <c r="B52" s="3300" t="s">
        <v>2241</v>
      </c>
      <c r="C52" s="3301" t="n">
        <v>0.074</v>
      </c>
      <c r="D52" s="3301" t="n">
        <v>0.096</v>
      </c>
      <c r="E52" s="3301" t="n">
        <v>0.05</v>
      </c>
      <c r="F52" s="3312"/>
      <c r="G52" s="3302" t="n">
        <v>0.098</v>
      </c>
    </row>
    <row r="53" customFormat="false" ht="13.5" hidden="false" customHeight="false" outlineLevel="0" collapsed="false">
      <c r="A53" s="3311" t="s">
        <v>247</v>
      </c>
      <c r="B53" s="3300" t="s">
        <v>2249</v>
      </c>
      <c r="C53" s="3301" t="n">
        <v>0.086</v>
      </c>
      <c r="D53" s="3312"/>
      <c r="E53" s="3301" t="n">
        <v>0.092</v>
      </c>
      <c r="F53" s="3312"/>
      <c r="G53" s="3313"/>
    </row>
    <row r="54" customFormat="false" ht="13.5" hidden="false" customHeight="false" outlineLevel="0" collapsed="false">
      <c r="A54" s="3314" t="s">
        <v>247</v>
      </c>
      <c r="B54" s="3304" t="s">
        <v>2257</v>
      </c>
      <c r="C54" s="3305" t="n">
        <v>0.096</v>
      </c>
      <c r="D54" s="3306"/>
      <c r="E54" s="3315"/>
      <c r="F54" s="3306"/>
      <c r="G54" s="3316"/>
    </row>
    <row r="55" customFormat="false" ht="13.5" hidden="false" customHeight="false" outlineLevel="0" collapsed="false">
      <c r="A55" s="3310" t="s">
        <v>255</v>
      </c>
      <c r="B55" s="3296" t="s">
        <v>2014</v>
      </c>
      <c r="C55" s="3297" t="n">
        <v>0.096</v>
      </c>
      <c r="D55" s="3297" t="n">
        <v>0.084</v>
      </c>
      <c r="E55" s="3297" t="n">
        <v>0.092</v>
      </c>
      <c r="F55" s="3297" t="n">
        <v>0.1</v>
      </c>
      <c r="G55" s="3298" t="n">
        <v>0.095</v>
      </c>
    </row>
    <row r="56" customFormat="false" ht="13.5" hidden="false" customHeight="false" outlineLevel="0" collapsed="false">
      <c r="A56" s="3311" t="s">
        <v>255</v>
      </c>
      <c r="B56" s="3300" t="s">
        <v>2027</v>
      </c>
      <c r="C56" s="3301" t="n">
        <v>0.084</v>
      </c>
      <c r="D56" s="3301" t="n">
        <v>0.092</v>
      </c>
      <c r="E56" s="3301" t="n">
        <v>0.095</v>
      </c>
      <c r="F56" s="3301" t="n">
        <v>0.092</v>
      </c>
      <c r="G56" s="3302" t="n">
        <v>0.096</v>
      </c>
    </row>
    <row r="57" customFormat="false" ht="13.5" hidden="false" customHeight="false" outlineLevel="0" collapsed="false">
      <c r="A57" s="3311" t="s">
        <v>255</v>
      </c>
      <c r="B57" s="3300" t="s">
        <v>2040</v>
      </c>
      <c r="C57" s="3301" t="n">
        <v>0.099</v>
      </c>
      <c r="D57" s="3301" t="n">
        <v>0.096</v>
      </c>
      <c r="E57" s="3301" t="n">
        <v>0.092</v>
      </c>
      <c r="F57" s="3301" t="n">
        <v>0.1</v>
      </c>
      <c r="G57" s="3302" t="n">
        <v>0.098</v>
      </c>
    </row>
    <row r="58" customFormat="false" ht="13.5" hidden="false" customHeight="false" outlineLevel="0" collapsed="false">
      <c r="A58" s="3311" t="s">
        <v>255</v>
      </c>
      <c r="B58" s="3300" t="s">
        <v>2052</v>
      </c>
      <c r="C58" s="3301" t="n">
        <v>0.098</v>
      </c>
      <c r="D58" s="3301" t="n">
        <v>0.095</v>
      </c>
      <c r="E58" s="3301" t="n">
        <v>0.057</v>
      </c>
      <c r="F58" s="3301" t="n">
        <v>0.1</v>
      </c>
      <c r="G58" s="3302" t="n">
        <v>0.096</v>
      </c>
    </row>
    <row r="59" customFormat="false" ht="13.5" hidden="false" customHeight="false" outlineLevel="0" collapsed="false">
      <c r="A59" s="3311" t="s">
        <v>255</v>
      </c>
      <c r="B59" s="3300" t="s">
        <v>2064</v>
      </c>
      <c r="C59" s="3301" t="n">
        <v>0.095</v>
      </c>
      <c r="D59" s="3301" t="n">
        <v>0.1</v>
      </c>
      <c r="E59" s="3301" t="n">
        <v>0.075</v>
      </c>
      <c r="F59" s="3301" t="n">
        <v>0.1</v>
      </c>
      <c r="G59" s="3302" t="n">
        <v>0.1</v>
      </c>
    </row>
    <row r="60" customFormat="false" ht="13.5" hidden="false" customHeight="false" outlineLevel="0" collapsed="false">
      <c r="A60" s="3311" t="s">
        <v>255</v>
      </c>
      <c r="B60" s="3300" t="s">
        <v>2075</v>
      </c>
      <c r="C60" s="3301" t="n">
        <v>0.1</v>
      </c>
      <c r="D60" s="3301" t="n">
        <v>0.097</v>
      </c>
      <c r="E60" s="3301" t="n">
        <v>0.1</v>
      </c>
      <c r="F60" s="3301" t="n">
        <v>0.1</v>
      </c>
      <c r="G60" s="3302" t="n">
        <v>0.097</v>
      </c>
    </row>
    <row r="61" customFormat="false" ht="13.5" hidden="false" customHeight="false" outlineLevel="0" collapsed="false">
      <c r="A61" s="3311" t="s">
        <v>255</v>
      </c>
      <c r="B61" s="3300" t="s">
        <v>2086</v>
      </c>
      <c r="C61" s="3301" t="n">
        <v>0.097</v>
      </c>
      <c r="D61" s="3301" t="n">
        <v>0.1</v>
      </c>
      <c r="E61" s="3301" t="n">
        <v>0.093</v>
      </c>
      <c r="F61" s="3301" t="n">
        <v>0.1</v>
      </c>
      <c r="G61" s="3302" t="n">
        <v>0.1</v>
      </c>
    </row>
    <row r="62" customFormat="false" ht="13.5" hidden="false" customHeight="false" outlineLevel="0" collapsed="false">
      <c r="A62" s="3311" t="s">
        <v>255</v>
      </c>
      <c r="B62" s="3300" t="s">
        <v>2097</v>
      </c>
      <c r="C62" s="3301" t="n">
        <v>0.1</v>
      </c>
      <c r="D62" s="3301" t="n">
        <v>0.097</v>
      </c>
      <c r="E62" s="3301" t="n">
        <v>0.089</v>
      </c>
      <c r="F62" s="3301" t="n">
        <v>0.1</v>
      </c>
      <c r="G62" s="3302" t="n">
        <v>0.098</v>
      </c>
    </row>
    <row r="63" customFormat="false" ht="13.5" hidden="false" customHeight="false" outlineLevel="0" collapsed="false">
      <c r="A63" s="3311" t="s">
        <v>255</v>
      </c>
      <c r="B63" s="3300" t="s">
        <v>2107</v>
      </c>
      <c r="C63" s="3301" t="n">
        <v>0.097</v>
      </c>
      <c r="D63" s="3301" t="n">
        <v>0.097</v>
      </c>
      <c r="E63" s="3301" t="n">
        <v>0.099</v>
      </c>
      <c r="F63" s="3301" t="n">
        <v>0.1</v>
      </c>
      <c r="G63" s="3302" t="n">
        <v>0.097</v>
      </c>
    </row>
    <row r="64" customFormat="false" ht="13.5" hidden="false" customHeight="false" outlineLevel="0" collapsed="false">
      <c r="A64" s="3311" t="s">
        <v>255</v>
      </c>
      <c r="B64" s="3300" t="s">
        <v>2117</v>
      </c>
      <c r="C64" s="3301" t="n">
        <v>0.097</v>
      </c>
      <c r="D64" s="3301" t="n">
        <v>0.074</v>
      </c>
      <c r="E64" s="3301" t="n">
        <v>0.078</v>
      </c>
      <c r="F64" s="3301" t="n">
        <v>0.1</v>
      </c>
      <c r="G64" s="3302" t="n">
        <v>0.089</v>
      </c>
    </row>
    <row r="65" customFormat="false" ht="13.5" hidden="false" customHeight="false" outlineLevel="0" collapsed="false">
      <c r="A65" s="3311" t="s">
        <v>255</v>
      </c>
      <c r="B65" s="3300" t="s">
        <v>2127</v>
      </c>
      <c r="C65" s="3301" t="n">
        <v>0.073</v>
      </c>
      <c r="D65" s="3301" t="n">
        <v>0.098</v>
      </c>
      <c r="E65" s="3301" t="n">
        <v>0.095</v>
      </c>
      <c r="F65" s="3301" t="n">
        <v>0.1</v>
      </c>
      <c r="G65" s="3302" t="n">
        <v>0.099</v>
      </c>
    </row>
    <row r="66" customFormat="false" ht="13.5" hidden="false" customHeight="false" outlineLevel="0" collapsed="false">
      <c r="A66" s="3311" t="s">
        <v>255</v>
      </c>
      <c r="B66" s="3300" t="s">
        <v>2137</v>
      </c>
      <c r="C66" s="3301" t="n">
        <v>0.098</v>
      </c>
      <c r="D66" s="3301" t="n">
        <v>0.095</v>
      </c>
      <c r="E66" s="3301" t="n">
        <v>0.05</v>
      </c>
      <c r="F66" s="3301" t="n">
        <v>0.1</v>
      </c>
      <c r="G66" s="3302" t="n">
        <v>0.097</v>
      </c>
    </row>
    <row r="67" customFormat="false" ht="13.5" hidden="false" customHeight="false" outlineLevel="0" collapsed="false">
      <c r="A67" s="3311" t="s">
        <v>255</v>
      </c>
      <c r="B67" s="3300" t="s">
        <v>2147</v>
      </c>
      <c r="C67" s="3301" t="n">
        <v>0.095</v>
      </c>
      <c r="D67" s="3301" t="n">
        <v>0.097</v>
      </c>
      <c r="E67" s="3301" t="n">
        <v>0.097</v>
      </c>
      <c r="F67" s="3301" t="n">
        <v>0.1</v>
      </c>
      <c r="G67" s="3302" t="n">
        <v>0.099</v>
      </c>
    </row>
    <row r="68" customFormat="false" ht="13.5" hidden="false" customHeight="false" outlineLevel="0" collapsed="false">
      <c r="A68" s="3311" t="s">
        <v>255</v>
      </c>
      <c r="B68" s="3300" t="s">
        <v>2157</v>
      </c>
      <c r="C68" s="3301" t="n">
        <v>0.097</v>
      </c>
      <c r="D68" s="3301" t="n">
        <v>0.068</v>
      </c>
      <c r="E68" s="3301" t="n">
        <v>0.066</v>
      </c>
      <c r="F68" s="3301" t="n">
        <v>0.1</v>
      </c>
      <c r="G68" s="3302" t="n">
        <v>0.084</v>
      </c>
    </row>
    <row r="69" customFormat="false" ht="13.5" hidden="false" customHeight="false" outlineLevel="0" collapsed="false">
      <c r="A69" s="3311" t="s">
        <v>255</v>
      </c>
      <c r="B69" s="3300" t="s">
        <v>2167</v>
      </c>
      <c r="C69" s="3301" t="n">
        <v>0.068</v>
      </c>
      <c r="D69" s="3301" t="n">
        <v>0.098</v>
      </c>
      <c r="E69" s="3301" t="n">
        <v>0.095</v>
      </c>
      <c r="F69" s="3301" t="n">
        <v>0.1</v>
      </c>
      <c r="G69" s="3302" t="n">
        <v>0.1</v>
      </c>
    </row>
    <row r="70" customFormat="false" ht="13.5" hidden="false" customHeight="false" outlineLevel="0" collapsed="false">
      <c r="A70" s="3311" t="s">
        <v>255</v>
      </c>
      <c r="B70" s="3300" t="s">
        <v>2177</v>
      </c>
      <c r="C70" s="3301" t="n">
        <v>0.098</v>
      </c>
      <c r="D70" s="3301" t="n">
        <v>0.089</v>
      </c>
      <c r="E70" s="3301" t="n">
        <v>0.059</v>
      </c>
      <c r="F70" s="3301" t="n">
        <v>0.1</v>
      </c>
      <c r="G70" s="3302" t="n">
        <v>0.096</v>
      </c>
    </row>
    <row r="71" customFormat="false" ht="13.5" hidden="false" customHeight="false" outlineLevel="0" collapsed="false">
      <c r="A71" s="3311" t="s">
        <v>255</v>
      </c>
      <c r="B71" s="3300" t="s">
        <v>2187</v>
      </c>
      <c r="C71" s="3301" t="n">
        <v>0.089</v>
      </c>
      <c r="D71" s="3301" t="n">
        <v>0.099</v>
      </c>
      <c r="E71" s="3301" t="n">
        <v>0.096</v>
      </c>
      <c r="F71" s="3301" t="n">
        <v>0.1</v>
      </c>
      <c r="G71" s="3302" t="n">
        <v>0.1</v>
      </c>
    </row>
    <row r="72" customFormat="false" ht="13.5" hidden="false" customHeight="false" outlineLevel="0" collapsed="false">
      <c r="A72" s="3311" t="s">
        <v>255</v>
      </c>
      <c r="B72" s="3300" t="s">
        <v>2197</v>
      </c>
      <c r="C72" s="3301" t="n">
        <v>0.099</v>
      </c>
      <c r="D72" s="3301" t="n">
        <v>0.1</v>
      </c>
      <c r="E72" s="3301" t="n">
        <v>0.07</v>
      </c>
      <c r="F72" s="3312"/>
      <c r="G72" s="3302" t="n">
        <v>0.1</v>
      </c>
    </row>
    <row r="73" customFormat="false" ht="13.5" hidden="false" customHeight="false" outlineLevel="0" collapsed="false">
      <c r="A73" s="3311" t="s">
        <v>255</v>
      </c>
      <c r="B73" s="3300" t="s">
        <v>2207</v>
      </c>
      <c r="C73" s="3301" t="n">
        <v>0.1</v>
      </c>
      <c r="D73" s="3301" t="n">
        <v>0.1</v>
      </c>
      <c r="E73" s="3301" t="n">
        <v>0.096</v>
      </c>
      <c r="F73" s="3312"/>
      <c r="G73" s="3302" t="n">
        <v>0.1</v>
      </c>
    </row>
    <row r="74" customFormat="false" ht="13.5" hidden="false" customHeight="false" outlineLevel="0" collapsed="false">
      <c r="A74" s="3311" t="s">
        <v>255</v>
      </c>
      <c r="B74" s="3300" t="s">
        <v>2217</v>
      </c>
      <c r="C74" s="3301" t="n">
        <v>0.1</v>
      </c>
      <c r="D74" s="3301" t="n">
        <v>0.1</v>
      </c>
      <c r="E74" s="3301" t="n">
        <v>0.098</v>
      </c>
      <c r="F74" s="3312"/>
      <c r="G74" s="3302" t="n">
        <v>0.1</v>
      </c>
    </row>
    <row r="75" customFormat="false" ht="13.5" hidden="false" customHeight="false" outlineLevel="0" collapsed="false">
      <c r="A75" s="3311" t="s">
        <v>255</v>
      </c>
      <c r="B75" s="3300" t="s">
        <v>2226</v>
      </c>
      <c r="C75" s="3301" t="n">
        <v>0.1</v>
      </c>
      <c r="D75" s="3301" t="n">
        <v>0.099</v>
      </c>
      <c r="E75" s="3301" t="n">
        <v>0.098</v>
      </c>
      <c r="F75" s="3312"/>
      <c r="G75" s="3302" t="n">
        <v>0.1</v>
      </c>
    </row>
    <row r="76" customFormat="false" ht="13.5" hidden="false" customHeight="false" outlineLevel="0" collapsed="false">
      <c r="A76" s="3311" t="s">
        <v>255</v>
      </c>
      <c r="B76" s="3300" t="s">
        <v>2234</v>
      </c>
      <c r="C76" s="3301" t="n">
        <v>0.099</v>
      </c>
      <c r="D76" s="3301" t="n">
        <v>0.1</v>
      </c>
      <c r="E76" s="3301" t="n">
        <v>0.097</v>
      </c>
      <c r="F76" s="3312"/>
      <c r="G76" s="3302" t="n">
        <v>0.1</v>
      </c>
    </row>
    <row r="77" customFormat="false" ht="13.5" hidden="false" customHeight="false" outlineLevel="0" collapsed="false">
      <c r="A77" s="3311" t="s">
        <v>255</v>
      </c>
      <c r="B77" s="3300" t="s">
        <v>2242</v>
      </c>
      <c r="C77" s="3301" t="n">
        <v>0.1</v>
      </c>
      <c r="D77" s="3301" t="n">
        <v>0.1</v>
      </c>
      <c r="E77" s="3301" t="n">
        <v>0.096</v>
      </c>
      <c r="F77" s="3312"/>
      <c r="G77" s="3302" t="n">
        <v>0.1</v>
      </c>
    </row>
    <row r="78" customFormat="false" ht="13.5" hidden="false" customHeight="false" outlineLevel="0" collapsed="false">
      <c r="A78" s="3311" t="s">
        <v>255</v>
      </c>
      <c r="B78" s="3300" t="s">
        <v>2250</v>
      </c>
      <c r="C78" s="3301" t="n">
        <v>0.1</v>
      </c>
      <c r="D78" s="3301" t="n">
        <v>0.085</v>
      </c>
      <c r="E78" s="3301" t="n">
        <v>0.096</v>
      </c>
      <c r="F78" s="3312"/>
      <c r="G78" s="3302" t="n">
        <v>0.096</v>
      </c>
    </row>
    <row r="79" customFormat="false" ht="13.5" hidden="false" customHeight="false" outlineLevel="0" collapsed="false">
      <c r="A79" s="3311" t="s">
        <v>255</v>
      </c>
      <c r="B79" s="3300" t="s">
        <v>2258</v>
      </c>
      <c r="C79" s="3301" t="n">
        <v>0.05</v>
      </c>
      <c r="D79" s="3301" t="n">
        <v>0.096</v>
      </c>
      <c r="E79" s="3301" t="n">
        <v>0.095</v>
      </c>
      <c r="F79" s="3312"/>
      <c r="G79" s="3302" t="n">
        <v>0.098</v>
      </c>
    </row>
    <row r="80" customFormat="false" ht="13.5" hidden="false" customHeight="false" outlineLevel="0" collapsed="false">
      <c r="A80" s="3311" t="s">
        <v>255</v>
      </c>
      <c r="B80" s="3300" t="s">
        <v>2265</v>
      </c>
      <c r="C80" s="3301" t="n">
        <v>0.086</v>
      </c>
      <c r="D80" s="3317"/>
      <c r="E80" s="3301" t="n">
        <v>0.1</v>
      </c>
      <c r="F80" s="3312"/>
      <c r="G80" s="3313"/>
    </row>
    <row r="81" customFormat="false" ht="13.5" hidden="false" customHeight="false" outlineLevel="0" collapsed="false">
      <c r="A81" s="3311" t="s">
        <v>255</v>
      </c>
      <c r="B81" s="3300" t="s">
        <v>2272</v>
      </c>
      <c r="C81" s="3301" t="n">
        <v>0.096</v>
      </c>
      <c r="D81" s="3312"/>
      <c r="E81" s="3301" t="n">
        <v>0.098</v>
      </c>
      <c r="F81" s="3312"/>
      <c r="G81" s="3313"/>
    </row>
    <row r="82" customFormat="false" ht="13.5" hidden="false" customHeight="false" outlineLevel="0" collapsed="false">
      <c r="A82" s="3311" t="s">
        <v>255</v>
      </c>
      <c r="B82" s="3300" t="s">
        <v>2279</v>
      </c>
      <c r="C82" s="3317"/>
      <c r="D82" s="3312"/>
      <c r="E82" s="3301" t="n">
        <v>0.077</v>
      </c>
      <c r="F82" s="3312"/>
      <c r="G82" s="3313"/>
    </row>
    <row r="83" customFormat="false" ht="13.5" hidden="false" customHeight="false" outlineLevel="0" collapsed="false">
      <c r="A83" s="3311" t="s">
        <v>255</v>
      </c>
      <c r="B83" s="3300" t="s">
        <v>2286</v>
      </c>
      <c r="C83" s="3312"/>
      <c r="D83" s="3312"/>
      <c r="E83" s="3312"/>
      <c r="F83" s="3301" t="n">
        <v>0.1</v>
      </c>
      <c r="G83" s="3318"/>
    </row>
    <row r="84" customFormat="false" ht="13.5" hidden="false" customHeight="false" outlineLevel="0" collapsed="false">
      <c r="A84" s="3311" t="s">
        <v>255</v>
      </c>
      <c r="B84" s="3300" t="s">
        <v>2293</v>
      </c>
      <c r="C84" s="3312"/>
      <c r="D84" s="3312"/>
      <c r="E84" s="3312"/>
      <c r="F84" s="3301" t="n">
        <v>0.1</v>
      </c>
      <c r="G84" s="3318"/>
    </row>
    <row r="85" customFormat="false" ht="13.5" hidden="false" customHeight="false" outlineLevel="0" collapsed="false">
      <c r="A85" s="3311" t="s">
        <v>255</v>
      </c>
      <c r="B85" s="3300" t="s">
        <v>2300</v>
      </c>
      <c r="C85" s="3312"/>
      <c r="D85" s="3312"/>
      <c r="E85" s="3312"/>
      <c r="F85" s="3301" t="n">
        <v>0.1</v>
      </c>
      <c r="G85" s="3318"/>
    </row>
    <row r="86" customFormat="false" ht="13.5" hidden="false" customHeight="false" outlineLevel="0" collapsed="false">
      <c r="A86" s="3314" t="s">
        <v>255</v>
      </c>
      <c r="B86" s="3304" t="s">
        <v>2307</v>
      </c>
      <c r="C86" s="3305" t="n">
        <v>0.098</v>
      </c>
      <c r="D86" s="3305" t="n">
        <v>0.098</v>
      </c>
      <c r="E86" s="3305" t="n">
        <v>0.096</v>
      </c>
      <c r="F86" s="3315"/>
      <c r="G86" s="3307" t="n">
        <v>0.1</v>
      </c>
    </row>
    <row r="87" customFormat="false" ht="13.5" hidden="false" customHeight="false" outlineLevel="0" collapsed="false">
      <c r="A87" s="3310" t="s">
        <v>263</v>
      </c>
      <c r="B87" s="3296" t="s">
        <v>2015</v>
      </c>
      <c r="C87" s="3297" t="n">
        <v>0.1</v>
      </c>
      <c r="D87" s="3297" t="n">
        <v>0.1</v>
      </c>
      <c r="E87" s="3297" t="n">
        <v>0.098</v>
      </c>
      <c r="F87" s="3297" t="n">
        <v>0.1</v>
      </c>
      <c r="G87" s="3298" t="n">
        <v>0.1</v>
      </c>
    </row>
    <row r="88" customFormat="false" ht="13.5" hidden="false" customHeight="false" outlineLevel="0" collapsed="false">
      <c r="A88" s="3311" t="s">
        <v>263</v>
      </c>
      <c r="B88" s="3300" t="s">
        <v>2028</v>
      </c>
      <c r="C88" s="3301" t="n">
        <v>0.091</v>
      </c>
      <c r="D88" s="3301" t="n">
        <v>0.092</v>
      </c>
      <c r="E88" s="3301" t="n">
        <v>0.1</v>
      </c>
      <c r="F88" s="3301" t="n">
        <v>0.1</v>
      </c>
      <c r="G88" s="3302" t="n">
        <v>0.096</v>
      </c>
    </row>
    <row r="89" customFormat="false" ht="13.5" hidden="false" customHeight="false" outlineLevel="0" collapsed="false">
      <c r="A89" s="3311" t="s">
        <v>263</v>
      </c>
      <c r="B89" s="3300" t="s">
        <v>2041</v>
      </c>
      <c r="C89" s="3301" t="n">
        <v>0.1</v>
      </c>
      <c r="D89" s="3301" t="n">
        <v>0.1</v>
      </c>
      <c r="E89" s="3301" t="n">
        <v>0.067</v>
      </c>
      <c r="F89" s="3301" t="n">
        <v>0.093</v>
      </c>
      <c r="G89" s="3302" t="n">
        <v>0.1</v>
      </c>
    </row>
    <row r="90" customFormat="false" ht="13.5" hidden="false" customHeight="false" outlineLevel="0" collapsed="false">
      <c r="A90" s="3311" t="s">
        <v>263</v>
      </c>
      <c r="B90" s="3300" t="s">
        <v>2053</v>
      </c>
      <c r="C90" s="3301" t="n">
        <v>0.096</v>
      </c>
      <c r="D90" s="3301" t="n">
        <v>0.096</v>
      </c>
      <c r="E90" s="3301" t="n">
        <v>0.1</v>
      </c>
      <c r="F90" s="3301" t="n">
        <v>0.1</v>
      </c>
      <c r="G90" s="3302" t="n">
        <v>0.098</v>
      </c>
    </row>
    <row r="91" customFormat="false" ht="13.5" hidden="false" customHeight="false" outlineLevel="0" collapsed="false">
      <c r="A91" s="3311" t="s">
        <v>263</v>
      </c>
      <c r="B91" s="3300" t="s">
        <v>2065</v>
      </c>
      <c r="C91" s="3301" t="n">
        <v>0.077</v>
      </c>
      <c r="D91" s="3301" t="n">
        <v>0.077</v>
      </c>
      <c r="E91" s="3301" t="n">
        <v>0.096</v>
      </c>
      <c r="F91" s="3301" t="n">
        <v>0.1</v>
      </c>
      <c r="G91" s="3302" t="n">
        <v>0.077</v>
      </c>
    </row>
    <row r="92" customFormat="false" ht="13.5" hidden="false" customHeight="false" outlineLevel="0" collapsed="false">
      <c r="A92" s="3311" t="s">
        <v>263</v>
      </c>
      <c r="B92" s="3300" t="s">
        <v>2076</v>
      </c>
      <c r="C92" s="3301" t="n">
        <v>0.1</v>
      </c>
      <c r="D92" s="3301" t="n">
        <v>0.1</v>
      </c>
      <c r="E92" s="3301" t="n">
        <v>0.092</v>
      </c>
      <c r="F92" s="3301" t="n">
        <v>0.1</v>
      </c>
      <c r="G92" s="3302" t="n">
        <v>0.1</v>
      </c>
    </row>
    <row r="93" customFormat="false" ht="13.5" hidden="false" customHeight="false" outlineLevel="0" collapsed="false">
      <c r="A93" s="3311" t="s">
        <v>263</v>
      </c>
      <c r="B93" s="3300" t="s">
        <v>2087</v>
      </c>
      <c r="C93" s="3301" t="n">
        <v>0.098</v>
      </c>
      <c r="D93" s="3301" t="n">
        <v>0.098</v>
      </c>
      <c r="E93" s="3301" t="n">
        <v>0.096</v>
      </c>
      <c r="F93" s="3301" t="n">
        <v>0.1</v>
      </c>
      <c r="G93" s="3302" t="n">
        <v>0.099</v>
      </c>
    </row>
    <row r="94" customFormat="false" ht="13.5" hidden="false" customHeight="false" outlineLevel="0" collapsed="false">
      <c r="A94" s="3311" t="s">
        <v>263</v>
      </c>
      <c r="B94" s="3300" t="s">
        <v>2098</v>
      </c>
      <c r="C94" s="3301" t="n">
        <v>0.088</v>
      </c>
      <c r="D94" s="3301" t="n">
        <v>0.088</v>
      </c>
      <c r="E94" s="3301" t="n">
        <v>0.096</v>
      </c>
      <c r="F94" s="3301" t="n">
        <v>0.1</v>
      </c>
      <c r="G94" s="3302" t="n">
        <v>0.088</v>
      </c>
    </row>
    <row r="95" customFormat="false" ht="13.5" hidden="false" customHeight="false" outlineLevel="0" collapsed="false">
      <c r="A95" s="3311" t="s">
        <v>263</v>
      </c>
      <c r="B95" s="3300" t="s">
        <v>2108</v>
      </c>
      <c r="C95" s="3301" t="n">
        <v>0.096</v>
      </c>
      <c r="D95" s="3301" t="n">
        <v>0.096</v>
      </c>
      <c r="E95" s="3301" t="n">
        <v>0.1</v>
      </c>
      <c r="F95" s="3301" t="n">
        <v>0.1</v>
      </c>
      <c r="G95" s="3302" t="n">
        <v>0.098</v>
      </c>
    </row>
    <row r="96" customFormat="false" ht="13.5" hidden="false" customHeight="false" outlineLevel="0" collapsed="false">
      <c r="A96" s="3311" t="s">
        <v>263</v>
      </c>
      <c r="B96" s="3300" t="s">
        <v>2118</v>
      </c>
      <c r="C96" s="3301" t="n">
        <v>0.097</v>
      </c>
      <c r="D96" s="3301" t="n">
        <v>0.097</v>
      </c>
      <c r="E96" s="3301" t="n">
        <v>0.1</v>
      </c>
      <c r="F96" s="3301" t="n">
        <v>0.1</v>
      </c>
      <c r="G96" s="3302" t="n">
        <v>0.098</v>
      </c>
    </row>
    <row r="97" customFormat="false" ht="13.5" hidden="false" customHeight="false" outlineLevel="0" collapsed="false">
      <c r="A97" s="3311" t="s">
        <v>263</v>
      </c>
      <c r="B97" s="3300" t="s">
        <v>2128</v>
      </c>
      <c r="C97" s="3301" t="n">
        <v>0.096</v>
      </c>
      <c r="D97" s="3301" t="n">
        <v>0.096</v>
      </c>
      <c r="E97" s="3301" t="n">
        <v>0.099</v>
      </c>
      <c r="F97" s="3301" t="n">
        <v>0.1</v>
      </c>
      <c r="G97" s="3302" t="n">
        <v>0.098</v>
      </c>
    </row>
    <row r="98" customFormat="false" ht="13.5" hidden="false" customHeight="false" outlineLevel="0" collapsed="false">
      <c r="A98" s="3311" t="s">
        <v>263</v>
      </c>
      <c r="B98" s="3300" t="s">
        <v>2138</v>
      </c>
      <c r="C98" s="3301" t="n">
        <v>0.098</v>
      </c>
      <c r="D98" s="3301" t="n">
        <v>0.098</v>
      </c>
      <c r="E98" s="3301" t="n">
        <v>0.1</v>
      </c>
      <c r="F98" s="3301" t="n">
        <v>0.1</v>
      </c>
      <c r="G98" s="3302" t="n">
        <v>0.099</v>
      </c>
    </row>
    <row r="99" customFormat="false" ht="13.5" hidden="false" customHeight="false" outlineLevel="0" collapsed="false">
      <c r="A99" s="3311" t="s">
        <v>263</v>
      </c>
      <c r="B99" s="3300" t="s">
        <v>2148</v>
      </c>
      <c r="C99" s="3301" t="n">
        <v>0.096</v>
      </c>
      <c r="D99" s="3301" t="n">
        <v>0.096</v>
      </c>
      <c r="E99" s="3301" t="n">
        <v>0.1</v>
      </c>
      <c r="F99" s="3301" t="n">
        <v>0.1</v>
      </c>
      <c r="G99" s="3302" t="n">
        <v>0.097</v>
      </c>
    </row>
    <row r="100" customFormat="false" ht="13.5" hidden="false" customHeight="false" outlineLevel="0" collapsed="false">
      <c r="A100" s="3311" t="s">
        <v>263</v>
      </c>
      <c r="B100" s="3300" t="s">
        <v>2158</v>
      </c>
      <c r="C100" s="3301" t="n">
        <v>0.1</v>
      </c>
      <c r="D100" s="3301" t="n">
        <v>0.1</v>
      </c>
      <c r="E100" s="3301" t="n">
        <v>0.097</v>
      </c>
      <c r="F100" s="3301" t="n">
        <v>0.098</v>
      </c>
      <c r="G100" s="3302" t="n">
        <v>0.1</v>
      </c>
    </row>
    <row r="101" customFormat="false" ht="13.5" hidden="false" customHeight="false" outlineLevel="0" collapsed="false">
      <c r="A101" s="3311" t="s">
        <v>263</v>
      </c>
      <c r="B101" s="3300" t="s">
        <v>2168</v>
      </c>
      <c r="C101" s="3301" t="n">
        <v>0.1</v>
      </c>
      <c r="D101" s="3301" t="n">
        <v>0.1</v>
      </c>
      <c r="E101" s="3301" t="n">
        <v>0.095</v>
      </c>
      <c r="F101" s="3301" t="n">
        <v>0.1</v>
      </c>
      <c r="G101" s="3302" t="n">
        <v>0.1</v>
      </c>
    </row>
    <row r="102" customFormat="false" ht="13.5" hidden="false" customHeight="false" outlineLevel="0" collapsed="false">
      <c r="A102" s="3311" t="s">
        <v>263</v>
      </c>
      <c r="B102" s="3300" t="s">
        <v>2178</v>
      </c>
      <c r="C102" s="3301" t="n">
        <v>0.1</v>
      </c>
      <c r="D102" s="3301" t="n">
        <v>0.1</v>
      </c>
      <c r="E102" s="3301" t="n">
        <v>0.099</v>
      </c>
      <c r="F102" s="3301" t="n">
        <v>0.097</v>
      </c>
      <c r="G102" s="3302" t="n">
        <v>0.1</v>
      </c>
    </row>
    <row r="103" customFormat="false" ht="13.5" hidden="false" customHeight="false" outlineLevel="0" collapsed="false">
      <c r="A103" s="3311" t="s">
        <v>263</v>
      </c>
      <c r="B103" s="3300" t="s">
        <v>2188</v>
      </c>
      <c r="C103" s="3301" t="n">
        <v>0.1</v>
      </c>
      <c r="D103" s="3301" t="n">
        <v>0.1</v>
      </c>
      <c r="E103" s="3301" t="n">
        <v>0.098</v>
      </c>
      <c r="F103" s="3301" t="n">
        <v>0.1</v>
      </c>
      <c r="G103" s="3302" t="n">
        <v>0.1</v>
      </c>
    </row>
    <row r="104" customFormat="false" ht="13.5" hidden="false" customHeight="false" outlineLevel="0" collapsed="false">
      <c r="A104" s="3311" t="s">
        <v>263</v>
      </c>
      <c r="B104" s="3300" t="s">
        <v>2198</v>
      </c>
      <c r="C104" s="3301" t="n">
        <v>0.1</v>
      </c>
      <c r="D104" s="3301" t="n">
        <v>0.1</v>
      </c>
      <c r="E104" s="3301" t="n">
        <v>0.098</v>
      </c>
      <c r="F104" s="3301" t="n">
        <v>0.1</v>
      </c>
      <c r="G104" s="3302" t="n">
        <v>0.1</v>
      </c>
    </row>
    <row r="105" customFormat="false" ht="13.5" hidden="false" customHeight="false" outlineLevel="0" collapsed="false">
      <c r="A105" s="3311" t="s">
        <v>263</v>
      </c>
      <c r="B105" s="3300" t="s">
        <v>2208</v>
      </c>
      <c r="C105" s="3301" t="n">
        <v>0.098</v>
      </c>
      <c r="D105" s="3301" t="n">
        <v>0.098</v>
      </c>
      <c r="E105" s="3301" t="n">
        <v>0.098</v>
      </c>
      <c r="F105" s="3301" t="n">
        <v>0.1</v>
      </c>
      <c r="G105" s="3302" t="n">
        <v>0.099</v>
      </c>
    </row>
    <row r="106" customFormat="false" ht="13.5" hidden="false" customHeight="false" outlineLevel="0" collapsed="false">
      <c r="A106" s="3311" t="s">
        <v>263</v>
      </c>
      <c r="B106" s="3300" t="s">
        <v>2218</v>
      </c>
      <c r="C106" s="3301" t="n">
        <v>0.097</v>
      </c>
      <c r="D106" s="3301" t="n">
        <v>0.097</v>
      </c>
      <c r="E106" s="3301" t="n">
        <v>0.097</v>
      </c>
      <c r="F106" s="3301" t="n">
        <v>0.1</v>
      </c>
      <c r="G106" s="3302" t="n">
        <v>0.099</v>
      </c>
    </row>
    <row r="107" customFormat="false" ht="13.5" hidden="false" customHeight="false" outlineLevel="0" collapsed="false">
      <c r="A107" s="3311" t="s">
        <v>263</v>
      </c>
      <c r="B107" s="3300" t="s">
        <v>2227</v>
      </c>
      <c r="C107" s="3301" t="n">
        <v>0.1</v>
      </c>
      <c r="D107" s="3301" t="n">
        <v>0.1</v>
      </c>
      <c r="E107" s="3301" t="n">
        <v>0.086</v>
      </c>
      <c r="F107" s="3301" t="n">
        <v>0.09</v>
      </c>
      <c r="G107" s="3302" t="n">
        <v>0.1</v>
      </c>
    </row>
    <row r="108" customFormat="false" ht="13.5" hidden="false" customHeight="false" outlineLevel="0" collapsed="false">
      <c r="A108" s="3311" t="s">
        <v>263</v>
      </c>
      <c r="B108" s="3300" t="s">
        <v>2235</v>
      </c>
      <c r="C108" s="3301" t="n">
        <v>0.1</v>
      </c>
      <c r="D108" s="3301" t="n">
        <v>0.1</v>
      </c>
      <c r="E108" s="3301" t="n">
        <v>0.096</v>
      </c>
      <c r="F108" s="3312"/>
      <c r="G108" s="3302" t="n">
        <v>0.1</v>
      </c>
    </row>
    <row r="109" customFormat="false" ht="13.5" hidden="false" customHeight="false" outlineLevel="0" collapsed="false">
      <c r="A109" s="3311" t="s">
        <v>263</v>
      </c>
      <c r="B109" s="3300" t="s">
        <v>2243</v>
      </c>
      <c r="C109" s="3301" t="n">
        <v>0.1</v>
      </c>
      <c r="D109" s="3301" t="n">
        <v>0.1</v>
      </c>
      <c r="E109" s="3301" t="n">
        <v>0.1</v>
      </c>
      <c r="F109" s="3312"/>
      <c r="G109" s="3302" t="n">
        <v>0.1</v>
      </c>
    </row>
    <row r="110" customFormat="false" ht="13.5" hidden="false" customHeight="false" outlineLevel="0" collapsed="false">
      <c r="A110" s="3311" t="s">
        <v>263</v>
      </c>
      <c r="B110" s="3300" t="s">
        <v>2251</v>
      </c>
      <c r="C110" s="3301" t="n">
        <v>0.1</v>
      </c>
      <c r="D110" s="3301" t="n">
        <v>0.1</v>
      </c>
      <c r="E110" s="3301" t="n">
        <v>0.1</v>
      </c>
      <c r="F110" s="3312"/>
      <c r="G110" s="3302" t="n">
        <v>0.1</v>
      </c>
    </row>
    <row r="111" customFormat="false" ht="13.5" hidden="false" customHeight="false" outlineLevel="0" collapsed="false">
      <c r="A111" s="3311" t="s">
        <v>263</v>
      </c>
      <c r="B111" s="3300" t="s">
        <v>2259</v>
      </c>
      <c r="C111" s="3301" t="n">
        <v>0.1</v>
      </c>
      <c r="D111" s="3301" t="n">
        <v>0.1</v>
      </c>
      <c r="E111" s="3301" t="n">
        <v>0.095</v>
      </c>
      <c r="F111" s="3312"/>
      <c r="G111" s="3302" t="n">
        <v>0.1</v>
      </c>
    </row>
    <row r="112" customFormat="false" ht="13.5" hidden="false" customHeight="false" outlineLevel="0" collapsed="false">
      <c r="A112" s="3311" t="s">
        <v>263</v>
      </c>
      <c r="B112" s="3300" t="s">
        <v>2266</v>
      </c>
      <c r="C112" s="3301" t="n">
        <v>0.097</v>
      </c>
      <c r="D112" s="3301" t="n">
        <v>0.097</v>
      </c>
      <c r="E112" s="3301" t="n">
        <v>0.05</v>
      </c>
      <c r="F112" s="3312"/>
      <c r="G112" s="3302" t="n">
        <v>0.098</v>
      </c>
    </row>
    <row r="113" customFormat="false" ht="13.5" hidden="false" customHeight="false" outlineLevel="0" collapsed="false">
      <c r="A113" s="3311" t="s">
        <v>263</v>
      </c>
      <c r="B113" s="3300" t="s">
        <v>2273</v>
      </c>
      <c r="C113" s="3301" t="n">
        <v>0.1</v>
      </c>
      <c r="D113" s="3301" t="n">
        <v>0.1</v>
      </c>
      <c r="E113" s="3312"/>
      <c r="F113" s="3312"/>
      <c r="G113" s="3302" t="n">
        <v>0.1</v>
      </c>
    </row>
    <row r="114" customFormat="false" ht="13.5" hidden="false" customHeight="false" outlineLevel="0" collapsed="false">
      <c r="A114" s="3311" t="s">
        <v>263</v>
      </c>
      <c r="B114" s="3300" t="s">
        <v>2280</v>
      </c>
      <c r="C114" s="3301" t="n">
        <v>0.097</v>
      </c>
      <c r="D114" s="3301" t="n">
        <v>0.097</v>
      </c>
      <c r="E114" s="3312"/>
      <c r="F114" s="3312"/>
      <c r="G114" s="3302" t="n">
        <v>0.099</v>
      </c>
    </row>
    <row r="115" customFormat="false" ht="13.5" hidden="false" customHeight="false" outlineLevel="0" collapsed="false">
      <c r="A115" s="3311" t="s">
        <v>263</v>
      </c>
      <c r="B115" s="3300" t="s">
        <v>2287</v>
      </c>
      <c r="C115" s="3301" t="n">
        <v>0.1</v>
      </c>
      <c r="D115" s="3301" t="n">
        <v>0.1</v>
      </c>
      <c r="E115" s="3312"/>
      <c r="F115" s="3312"/>
      <c r="G115" s="3302" t="n">
        <v>0.1</v>
      </c>
    </row>
    <row r="116" customFormat="false" ht="13.5" hidden="false" customHeight="false" outlineLevel="0" collapsed="false">
      <c r="A116" s="3311" t="s">
        <v>263</v>
      </c>
      <c r="B116" s="3300" t="s">
        <v>2294</v>
      </c>
      <c r="C116" s="3301" t="n">
        <v>0.1</v>
      </c>
      <c r="D116" s="3301" t="n">
        <v>0.1</v>
      </c>
      <c r="E116" s="3312"/>
      <c r="F116" s="3312"/>
      <c r="G116" s="3302" t="n">
        <v>0.1</v>
      </c>
    </row>
    <row r="117" customFormat="false" ht="13.5" hidden="false" customHeight="false" outlineLevel="0" collapsed="false">
      <c r="A117" s="3311" t="s">
        <v>263</v>
      </c>
      <c r="B117" s="3300" t="s">
        <v>2301</v>
      </c>
      <c r="C117" s="3301" t="n">
        <v>0.097</v>
      </c>
      <c r="D117" s="3301" t="n">
        <v>0.097</v>
      </c>
      <c r="E117" s="3312"/>
      <c r="F117" s="3312"/>
      <c r="G117" s="3302" t="n">
        <v>0.097</v>
      </c>
    </row>
    <row r="118" customFormat="false" ht="13.5" hidden="false" customHeight="false" outlineLevel="0" collapsed="false">
      <c r="A118" s="3311" t="s">
        <v>263</v>
      </c>
      <c r="B118" s="3300" t="s">
        <v>2308</v>
      </c>
      <c r="C118" s="3301" t="n">
        <v>0.1</v>
      </c>
      <c r="D118" s="3301" t="n">
        <v>0.1</v>
      </c>
      <c r="E118" s="3312"/>
      <c r="F118" s="3312"/>
      <c r="G118" s="3302" t="n">
        <v>0.1</v>
      </c>
    </row>
    <row r="119" customFormat="false" ht="13.5" hidden="false" customHeight="false" outlineLevel="0" collapsed="false">
      <c r="A119" s="3311" t="s">
        <v>263</v>
      </c>
      <c r="B119" s="3300" t="s">
        <v>2313</v>
      </c>
      <c r="C119" s="3301" t="n">
        <v>0.051</v>
      </c>
      <c r="D119" s="3301" t="n">
        <v>0.052</v>
      </c>
      <c r="E119" s="3312"/>
      <c r="F119" s="3317"/>
      <c r="G119" s="3302" t="n">
        <v>0.06</v>
      </c>
    </row>
    <row r="120" customFormat="false" ht="13.5" hidden="false" customHeight="false" outlineLevel="0" collapsed="false">
      <c r="A120" s="3311" t="s">
        <v>263</v>
      </c>
      <c r="B120" s="3300" t="s">
        <v>2318</v>
      </c>
      <c r="C120" s="3312"/>
      <c r="D120" s="3312"/>
      <c r="E120" s="3312"/>
      <c r="F120" s="3301" t="n">
        <v>0.1</v>
      </c>
      <c r="G120" s="3318"/>
    </row>
    <row r="121" customFormat="false" ht="13.5" hidden="false" customHeight="false" outlineLevel="0" collapsed="false">
      <c r="A121" s="3311" t="s">
        <v>263</v>
      </c>
      <c r="B121" s="3300" t="s">
        <v>2323</v>
      </c>
      <c r="C121" s="3312"/>
      <c r="D121" s="3312"/>
      <c r="E121" s="3312"/>
      <c r="F121" s="3301" t="n">
        <v>0.1</v>
      </c>
      <c r="G121" s="3318"/>
    </row>
    <row r="122" customFormat="false" ht="13.5" hidden="false" customHeight="false" outlineLevel="0" collapsed="false">
      <c r="A122" s="3311" t="s">
        <v>263</v>
      </c>
      <c r="B122" s="3300" t="s">
        <v>2328</v>
      </c>
      <c r="C122" s="3301" t="n">
        <v>0.1</v>
      </c>
      <c r="D122" s="3301" t="n">
        <v>0.1</v>
      </c>
      <c r="E122" s="3301" t="n">
        <v>0.098</v>
      </c>
      <c r="F122" s="3301" t="n">
        <v>0.1</v>
      </c>
      <c r="G122" s="3302" t="n">
        <v>0.1</v>
      </c>
    </row>
    <row r="123" customFormat="false" ht="13.5" hidden="false" customHeight="false" outlineLevel="0" collapsed="false">
      <c r="A123" s="3311" t="s">
        <v>263</v>
      </c>
      <c r="B123" s="3300" t="s">
        <v>2333</v>
      </c>
      <c r="C123" s="3301" t="n">
        <v>0.1</v>
      </c>
      <c r="D123" s="3301" t="n">
        <v>0.1</v>
      </c>
      <c r="E123" s="3301" t="n">
        <v>0.098</v>
      </c>
      <c r="F123" s="3301" t="n">
        <v>0.1</v>
      </c>
      <c r="G123" s="3302" t="n">
        <v>0.1</v>
      </c>
    </row>
    <row r="124" customFormat="false" ht="13.5" hidden="false" customHeight="false" outlineLevel="0" collapsed="false">
      <c r="A124" s="3311" t="s">
        <v>263</v>
      </c>
      <c r="B124" s="3300" t="s">
        <v>2338</v>
      </c>
      <c r="C124" s="3301" t="n">
        <v>0.1</v>
      </c>
      <c r="D124" s="3301" t="n">
        <v>0.1</v>
      </c>
      <c r="E124" s="3301" t="n">
        <v>0.098</v>
      </c>
      <c r="F124" s="3317"/>
      <c r="G124" s="3302" t="n">
        <v>0.1</v>
      </c>
    </row>
    <row r="125" customFormat="false" ht="13.5" hidden="false" customHeight="false" outlineLevel="0" collapsed="false">
      <c r="A125" s="3311" t="s">
        <v>263</v>
      </c>
      <c r="B125" s="3300" t="s">
        <v>2343</v>
      </c>
      <c r="C125" s="3301" t="n">
        <v>0.098</v>
      </c>
      <c r="D125" s="3301" t="n">
        <v>0.098</v>
      </c>
      <c r="E125" s="3301" t="n">
        <v>0.096</v>
      </c>
      <c r="F125" s="3317"/>
      <c r="G125" s="3302" t="n">
        <v>0.1</v>
      </c>
    </row>
    <row r="126" customFormat="false" ht="13.5" hidden="false" customHeight="false" outlineLevel="0" collapsed="false">
      <c r="A126" s="3314" t="s">
        <v>263</v>
      </c>
      <c r="B126" s="3304" t="s">
        <v>2348</v>
      </c>
      <c r="C126" s="3305" t="n">
        <v>0.1</v>
      </c>
      <c r="D126" s="3305" t="n">
        <v>0.1</v>
      </c>
      <c r="E126" s="3305" t="n">
        <v>0.098</v>
      </c>
      <c r="F126" s="3305" t="n">
        <v>0.1</v>
      </c>
      <c r="G126" s="3307" t="n">
        <v>0.1</v>
      </c>
    </row>
    <row r="127" customFormat="false" ht="13.5" hidden="false" customHeight="false" outlineLevel="0" collapsed="false">
      <c r="A127" s="3310" t="s">
        <v>269</v>
      </c>
      <c r="B127" s="3296" t="s">
        <v>2016</v>
      </c>
      <c r="C127" s="3297" t="n">
        <v>0.121</v>
      </c>
      <c r="D127" s="3297" t="n">
        <v>0.121</v>
      </c>
      <c r="E127" s="3297" t="n">
        <v>0.107</v>
      </c>
      <c r="F127" s="3297" t="n">
        <v>0.13</v>
      </c>
      <c r="G127" s="3298" t="n">
        <v>0.122</v>
      </c>
    </row>
    <row r="128" customFormat="false" ht="13.5" hidden="false" customHeight="false" outlineLevel="0" collapsed="false">
      <c r="A128" s="3311" t="s">
        <v>269</v>
      </c>
      <c r="B128" s="3300" t="s">
        <v>2029</v>
      </c>
      <c r="C128" s="3301" t="n">
        <v>0.116</v>
      </c>
      <c r="D128" s="3301" t="n">
        <v>0.117</v>
      </c>
      <c r="E128" s="3301" t="n">
        <v>0.104</v>
      </c>
      <c r="F128" s="3301" t="n">
        <v>0.13</v>
      </c>
      <c r="G128" s="3302" t="n">
        <v>0.117</v>
      </c>
    </row>
    <row r="129" customFormat="false" ht="13.5" hidden="false" customHeight="false" outlineLevel="0" collapsed="false">
      <c r="A129" s="3311" t="s">
        <v>269</v>
      </c>
      <c r="B129" s="3300" t="s">
        <v>2042</v>
      </c>
      <c r="C129" s="3301" t="n">
        <v>0.107</v>
      </c>
      <c r="D129" s="3301" t="n">
        <v>0.108</v>
      </c>
      <c r="E129" s="3301" t="n">
        <v>0.1</v>
      </c>
      <c r="F129" s="3301" t="n">
        <v>0.13</v>
      </c>
      <c r="G129" s="3302" t="n">
        <v>0.117</v>
      </c>
    </row>
    <row r="130" customFormat="false" ht="13.5" hidden="false" customHeight="false" outlineLevel="0" collapsed="false">
      <c r="A130" s="3311" t="s">
        <v>269</v>
      </c>
      <c r="B130" s="3300" t="s">
        <v>2054</v>
      </c>
      <c r="C130" s="3301" t="n">
        <v>0.13</v>
      </c>
      <c r="D130" s="3301" t="n">
        <v>0.13</v>
      </c>
      <c r="E130" s="3301" t="n">
        <v>0.126</v>
      </c>
      <c r="F130" s="3301" t="n">
        <v>0.13</v>
      </c>
      <c r="G130" s="3302" t="n">
        <v>0.13</v>
      </c>
    </row>
    <row r="131" customFormat="false" ht="13.5" hidden="false" customHeight="false" outlineLevel="0" collapsed="false">
      <c r="A131" s="3311" t="s">
        <v>269</v>
      </c>
      <c r="B131" s="3300" t="s">
        <v>2066</v>
      </c>
      <c r="C131" s="3301" t="n">
        <v>0.13</v>
      </c>
      <c r="D131" s="3301" t="n">
        <v>0.13</v>
      </c>
      <c r="E131" s="3301" t="n">
        <v>0.13</v>
      </c>
      <c r="F131" s="3301" t="n">
        <v>0.13</v>
      </c>
      <c r="G131" s="3302" t="n">
        <v>0.13</v>
      </c>
    </row>
    <row r="132" customFormat="false" ht="13.5" hidden="false" customHeight="false" outlineLevel="0" collapsed="false">
      <c r="A132" s="3311" t="s">
        <v>269</v>
      </c>
      <c r="B132" s="3300" t="s">
        <v>2077</v>
      </c>
      <c r="C132" s="3301" t="n">
        <v>0.13</v>
      </c>
      <c r="D132" s="3301" t="n">
        <v>0.13</v>
      </c>
      <c r="E132" s="3301" t="n">
        <v>0.126</v>
      </c>
      <c r="F132" s="3301" t="n">
        <v>0.13</v>
      </c>
      <c r="G132" s="3302" t="n">
        <v>0.13</v>
      </c>
    </row>
    <row r="133" customFormat="false" ht="13.5" hidden="false" customHeight="false" outlineLevel="0" collapsed="false">
      <c r="A133" s="3311" t="s">
        <v>269</v>
      </c>
      <c r="B133" s="3300" t="s">
        <v>2088</v>
      </c>
      <c r="C133" s="3301" t="n">
        <v>0.111</v>
      </c>
      <c r="D133" s="3301" t="n">
        <v>0.111</v>
      </c>
      <c r="E133" s="3301" t="n">
        <v>0.102</v>
      </c>
      <c r="F133" s="3301" t="n">
        <v>0.13</v>
      </c>
      <c r="G133" s="3302" t="n">
        <v>0.121</v>
      </c>
    </row>
    <row r="134" customFormat="false" ht="13.5" hidden="false" customHeight="false" outlineLevel="0" collapsed="false">
      <c r="A134" s="3311" t="s">
        <v>269</v>
      </c>
      <c r="B134" s="3300" t="s">
        <v>2099</v>
      </c>
      <c r="C134" s="3301" t="n">
        <v>0.121</v>
      </c>
      <c r="D134" s="3301" t="n">
        <v>0.121</v>
      </c>
      <c r="E134" s="3301" t="n">
        <v>0.1</v>
      </c>
      <c r="F134" s="3301" t="n">
        <v>0.13</v>
      </c>
      <c r="G134" s="3302" t="n">
        <v>0.123</v>
      </c>
    </row>
    <row r="135" customFormat="false" ht="13.5" hidden="false" customHeight="false" outlineLevel="0" collapsed="false">
      <c r="A135" s="3311" t="s">
        <v>269</v>
      </c>
      <c r="B135" s="3300" t="s">
        <v>2109</v>
      </c>
      <c r="C135" s="3301" t="n">
        <v>0.105</v>
      </c>
      <c r="D135" s="3301" t="n">
        <v>0.106</v>
      </c>
      <c r="E135" s="3301" t="n">
        <v>0.1</v>
      </c>
      <c r="F135" s="3301" t="n">
        <v>0.13</v>
      </c>
      <c r="G135" s="3302" t="n">
        <v>0.115</v>
      </c>
    </row>
    <row r="136" customFormat="false" ht="13.5" hidden="false" customHeight="false" outlineLevel="0" collapsed="false">
      <c r="A136" s="3311" t="s">
        <v>269</v>
      </c>
      <c r="B136" s="3300" t="s">
        <v>2119</v>
      </c>
      <c r="C136" s="3301" t="n">
        <v>0.127</v>
      </c>
      <c r="D136" s="3301" t="n">
        <v>0.127</v>
      </c>
      <c r="E136" s="3301" t="n">
        <v>0.121</v>
      </c>
      <c r="F136" s="3301" t="n">
        <v>0.123</v>
      </c>
      <c r="G136" s="3302" t="n">
        <v>0.129</v>
      </c>
    </row>
    <row r="137" customFormat="false" ht="13.5" hidden="false" customHeight="false" outlineLevel="0" collapsed="false">
      <c r="A137" s="3311" t="s">
        <v>269</v>
      </c>
      <c r="B137" s="3300" t="s">
        <v>2129</v>
      </c>
      <c r="C137" s="3301" t="n">
        <v>0.13</v>
      </c>
      <c r="D137" s="3301" t="n">
        <v>0.13</v>
      </c>
      <c r="E137" s="3301" t="n">
        <v>0.129</v>
      </c>
      <c r="F137" s="3301" t="n">
        <v>0.13</v>
      </c>
      <c r="G137" s="3302" t="n">
        <v>0.13</v>
      </c>
    </row>
    <row r="138" customFormat="false" ht="13.5" hidden="false" customHeight="false" outlineLevel="0" collapsed="false">
      <c r="A138" s="3311" t="s">
        <v>269</v>
      </c>
      <c r="B138" s="3300" t="s">
        <v>2139</v>
      </c>
      <c r="C138" s="3301" t="n">
        <v>0.13</v>
      </c>
      <c r="D138" s="3301" t="n">
        <v>0.13</v>
      </c>
      <c r="E138" s="3301" t="n">
        <v>0.125</v>
      </c>
      <c r="F138" s="3301" t="n">
        <v>0.13</v>
      </c>
      <c r="G138" s="3302" t="n">
        <v>0.13</v>
      </c>
    </row>
    <row r="139" customFormat="false" ht="13.5" hidden="false" customHeight="false" outlineLevel="0" collapsed="false">
      <c r="A139" s="3311" t="s">
        <v>269</v>
      </c>
      <c r="B139" s="3300" t="s">
        <v>2149</v>
      </c>
      <c r="C139" s="3301" t="n">
        <v>0.13</v>
      </c>
      <c r="D139" s="3301" t="n">
        <v>0.13</v>
      </c>
      <c r="E139" s="3301" t="n">
        <v>0.126</v>
      </c>
      <c r="F139" s="3301" t="n">
        <v>0.13</v>
      </c>
      <c r="G139" s="3302" t="n">
        <v>0.13</v>
      </c>
    </row>
    <row r="140" customFormat="false" ht="13.5" hidden="false" customHeight="false" outlineLevel="0" collapsed="false">
      <c r="A140" s="3311" t="s">
        <v>269</v>
      </c>
      <c r="B140" s="3300" t="s">
        <v>2159</v>
      </c>
      <c r="C140" s="3301" t="n">
        <v>0.1</v>
      </c>
      <c r="D140" s="3301" t="n">
        <v>0.1</v>
      </c>
      <c r="E140" s="3301" t="n">
        <v>0.1</v>
      </c>
      <c r="F140" s="3301" t="n">
        <v>0.123</v>
      </c>
      <c r="G140" s="3302" t="n">
        <v>0.107</v>
      </c>
    </row>
    <row r="141" customFormat="false" ht="13.5" hidden="false" customHeight="false" outlineLevel="0" collapsed="false">
      <c r="A141" s="3311" t="s">
        <v>269</v>
      </c>
      <c r="B141" s="3300" t="s">
        <v>2169</v>
      </c>
      <c r="C141" s="3301" t="n">
        <v>0.127</v>
      </c>
      <c r="D141" s="3301" t="n">
        <v>0.127</v>
      </c>
      <c r="E141" s="3301" t="n">
        <v>0.122</v>
      </c>
      <c r="F141" s="3301" t="n">
        <v>0.1</v>
      </c>
      <c r="G141" s="3302" t="n">
        <v>0.129</v>
      </c>
    </row>
    <row r="142" customFormat="false" ht="13.5" hidden="false" customHeight="false" outlineLevel="0" collapsed="false">
      <c r="A142" s="3311" t="s">
        <v>269</v>
      </c>
      <c r="B142" s="3300" t="s">
        <v>2179</v>
      </c>
      <c r="C142" s="3301" t="n">
        <v>0.121</v>
      </c>
      <c r="D142" s="3301" t="n">
        <v>0.122</v>
      </c>
      <c r="E142" s="3301" t="n">
        <v>0.1</v>
      </c>
      <c r="F142" s="3301" t="n">
        <v>0.123</v>
      </c>
      <c r="G142" s="3302" t="n">
        <v>0.123</v>
      </c>
    </row>
    <row r="143" customFormat="false" ht="13.5" hidden="false" customHeight="false" outlineLevel="0" collapsed="false">
      <c r="A143" s="3311" t="s">
        <v>269</v>
      </c>
      <c r="B143" s="3300" t="s">
        <v>2189</v>
      </c>
      <c r="C143" s="3301" t="n">
        <v>0.1</v>
      </c>
      <c r="D143" s="3301" t="n">
        <v>0.1</v>
      </c>
      <c r="E143" s="3301" t="n">
        <v>0.1</v>
      </c>
      <c r="F143" s="3301" t="n">
        <v>0.13</v>
      </c>
      <c r="G143" s="3302" t="n">
        <v>0.1</v>
      </c>
    </row>
    <row r="144" customFormat="false" ht="13.5" hidden="false" customHeight="false" outlineLevel="0" collapsed="false">
      <c r="A144" s="3311" t="s">
        <v>269</v>
      </c>
      <c r="B144" s="3300" t="s">
        <v>2199</v>
      </c>
      <c r="C144" s="3301" t="n">
        <v>0.106</v>
      </c>
      <c r="D144" s="3301" t="n">
        <v>0.105</v>
      </c>
      <c r="E144" s="3301" t="n">
        <v>0.1</v>
      </c>
      <c r="F144" s="3301" t="n">
        <v>0.13</v>
      </c>
      <c r="G144" s="3302" t="n">
        <v>0.118</v>
      </c>
    </row>
    <row r="145" customFormat="false" ht="13.5" hidden="false" customHeight="false" outlineLevel="0" collapsed="false">
      <c r="A145" s="3311" t="s">
        <v>269</v>
      </c>
      <c r="B145" s="3300" t="s">
        <v>2209</v>
      </c>
      <c r="C145" s="3301" t="n">
        <v>0.123</v>
      </c>
      <c r="D145" s="3301" t="n">
        <v>0.123</v>
      </c>
      <c r="E145" s="3301" t="n">
        <v>0.117</v>
      </c>
      <c r="F145" s="3301" t="n">
        <v>0.13</v>
      </c>
      <c r="G145" s="3302" t="n">
        <v>0.126</v>
      </c>
    </row>
    <row r="146" customFormat="false" ht="13.5" hidden="false" customHeight="false" outlineLevel="0" collapsed="false">
      <c r="A146" s="3311" t="s">
        <v>269</v>
      </c>
      <c r="B146" s="3300" t="s">
        <v>2219</v>
      </c>
      <c r="C146" s="3301" t="n">
        <v>0.127</v>
      </c>
      <c r="D146" s="3301" t="n">
        <v>0.127</v>
      </c>
      <c r="E146" s="3301" t="n">
        <v>0.12</v>
      </c>
      <c r="F146" s="3312"/>
      <c r="G146" s="3302" t="n">
        <v>0.129</v>
      </c>
    </row>
    <row r="147" customFormat="false" ht="13.5" hidden="false" customHeight="false" outlineLevel="0" collapsed="false">
      <c r="A147" s="3311" t="s">
        <v>269</v>
      </c>
      <c r="B147" s="3300" t="s">
        <v>2228</v>
      </c>
      <c r="C147" s="3301" t="n">
        <v>0.13</v>
      </c>
      <c r="D147" s="3301" t="n">
        <v>0.13</v>
      </c>
      <c r="E147" s="3301" t="n">
        <v>0.126</v>
      </c>
      <c r="F147" s="3312"/>
      <c r="G147" s="3302" t="n">
        <v>0.13</v>
      </c>
    </row>
    <row r="148" customFormat="false" ht="13.5" hidden="false" customHeight="false" outlineLevel="0" collapsed="false">
      <c r="A148" s="3311" t="s">
        <v>269</v>
      </c>
      <c r="B148" s="3300" t="s">
        <v>2236</v>
      </c>
      <c r="C148" s="3301" t="n">
        <v>0.13</v>
      </c>
      <c r="D148" s="3301" t="n">
        <v>0.13</v>
      </c>
      <c r="E148" s="3301" t="n">
        <v>0.13</v>
      </c>
      <c r="F148" s="3312"/>
      <c r="G148" s="3302" t="n">
        <v>0.13</v>
      </c>
    </row>
    <row r="149" customFormat="false" ht="13.5" hidden="false" customHeight="false" outlineLevel="0" collapsed="false">
      <c r="A149" s="3311" t="s">
        <v>269</v>
      </c>
      <c r="B149" s="3300" t="s">
        <v>2244</v>
      </c>
      <c r="C149" s="3301" t="n">
        <v>0.13</v>
      </c>
      <c r="D149" s="3301" t="n">
        <v>0.13</v>
      </c>
      <c r="E149" s="3301" t="n">
        <v>0.13</v>
      </c>
      <c r="F149" s="3301" t="n">
        <v>0.13</v>
      </c>
      <c r="G149" s="3302" t="n">
        <v>0.13</v>
      </c>
    </row>
    <row r="150" customFormat="false" ht="13.5" hidden="false" customHeight="false" outlineLevel="0" collapsed="false">
      <c r="A150" s="3311" t="s">
        <v>269</v>
      </c>
      <c r="B150" s="3300" t="s">
        <v>2252</v>
      </c>
      <c r="C150" s="3301" t="n">
        <v>0.13</v>
      </c>
      <c r="D150" s="3301" t="n">
        <v>0.13</v>
      </c>
      <c r="E150" s="3301" t="n">
        <v>0.127</v>
      </c>
      <c r="F150" s="3301" t="n">
        <v>0.13</v>
      </c>
      <c r="G150" s="3302" t="n">
        <v>0.13</v>
      </c>
    </row>
    <row r="151" customFormat="false" ht="13.5" hidden="false" customHeight="false" outlineLevel="0" collapsed="false">
      <c r="A151" s="3311" t="s">
        <v>269</v>
      </c>
      <c r="B151" s="3300" t="s">
        <v>2260</v>
      </c>
      <c r="C151" s="3301" t="n">
        <v>0.13</v>
      </c>
      <c r="D151" s="3301" t="n">
        <v>0.13</v>
      </c>
      <c r="E151" s="3301" t="n">
        <v>0.13</v>
      </c>
      <c r="F151" s="3301" t="n">
        <v>0.13</v>
      </c>
      <c r="G151" s="3302" t="n">
        <v>0.13</v>
      </c>
    </row>
    <row r="152" customFormat="false" ht="13.5" hidden="false" customHeight="false" outlineLevel="0" collapsed="false">
      <c r="A152" s="3311" t="s">
        <v>269</v>
      </c>
      <c r="B152" s="3300" t="s">
        <v>2267</v>
      </c>
      <c r="C152" s="3301" t="n">
        <v>0.13</v>
      </c>
      <c r="D152" s="3301" t="n">
        <v>0.13</v>
      </c>
      <c r="E152" s="3301" t="n">
        <v>0.13</v>
      </c>
      <c r="F152" s="3301" t="n">
        <v>0.13</v>
      </c>
      <c r="G152" s="3302" t="n">
        <v>0.13</v>
      </c>
    </row>
    <row r="153" customFormat="false" ht="13.5" hidden="false" customHeight="false" outlineLevel="0" collapsed="false">
      <c r="A153" s="3311" t="s">
        <v>269</v>
      </c>
      <c r="B153" s="3300" t="s">
        <v>2274</v>
      </c>
      <c r="C153" s="3301" t="n">
        <v>0.13</v>
      </c>
      <c r="D153" s="3301" t="n">
        <v>0.13</v>
      </c>
      <c r="E153" s="3301" t="n">
        <v>0.13</v>
      </c>
      <c r="F153" s="3301" t="n">
        <v>0.13</v>
      </c>
      <c r="G153" s="3302" t="n">
        <v>0.13</v>
      </c>
    </row>
    <row r="154" customFormat="false" ht="13.5" hidden="false" customHeight="false" outlineLevel="0" collapsed="false">
      <c r="A154" s="3311" t="s">
        <v>269</v>
      </c>
      <c r="B154" s="3300" t="s">
        <v>2281</v>
      </c>
      <c r="C154" s="3301" t="n">
        <v>0.121</v>
      </c>
      <c r="D154" s="3301" t="n">
        <v>0.121</v>
      </c>
      <c r="E154" s="3301" t="n">
        <v>0.105</v>
      </c>
      <c r="F154" s="3301" t="n">
        <v>0.121</v>
      </c>
      <c r="G154" s="3302" t="n">
        <v>0.123</v>
      </c>
    </row>
    <row r="155" customFormat="false" ht="13.5" hidden="false" customHeight="false" outlineLevel="0" collapsed="false">
      <c r="A155" s="3311" t="s">
        <v>269</v>
      </c>
      <c r="B155" s="3300" t="s">
        <v>2288</v>
      </c>
      <c r="C155" s="3301" t="n">
        <v>0.1</v>
      </c>
      <c r="D155" s="3301" t="n">
        <v>0.1</v>
      </c>
      <c r="E155" s="3301" t="n">
        <v>0.1</v>
      </c>
      <c r="F155" s="3301" t="n">
        <v>0.1</v>
      </c>
      <c r="G155" s="3302" t="n">
        <v>0.1</v>
      </c>
    </row>
    <row r="156" customFormat="false" ht="13.5" hidden="false" customHeight="false" outlineLevel="0" collapsed="false">
      <c r="A156" s="3311" t="s">
        <v>269</v>
      </c>
      <c r="B156" s="3300" t="s">
        <v>2295</v>
      </c>
      <c r="C156" s="3301" t="n">
        <v>0.13</v>
      </c>
      <c r="D156" s="3301" t="n">
        <v>0.13</v>
      </c>
      <c r="E156" s="3301" t="n">
        <v>0.13</v>
      </c>
      <c r="F156" s="3301" t="n">
        <v>0.13</v>
      </c>
      <c r="G156" s="3302" t="n">
        <v>0.13</v>
      </c>
    </row>
    <row r="157" customFormat="false" ht="13.5" hidden="false" customHeight="false" outlineLevel="0" collapsed="false">
      <c r="A157" s="3311" t="s">
        <v>269</v>
      </c>
      <c r="B157" s="3300" t="s">
        <v>2302</v>
      </c>
      <c r="C157" s="3301" t="n">
        <v>0.13</v>
      </c>
      <c r="D157" s="3301" t="n">
        <v>0.13</v>
      </c>
      <c r="E157" s="3301" t="n">
        <v>0.125</v>
      </c>
      <c r="F157" s="3301" t="n">
        <v>0.13</v>
      </c>
      <c r="G157" s="3302" t="n">
        <v>0.13</v>
      </c>
    </row>
    <row r="158" customFormat="false" ht="13.5" hidden="false" customHeight="false" outlineLevel="0" collapsed="false">
      <c r="A158" s="3311" t="s">
        <v>269</v>
      </c>
      <c r="B158" s="3300" t="s">
        <v>2309</v>
      </c>
      <c r="C158" s="3301" t="n">
        <v>0.124</v>
      </c>
      <c r="D158" s="3301" t="n">
        <v>0.124</v>
      </c>
      <c r="E158" s="3301" t="n">
        <v>0.117</v>
      </c>
      <c r="F158" s="3301" t="n">
        <v>0.121</v>
      </c>
      <c r="G158" s="3302" t="n">
        <v>0.124</v>
      </c>
    </row>
    <row r="159" customFormat="false" ht="13.5" hidden="false" customHeight="false" outlineLevel="0" collapsed="false">
      <c r="A159" s="3311" t="s">
        <v>269</v>
      </c>
      <c r="B159" s="3300" t="s">
        <v>2314</v>
      </c>
      <c r="C159" s="3301" t="n">
        <v>0.127</v>
      </c>
      <c r="D159" s="3301" t="n">
        <v>0.127</v>
      </c>
      <c r="E159" s="3301" t="n">
        <v>0.122</v>
      </c>
      <c r="F159" s="3301" t="n">
        <v>0.13</v>
      </c>
      <c r="G159" s="3302" t="n">
        <v>0.129</v>
      </c>
    </row>
    <row r="160" customFormat="false" ht="13.5" hidden="false" customHeight="false" outlineLevel="0" collapsed="false">
      <c r="A160" s="3311" t="s">
        <v>269</v>
      </c>
      <c r="B160" s="3300" t="s">
        <v>2319</v>
      </c>
      <c r="C160" s="3301" t="n">
        <v>0.13</v>
      </c>
      <c r="D160" s="3301" t="n">
        <v>0.13</v>
      </c>
      <c r="E160" s="3301" t="n">
        <v>0.124</v>
      </c>
      <c r="F160" s="3301" t="n">
        <v>0.126</v>
      </c>
      <c r="G160" s="3302" t="n">
        <v>0.13</v>
      </c>
    </row>
    <row r="161" customFormat="false" ht="13.5" hidden="false" customHeight="false" outlineLevel="0" collapsed="false">
      <c r="A161" s="3311" t="s">
        <v>269</v>
      </c>
      <c r="B161" s="3300" t="s">
        <v>2324</v>
      </c>
      <c r="C161" s="3301" t="n">
        <v>0.13</v>
      </c>
      <c r="D161" s="3301" t="n">
        <v>0.13</v>
      </c>
      <c r="E161" s="3301" t="n">
        <v>0.124</v>
      </c>
      <c r="F161" s="3301" t="n">
        <v>0.127</v>
      </c>
      <c r="G161" s="3302" t="n">
        <v>0.13</v>
      </c>
    </row>
    <row r="162" customFormat="false" ht="13.5" hidden="false" customHeight="false" outlineLevel="0" collapsed="false">
      <c r="A162" s="3311" t="s">
        <v>269</v>
      </c>
      <c r="B162" s="3300" t="s">
        <v>2329</v>
      </c>
      <c r="C162" s="3301" t="n">
        <v>0.1</v>
      </c>
      <c r="D162" s="3301" t="n">
        <v>0.1</v>
      </c>
      <c r="E162" s="3301" t="n">
        <v>0.1</v>
      </c>
      <c r="F162" s="3301" t="n">
        <v>0.121</v>
      </c>
      <c r="G162" s="3302" t="n">
        <v>0.105</v>
      </c>
    </row>
    <row r="163" customFormat="false" ht="13.5" hidden="false" customHeight="false" outlineLevel="0" collapsed="false">
      <c r="A163" s="3311" t="s">
        <v>269</v>
      </c>
      <c r="B163" s="3300" t="s">
        <v>2334</v>
      </c>
      <c r="C163" s="3301" t="n">
        <v>0.1</v>
      </c>
      <c r="D163" s="3301" t="n">
        <v>0.1</v>
      </c>
      <c r="E163" s="3301" t="n">
        <v>0.1</v>
      </c>
      <c r="F163" s="3301" t="n">
        <v>0.1</v>
      </c>
      <c r="G163" s="3302" t="n">
        <v>0.1</v>
      </c>
    </row>
    <row r="164" customFormat="false" ht="13.5" hidden="false" customHeight="false" outlineLevel="0" collapsed="false">
      <c r="A164" s="3311" t="s">
        <v>269</v>
      </c>
      <c r="B164" s="3300" t="s">
        <v>2339</v>
      </c>
      <c r="C164" s="3317"/>
      <c r="D164" s="3317"/>
      <c r="E164" s="3317"/>
      <c r="F164" s="3301" t="n">
        <v>0.1</v>
      </c>
      <c r="G164" s="3313"/>
    </row>
    <row r="165" customFormat="false" ht="13.5" hidden="false" customHeight="false" outlineLevel="0" collapsed="false">
      <c r="A165" s="3311" t="s">
        <v>269</v>
      </c>
      <c r="B165" s="3300" t="s">
        <v>2344</v>
      </c>
      <c r="C165" s="3301" t="n">
        <v>0.126</v>
      </c>
      <c r="D165" s="3301" t="n">
        <v>0.126</v>
      </c>
      <c r="E165" s="3301" t="n">
        <v>0.119</v>
      </c>
      <c r="F165" s="3301" t="n">
        <v>0.13</v>
      </c>
      <c r="G165" s="3302" t="n">
        <v>0.128</v>
      </c>
    </row>
    <row r="166" customFormat="false" ht="13.5" hidden="false" customHeight="false" outlineLevel="0" collapsed="false">
      <c r="A166" s="3311" t="s">
        <v>269</v>
      </c>
      <c r="B166" s="3300" t="s">
        <v>2349</v>
      </c>
      <c r="C166" s="3301" t="n">
        <v>0.129</v>
      </c>
      <c r="D166" s="3301" t="n">
        <v>0.129</v>
      </c>
      <c r="E166" s="3301" t="n">
        <v>0.123</v>
      </c>
      <c r="F166" s="3301" t="n">
        <v>0.128</v>
      </c>
      <c r="G166" s="3302" t="n">
        <v>0.13</v>
      </c>
    </row>
    <row r="167" customFormat="false" ht="13.5" hidden="false" customHeight="false" outlineLevel="0" collapsed="false">
      <c r="A167" s="3311" t="s">
        <v>269</v>
      </c>
      <c r="B167" s="3300" t="s">
        <v>2353</v>
      </c>
      <c r="C167" s="3301" t="n">
        <v>0.125</v>
      </c>
      <c r="D167" s="3301" t="n">
        <v>0.125</v>
      </c>
      <c r="E167" s="3301" t="n">
        <v>0.117</v>
      </c>
      <c r="F167" s="3301" t="n">
        <v>0.13</v>
      </c>
      <c r="G167" s="3302" t="n">
        <v>0.126</v>
      </c>
    </row>
    <row r="168" customFormat="false" ht="13.5" hidden="false" customHeight="false" outlineLevel="0" collapsed="false">
      <c r="A168" s="3311" t="s">
        <v>269</v>
      </c>
      <c r="B168" s="3300" t="s">
        <v>2357</v>
      </c>
      <c r="C168" s="3301" t="n">
        <v>0.128</v>
      </c>
      <c r="D168" s="3301" t="n">
        <v>0.128</v>
      </c>
      <c r="E168" s="3301" t="n">
        <v>0.123</v>
      </c>
      <c r="F168" s="3312"/>
      <c r="G168" s="3302" t="n">
        <v>0.13</v>
      </c>
    </row>
    <row r="169" customFormat="false" ht="13.5" hidden="false" customHeight="false" outlineLevel="0" collapsed="false">
      <c r="A169" s="3311" t="s">
        <v>269</v>
      </c>
      <c r="B169" s="3300" t="s">
        <v>2361</v>
      </c>
      <c r="C169" s="3317"/>
      <c r="D169" s="3317"/>
      <c r="E169" s="3317"/>
      <c r="F169" s="3301" t="n">
        <v>0.05</v>
      </c>
      <c r="G169" s="3313"/>
    </row>
    <row r="170" customFormat="false" ht="13.5" hidden="false" customHeight="false" outlineLevel="0" collapsed="false">
      <c r="A170" s="3311" t="s">
        <v>269</v>
      </c>
      <c r="B170" s="3300" t="s">
        <v>2365</v>
      </c>
      <c r="C170" s="3317"/>
      <c r="D170" s="3317"/>
      <c r="E170" s="3317"/>
      <c r="F170" s="3301" t="n">
        <v>0.05</v>
      </c>
      <c r="G170" s="3313"/>
    </row>
    <row r="171" customFormat="false" ht="13.5" hidden="false" customHeight="false" outlineLevel="0" collapsed="false">
      <c r="A171" s="3311" t="s">
        <v>269</v>
      </c>
      <c r="B171" s="3300" t="s">
        <v>2368</v>
      </c>
      <c r="C171" s="3317"/>
      <c r="D171" s="3317"/>
      <c r="E171" s="3317"/>
      <c r="F171" s="3301" t="n">
        <v>0.05</v>
      </c>
      <c r="G171" s="3318"/>
    </row>
    <row r="172" customFormat="false" ht="13.5" hidden="false" customHeight="false" outlineLevel="0" collapsed="false">
      <c r="A172" s="3311" t="s">
        <v>269</v>
      </c>
      <c r="B172" s="3300" t="s">
        <v>2370</v>
      </c>
      <c r="C172" s="3317"/>
      <c r="D172" s="3317"/>
      <c r="E172" s="3317"/>
      <c r="F172" s="3301" t="n">
        <v>0.05</v>
      </c>
      <c r="G172" s="3318"/>
    </row>
    <row r="173" customFormat="false" ht="13.5" hidden="false" customHeight="false" outlineLevel="0" collapsed="false">
      <c r="A173" s="3311" t="s">
        <v>269</v>
      </c>
      <c r="B173" s="3300" t="s">
        <v>2372</v>
      </c>
      <c r="C173" s="3317"/>
      <c r="D173" s="3317"/>
      <c r="E173" s="3317"/>
      <c r="F173" s="3301" t="n">
        <v>0.05</v>
      </c>
      <c r="G173" s="3313"/>
    </row>
    <row r="174" customFormat="false" ht="13.5" hidden="false" customHeight="false" outlineLevel="0" collapsed="false">
      <c r="A174" s="3311" t="s">
        <v>269</v>
      </c>
      <c r="B174" s="3300" t="s">
        <v>2374</v>
      </c>
      <c r="C174" s="3317"/>
      <c r="D174" s="3317"/>
      <c r="E174" s="3317"/>
      <c r="F174" s="3301" t="n">
        <v>0.05</v>
      </c>
      <c r="G174" s="3313"/>
    </row>
    <row r="175" customFormat="false" ht="13.5" hidden="false" customHeight="false" outlineLevel="0" collapsed="false">
      <c r="A175" s="3311" t="s">
        <v>269</v>
      </c>
      <c r="B175" s="3300" t="s">
        <v>2376</v>
      </c>
      <c r="C175" s="3317"/>
      <c r="D175" s="3317"/>
      <c r="E175" s="3317"/>
      <c r="F175" s="3301" t="n">
        <v>0.05</v>
      </c>
      <c r="G175" s="3313"/>
    </row>
    <row r="176" customFormat="false" ht="13.5" hidden="false" customHeight="false" outlineLevel="0" collapsed="false">
      <c r="A176" s="3311" t="s">
        <v>269</v>
      </c>
      <c r="B176" s="3300" t="s">
        <v>2378</v>
      </c>
      <c r="C176" s="3317"/>
      <c r="D176" s="3317"/>
      <c r="E176" s="3317"/>
      <c r="F176" s="3301" t="n">
        <v>0.05</v>
      </c>
      <c r="G176" s="3313"/>
    </row>
    <row r="177" customFormat="false" ht="13.5" hidden="false" customHeight="false" outlineLevel="0" collapsed="false">
      <c r="A177" s="3311" t="s">
        <v>269</v>
      </c>
      <c r="B177" s="3300" t="s">
        <v>2380</v>
      </c>
      <c r="C177" s="3312"/>
      <c r="D177" s="3312"/>
      <c r="E177" s="3312"/>
      <c r="F177" s="3301" t="n">
        <v>0.05</v>
      </c>
      <c r="G177" s="3318"/>
    </row>
    <row r="178" customFormat="false" ht="13.5" hidden="false" customHeight="false" outlineLevel="0" collapsed="false">
      <c r="A178" s="3311" t="s">
        <v>269</v>
      </c>
      <c r="B178" s="3300" t="s">
        <v>2381</v>
      </c>
      <c r="C178" s="3312"/>
      <c r="D178" s="3312"/>
      <c r="E178" s="3312"/>
      <c r="F178" s="3301" t="n">
        <v>0.05</v>
      </c>
      <c r="G178" s="3318"/>
    </row>
    <row r="179" customFormat="false" ht="13.5" hidden="false" customHeight="false" outlineLevel="0" collapsed="false">
      <c r="A179" s="3311" t="s">
        <v>269</v>
      </c>
      <c r="B179" s="3300" t="s">
        <v>2382</v>
      </c>
      <c r="C179" s="3312"/>
      <c r="D179" s="3312"/>
      <c r="E179" s="3312"/>
      <c r="F179" s="3301" t="n">
        <v>0.05</v>
      </c>
      <c r="G179" s="3318"/>
    </row>
    <row r="180" customFormat="false" ht="13.5" hidden="false" customHeight="false" outlineLevel="0" collapsed="false">
      <c r="A180" s="3311" t="s">
        <v>269</v>
      </c>
      <c r="B180" s="3300" t="s">
        <v>2383</v>
      </c>
      <c r="C180" s="3312"/>
      <c r="D180" s="3312"/>
      <c r="E180" s="3312"/>
      <c r="F180" s="3301" t="n">
        <v>0.05</v>
      </c>
      <c r="G180" s="3318"/>
    </row>
    <row r="181" customFormat="false" ht="13.5" hidden="false" customHeight="false" outlineLevel="0" collapsed="false">
      <c r="A181" s="3311" t="s">
        <v>269</v>
      </c>
      <c r="B181" s="3300" t="s">
        <v>2384</v>
      </c>
      <c r="C181" s="3312"/>
      <c r="D181" s="3312"/>
      <c r="E181" s="3312"/>
      <c r="F181" s="3301" t="n">
        <v>0.05</v>
      </c>
      <c r="G181" s="3318"/>
    </row>
    <row r="182" customFormat="false" ht="13.5" hidden="false" customHeight="false" outlineLevel="0" collapsed="false">
      <c r="A182" s="3311" t="s">
        <v>269</v>
      </c>
      <c r="B182" s="3300" t="s">
        <v>2385</v>
      </c>
      <c r="C182" s="3312"/>
      <c r="D182" s="3312"/>
      <c r="E182" s="3312"/>
      <c r="F182" s="3301" t="n">
        <v>0.05</v>
      </c>
      <c r="G182" s="3318"/>
    </row>
    <row r="183" customFormat="false" ht="13.5" hidden="false" customHeight="false" outlineLevel="0" collapsed="false">
      <c r="A183" s="3311" t="s">
        <v>269</v>
      </c>
      <c r="B183" s="3300" t="s">
        <v>2386</v>
      </c>
      <c r="C183" s="3312"/>
      <c r="D183" s="3312"/>
      <c r="E183" s="3312"/>
      <c r="F183" s="3301" t="n">
        <v>0.05</v>
      </c>
      <c r="G183" s="3318"/>
    </row>
    <row r="184" customFormat="false" ht="13.5" hidden="false" customHeight="false" outlineLevel="0" collapsed="false">
      <c r="A184" s="3311" t="s">
        <v>269</v>
      </c>
      <c r="B184" s="3300" t="s">
        <v>2387</v>
      </c>
      <c r="C184" s="3312"/>
      <c r="D184" s="3312"/>
      <c r="E184" s="3312"/>
      <c r="F184" s="3301" t="n">
        <v>0.05</v>
      </c>
      <c r="G184" s="3318"/>
    </row>
    <row r="185" customFormat="false" ht="13.5" hidden="false" customHeight="false" outlineLevel="0" collapsed="false">
      <c r="A185" s="3311" t="s">
        <v>269</v>
      </c>
      <c r="B185" s="3300" t="s">
        <v>2388</v>
      </c>
      <c r="C185" s="3312"/>
      <c r="D185" s="3312"/>
      <c r="E185" s="3312"/>
      <c r="F185" s="3301" t="n">
        <v>0.05</v>
      </c>
      <c r="G185" s="3318"/>
    </row>
    <row r="186" customFormat="false" ht="13.5" hidden="false" customHeight="false" outlineLevel="0" collapsed="false">
      <c r="A186" s="3311" t="s">
        <v>269</v>
      </c>
      <c r="B186" s="3300" t="s">
        <v>2389</v>
      </c>
      <c r="C186" s="3312"/>
      <c r="D186" s="3312"/>
      <c r="E186" s="3312"/>
      <c r="F186" s="3301" t="n">
        <v>0.05</v>
      </c>
      <c r="G186" s="3318"/>
    </row>
    <row r="187" customFormat="false" ht="13.5" hidden="false" customHeight="false" outlineLevel="0" collapsed="false">
      <c r="A187" s="3311" t="s">
        <v>269</v>
      </c>
      <c r="B187" s="3300" t="s">
        <v>2390</v>
      </c>
      <c r="C187" s="3312"/>
      <c r="D187" s="3312"/>
      <c r="E187" s="3312"/>
      <c r="F187" s="3301" t="n">
        <v>0.05</v>
      </c>
      <c r="G187" s="3318"/>
    </row>
    <row r="188" customFormat="false" ht="13.5" hidden="false" customHeight="false" outlineLevel="0" collapsed="false">
      <c r="A188" s="3311" t="s">
        <v>269</v>
      </c>
      <c r="B188" s="3300" t="s">
        <v>2391</v>
      </c>
      <c r="C188" s="3312"/>
      <c r="D188" s="3312"/>
      <c r="E188" s="3312"/>
      <c r="F188" s="3301" t="n">
        <v>0.05</v>
      </c>
      <c r="G188" s="3318"/>
    </row>
    <row r="189" customFormat="false" ht="13.5" hidden="false" customHeight="false" outlineLevel="0" collapsed="false">
      <c r="A189" s="3314" t="s">
        <v>269</v>
      </c>
      <c r="B189" s="3304" t="s">
        <v>2392</v>
      </c>
      <c r="C189" s="3306"/>
      <c r="D189" s="3306"/>
      <c r="E189" s="3306"/>
      <c r="F189" s="3305" t="n">
        <v>0.05</v>
      </c>
      <c r="G189" s="3319"/>
    </row>
    <row r="190" customFormat="false" ht="13.5" hidden="false" customHeight="false" outlineLevel="0" collapsed="false">
      <c r="A190" s="3310" t="s">
        <v>274</v>
      </c>
      <c r="B190" s="3296" t="s">
        <v>2017</v>
      </c>
      <c r="C190" s="3297" t="n">
        <v>0.124</v>
      </c>
      <c r="D190" s="3297" t="n">
        <v>0.124</v>
      </c>
      <c r="E190" s="3297" t="n">
        <v>0.129</v>
      </c>
      <c r="F190" s="3297" t="n">
        <v>0.13</v>
      </c>
      <c r="G190" s="3298" t="n">
        <v>0.127</v>
      </c>
    </row>
    <row r="191" customFormat="false" ht="13.5" hidden="false" customHeight="false" outlineLevel="0" collapsed="false">
      <c r="A191" s="3311" t="s">
        <v>274</v>
      </c>
      <c r="B191" s="3300" t="s">
        <v>2030</v>
      </c>
      <c r="C191" s="3301" t="n">
        <v>0.13</v>
      </c>
      <c r="D191" s="3301" t="n">
        <v>0.13</v>
      </c>
      <c r="E191" s="3301" t="n">
        <v>0.13</v>
      </c>
      <c r="F191" s="3301" t="n">
        <v>0.13</v>
      </c>
      <c r="G191" s="3302" t="n">
        <v>0.13</v>
      </c>
    </row>
    <row r="192" customFormat="false" ht="13.5" hidden="false" customHeight="false" outlineLevel="0" collapsed="false">
      <c r="A192" s="3311" t="s">
        <v>274</v>
      </c>
      <c r="B192" s="3300" t="s">
        <v>2043</v>
      </c>
      <c r="C192" s="3301" t="n">
        <v>0.13</v>
      </c>
      <c r="D192" s="3301" t="n">
        <v>0.13</v>
      </c>
      <c r="E192" s="3301" t="n">
        <v>0.13</v>
      </c>
      <c r="F192" s="3301" t="n">
        <v>0.13</v>
      </c>
      <c r="G192" s="3302" t="n">
        <v>0.13</v>
      </c>
    </row>
    <row r="193" customFormat="false" ht="13.5" hidden="false" customHeight="false" outlineLevel="0" collapsed="false">
      <c r="A193" s="3311" t="s">
        <v>274</v>
      </c>
      <c r="B193" s="3300" t="s">
        <v>2055</v>
      </c>
      <c r="C193" s="3301" t="n">
        <v>0.13</v>
      </c>
      <c r="D193" s="3301" t="n">
        <v>0.13</v>
      </c>
      <c r="E193" s="3301" t="n">
        <v>0.13</v>
      </c>
      <c r="F193" s="3301" t="n">
        <v>0.13</v>
      </c>
      <c r="G193" s="3302" t="n">
        <v>0.13</v>
      </c>
    </row>
    <row r="194" customFormat="false" ht="13.5" hidden="false" customHeight="false" outlineLevel="0" collapsed="false">
      <c r="A194" s="3311" t="s">
        <v>274</v>
      </c>
      <c r="B194" s="3300" t="s">
        <v>2067</v>
      </c>
      <c r="C194" s="3301" t="n">
        <v>0.123</v>
      </c>
      <c r="D194" s="3301" t="n">
        <v>0.123</v>
      </c>
      <c r="E194" s="3301" t="n">
        <v>0.128</v>
      </c>
      <c r="F194" s="3301" t="n">
        <v>0.13</v>
      </c>
      <c r="G194" s="3302" t="n">
        <v>0.126</v>
      </c>
    </row>
    <row r="195" customFormat="false" ht="13.5" hidden="false" customHeight="false" outlineLevel="0" collapsed="false">
      <c r="A195" s="3311" t="s">
        <v>274</v>
      </c>
      <c r="B195" s="3300" t="s">
        <v>2078</v>
      </c>
      <c r="C195" s="3301" t="n">
        <v>0.127</v>
      </c>
      <c r="D195" s="3301" t="n">
        <v>0.127</v>
      </c>
      <c r="E195" s="3301" t="n">
        <v>0.121</v>
      </c>
      <c r="F195" s="3301" t="n">
        <v>0.129</v>
      </c>
      <c r="G195" s="3302" t="n">
        <v>0.129</v>
      </c>
    </row>
    <row r="196" customFormat="false" ht="13.5" hidden="false" customHeight="false" outlineLevel="0" collapsed="false">
      <c r="A196" s="3311" t="s">
        <v>274</v>
      </c>
      <c r="B196" s="3300" t="s">
        <v>2089</v>
      </c>
      <c r="C196" s="3301" t="n">
        <v>0.127</v>
      </c>
      <c r="D196" s="3301" t="n">
        <v>0.128</v>
      </c>
      <c r="E196" s="3301" t="n">
        <v>0.122</v>
      </c>
      <c r="F196" s="3301" t="n">
        <v>0.13</v>
      </c>
      <c r="G196" s="3302" t="n">
        <v>0.129</v>
      </c>
    </row>
    <row r="197" customFormat="false" ht="13.5" hidden="false" customHeight="false" outlineLevel="0" collapsed="false">
      <c r="A197" s="3311" t="s">
        <v>274</v>
      </c>
      <c r="B197" s="3300" t="s">
        <v>2100</v>
      </c>
      <c r="C197" s="3301" t="n">
        <v>0.126</v>
      </c>
      <c r="D197" s="3301" t="n">
        <v>0.126</v>
      </c>
      <c r="E197" s="3301" t="n">
        <v>0.119</v>
      </c>
      <c r="F197" s="3301" t="n">
        <v>0.13</v>
      </c>
      <c r="G197" s="3302" t="n">
        <v>0.128</v>
      </c>
    </row>
    <row r="198" customFormat="false" ht="13.5" hidden="false" customHeight="false" outlineLevel="0" collapsed="false">
      <c r="A198" s="3311" t="s">
        <v>274</v>
      </c>
      <c r="B198" s="3300" t="s">
        <v>2110</v>
      </c>
      <c r="C198" s="3301" t="n">
        <v>0.13</v>
      </c>
      <c r="D198" s="3301" t="n">
        <v>0.13</v>
      </c>
      <c r="E198" s="3301" t="n">
        <v>0.126</v>
      </c>
      <c r="F198" s="3317"/>
      <c r="G198" s="3302" t="n">
        <v>0.13</v>
      </c>
    </row>
    <row r="199" customFormat="false" ht="13.5" hidden="false" customHeight="false" outlineLevel="0" collapsed="false">
      <c r="A199" s="3311" t="s">
        <v>274</v>
      </c>
      <c r="B199" s="3300" t="s">
        <v>2120</v>
      </c>
      <c r="C199" s="3301" t="n">
        <v>0.13</v>
      </c>
      <c r="D199" s="3301" t="n">
        <v>0.13</v>
      </c>
      <c r="E199" s="3301" t="n">
        <v>0.13</v>
      </c>
      <c r="F199" s="3301" t="n">
        <v>0.13</v>
      </c>
      <c r="G199" s="3302" t="n">
        <v>0.13</v>
      </c>
    </row>
    <row r="200" customFormat="false" ht="13.5" hidden="false" customHeight="false" outlineLevel="0" collapsed="false">
      <c r="A200" s="3311" t="s">
        <v>274</v>
      </c>
      <c r="B200" s="3300" t="s">
        <v>2130</v>
      </c>
      <c r="C200" s="3317"/>
      <c r="D200" s="3317"/>
      <c r="E200" s="3317"/>
      <c r="F200" s="3301" t="n">
        <v>0.13</v>
      </c>
      <c r="G200" s="3313"/>
    </row>
    <row r="201" customFormat="false" ht="13.5" hidden="false" customHeight="false" outlineLevel="0" collapsed="false">
      <c r="A201" s="3311" t="s">
        <v>274</v>
      </c>
      <c r="B201" s="3300" t="s">
        <v>2140</v>
      </c>
      <c r="C201" s="3301" t="n">
        <v>0.13</v>
      </c>
      <c r="D201" s="3301" t="n">
        <v>0.13</v>
      </c>
      <c r="E201" s="3301" t="n">
        <v>0.13</v>
      </c>
      <c r="F201" s="3301" t="n">
        <v>0.129</v>
      </c>
      <c r="G201" s="3302" t="n">
        <v>0.13</v>
      </c>
    </row>
    <row r="202" customFormat="false" ht="13.5" hidden="false" customHeight="false" outlineLevel="0" collapsed="false">
      <c r="A202" s="3311" t="s">
        <v>274</v>
      </c>
      <c r="B202" s="3300" t="s">
        <v>2150</v>
      </c>
      <c r="C202" s="3301" t="n">
        <v>0.13</v>
      </c>
      <c r="D202" s="3301" t="n">
        <v>0.13</v>
      </c>
      <c r="E202" s="3301" t="n">
        <v>0.13</v>
      </c>
      <c r="F202" s="3301" t="n">
        <v>0.13</v>
      </c>
      <c r="G202" s="3302" t="n">
        <v>0.13</v>
      </c>
    </row>
    <row r="203" customFormat="false" ht="13.5" hidden="false" customHeight="false" outlineLevel="0" collapsed="false">
      <c r="A203" s="3311" t="s">
        <v>274</v>
      </c>
      <c r="B203" s="3300" t="s">
        <v>2160</v>
      </c>
      <c r="C203" s="3301" t="n">
        <v>0.129</v>
      </c>
      <c r="D203" s="3301" t="n">
        <v>0.129</v>
      </c>
      <c r="E203" s="3301" t="n">
        <v>0.13</v>
      </c>
      <c r="F203" s="3301" t="n">
        <v>0.13</v>
      </c>
      <c r="G203" s="3302" t="n">
        <v>0.13</v>
      </c>
    </row>
    <row r="204" customFormat="false" ht="13.5" hidden="false" customHeight="false" outlineLevel="0" collapsed="false">
      <c r="A204" s="3311" t="s">
        <v>274</v>
      </c>
      <c r="B204" s="3300" t="s">
        <v>2170</v>
      </c>
      <c r="C204" s="3301" t="n">
        <v>0.129</v>
      </c>
      <c r="D204" s="3301" t="n">
        <v>0.129</v>
      </c>
      <c r="E204" s="3301" t="n">
        <v>0.123</v>
      </c>
      <c r="F204" s="3301" t="n">
        <v>0.13</v>
      </c>
      <c r="G204" s="3302" t="n">
        <v>0.13</v>
      </c>
    </row>
    <row r="205" customFormat="false" ht="13.5" hidden="false" customHeight="false" outlineLevel="0" collapsed="false">
      <c r="A205" s="3311" t="s">
        <v>274</v>
      </c>
      <c r="B205" s="3300" t="s">
        <v>2180</v>
      </c>
      <c r="C205" s="3301" t="n">
        <v>0.13</v>
      </c>
      <c r="D205" s="3301" t="n">
        <v>0.13</v>
      </c>
      <c r="E205" s="3301" t="n">
        <v>0.13</v>
      </c>
      <c r="F205" s="3301" t="n">
        <v>0.13</v>
      </c>
      <c r="G205" s="3302" t="n">
        <v>0.13</v>
      </c>
    </row>
    <row r="206" customFormat="false" ht="13.5" hidden="false" customHeight="false" outlineLevel="0" collapsed="false">
      <c r="A206" s="3311" t="s">
        <v>274</v>
      </c>
      <c r="B206" s="3300" t="s">
        <v>2190</v>
      </c>
      <c r="C206" s="3301" t="n">
        <v>0.13</v>
      </c>
      <c r="D206" s="3301" t="n">
        <v>0.13</v>
      </c>
      <c r="E206" s="3301" t="n">
        <v>0.13</v>
      </c>
      <c r="F206" s="3301" t="n">
        <v>0.128</v>
      </c>
      <c r="G206" s="3302" t="n">
        <v>0.13</v>
      </c>
    </row>
    <row r="207" customFormat="false" ht="13.5" hidden="false" customHeight="false" outlineLevel="0" collapsed="false">
      <c r="A207" s="3311" t="s">
        <v>274</v>
      </c>
      <c r="B207" s="3300" t="s">
        <v>2200</v>
      </c>
      <c r="C207" s="3301" t="n">
        <v>0.13</v>
      </c>
      <c r="D207" s="3301" t="n">
        <v>0.13</v>
      </c>
      <c r="E207" s="3301" t="n">
        <v>0.13</v>
      </c>
      <c r="F207" s="3301" t="n">
        <v>0.13</v>
      </c>
      <c r="G207" s="3302" t="n">
        <v>0.13</v>
      </c>
    </row>
    <row r="208" customFormat="false" ht="13.5" hidden="false" customHeight="false" outlineLevel="0" collapsed="false">
      <c r="A208" s="3311" t="s">
        <v>274</v>
      </c>
      <c r="B208" s="3300" t="s">
        <v>2210</v>
      </c>
      <c r="C208" s="3301" t="n">
        <v>0.13</v>
      </c>
      <c r="D208" s="3301" t="n">
        <v>0.13</v>
      </c>
      <c r="E208" s="3301" t="n">
        <v>0.13</v>
      </c>
      <c r="F208" s="3301" t="n">
        <v>0.13</v>
      </c>
      <c r="G208" s="3302" t="n">
        <v>0.13</v>
      </c>
    </row>
    <row r="209" customFormat="false" ht="13.5" hidden="false" customHeight="false" outlineLevel="0" collapsed="false">
      <c r="A209" s="3311" t="s">
        <v>274</v>
      </c>
      <c r="B209" s="3300" t="s">
        <v>2220</v>
      </c>
      <c r="C209" s="3301" t="n">
        <v>0.13</v>
      </c>
      <c r="D209" s="3301" t="n">
        <v>0.13</v>
      </c>
      <c r="E209" s="3301" t="n">
        <v>0.13</v>
      </c>
      <c r="F209" s="3301" t="n">
        <v>0.13</v>
      </c>
      <c r="G209" s="3302" t="n">
        <v>0.13</v>
      </c>
    </row>
    <row r="210" customFormat="false" ht="13.5" hidden="false" customHeight="false" outlineLevel="0" collapsed="false">
      <c r="A210" s="3311" t="s">
        <v>274</v>
      </c>
      <c r="B210" s="3300" t="s">
        <v>2229</v>
      </c>
      <c r="C210" s="3301" t="n">
        <v>0.121</v>
      </c>
      <c r="D210" s="3301" t="n">
        <v>0.121</v>
      </c>
      <c r="E210" s="3301" t="n">
        <v>0.125</v>
      </c>
      <c r="F210" s="3301" t="n">
        <v>0.13</v>
      </c>
      <c r="G210" s="3302" t="n">
        <v>0.123</v>
      </c>
    </row>
    <row r="211" customFormat="false" ht="13.5" hidden="false" customHeight="false" outlineLevel="0" collapsed="false">
      <c r="A211" s="3311" t="s">
        <v>274</v>
      </c>
      <c r="B211" s="3300" t="s">
        <v>2237</v>
      </c>
      <c r="C211" s="3301" t="n">
        <v>0.123</v>
      </c>
      <c r="D211" s="3301" t="n">
        <v>0.123</v>
      </c>
      <c r="E211" s="3301" t="n">
        <v>0.127</v>
      </c>
      <c r="F211" s="3301" t="n">
        <v>0.115</v>
      </c>
      <c r="G211" s="3302" t="n">
        <v>0.126</v>
      </c>
    </row>
    <row r="212" customFormat="false" ht="13.5" hidden="false" customHeight="false" outlineLevel="0" collapsed="false">
      <c r="A212" s="3311" t="s">
        <v>274</v>
      </c>
      <c r="B212" s="3300" t="s">
        <v>2245</v>
      </c>
      <c r="C212" s="3301" t="n">
        <v>0.126</v>
      </c>
      <c r="D212" s="3301" t="n">
        <v>0.126</v>
      </c>
      <c r="E212" s="3301" t="n">
        <v>0.13</v>
      </c>
      <c r="F212" s="3301" t="n">
        <v>0.13</v>
      </c>
      <c r="G212" s="3302" t="n">
        <v>0.129</v>
      </c>
    </row>
    <row r="213" customFormat="false" ht="13.5" hidden="false" customHeight="false" outlineLevel="0" collapsed="false">
      <c r="A213" s="3311" t="s">
        <v>274</v>
      </c>
      <c r="B213" s="3300" t="s">
        <v>2253</v>
      </c>
      <c r="C213" s="3301" t="n">
        <v>0.129</v>
      </c>
      <c r="D213" s="3301" t="n">
        <v>0.13</v>
      </c>
      <c r="E213" s="3301" t="n">
        <v>0.127</v>
      </c>
      <c r="F213" s="3301" t="n">
        <v>0.13</v>
      </c>
      <c r="G213" s="3302" t="n">
        <v>0.13</v>
      </c>
    </row>
    <row r="214" customFormat="false" ht="13.5" hidden="false" customHeight="false" outlineLevel="0" collapsed="false">
      <c r="A214" s="3311" t="s">
        <v>274</v>
      </c>
      <c r="B214" s="3300" t="s">
        <v>2261</v>
      </c>
      <c r="C214" s="3301" t="n">
        <v>0.128</v>
      </c>
      <c r="D214" s="3301" t="n">
        <v>0.128</v>
      </c>
      <c r="E214" s="3301" t="n">
        <v>0.13</v>
      </c>
      <c r="F214" s="3301" t="n">
        <v>0.13</v>
      </c>
      <c r="G214" s="3302" t="n">
        <v>0.13</v>
      </c>
    </row>
    <row r="215" customFormat="false" ht="13.5" hidden="false" customHeight="false" outlineLevel="0" collapsed="false">
      <c r="A215" s="3311" t="s">
        <v>274</v>
      </c>
      <c r="B215" s="3300" t="s">
        <v>2268</v>
      </c>
      <c r="C215" s="3301" t="n">
        <v>0.13</v>
      </c>
      <c r="D215" s="3301" t="n">
        <v>0.13</v>
      </c>
      <c r="E215" s="3301" t="n">
        <v>0.13</v>
      </c>
      <c r="F215" s="3301" t="n">
        <v>0.129</v>
      </c>
      <c r="G215" s="3302" t="n">
        <v>0.13</v>
      </c>
    </row>
    <row r="216" customFormat="false" ht="13.5" hidden="false" customHeight="false" outlineLevel="0" collapsed="false">
      <c r="A216" s="3311" t="s">
        <v>274</v>
      </c>
      <c r="B216" s="3300" t="s">
        <v>2275</v>
      </c>
      <c r="C216" s="3301" t="n">
        <v>0.13</v>
      </c>
      <c r="D216" s="3301" t="n">
        <v>0.13</v>
      </c>
      <c r="E216" s="3301" t="n">
        <v>0.13</v>
      </c>
      <c r="F216" s="3301" t="n">
        <v>0.13</v>
      </c>
      <c r="G216" s="3302" t="n">
        <v>0.13</v>
      </c>
    </row>
    <row r="217" customFormat="false" ht="13.5" hidden="false" customHeight="false" outlineLevel="0" collapsed="false">
      <c r="A217" s="3311" t="s">
        <v>274</v>
      </c>
      <c r="B217" s="3300" t="s">
        <v>2282</v>
      </c>
      <c r="C217" s="3301" t="n">
        <v>0.129</v>
      </c>
      <c r="D217" s="3301" t="n">
        <v>0.129</v>
      </c>
      <c r="E217" s="3301" t="n">
        <v>0.13</v>
      </c>
      <c r="F217" s="3301" t="n">
        <v>0.13</v>
      </c>
      <c r="G217" s="3302" t="n">
        <v>0.13</v>
      </c>
    </row>
    <row r="218" customFormat="false" ht="13.5" hidden="false" customHeight="false" outlineLevel="0" collapsed="false">
      <c r="A218" s="3311" t="s">
        <v>274</v>
      </c>
      <c r="B218" s="3300" t="s">
        <v>2289</v>
      </c>
      <c r="C218" s="3312"/>
      <c r="D218" s="3312"/>
      <c r="E218" s="3312"/>
      <c r="F218" s="3301" t="n">
        <v>0.05</v>
      </c>
      <c r="G218" s="3318"/>
    </row>
    <row r="219" customFormat="false" ht="13.5" hidden="false" customHeight="false" outlineLevel="0" collapsed="false">
      <c r="A219" s="3311" t="s">
        <v>274</v>
      </c>
      <c r="B219" s="3300" t="s">
        <v>2296</v>
      </c>
      <c r="C219" s="3312"/>
      <c r="D219" s="3312"/>
      <c r="E219" s="3312"/>
      <c r="F219" s="3301" t="n">
        <v>0.05</v>
      </c>
      <c r="G219" s="3318"/>
    </row>
    <row r="220" customFormat="false" ht="13.5" hidden="false" customHeight="false" outlineLevel="0" collapsed="false">
      <c r="A220" s="3311" t="s">
        <v>274</v>
      </c>
      <c r="B220" s="3300" t="s">
        <v>2303</v>
      </c>
      <c r="C220" s="3312"/>
      <c r="D220" s="3312"/>
      <c r="E220" s="3312"/>
      <c r="F220" s="3301" t="n">
        <v>0.05</v>
      </c>
      <c r="G220" s="3318"/>
    </row>
    <row r="221" customFormat="false" ht="13.5" hidden="false" customHeight="false" outlineLevel="0" collapsed="false">
      <c r="A221" s="3311" t="s">
        <v>274</v>
      </c>
      <c r="B221" s="3300" t="s">
        <v>2310</v>
      </c>
      <c r="C221" s="3312"/>
      <c r="D221" s="3312"/>
      <c r="E221" s="3312"/>
      <c r="F221" s="3301" t="n">
        <v>0.05</v>
      </c>
      <c r="G221" s="3318"/>
    </row>
    <row r="222" customFormat="false" ht="13.5" hidden="false" customHeight="false" outlineLevel="0" collapsed="false">
      <c r="A222" s="3311" t="s">
        <v>274</v>
      </c>
      <c r="B222" s="3300" t="s">
        <v>2315</v>
      </c>
      <c r="C222" s="3312"/>
      <c r="D222" s="3312"/>
      <c r="E222" s="3312"/>
      <c r="F222" s="3301" t="n">
        <v>0.05</v>
      </c>
      <c r="G222" s="3318"/>
    </row>
    <row r="223" customFormat="false" ht="13.5" hidden="false" customHeight="false" outlineLevel="0" collapsed="false">
      <c r="A223" s="3311" t="s">
        <v>274</v>
      </c>
      <c r="B223" s="3300" t="s">
        <v>2320</v>
      </c>
      <c r="C223" s="3312"/>
      <c r="D223" s="3312"/>
      <c r="E223" s="3312"/>
      <c r="F223" s="3301" t="n">
        <v>0.05</v>
      </c>
      <c r="G223" s="3318"/>
    </row>
    <row r="224" customFormat="false" ht="13.5" hidden="false" customHeight="false" outlineLevel="0" collapsed="false">
      <c r="A224" s="3311" t="s">
        <v>274</v>
      </c>
      <c r="B224" s="3300" t="s">
        <v>2325</v>
      </c>
      <c r="C224" s="3312"/>
      <c r="D224" s="3312"/>
      <c r="E224" s="3312"/>
      <c r="F224" s="3301" t="n">
        <v>0.05</v>
      </c>
      <c r="G224" s="3318"/>
    </row>
    <row r="225" customFormat="false" ht="13.5" hidden="false" customHeight="false" outlineLevel="0" collapsed="false">
      <c r="A225" s="3311" t="s">
        <v>274</v>
      </c>
      <c r="B225" s="3300" t="s">
        <v>2330</v>
      </c>
      <c r="C225" s="3312"/>
      <c r="D225" s="3312"/>
      <c r="E225" s="3312"/>
      <c r="F225" s="3301" t="n">
        <v>0.05</v>
      </c>
      <c r="G225" s="3318"/>
    </row>
    <row r="226" customFormat="false" ht="13.5" hidden="false" customHeight="false" outlineLevel="0" collapsed="false">
      <c r="A226" s="3311" t="s">
        <v>274</v>
      </c>
      <c r="B226" s="3300" t="s">
        <v>2335</v>
      </c>
      <c r="C226" s="3312"/>
      <c r="D226" s="3312"/>
      <c r="E226" s="3312"/>
      <c r="F226" s="3301" t="n">
        <v>0.05</v>
      </c>
      <c r="G226" s="3318"/>
    </row>
    <row r="227" customFormat="false" ht="13.5" hidden="false" customHeight="false" outlineLevel="0" collapsed="false">
      <c r="A227" s="3311" t="s">
        <v>274</v>
      </c>
      <c r="B227" s="3300" t="s">
        <v>2340</v>
      </c>
      <c r="C227" s="3312"/>
      <c r="D227" s="3312"/>
      <c r="E227" s="3312"/>
      <c r="F227" s="3301" t="n">
        <v>0.05</v>
      </c>
      <c r="G227" s="3318"/>
    </row>
    <row r="228" customFormat="false" ht="13.5" hidden="false" customHeight="false" outlineLevel="0" collapsed="false">
      <c r="A228" s="3311" t="s">
        <v>274</v>
      </c>
      <c r="B228" s="3300" t="s">
        <v>2345</v>
      </c>
      <c r="C228" s="3312"/>
      <c r="D228" s="3312"/>
      <c r="E228" s="3312"/>
      <c r="F228" s="3301" t="n">
        <v>0.05</v>
      </c>
      <c r="G228" s="3318"/>
    </row>
    <row r="229" customFormat="false" ht="13.5" hidden="false" customHeight="false" outlineLevel="0" collapsed="false">
      <c r="A229" s="3311" t="s">
        <v>274</v>
      </c>
      <c r="B229" s="3300" t="s">
        <v>2350</v>
      </c>
      <c r="C229" s="3312"/>
      <c r="D229" s="3312"/>
      <c r="E229" s="3312"/>
      <c r="F229" s="3301" t="n">
        <v>0.05</v>
      </c>
      <c r="G229" s="3318"/>
    </row>
    <row r="230" customFormat="false" ht="13.5" hidden="false" customHeight="false" outlineLevel="0" collapsed="false">
      <c r="A230" s="3311" t="s">
        <v>274</v>
      </c>
      <c r="B230" s="3300" t="s">
        <v>2354</v>
      </c>
      <c r="C230" s="3312"/>
      <c r="D230" s="3312"/>
      <c r="E230" s="3312"/>
      <c r="F230" s="3301" t="n">
        <v>0.05</v>
      </c>
      <c r="G230" s="3318"/>
    </row>
    <row r="231" customFormat="false" ht="13.5" hidden="false" customHeight="false" outlineLevel="0" collapsed="false">
      <c r="A231" s="3311" t="s">
        <v>274</v>
      </c>
      <c r="B231" s="3300" t="s">
        <v>2358</v>
      </c>
      <c r="C231" s="3312"/>
      <c r="D231" s="3312"/>
      <c r="E231" s="3312"/>
      <c r="F231" s="3301" t="n">
        <v>0.05</v>
      </c>
      <c r="G231" s="3318"/>
    </row>
    <row r="232" customFormat="false" ht="13.5" hidden="false" customHeight="false" outlineLevel="0" collapsed="false">
      <c r="A232" s="3311" t="s">
        <v>274</v>
      </c>
      <c r="B232" s="3300" t="s">
        <v>2394</v>
      </c>
      <c r="C232" s="3312"/>
      <c r="D232" s="3312"/>
      <c r="E232" s="3312"/>
      <c r="F232" s="3301" t="n">
        <v>0.05</v>
      </c>
      <c r="G232" s="3318"/>
    </row>
    <row r="233" customFormat="false" ht="13.5" hidden="false" customHeight="false" outlineLevel="0" collapsed="false">
      <c r="A233" s="3314" t="s">
        <v>274</v>
      </c>
      <c r="B233" s="3304" t="s">
        <v>2366</v>
      </c>
      <c r="C233" s="3306"/>
      <c r="D233" s="3306"/>
      <c r="E233" s="3306"/>
      <c r="F233" s="3305" t="n">
        <v>0.05</v>
      </c>
      <c r="G233" s="3319"/>
    </row>
    <row r="234" customFormat="false" ht="13.5" hidden="false" customHeight="false" outlineLevel="0" collapsed="false">
      <c r="A234" s="3310" t="s">
        <v>280</v>
      </c>
      <c r="B234" s="3296" t="s">
        <v>2018</v>
      </c>
      <c r="C234" s="3297" t="n">
        <v>0.13</v>
      </c>
      <c r="D234" s="3297" t="n">
        <v>0.128</v>
      </c>
      <c r="E234" s="3297" t="n">
        <v>0.142</v>
      </c>
      <c r="F234" s="3297" t="n">
        <v>0.147</v>
      </c>
      <c r="G234" s="3298" t="n">
        <v>0.14</v>
      </c>
    </row>
    <row r="235" customFormat="false" ht="13.5" hidden="false" customHeight="false" outlineLevel="0" collapsed="false">
      <c r="A235" s="3311" t="s">
        <v>280</v>
      </c>
      <c r="B235" s="3300" t="s">
        <v>2031</v>
      </c>
      <c r="C235" s="3301" t="n">
        <v>0.136</v>
      </c>
      <c r="D235" s="3301" t="n">
        <v>0.138</v>
      </c>
      <c r="E235" s="3301" t="n">
        <v>0.145</v>
      </c>
      <c r="F235" s="3301" t="n">
        <v>0.143</v>
      </c>
      <c r="G235" s="3302" t="n">
        <v>0.141</v>
      </c>
    </row>
    <row r="236" customFormat="false" ht="13.5" hidden="false" customHeight="false" outlineLevel="0" collapsed="false">
      <c r="A236" s="3311" t="s">
        <v>280</v>
      </c>
      <c r="B236" s="3300" t="s">
        <v>2044</v>
      </c>
      <c r="C236" s="3301" t="n">
        <v>0.15</v>
      </c>
      <c r="D236" s="3301" t="n">
        <v>0.15</v>
      </c>
      <c r="E236" s="3301" t="n">
        <v>0.15</v>
      </c>
      <c r="F236" s="3301" t="n">
        <v>0.15</v>
      </c>
      <c r="G236" s="3302" t="n">
        <v>0.15</v>
      </c>
    </row>
    <row r="237" customFormat="false" ht="13.5" hidden="false" customHeight="false" outlineLevel="0" collapsed="false">
      <c r="A237" s="3311" t="s">
        <v>280</v>
      </c>
      <c r="B237" s="3300" t="s">
        <v>2056</v>
      </c>
      <c r="C237" s="3301" t="n">
        <v>0.15</v>
      </c>
      <c r="D237" s="3301" t="n">
        <v>0.15</v>
      </c>
      <c r="E237" s="3301" t="n">
        <v>0.15</v>
      </c>
      <c r="F237" s="3301" t="n">
        <v>0.15</v>
      </c>
      <c r="G237" s="3302" t="n">
        <v>0.15</v>
      </c>
    </row>
    <row r="238" customFormat="false" ht="13.5" hidden="false" customHeight="false" outlineLevel="0" collapsed="false">
      <c r="A238" s="3311" t="s">
        <v>280</v>
      </c>
      <c r="B238" s="3300" t="s">
        <v>2068</v>
      </c>
      <c r="C238" s="3301" t="n">
        <v>0.149</v>
      </c>
      <c r="D238" s="3301" t="n">
        <v>0.149</v>
      </c>
      <c r="E238" s="3301" t="n">
        <v>0.15</v>
      </c>
      <c r="F238" s="3301" t="n">
        <v>0.15</v>
      </c>
      <c r="G238" s="3302" t="n">
        <v>0.15</v>
      </c>
    </row>
    <row r="239" customFormat="false" ht="13.5" hidden="false" customHeight="false" outlineLevel="0" collapsed="false">
      <c r="A239" s="3311" t="s">
        <v>280</v>
      </c>
      <c r="B239" s="3300" t="s">
        <v>2079</v>
      </c>
      <c r="C239" s="3301" t="n">
        <v>0.15</v>
      </c>
      <c r="D239" s="3301" t="n">
        <v>0.15</v>
      </c>
      <c r="E239" s="3301" t="n">
        <v>0.15</v>
      </c>
      <c r="F239" s="3301" t="n">
        <v>0.15</v>
      </c>
      <c r="G239" s="3302" t="n">
        <v>0.15</v>
      </c>
    </row>
    <row r="240" customFormat="false" ht="13.5" hidden="false" customHeight="false" outlineLevel="0" collapsed="false">
      <c r="A240" s="3311" t="s">
        <v>280</v>
      </c>
      <c r="B240" s="3300" t="s">
        <v>2090</v>
      </c>
      <c r="C240" s="3301" t="n">
        <v>0.15</v>
      </c>
      <c r="D240" s="3301" t="n">
        <v>0.15</v>
      </c>
      <c r="E240" s="3301" t="n">
        <v>0.15</v>
      </c>
      <c r="F240" s="3301" t="n">
        <v>0.15</v>
      </c>
      <c r="G240" s="3302" t="n">
        <v>0.15</v>
      </c>
    </row>
    <row r="241" customFormat="false" ht="13.5" hidden="false" customHeight="false" outlineLevel="0" collapsed="false">
      <c r="A241" s="3311" t="s">
        <v>280</v>
      </c>
      <c r="B241" s="3300" t="s">
        <v>2101</v>
      </c>
      <c r="C241" s="3301" t="n">
        <v>0.141</v>
      </c>
      <c r="D241" s="3301" t="n">
        <v>0.142</v>
      </c>
      <c r="E241" s="3301" t="n">
        <v>0.149</v>
      </c>
      <c r="F241" s="3301" t="n">
        <v>0.15</v>
      </c>
      <c r="G241" s="3302" t="n">
        <v>0.144</v>
      </c>
    </row>
    <row r="242" customFormat="false" ht="13.5" hidden="false" customHeight="false" outlineLevel="0" collapsed="false">
      <c r="A242" s="3311" t="s">
        <v>280</v>
      </c>
      <c r="B242" s="3300" t="s">
        <v>2111</v>
      </c>
      <c r="C242" s="3301" t="n">
        <v>0.141</v>
      </c>
      <c r="D242" s="3301" t="n">
        <v>0.142</v>
      </c>
      <c r="E242" s="3301" t="n">
        <v>0.148</v>
      </c>
      <c r="F242" s="3301" t="n">
        <v>0.127</v>
      </c>
      <c r="G242" s="3302" t="n">
        <v>0.144</v>
      </c>
    </row>
    <row r="243" customFormat="false" ht="13.5" hidden="false" customHeight="false" outlineLevel="0" collapsed="false">
      <c r="A243" s="3311" t="s">
        <v>280</v>
      </c>
      <c r="B243" s="3300" t="s">
        <v>2121</v>
      </c>
      <c r="C243" s="3301" t="n">
        <v>0.147</v>
      </c>
      <c r="D243" s="3301" t="n">
        <v>0.147</v>
      </c>
      <c r="E243" s="3301" t="n">
        <v>0.15</v>
      </c>
      <c r="F243" s="3301" t="n">
        <v>0.15</v>
      </c>
      <c r="G243" s="3302" t="n">
        <v>0.149</v>
      </c>
    </row>
    <row r="244" customFormat="false" ht="13.5" hidden="false" customHeight="false" outlineLevel="0" collapsed="false">
      <c r="A244" s="3311" t="s">
        <v>280</v>
      </c>
      <c r="B244" s="3300" t="s">
        <v>2131</v>
      </c>
      <c r="C244" s="3301" t="n">
        <v>0.15</v>
      </c>
      <c r="D244" s="3301" t="n">
        <v>0.15</v>
      </c>
      <c r="E244" s="3301" t="n">
        <v>0.15</v>
      </c>
      <c r="F244" s="3301" t="n">
        <v>0.15</v>
      </c>
      <c r="G244" s="3302" t="n">
        <v>0.15</v>
      </c>
    </row>
    <row r="245" customFormat="false" ht="13.5" hidden="false" customHeight="false" outlineLevel="0" collapsed="false">
      <c r="A245" s="3311" t="s">
        <v>280</v>
      </c>
      <c r="B245" s="3300" t="s">
        <v>2141</v>
      </c>
      <c r="C245" s="3301" t="n">
        <v>0.142</v>
      </c>
      <c r="D245" s="3301" t="n">
        <v>0.142</v>
      </c>
      <c r="E245" s="3301" t="n">
        <v>0.15</v>
      </c>
      <c r="F245" s="3301" t="n">
        <v>0.15</v>
      </c>
      <c r="G245" s="3302" t="n">
        <v>0.145</v>
      </c>
    </row>
    <row r="246" customFormat="false" ht="13.5" hidden="false" customHeight="false" outlineLevel="0" collapsed="false">
      <c r="A246" s="3311" t="s">
        <v>280</v>
      </c>
      <c r="B246" s="3300" t="s">
        <v>2151</v>
      </c>
      <c r="C246" s="3301" t="n">
        <v>0.142</v>
      </c>
      <c r="D246" s="3301" t="n">
        <v>0.143</v>
      </c>
      <c r="E246" s="3301" t="n">
        <v>0.15</v>
      </c>
      <c r="F246" s="3301" t="n">
        <v>0.142</v>
      </c>
      <c r="G246" s="3302" t="n">
        <v>0.144</v>
      </c>
    </row>
    <row r="247" customFormat="false" ht="13.5" hidden="false" customHeight="false" outlineLevel="0" collapsed="false">
      <c r="A247" s="3311" t="s">
        <v>280</v>
      </c>
      <c r="B247" s="3300" t="s">
        <v>2161</v>
      </c>
      <c r="C247" s="3301" t="n">
        <v>0.149</v>
      </c>
      <c r="D247" s="3301" t="n">
        <v>0.149</v>
      </c>
      <c r="E247" s="3301" t="n">
        <v>0.15</v>
      </c>
      <c r="F247" s="3301" t="n">
        <v>0.15</v>
      </c>
      <c r="G247" s="3302" t="n">
        <v>0.15</v>
      </c>
    </row>
    <row r="248" customFormat="false" ht="13.5" hidden="false" customHeight="false" outlineLevel="0" collapsed="false">
      <c r="A248" s="3311" t="s">
        <v>280</v>
      </c>
      <c r="B248" s="3300" t="s">
        <v>2171</v>
      </c>
      <c r="C248" s="3301" t="n">
        <v>0.144</v>
      </c>
      <c r="D248" s="3301" t="n">
        <v>0.144</v>
      </c>
      <c r="E248" s="3301" t="n">
        <v>0.149</v>
      </c>
      <c r="F248" s="3301" t="n">
        <v>0.148</v>
      </c>
      <c r="G248" s="3302" t="n">
        <v>0.146</v>
      </c>
    </row>
    <row r="249" customFormat="false" ht="13.5" hidden="false" customHeight="false" outlineLevel="0" collapsed="false">
      <c r="A249" s="3311" t="s">
        <v>280</v>
      </c>
      <c r="B249" s="3300" t="s">
        <v>2181</v>
      </c>
      <c r="C249" s="3301" t="n">
        <v>0.14</v>
      </c>
      <c r="D249" s="3301" t="n">
        <v>0.14</v>
      </c>
      <c r="E249" s="3301" t="n">
        <v>0.147</v>
      </c>
      <c r="F249" s="3301" t="n">
        <v>0.149</v>
      </c>
      <c r="G249" s="3302" t="n">
        <v>0.142</v>
      </c>
    </row>
    <row r="250" customFormat="false" ht="13.5" hidden="false" customHeight="false" outlineLevel="0" collapsed="false">
      <c r="A250" s="3311" t="s">
        <v>280</v>
      </c>
      <c r="B250" s="3300" t="s">
        <v>2191</v>
      </c>
      <c r="C250" s="3301" t="n">
        <v>0.144</v>
      </c>
      <c r="D250" s="3301" t="n">
        <v>0.143</v>
      </c>
      <c r="E250" s="3301" t="n">
        <v>0.149</v>
      </c>
      <c r="F250" s="3301" t="n">
        <v>0.15</v>
      </c>
      <c r="G250" s="3302" t="n">
        <v>0.146</v>
      </c>
    </row>
    <row r="251" customFormat="false" ht="13.5" hidden="false" customHeight="false" outlineLevel="0" collapsed="false">
      <c r="A251" s="3311" t="s">
        <v>280</v>
      </c>
      <c r="B251" s="3300" t="s">
        <v>2201</v>
      </c>
      <c r="C251" s="3317"/>
      <c r="D251" s="3312"/>
      <c r="E251" s="3312"/>
      <c r="F251" s="3301" t="n">
        <v>0.1</v>
      </c>
      <c r="G251" s="3318"/>
    </row>
    <row r="252" customFormat="false" ht="13.5" hidden="false" customHeight="false" outlineLevel="0" collapsed="false">
      <c r="A252" s="3311" t="s">
        <v>280</v>
      </c>
      <c r="B252" s="3300" t="s">
        <v>2211</v>
      </c>
      <c r="C252" s="3301" t="n">
        <v>0.144</v>
      </c>
      <c r="D252" s="3301" t="n">
        <v>0.144</v>
      </c>
      <c r="E252" s="3301" t="n">
        <v>0.15</v>
      </c>
      <c r="F252" s="3301" t="n">
        <v>0.149</v>
      </c>
      <c r="G252" s="3302" t="n">
        <v>0.146</v>
      </c>
    </row>
    <row r="253" customFormat="false" ht="13.5" hidden="false" customHeight="false" outlineLevel="0" collapsed="false">
      <c r="A253" s="3311" t="s">
        <v>280</v>
      </c>
      <c r="B253" s="3300" t="s">
        <v>2221</v>
      </c>
      <c r="C253" s="3301" t="n">
        <v>0.142</v>
      </c>
      <c r="D253" s="3301" t="n">
        <v>0.142</v>
      </c>
      <c r="E253" s="3301" t="n">
        <v>0.146</v>
      </c>
      <c r="F253" s="3301" t="n">
        <v>0.148</v>
      </c>
      <c r="G253" s="3302" t="n">
        <v>0.145</v>
      </c>
    </row>
    <row r="254" customFormat="false" ht="13.5" hidden="false" customHeight="false" outlineLevel="0" collapsed="false">
      <c r="A254" s="3311" t="s">
        <v>280</v>
      </c>
      <c r="B254" s="3300" t="s">
        <v>2230</v>
      </c>
      <c r="C254" s="3301" t="n">
        <v>0.15</v>
      </c>
      <c r="D254" s="3301" t="n">
        <v>0.15</v>
      </c>
      <c r="E254" s="3301" t="n">
        <v>0.15</v>
      </c>
      <c r="F254" s="3301" t="n">
        <v>0.15</v>
      </c>
      <c r="G254" s="3302" t="n">
        <v>0.15</v>
      </c>
    </row>
    <row r="255" customFormat="false" ht="13.5" hidden="false" customHeight="false" outlineLevel="0" collapsed="false">
      <c r="A255" s="3311" t="s">
        <v>280</v>
      </c>
      <c r="B255" s="3300" t="s">
        <v>2238</v>
      </c>
      <c r="C255" s="3301" t="n">
        <v>0.143</v>
      </c>
      <c r="D255" s="3301" t="n">
        <v>0.143</v>
      </c>
      <c r="E255" s="3301" t="n">
        <v>0.15</v>
      </c>
      <c r="F255" s="3301" t="n">
        <v>0.15</v>
      </c>
      <c r="G255" s="3302" t="n">
        <v>0.145</v>
      </c>
    </row>
    <row r="256" customFormat="false" ht="13.5" hidden="false" customHeight="false" outlineLevel="0" collapsed="false">
      <c r="A256" s="3311" t="s">
        <v>280</v>
      </c>
      <c r="B256" s="3300" t="s">
        <v>2246</v>
      </c>
      <c r="C256" s="3301" t="n">
        <v>0.15</v>
      </c>
      <c r="D256" s="3301" t="n">
        <v>0.15</v>
      </c>
      <c r="E256" s="3301" t="n">
        <v>0.15</v>
      </c>
      <c r="F256" s="3301" t="n">
        <v>0.146</v>
      </c>
      <c r="G256" s="3302" t="n">
        <v>0.15</v>
      </c>
    </row>
    <row r="257" customFormat="false" ht="13.5" hidden="false" customHeight="false" outlineLevel="0" collapsed="false">
      <c r="A257" s="3311" t="s">
        <v>280</v>
      </c>
      <c r="B257" s="3300" t="s">
        <v>2254</v>
      </c>
      <c r="C257" s="3301" t="n">
        <v>0.142</v>
      </c>
      <c r="D257" s="3301" t="n">
        <v>0.143</v>
      </c>
      <c r="E257" s="3301" t="n">
        <v>0.148</v>
      </c>
      <c r="F257" s="3301" t="n">
        <v>0.15</v>
      </c>
      <c r="G257" s="3302" t="n">
        <v>0.145</v>
      </c>
    </row>
    <row r="258" customFormat="false" ht="13.5" hidden="false" customHeight="false" outlineLevel="0" collapsed="false">
      <c r="A258" s="3311" t="s">
        <v>280</v>
      </c>
      <c r="B258" s="3300" t="s">
        <v>2262</v>
      </c>
      <c r="C258" s="3301" t="n">
        <v>0.143</v>
      </c>
      <c r="D258" s="3301" t="n">
        <v>0.143</v>
      </c>
      <c r="E258" s="3301" t="n">
        <v>0.15</v>
      </c>
      <c r="F258" s="3301" t="n">
        <v>0.148</v>
      </c>
      <c r="G258" s="3302" t="n">
        <v>0.146</v>
      </c>
    </row>
    <row r="259" customFormat="false" ht="13.5" hidden="false" customHeight="false" outlineLevel="0" collapsed="false">
      <c r="A259" s="3311" t="s">
        <v>280</v>
      </c>
      <c r="B259" s="3300" t="s">
        <v>2269</v>
      </c>
      <c r="C259" s="3301" t="n">
        <v>0.144</v>
      </c>
      <c r="D259" s="3301" t="n">
        <v>0.144</v>
      </c>
      <c r="E259" s="3301" t="n">
        <v>0.149</v>
      </c>
      <c r="F259" s="3301" t="n">
        <v>0.147</v>
      </c>
      <c r="G259" s="3302" t="n">
        <v>0.146</v>
      </c>
    </row>
    <row r="260" customFormat="false" ht="13.5" hidden="false" customHeight="false" outlineLevel="0" collapsed="false">
      <c r="A260" s="3311" t="s">
        <v>280</v>
      </c>
      <c r="B260" s="3300" t="s">
        <v>2276</v>
      </c>
      <c r="C260" s="3301" t="n">
        <v>0.109</v>
      </c>
      <c r="D260" s="3301" t="n">
        <v>0.111</v>
      </c>
      <c r="E260" s="3301" t="n">
        <v>0.131</v>
      </c>
      <c r="F260" s="3301" t="n">
        <v>0.126</v>
      </c>
      <c r="G260" s="3302" t="n">
        <v>0.119</v>
      </c>
    </row>
    <row r="261" customFormat="false" ht="13.5" hidden="false" customHeight="false" outlineLevel="0" collapsed="false">
      <c r="A261" s="3311" t="s">
        <v>280</v>
      </c>
      <c r="B261" s="3300" t="s">
        <v>2283</v>
      </c>
      <c r="C261" s="3301" t="n">
        <v>0.1</v>
      </c>
      <c r="D261" s="3301" t="n">
        <v>0.1</v>
      </c>
      <c r="E261" s="3301" t="n">
        <v>0.118</v>
      </c>
      <c r="F261" s="3301" t="n">
        <v>0.108</v>
      </c>
      <c r="G261" s="3302" t="n">
        <v>0.107</v>
      </c>
    </row>
    <row r="262" customFormat="false" ht="13.5" hidden="false" customHeight="false" outlineLevel="0" collapsed="false">
      <c r="A262" s="3311" t="s">
        <v>280</v>
      </c>
      <c r="B262" s="3300" t="s">
        <v>2290</v>
      </c>
      <c r="C262" s="3301" t="n">
        <v>0.1</v>
      </c>
      <c r="D262" s="3301" t="n">
        <v>0.1</v>
      </c>
      <c r="E262" s="3301" t="n">
        <v>0.1</v>
      </c>
      <c r="F262" s="3301" t="n">
        <v>0.141</v>
      </c>
      <c r="G262" s="3302" t="n">
        <v>0.1</v>
      </c>
    </row>
    <row r="263" customFormat="false" ht="13.5" hidden="false" customHeight="false" outlineLevel="0" collapsed="false">
      <c r="A263" s="3311" t="s">
        <v>280</v>
      </c>
      <c r="B263" s="3300" t="s">
        <v>2297</v>
      </c>
      <c r="C263" s="3301" t="n">
        <v>0.148</v>
      </c>
      <c r="D263" s="3301" t="n">
        <v>0.148</v>
      </c>
      <c r="E263" s="3301" t="n">
        <v>0.15</v>
      </c>
      <c r="F263" s="3301" t="n">
        <v>0.147</v>
      </c>
      <c r="G263" s="3302" t="n">
        <v>0.15</v>
      </c>
    </row>
    <row r="264" customFormat="false" ht="13.5" hidden="false" customHeight="false" outlineLevel="0" collapsed="false">
      <c r="A264" s="3311" t="s">
        <v>280</v>
      </c>
      <c r="B264" s="3300" t="s">
        <v>2304</v>
      </c>
      <c r="C264" s="3301" t="n">
        <v>0.143</v>
      </c>
      <c r="D264" s="3301" t="n">
        <v>0.143</v>
      </c>
      <c r="E264" s="3301" t="n">
        <v>0.15</v>
      </c>
      <c r="F264" s="3301" t="n">
        <v>0.149</v>
      </c>
      <c r="G264" s="3302" t="n">
        <v>0.146</v>
      </c>
    </row>
    <row r="265" customFormat="false" ht="13.5" hidden="false" customHeight="false" outlineLevel="0" collapsed="false">
      <c r="A265" s="3311" t="s">
        <v>280</v>
      </c>
      <c r="B265" s="3300" t="s">
        <v>2311</v>
      </c>
      <c r="C265" s="3312"/>
      <c r="D265" s="3312"/>
      <c r="E265" s="3312"/>
      <c r="F265" s="3301" t="n">
        <v>0.05</v>
      </c>
      <c r="G265" s="3318"/>
    </row>
    <row r="266" customFormat="false" ht="13.5" hidden="false" customHeight="false" outlineLevel="0" collapsed="false">
      <c r="A266" s="3311" t="s">
        <v>280</v>
      </c>
      <c r="B266" s="3300" t="s">
        <v>2316</v>
      </c>
      <c r="C266" s="3312"/>
      <c r="D266" s="3312"/>
      <c r="E266" s="3312"/>
      <c r="F266" s="3301" t="n">
        <v>0.05</v>
      </c>
      <c r="G266" s="3318"/>
    </row>
    <row r="267" customFormat="false" ht="13.5" hidden="false" customHeight="false" outlineLevel="0" collapsed="false">
      <c r="A267" s="3311" t="s">
        <v>280</v>
      </c>
      <c r="B267" s="3300" t="s">
        <v>2321</v>
      </c>
      <c r="C267" s="3312"/>
      <c r="D267" s="3312"/>
      <c r="E267" s="3312"/>
      <c r="F267" s="3301" t="n">
        <v>0.05</v>
      </c>
      <c r="G267" s="3318"/>
    </row>
    <row r="268" customFormat="false" ht="13.5" hidden="false" customHeight="false" outlineLevel="0" collapsed="false">
      <c r="A268" s="3311" t="s">
        <v>280</v>
      </c>
      <c r="B268" s="3300" t="s">
        <v>2326</v>
      </c>
      <c r="C268" s="3312"/>
      <c r="D268" s="3312"/>
      <c r="E268" s="3312"/>
      <c r="F268" s="3301" t="n">
        <v>0.05</v>
      </c>
      <c r="G268" s="3318"/>
    </row>
    <row r="269" customFormat="false" ht="13.5" hidden="false" customHeight="false" outlineLevel="0" collapsed="false">
      <c r="A269" s="3311" t="s">
        <v>280</v>
      </c>
      <c r="B269" s="3300" t="s">
        <v>2331</v>
      </c>
      <c r="C269" s="3312"/>
      <c r="D269" s="3312"/>
      <c r="E269" s="3312"/>
      <c r="F269" s="3301" t="n">
        <v>0.05</v>
      </c>
      <c r="G269" s="3318"/>
    </row>
    <row r="270" customFormat="false" ht="13.5" hidden="false" customHeight="false" outlineLevel="0" collapsed="false">
      <c r="A270" s="3311" t="s">
        <v>280</v>
      </c>
      <c r="B270" s="3300" t="s">
        <v>2336</v>
      </c>
      <c r="C270" s="3312"/>
      <c r="D270" s="3312"/>
      <c r="E270" s="3312"/>
      <c r="F270" s="3301" t="n">
        <v>0.05</v>
      </c>
      <c r="G270" s="3318"/>
    </row>
    <row r="271" customFormat="false" ht="13.5" hidden="false" customHeight="false" outlineLevel="0" collapsed="false">
      <c r="A271" s="3311" t="s">
        <v>280</v>
      </c>
      <c r="B271" s="3300" t="s">
        <v>2341</v>
      </c>
      <c r="C271" s="3312"/>
      <c r="D271" s="3312"/>
      <c r="E271" s="3312"/>
      <c r="F271" s="3301" t="n">
        <v>0.05</v>
      </c>
      <c r="G271" s="3318"/>
    </row>
    <row r="272" customFormat="false" ht="13.5" hidden="false" customHeight="false" outlineLevel="0" collapsed="false">
      <c r="A272" s="3311" t="s">
        <v>280</v>
      </c>
      <c r="B272" s="3300" t="s">
        <v>2346</v>
      </c>
      <c r="C272" s="3312"/>
      <c r="D272" s="3312"/>
      <c r="E272" s="3312"/>
      <c r="F272" s="3301" t="n">
        <v>0.05</v>
      </c>
      <c r="G272" s="3318"/>
    </row>
    <row r="273" customFormat="false" ht="13.5" hidden="false" customHeight="false" outlineLevel="0" collapsed="false">
      <c r="A273" s="3311" t="s">
        <v>280</v>
      </c>
      <c r="B273" s="3300" t="s">
        <v>2351</v>
      </c>
      <c r="C273" s="3312"/>
      <c r="D273" s="3312"/>
      <c r="E273" s="3312"/>
      <c r="F273" s="3301" t="n">
        <v>0.05</v>
      </c>
      <c r="G273" s="3318"/>
    </row>
    <row r="274" customFormat="false" ht="13.5" hidden="false" customHeight="false" outlineLevel="0" collapsed="false">
      <c r="A274" s="3311" t="s">
        <v>280</v>
      </c>
      <c r="B274" s="3300" t="s">
        <v>2355</v>
      </c>
      <c r="C274" s="3312"/>
      <c r="D274" s="3312"/>
      <c r="E274" s="3312"/>
      <c r="F274" s="3301" t="n">
        <v>0.05</v>
      </c>
      <c r="G274" s="3318"/>
    </row>
    <row r="275" customFormat="false" ht="13.5" hidden="false" customHeight="false" outlineLevel="0" collapsed="false">
      <c r="A275" s="3311" t="s">
        <v>280</v>
      </c>
      <c r="B275" s="3300" t="s">
        <v>2359</v>
      </c>
      <c r="C275" s="3312"/>
      <c r="D275" s="3312"/>
      <c r="E275" s="3312"/>
      <c r="F275" s="3301" t="n">
        <v>0.05</v>
      </c>
      <c r="G275" s="3318"/>
    </row>
    <row r="276" customFormat="false" ht="13.5" hidden="false" customHeight="false" outlineLevel="0" collapsed="false">
      <c r="A276" s="3314" t="s">
        <v>280</v>
      </c>
      <c r="B276" s="3304" t="s">
        <v>2363</v>
      </c>
      <c r="C276" s="3306"/>
      <c r="D276" s="3306"/>
      <c r="E276" s="3306"/>
      <c r="F276" s="3305" t="n">
        <v>0.05</v>
      </c>
      <c r="G276" s="3319"/>
    </row>
    <row r="277" customFormat="false" ht="13.5" hidden="false" customHeight="false" outlineLevel="0" collapsed="false">
      <c r="A277" s="3310" t="s">
        <v>284</v>
      </c>
      <c r="B277" s="3296" t="s">
        <v>2019</v>
      </c>
      <c r="C277" s="3297" t="n">
        <v>0.15</v>
      </c>
      <c r="D277" s="3297" t="n">
        <v>0.15</v>
      </c>
      <c r="E277" s="3297" t="n">
        <v>0.15</v>
      </c>
      <c r="F277" s="3297" t="n">
        <v>0.15</v>
      </c>
      <c r="G277" s="3298" t="n">
        <v>0.15</v>
      </c>
    </row>
    <row r="278" customFormat="false" ht="13.5" hidden="false" customHeight="false" outlineLevel="0" collapsed="false">
      <c r="A278" s="3311" t="s">
        <v>284</v>
      </c>
      <c r="B278" s="3300" t="s">
        <v>2032</v>
      </c>
      <c r="C278" s="3301" t="n">
        <v>0.15</v>
      </c>
      <c r="D278" s="3301" t="n">
        <v>0.15</v>
      </c>
      <c r="E278" s="3301" t="n">
        <v>0.15</v>
      </c>
      <c r="F278" s="3301" t="n">
        <v>0.15</v>
      </c>
      <c r="G278" s="3302" t="n">
        <v>0.15</v>
      </c>
    </row>
    <row r="279" customFormat="false" ht="13.5" hidden="false" customHeight="false" outlineLevel="0" collapsed="false">
      <c r="A279" s="3311" t="s">
        <v>284</v>
      </c>
      <c r="B279" s="3300" t="s">
        <v>2045</v>
      </c>
      <c r="C279" s="3301" t="n">
        <v>0.15</v>
      </c>
      <c r="D279" s="3301" t="n">
        <v>0.15</v>
      </c>
      <c r="E279" s="3301" t="n">
        <v>0.15</v>
      </c>
      <c r="F279" s="3301" t="n">
        <v>0.15</v>
      </c>
      <c r="G279" s="3302" t="n">
        <v>0.15</v>
      </c>
    </row>
    <row r="280" customFormat="false" ht="13.5" hidden="false" customHeight="false" outlineLevel="0" collapsed="false">
      <c r="A280" s="3311" t="s">
        <v>284</v>
      </c>
      <c r="B280" s="3300" t="s">
        <v>2057</v>
      </c>
      <c r="C280" s="3301" t="n">
        <v>0.15</v>
      </c>
      <c r="D280" s="3301" t="n">
        <v>0.15</v>
      </c>
      <c r="E280" s="3301" t="n">
        <v>0.15</v>
      </c>
      <c r="F280" s="3301" t="n">
        <v>0.15</v>
      </c>
      <c r="G280" s="3302" t="n">
        <v>0.15</v>
      </c>
    </row>
    <row r="281" customFormat="false" ht="13.5" hidden="false" customHeight="false" outlineLevel="0" collapsed="false">
      <c r="A281" s="3311" t="s">
        <v>284</v>
      </c>
      <c r="B281" s="3300" t="s">
        <v>2069</v>
      </c>
      <c r="C281" s="3301" t="n">
        <v>0.15</v>
      </c>
      <c r="D281" s="3301" t="n">
        <v>0.15</v>
      </c>
      <c r="E281" s="3301" t="n">
        <v>0.15</v>
      </c>
      <c r="F281" s="3301" t="n">
        <v>0.15</v>
      </c>
      <c r="G281" s="3302" t="n">
        <v>0.15</v>
      </c>
    </row>
    <row r="282" customFormat="false" ht="13.5" hidden="false" customHeight="false" outlineLevel="0" collapsed="false">
      <c r="A282" s="3311" t="s">
        <v>284</v>
      </c>
      <c r="B282" s="3300" t="s">
        <v>2080</v>
      </c>
      <c r="C282" s="3301" t="n">
        <v>0.15</v>
      </c>
      <c r="D282" s="3301" t="n">
        <v>0.15</v>
      </c>
      <c r="E282" s="3301" t="n">
        <v>0.15</v>
      </c>
      <c r="F282" s="3301" t="n">
        <v>0.145</v>
      </c>
      <c r="G282" s="3302" t="n">
        <v>0.15</v>
      </c>
    </row>
    <row r="283" customFormat="false" ht="13.5" hidden="false" customHeight="false" outlineLevel="0" collapsed="false">
      <c r="A283" s="3311" t="s">
        <v>284</v>
      </c>
      <c r="B283" s="3300" t="s">
        <v>2091</v>
      </c>
      <c r="C283" s="3301" t="n">
        <v>0.15</v>
      </c>
      <c r="D283" s="3301" t="n">
        <v>0.15</v>
      </c>
      <c r="E283" s="3301" t="n">
        <v>0.15</v>
      </c>
      <c r="F283" s="3301" t="n">
        <v>0.142</v>
      </c>
      <c r="G283" s="3302" t="n">
        <v>0.15</v>
      </c>
    </row>
    <row r="284" customFormat="false" ht="13.5" hidden="false" customHeight="false" outlineLevel="0" collapsed="false">
      <c r="A284" s="3311" t="s">
        <v>284</v>
      </c>
      <c r="B284" s="3300" t="s">
        <v>2102</v>
      </c>
      <c r="C284" s="3301" t="n">
        <v>0.15</v>
      </c>
      <c r="D284" s="3301" t="n">
        <v>0.15</v>
      </c>
      <c r="E284" s="3301" t="n">
        <v>0.15</v>
      </c>
      <c r="F284" s="3301" t="n">
        <v>0.15</v>
      </c>
      <c r="G284" s="3302" t="n">
        <v>0.15</v>
      </c>
    </row>
    <row r="285" customFormat="false" ht="13.5" hidden="false" customHeight="false" outlineLevel="0" collapsed="false">
      <c r="A285" s="3311" t="s">
        <v>284</v>
      </c>
      <c r="B285" s="3300" t="s">
        <v>2112</v>
      </c>
      <c r="C285" s="3301" t="n">
        <v>0.15</v>
      </c>
      <c r="D285" s="3301" t="n">
        <v>0.15</v>
      </c>
      <c r="E285" s="3301" t="n">
        <v>0.15</v>
      </c>
      <c r="F285" s="3301" t="n">
        <v>0.15</v>
      </c>
      <c r="G285" s="3302" t="n">
        <v>0.15</v>
      </c>
    </row>
    <row r="286" customFormat="false" ht="13.5" hidden="false" customHeight="false" outlineLevel="0" collapsed="false">
      <c r="A286" s="3311" t="s">
        <v>284</v>
      </c>
      <c r="B286" s="3300" t="s">
        <v>2122</v>
      </c>
      <c r="C286" s="3301" t="n">
        <v>0.145</v>
      </c>
      <c r="D286" s="3301" t="n">
        <v>0.145</v>
      </c>
      <c r="E286" s="3301" t="n">
        <v>0.15</v>
      </c>
      <c r="F286" s="3301" t="n">
        <v>0.141</v>
      </c>
      <c r="G286" s="3302" t="n">
        <v>0.145</v>
      </c>
    </row>
    <row r="287" customFormat="false" ht="13.5" hidden="false" customHeight="false" outlineLevel="0" collapsed="false">
      <c r="A287" s="3311" t="s">
        <v>284</v>
      </c>
      <c r="B287" s="3300" t="s">
        <v>2132</v>
      </c>
      <c r="C287" s="3301" t="n">
        <v>0.11</v>
      </c>
      <c r="D287" s="3301" t="n">
        <v>0.111</v>
      </c>
      <c r="E287" s="3301" t="n">
        <v>0.141</v>
      </c>
      <c r="F287" s="3301" t="n">
        <v>0.11</v>
      </c>
      <c r="G287" s="3302" t="n">
        <v>0.12</v>
      </c>
    </row>
    <row r="288" customFormat="false" ht="13.5" hidden="false" customHeight="false" outlineLevel="0" collapsed="false">
      <c r="A288" s="3311" t="s">
        <v>284</v>
      </c>
      <c r="B288" s="3300" t="s">
        <v>2142</v>
      </c>
      <c r="C288" s="3301" t="n">
        <v>0.142</v>
      </c>
      <c r="D288" s="3301" t="n">
        <v>0.143</v>
      </c>
      <c r="E288" s="3301" t="n">
        <v>0.15</v>
      </c>
      <c r="F288" s="3301" t="n">
        <v>0.142</v>
      </c>
      <c r="G288" s="3302" t="n">
        <v>0.144</v>
      </c>
    </row>
    <row r="289" customFormat="false" ht="13.5" hidden="false" customHeight="false" outlineLevel="0" collapsed="false">
      <c r="A289" s="3311" t="s">
        <v>284</v>
      </c>
      <c r="B289" s="3300" t="s">
        <v>2152</v>
      </c>
      <c r="C289" s="3301" t="n">
        <v>0.143</v>
      </c>
      <c r="D289" s="3301" t="n">
        <v>0.143</v>
      </c>
      <c r="E289" s="3301" t="n">
        <v>0.148</v>
      </c>
      <c r="F289" s="3301" t="n">
        <v>0.144</v>
      </c>
      <c r="G289" s="3302" t="n">
        <v>0.144</v>
      </c>
    </row>
    <row r="290" customFormat="false" ht="13.5" hidden="false" customHeight="false" outlineLevel="0" collapsed="false">
      <c r="A290" s="3311" t="s">
        <v>284</v>
      </c>
      <c r="B290" s="3300" t="s">
        <v>2162</v>
      </c>
      <c r="C290" s="3301" t="n">
        <v>0.148</v>
      </c>
      <c r="D290" s="3301" t="n">
        <v>0.149</v>
      </c>
      <c r="E290" s="3301" t="n">
        <v>0.15</v>
      </c>
      <c r="F290" s="3301" t="n">
        <v>0.127</v>
      </c>
      <c r="G290" s="3302" t="n">
        <v>0.15</v>
      </c>
    </row>
    <row r="291" customFormat="false" ht="13.5" hidden="false" customHeight="false" outlineLevel="0" collapsed="false">
      <c r="A291" s="3311" t="s">
        <v>284</v>
      </c>
      <c r="B291" s="3300" t="s">
        <v>2172</v>
      </c>
      <c r="C291" s="3301" t="n">
        <v>0.15</v>
      </c>
      <c r="D291" s="3301" t="n">
        <v>0.15</v>
      </c>
      <c r="E291" s="3301" t="n">
        <v>0.15</v>
      </c>
      <c r="F291" s="3301" t="n">
        <v>0.149</v>
      </c>
      <c r="G291" s="3302" t="n">
        <v>0.15</v>
      </c>
    </row>
    <row r="292" customFormat="false" ht="13.5" hidden="false" customHeight="false" outlineLevel="0" collapsed="false">
      <c r="A292" s="3311" t="s">
        <v>284</v>
      </c>
      <c r="B292" s="3300" t="s">
        <v>2182</v>
      </c>
      <c r="C292" s="3301" t="n">
        <v>0.15</v>
      </c>
      <c r="D292" s="3301" t="n">
        <v>0.15</v>
      </c>
      <c r="E292" s="3301" t="n">
        <v>0.15</v>
      </c>
      <c r="F292" s="3301" t="n">
        <v>0.144</v>
      </c>
      <c r="G292" s="3302" t="n">
        <v>0.15</v>
      </c>
    </row>
    <row r="293" customFormat="false" ht="13.5" hidden="false" customHeight="false" outlineLevel="0" collapsed="false">
      <c r="A293" s="3311" t="s">
        <v>284</v>
      </c>
      <c r="B293" s="3300" t="s">
        <v>2192</v>
      </c>
      <c r="C293" s="3301" t="n">
        <v>0.15</v>
      </c>
      <c r="D293" s="3301" t="n">
        <v>0.15</v>
      </c>
      <c r="E293" s="3301" t="n">
        <v>0.15</v>
      </c>
      <c r="F293" s="3301" t="n">
        <v>0.145</v>
      </c>
      <c r="G293" s="3302" t="n">
        <v>0.15</v>
      </c>
    </row>
    <row r="294" customFormat="false" ht="13.5" hidden="false" customHeight="false" outlineLevel="0" collapsed="false">
      <c r="A294" s="3311" t="s">
        <v>284</v>
      </c>
      <c r="B294" s="3300" t="s">
        <v>2202</v>
      </c>
      <c r="C294" s="3301" t="n">
        <v>0.15</v>
      </c>
      <c r="D294" s="3301" t="n">
        <v>0.15</v>
      </c>
      <c r="E294" s="3301" t="n">
        <v>0.15</v>
      </c>
      <c r="F294" s="3301" t="n">
        <v>0.149</v>
      </c>
      <c r="G294" s="3302" t="n">
        <v>0.15</v>
      </c>
    </row>
    <row r="295" customFormat="false" ht="13.5" hidden="false" customHeight="false" outlineLevel="0" collapsed="false">
      <c r="A295" s="3311" t="s">
        <v>284</v>
      </c>
      <c r="B295" s="3300" t="s">
        <v>2212</v>
      </c>
      <c r="C295" s="3301" t="n">
        <v>0.15</v>
      </c>
      <c r="D295" s="3301" t="n">
        <v>0.15</v>
      </c>
      <c r="E295" s="3301" t="n">
        <v>0.15</v>
      </c>
      <c r="F295" s="3301" t="n">
        <v>0.148</v>
      </c>
      <c r="G295" s="3302" t="n">
        <v>0.15</v>
      </c>
    </row>
    <row r="296" customFormat="false" ht="13.5" hidden="false" customHeight="false" outlineLevel="0" collapsed="false">
      <c r="A296" s="3311" t="s">
        <v>284</v>
      </c>
      <c r="B296" s="3300" t="s">
        <v>2222</v>
      </c>
      <c r="C296" s="3301" t="n">
        <v>0.15</v>
      </c>
      <c r="D296" s="3301" t="n">
        <v>0.15</v>
      </c>
      <c r="E296" s="3301" t="n">
        <v>0.15</v>
      </c>
      <c r="F296" s="3301" t="n">
        <v>0.144</v>
      </c>
      <c r="G296" s="3302" t="n">
        <v>0.15</v>
      </c>
    </row>
    <row r="297" customFormat="false" ht="13.5" hidden="false" customHeight="false" outlineLevel="0" collapsed="false">
      <c r="A297" s="3311" t="s">
        <v>284</v>
      </c>
      <c r="B297" s="3300" t="s">
        <v>2231</v>
      </c>
      <c r="C297" s="3301" t="n">
        <v>0.15</v>
      </c>
      <c r="D297" s="3301" t="n">
        <v>0.15</v>
      </c>
      <c r="E297" s="3301" t="n">
        <v>0.15</v>
      </c>
      <c r="F297" s="3301" t="n">
        <v>0.145</v>
      </c>
      <c r="G297" s="3302" t="n">
        <v>0.15</v>
      </c>
    </row>
    <row r="298" customFormat="false" ht="13.5" hidden="false" customHeight="false" outlineLevel="0" collapsed="false">
      <c r="A298" s="3311" t="s">
        <v>284</v>
      </c>
      <c r="B298" s="3300" t="s">
        <v>2239</v>
      </c>
      <c r="C298" s="3301" t="n">
        <v>0.15</v>
      </c>
      <c r="D298" s="3301" t="n">
        <v>0.15</v>
      </c>
      <c r="E298" s="3301" t="n">
        <v>0.15</v>
      </c>
      <c r="F298" s="3301" t="n">
        <v>0.15</v>
      </c>
      <c r="G298" s="3302" t="n">
        <v>0.15</v>
      </c>
    </row>
    <row r="299" customFormat="false" ht="13.5" hidden="false" customHeight="false" outlineLevel="0" collapsed="false">
      <c r="A299" s="3311" t="s">
        <v>284</v>
      </c>
      <c r="B299" s="3320" t="s">
        <v>2247</v>
      </c>
      <c r="C299" s="3301" t="n">
        <v>0.15</v>
      </c>
      <c r="D299" s="3301" t="n">
        <v>0.15</v>
      </c>
      <c r="E299" s="3301" t="n">
        <v>0.15</v>
      </c>
      <c r="F299" s="3301" t="n">
        <v>0.145</v>
      </c>
      <c r="G299" s="3302" t="n">
        <v>0.15</v>
      </c>
    </row>
    <row r="300" customFormat="false" ht="13.5" hidden="false" customHeight="false" outlineLevel="0" collapsed="false">
      <c r="A300" s="3311" t="s">
        <v>284</v>
      </c>
      <c r="B300" s="3320" t="s">
        <v>2255</v>
      </c>
      <c r="C300" s="3301" t="n">
        <v>0.15</v>
      </c>
      <c r="D300" s="3301" t="n">
        <v>0.15</v>
      </c>
      <c r="E300" s="3301" t="n">
        <v>0.15</v>
      </c>
      <c r="F300" s="3301" t="n">
        <v>0.146</v>
      </c>
      <c r="G300" s="3302" t="n">
        <v>0.15</v>
      </c>
    </row>
    <row r="301" customFormat="false" ht="13.5" hidden="false" customHeight="false" outlineLevel="0" collapsed="false">
      <c r="A301" s="3311" t="s">
        <v>284</v>
      </c>
      <c r="B301" s="3320" t="s">
        <v>2263</v>
      </c>
      <c r="C301" s="3301" t="n">
        <v>0.126</v>
      </c>
      <c r="D301" s="3301" t="n">
        <v>0.124</v>
      </c>
      <c r="E301" s="3301" t="n">
        <v>0.141</v>
      </c>
      <c r="F301" s="3301" t="n">
        <v>0.144</v>
      </c>
      <c r="G301" s="3302" t="n">
        <v>0.13</v>
      </c>
    </row>
    <row r="302" customFormat="false" ht="13.5" hidden="false" customHeight="false" outlineLevel="0" collapsed="false">
      <c r="A302" s="3311" t="s">
        <v>284</v>
      </c>
      <c r="B302" s="3300" t="s">
        <v>2270</v>
      </c>
      <c r="C302" s="3301" t="n">
        <v>0.15</v>
      </c>
      <c r="D302" s="3301" t="n">
        <v>0.15</v>
      </c>
      <c r="E302" s="3301" t="n">
        <v>0.15</v>
      </c>
      <c r="F302" s="3301" t="n">
        <v>0.147</v>
      </c>
      <c r="G302" s="3302" t="n">
        <v>0.15</v>
      </c>
    </row>
    <row r="303" customFormat="false" ht="13.5" hidden="false" customHeight="false" outlineLevel="0" collapsed="false">
      <c r="A303" s="3311" t="s">
        <v>284</v>
      </c>
      <c r="B303" s="3300" t="s">
        <v>2277</v>
      </c>
      <c r="C303" s="3301" t="n">
        <v>0.15</v>
      </c>
      <c r="D303" s="3301" t="n">
        <v>0.15</v>
      </c>
      <c r="E303" s="3301" t="n">
        <v>0.15</v>
      </c>
      <c r="F303" s="3301" t="n">
        <v>0.142</v>
      </c>
      <c r="G303" s="3302" t="n">
        <v>0.15</v>
      </c>
    </row>
    <row r="304" customFormat="false" ht="13.5" hidden="false" customHeight="false" outlineLevel="0" collapsed="false">
      <c r="A304" s="3311" t="s">
        <v>284</v>
      </c>
      <c r="B304" s="3300" t="s">
        <v>2284</v>
      </c>
      <c r="C304" s="3301" t="n">
        <v>0.15</v>
      </c>
      <c r="D304" s="3301" t="n">
        <v>0.15</v>
      </c>
      <c r="E304" s="3301" t="n">
        <v>0.15</v>
      </c>
      <c r="F304" s="3301" t="n">
        <v>0.145</v>
      </c>
      <c r="G304" s="3302" t="n">
        <v>0.15</v>
      </c>
    </row>
    <row r="305" customFormat="false" ht="13.5" hidden="false" customHeight="false" outlineLevel="0" collapsed="false">
      <c r="A305" s="3311" t="s">
        <v>284</v>
      </c>
      <c r="B305" s="3300" t="s">
        <v>2291</v>
      </c>
      <c r="C305" s="3301" t="n">
        <v>0.15</v>
      </c>
      <c r="D305" s="3301" t="n">
        <v>0.15</v>
      </c>
      <c r="E305" s="3301" t="n">
        <v>0.15</v>
      </c>
      <c r="F305" s="3301" t="n">
        <v>0.111</v>
      </c>
      <c r="G305" s="3302" t="n">
        <v>0.15</v>
      </c>
    </row>
    <row r="306" customFormat="false" ht="13.5" hidden="false" customHeight="false" outlineLevel="0" collapsed="false">
      <c r="A306" s="3311" t="s">
        <v>284</v>
      </c>
      <c r="B306" s="3300" t="s">
        <v>2298</v>
      </c>
      <c r="C306" s="3301" t="n">
        <v>0.15</v>
      </c>
      <c r="D306" s="3301" t="n">
        <v>0.15</v>
      </c>
      <c r="E306" s="3301" t="n">
        <v>0.15</v>
      </c>
      <c r="F306" s="3301" t="n">
        <v>0.126</v>
      </c>
      <c r="G306" s="3302" t="n">
        <v>0.15</v>
      </c>
    </row>
    <row r="307" customFormat="false" ht="13.5" hidden="false" customHeight="false" outlineLevel="0" collapsed="false">
      <c r="A307" s="3311" t="s">
        <v>284</v>
      </c>
      <c r="B307" s="3300" t="s">
        <v>2305</v>
      </c>
      <c r="C307" s="3301" t="n">
        <v>0.15</v>
      </c>
      <c r="D307" s="3301" t="n">
        <v>0.15</v>
      </c>
      <c r="E307" s="3301" t="n">
        <v>0.15</v>
      </c>
      <c r="F307" s="3301" t="n">
        <v>0.12</v>
      </c>
      <c r="G307" s="3302" t="n">
        <v>0.15</v>
      </c>
    </row>
    <row r="308" customFormat="false" ht="13.5" hidden="false" customHeight="false" outlineLevel="0" collapsed="false">
      <c r="A308" s="3311" t="s">
        <v>284</v>
      </c>
      <c r="B308" s="3300" t="s">
        <v>2312</v>
      </c>
      <c r="C308" s="3301" t="n">
        <v>0.15</v>
      </c>
      <c r="D308" s="3301" t="n">
        <v>0.15</v>
      </c>
      <c r="E308" s="3301" t="n">
        <v>0.15</v>
      </c>
      <c r="F308" s="3301" t="n">
        <v>0.13</v>
      </c>
      <c r="G308" s="3302" t="n">
        <v>0.15</v>
      </c>
    </row>
    <row r="309" customFormat="false" ht="13.5" hidden="false" customHeight="false" outlineLevel="0" collapsed="false">
      <c r="A309" s="3311" t="s">
        <v>284</v>
      </c>
      <c r="B309" s="3300" t="s">
        <v>2317</v>
      </c>
      <c r="C309" s="3301" t="n">
        <v>0.15</v>
      </c>
      <c r="D309" s="3301" t="n">
        <v>0.15</v>
      </c>
      <c r="E309" s="3301" t="n">
        <v>0.15</v>
      </c>
      <c r="F309" s="3301" t="n">
        <v>0.141</v>
      </c>
      <c r="G309" s="3302" t="n">
        <v>0.15</v>
      </c>
    </row>
    <row r="310" customFormat="false" ht="13.5" hidden="false" customHeight="false" outlineLevel="0" collapsed="false">
      <c r="A310" s="3311" t="s">
        <v>284</v>
      </c>
      <c r="B310" s="3300" t="s">
        <v>2322</v>
      </c>
      <c r="C310" s="3301" t="n">
        <v>0.15</v>
      </c>
      <c r="D310" s="3301" t="n">
        <v>0.15</v>
      </c>
      <c r="E310" s="3301" t="n">
        <v>0.15</v>
      </c>
      <c r="F310" s="3301" t="n">
        <v>0.15</v>
      </c>
      <c r="G310" s="3302" t="n">
        <v>0.15</v>
      </c>
    </row>
    <row r="311" customFormat="false" ht="13.5" hidden="false" customHeight="false" outlineLevel="0" collapsed="false">
      <c r="A311" s="3311" t="s">
        <v>284</v>
      </c>
      <c r="B311" s="3300" t="s">
        <v>2327</v>
      </c>
      <c r="C311" s="3301" t="n">
        <v>0.132</v>
      </c>
      <c r="D311" s="3301" t="n">
        <v>0.133</v>
      </c>
      <c r="E311" s="3301" t="n">
        <v>0.145</v>
      </c>
      <c r="F311" s="3301" t="n">
        <v>0.142</v>
      </c>
      <c r="G311" s="3302" t="n">
        <v>0.14</v>
      </c>
    </row>
    <row r="312" customFormat="false" ht="13.5" hidden="false" customHeight="false" outlineLevel="0" collapsed="false">
      <c r="A312" s="3311" t="s">
        <v>284</v>
      </c>
      <c r="B312" s="3300" t="s">
        <v>2332</v>
      </c>
      <c r="C312" s="3301" t="n">
        <v>0.138</v>
      </c>
      <c r="D312" s="3301" t="n">
        <v>0.14</v>
      </c>
      <c r="E312" s="3301" t="n">
        <v>0.146</v>
      </c>
      <c r="F312" s="3301" t="n">
        <v>0.149</v>
      </c>
      <c r="G312" s="3302" t="n">
        <v>0.142</v>
      </c>
    </row>
    <row r="313" customFormat="false" ht="13.5" hidden="false" customHeight="false" outlineLevel="0" collapsed="false">
      <c r="A313" s="3311" t="s">
        <v>284</v>
      </c>
      <c r="B313" s="3300" t="s">
        <v>2337</v>
      </c>
      <c r="C313" s="3301" t="n">
        <v>0.125</v>
      </c>
      <c r="D313" s="3301" t="n">
        <v>0.127</v>
      </c>
      <c r="E313" s="3301" t="n">
        <v>0.144</v>
      </c>
      <c r="F313" s="3301" t="n">
        <v>0.115</v>
      </c>
      <c r="G313" s="3302" t="n">
        <v>0.136</v>
      </c>
    </row>
    <row r="314" customFormat="false" ht="13.5" hidden="false" customHeight="false" outlineLevel="0" collapsed="false">
      <c r="A314" s="3311" t="s">
        <v>284</v>
      </c>
      <c r="B314" s="3300" t="s">
        <v>2342</v>
      </c>
      <c r="C314" s="3317"/>
      <c r="D314" s="3317"/>
      <c r="E314" s="3317"/>
      <c r="F314" s="3301" t="n">
        <v>0.05</v>
      </c>
      <c r="G314" s="3318"/>
    </row>
    <row r="315" customFormat="false" ht="13.5" hidden="false" customHeight="false" outlineLevel="0" collapsed="false">
      <c r="A315" s="3311" t="s">
        <v>284</v>
      </c>
      <c r="B315" s="3300" t="s">
        <v>2347</v>
      </c>
      <c r="C315" s="3317"/>
      <c r="D315" s="3317"/>
      <c r="E315" s="3317"/>
      <c r="F315" s="3301" t="n">
        <v>0.05</v>
      </c>
      <c r="G315" s="3318"/>
    </row>
    <row r="316" customFormat="false" ht="13.5" hidden="false" customHeight="false" outlineLevel="0" collapsed="false">
      <c r="A316" s="3311" t="s">
        <v>284</v>
      </c>
      <c r="B316" s="3300" t="s">
        <v>2352</v>
      </c>
      <c r="C316" s="3312"/>
      <c r="D316" s="3312"/>
      <c r="E316" s="3312"/>
      <c r="F316" s="3301" t="n">
        <v>0.05</v>
      </c>
      <c r="G316" s="3318"/>
    </row>
    <row r="317" customFormat="false" ht="13.5" hidden="false" customHeight="false" outlineLevel="0" collapsed="false">
      <c r="A317" s="3311" t="s">
        <v>284</v>
      </c>
      <c r="B317" s="3300" t="s">
        <v>2356</v>
      </c>
      <c r="C317" s="3312"/>
      <c r="D317" s="3312"/>
      <c r="E317" s="3312"/>
      <c r="F317" s="3301" t="n">
        <v>0.05</v>
      </c>
      <c r="G317" s="3318"/>
    </row>
    <row r="318" customFormat="false" ht="13.5" hidden="false" customHeight="false" outlineLevel="0" collapsed="false">
      <c r="A318" s="3311" t="s">
        <v>284</v>
      </c>
      <c r="B318" s="3300" t="s">
        <v>2360</v>
      </c>
      <c r="C318" s="3312"/>
      <c r="D318" s="3312"/>
      <c r="E318" s="3312"/>
      <c r="F318" s="3301" t="n">
        <v>0.05</v>
      </c>
      <c r="G318" s="3318"/>
    </row>
    <row r="319" customFormat="false" ht="13.5" hidden="false" customHeight="false" outlineLevel="0" collapsed="false">
      <c r="A319" s="3311" t="s">
        <v>284</v>
      </c>
      <c r="B319" s="3300" t="s">
        <v>2364</v>
      </c>
      <c r="C319" s="3312"/>
      <c r="D319" s="3312"/>
      <c r="E319" s="3312"/>
      <c r="F319" s="3301" t="n">
        <v>0.05</v>
      </c>
      <c r="G319" s="3318"/>
    </row>
    <row r="320" customFormat="false" ht="13.5" hidden="false" customHeight="false" outlineLevel="0" collapsed="false">
      <c r="A320" s="3311" t="s">
        <v>284</v>
      </c>
      <c r="B320" s="3300" t="s">
        <v>2367</v>
      </c>
      <c r="C320" s="3312"/>
      <c r="D320" s="3312"/>
      <c r="E320" s="3312"/>
      <c r="F320" s="3301" t="n">
        <v>0.05</v>
      </c>
      <c r="G320" s="3318"/>
    </row>
    <row r="321" customFormat="false" ht="13.5" hidden="false" customHeight="false" outlineLevel="0" collapsed="false">
      <c r="A321" s="3311" t="s">
        <v>284</v>
      </c>
      <c r="B321" s="3300" t="s">
        <v>2369</v>
      </c>
      <c r="C321" s="3312"/>
      <c r="D321" s="3312"/>
      <c r="E321" s="3312"/>
      <c r="F321" s="3301" t="n">
        <v>0.05</v>
      </c>
      <c r="G321" s="3318"/>
    </row>
    <row r="322" customFormat="false" ht="13.5" hidden="false" customHeight="false" outlineLevel="0" collapsed="false">
      <c r="A322" s="3311" t="s">
        <v>284</v>
      </c>
      <c r="B322" s="3300" t="s">
        <v>2371</v>
      </c>
      <c r="C322" s="3312"/>
      <c r="D322" s="3312"/>
      <c r="E322" s="3312"/>
      <c r="F322" s="3301" t="n">
        <v>0.05</v>
      </c>
      <c r="G322" s="3318"/>
    </row>
    <row r="323" customFormat="false" ht="13.5" hidden="false" customHeight="false" outlineLevel="0" collapsed="false">
      <c r="A323" s="3311" t="s">
        <v>284</v>
      </c>
      <c r="B323" s="3300" t="s">
        <v>2373</v>
      </c>
      <c r="C323" s="3312"/>
      <c r="D323" s="3312"/>
      <c r="E323" s="3312"/>
      <c r="F323" s="3301" t="n">
        <v>0.05</v>
      </c>
      <c r="G323" s="3318"/>
    </row>
    <row r="324" customFormat="false" ht="13.5" hidden="false" customHeight="false" outlineLevel="0" collapsed="false">
      <c r="A324" s="3311" t="s">
        <v>284</v>
      </c>
      <c r="B324" s="3300" t="s">
        <v>2375</v>
      </c>
      <c r="C324" s="3312"/>
      <c r="D324" s="3312"/>
      <c r="E324" s="3312"/>
      <c r="F324" s="3301" t="n">
        <v>0.05</v>
      </c>
      <c r="G324" s="3318"/>
    </row>
    <row r="325" customFormat="false" ht="13.5" hidden="false" customHeight="false" outlineLevel="0" collapsed="false">
      <c r="A325" s="3311" t="s">
        <v>284</v>
      </c>
      <c r="B325" s="3300" t="s">
        <v>2377</v>
      </c>
      <c r="C325" s="3312"/>
      <c r="D325" s="3312"/>
      <c r="E325" s="3312"/>
      <c r="F325" s="3301" t="n">
        <v>0.05</v>
      </c>
      <c r="G325" s="3318"/>
    </row>
    <row r="326" customFormat="false" ht="13.5" hidden="false" customHeight="false" outlineLevel="0" collapsed="false">
      <c r="A326" s="3314" t="s">
        <v>284</v>
      </c>
      <c r="B326" s="3304" t="s">
        <v>2379</v>
      </c>
      <c r="C326" s="3306"/>
      <c r="D326" s="3306"/>
      <c r="E326" s="3306"/>
      <c r="F326" s="3305" t="n">
        <v>0.05</v>
      </c>
      <c r="G326" s="3319"/>
    </row>
    <row r="327" customFormat="false" ht="13.5" hidden="false" customHeight="false" outlineLevel="0" collapsed="false">
      <c r="A327" s="3310" t="s">
        <v>288</v>
      </c>
      <c r="B327" s="3296" t="s">
        <v>2020</v>
      </c>
      <c r="C327" s="3297" t="n">
        <v>0.15</v>
      </c>
      <c r="D327" s="3297" t="n">
        <v>0.15</v>
      </c>
      <c r="E327" s="3297" t="n">
        <v>0.15</v>
      </c>
      <c r="F327" s="3297" t="n">
        <v>0.15</v>
      </c>
      <c r="G327" s="3298" t="n">
        <v>0.15</v>
      </c>
    </row>
    <row r="328" customFormat="false" ht="13.5" hidden="false" customHeight="false" outlineLevel="0" collapsed="false">
      <c r="A328" s="3311" t="s">
        <v>288</v>
      </c>
      <c r="B328" s="3300" t="s">
        <v>2033</v>
      </c>
      <c r="C328" s="3301" t="n">
        <v>0.15</v>
      </c>
      <c r="D328" s="3301" t="n">
        <v>0.15</v>
      </c>
      <c r="E328" s="3301" t="n">
        <v>0.15</v>
      </c>
      <c r="F328" s="3301" t="n">
        <v>0.126</v>
      </c>
      <c r="G328" s="3302" t="n">
        <v>0.15</v>
      </c>
    </row>
    <row r="329" customFormat="false" ht="13.5" hidden="false" customHeight="false" outlineLevel="0" collapsed="false">
      <c r="A329" s="3311" t="s">
        <v>288</v>
      </c>
      <c r="B329" s="3300" t="s">
        <v>2046</v>
      </c>
      <c r="C329" s="3301" t="n">
        <v>0.15</v>
      </c>
      <c r="D329" s="3301" t="n">
        <v>0.15</v>
      </c>
      <c r="E329" s="3301" t="n">
        <v>0.15</v>
      </c>
      <c r="F329" s="3301" t="n">
        <v>0.15</v>
      </c>
      <c r="G329" s="3302" t="n">
        <v>0.15</v>
      </c>
    </row>
    <row r="330" customFormat="false" ht="13.5" hidden="false" customHeight="false" outlineLevel="0" collapsed="false">
      <c r="A330" s="3311" t="s">
        <v>288</v>
      </c>
      <c r="B330" s="3300" t="s">
        <v>2058</v>
      </c>
      <c r="C330" s="3301" t="n">
        <v>0.15</v>
      </c>
      <c r="D330" s="3301" t="n">
        <v>0.15</v>
      </c>
      <c r="E330" s="3301" t="n">
        <v>0.15</v>
      </c>
      <c r="F330" s="3301" t="n">
        <v>0.15</v>
      </c>
      <c r="G330" s="3302" t="n">
        <v>0.15</v>
      </c>
    </row>
    <row r="331" customFormat="false" ht="13.5" hidden="false" customHeight="false" outlineLevel="0" collapsed="false">
      <c r="A331" s="3311" t="s">
        <v>288</v>
      </c>
      <c r="B331" s="3300" t="s">
        <v>2070</v>
      </c>
      <c r="C331" s="3301" t="n">
        <v>0.15</v>
      </c>
      <c r="D331" s="3301" t="n">
        <v>0.15</v>
      </c>
      <c r="E331" s="3301" t="n">
        <v>0.15</v>
      </c>
      <c r="F331" s="3301" t="n">
        <v>0.15</v>
      </c>
      <c r="G331" s="3302" t="n">
        <v>0.15</v>
      </c>
    </row>
    <row r="332" customFormat="false" ht="13.5" hidden="false" customHeight="false" outlineLevel="0" collapsed="false">
      <c r="A332" s="3311" t="s">
        <v>288</v>
      </c>
      <c r="B332" s="3300" t="s">
        <v>2081</v>
      </c>
      <c r="C332" s="3301" t="n">
        <v>0.15</v>
      </c>
      <c r="D332" s="3301" t="n">
        <v>0.15</v>
      </c>
      <c r="E332" s="3301" t="n">
        <v>0.15</v>
      </c>
      <c r="F332" s="3301" t="n">
        <v>0.15</v>
      </c>
      <c r="G332" s="3302" t="n">
        <v>0.15</v>
      </c>
    </row>
    <row r="333" customFormat="false" ht="13.5" hidden="false" customHeight="false" outlineLevel="0" collapsed="false">
      <c r="A333" s="3311" t="s">
        <v>288</v>
      </c>
      <c r="B333" s="3300" t="s">
        <v>2092</v>
      </c>
      <c r="C333" s="3301" t="n">
        <v>0.149</v>
      </c>
      <c r="D333" s="3301" t="n">
        <v>0.149</v>
      </c>
      <c r="E333" s="3301" t="n">
        <v>0.15</v>
      </c>
      <c r="F333" s="3301" t="n">
        <v>0.116</v>
      </c>
      <c r="G333" s="3302" t="n">
        <v>0.15</v>
      </c>
    </row>
    <row r="334" customFormat="false" ht="13.5" hidden="false" customHeight="false" outlineLevel="0" collapsed="false">
      <c r="A334" s="3311" t="s">
        <v>288</v>
      </c>
      <c r="B334" s="3300" t="s">
        <v>2103</v>
      </c>
      <c r="C334" s="3301" t="n">
        <v>0.15</v>
      </c>
      <c r="D334" s="3301" t="n">
        <v>0.15</v>
      </c>
      <c r="E334" s="3301" t="n">
        <v>0.15</v>
      </c>
      <c r="F334" s="3301" t="n">
        <v>0.13</v>
      </c>
      <c r="G334" s="3302" t="n">
        <v>0.15</v>
      </c>
    </row>
    <row r="335" customFormat="false" ht="13.5" hidden="false" customHeight="false" outlineLevel="0" collapsed="false">
      <c r="A335" s="3311" t="s">
        <v>288</v>
      </c>
      <c r="B335" s="3300" t="s">
        <v>2113</v>
      </c>
      <c r="C335" s="3301" t="n">
        <v>0.15</v>
      </c>
      <c r="D335" s="3301" t="n">
        <v>0.15</v>
      </c>
      <c r="E335" s="3301" t="n">
        <v>0.15</v>
      </c>
      <c r="F335" s="3301" t="n">
        <v>0.144</v>
      </c>
      <c r="G335" s="3302" t="n">
        <v>0.15</v>
      </c>
    </row>
    <row r="336" customFormat="false" ht="13.5" hidden="false" customHeight="false" outlineLevel="0" collapsed="false">
      <c r="A336" s="3311" t="s">
        <v>288</v>
      </c>
      <c r="B336" s="3300" t="s">
        <v>2123</v>
      </c>
      <c r="C336" s="3301" t="n">
        <v>0.15</v>
      </c>
      <c r="D336" s="3301" t="n">
        <v>0.15</v>
      </c>
      <c r="E336" s="3301" t="n">
        <v>0.15</v>
      </c>
      <c r="F336" s="3301" t="n">
        <v>0.142</v>
      </c>
      <c r="G336" s="3302" t="n">
        <v>0.15</v>
      </c>
    </row>
    <row r="337" customFormat="false" ht="13.5" hidden="false" customHeight="false" outlineLevel="0" collapsed="false">
      <c r="A337" s="3311" t="s">
        <v>288</v>
      </c>
      <c r="B337" s="3300" t="s">
        <v>2133</v>
      </c>
      <c r="C337" s="3301" t="n">
        <v>0.15</v>
      </c>
      <c r="D337" s="3301" t="n">
        <v>0.15</v>
      </c>
      <c r="E337" s="3301" t="n">
        <v>0.15</v>
      </c>
      <c r="F337" s="3301" t="n">
        <v>0.145</v>
      </c>
      <c r="G337" s="3302" t="n">
        <v>0.15</v>
      </c>
    </row>
    <row r="338" customFormat="false" ht="13.5" hidden="false" customHeight="false" outlineLevel="0" collapsed="false">
      <c r="A338" s="3311" t="s">
        <v>288</v>
      </c>
      <c r="B338" s="3300" t="s">
        <v>2143</v>
      </c>
      <c r="C338" s="3301" t="n">
        <v>0.15</v>
      </c>
      <c r="D338" s="3301" t="n">
        <v>0.15</v>
      </c>
      <c r="E338" s="3301" t="n">
        <v>0.15</v>
      </c>
      <c r="F338" s="3301" t="n">
        <v>0.15</v>
      </c>
      <c r="G338" s="3302" t="n">
        <v>0.15</v>
      </c>
    </row>
    <row r="339" customFormat="false" ht="13.5" hidden="false" customHeight="false" outlineLevel="0" collapsed="false">
      <c r="A339" s="3311" t="s">
        <v>288</v>
      </c>
      <c r="B339" s="3300" t="s">
        <v>2153</v>
      </c>
      <c r="C339" s="3301" t="n">
        <v>0.15</v>
      </c>
      <c r="D339" s="3301" t="n">
        <v>0.15</v>
      </c>
      <c r="E339" s="3301" t="n">
        <v>0.15</v>
      </c>
      <c r="F339" s="3301" t="n">
        <v>0.147</v>
      </c>
      <c r="G339" s="3302" t="n">
        <v>0.15</v>
      </c>
    </row>
    <row r="340" customFormat="false" ht="13.5" hidden="false" customHeight="false" outlineLevel="0" collapsed="false">
      <c r="A340" s="3311" t="s">
        <v>288</v>
      </c>
      <c r="B340" s="3300" t="s">
        <v>2163</v>
      </c>
      <c r="C340" s="3301" t="n">
        <v>0.146</v>
      </c>
      <c r="D340" s="3301" t="n">
        <v>0.146</v>
      </c>
      <c r="E340" s="3301" t="n">
        <v>0.15</v>
      </c>
      <c r="F340" s="3301" t="n">
        <v>0.141</v>
      </c>
      <c r="G340" s="3302" t="n">
        <v>0.147</v>
      </c>
    </row>
    <row r="341" customFormat="false" ht="13.5" hidden="false" customHeight="false" outlineLevel="0" collapsed="false">
      <c r="A341" s="3311" t="s">
        <v>288</v>
      </c>
      <c r="B341" s="3300" t="s">
        <v>2173</v>
      </c>
      <c r="C341" s="3301" t="n">
        <v>0.126</v>
      </c>
      <c r="D341" s="3301" t="n">
        <v>0.124</v>
      </c>
      <c r="E341" s="3301" t="n">
        <v>0.141</v>
      </c>
      <c r="F341" s="3301" t="n">
        <v>0.144</v>
      </c>
      <c r="G341" s="3302" t="n">
        <v>0.13</v>
      </c>
    </row>
    <row r="342" customFormat="false" ht="13.5" hidden="false" customHeight="false" outlineLevel="0" collapsed="false">
      <c r="A342" s="3311" t="s">
        <v>288</v>
      </c>
      <c r="B342" s="3300" t="s">
        <v>2183</v>
      </c>
      <c r="C342" s="3301" t="n">
        <v>0.15</v>
      </c>
      <c r="D342" s="3301" t="n">
        <v>0.15</v>
      </c>
      <c r="E342" s="3301" t="n">
        <v>0.15</v>
      </c>
      <c r="F342" s="3301" t="n">
        <v>0.144</v>
      </c>
      <c r="G342" s="3302" t="n">
        <v>0.15</v>
      </c>
    </row>
    <row r="343" customFormat="false" ht="13.5" hidden="false" customHeight="false" outlineLevel="0" collapsed="false">
      <c r="A343" s="3311" t="s">
        <v>288</v>
      </c>
      <c r="B343" s="3300" t="s">
        <v>2193</v>
      </c>
      <c r="C343" s="3301" t="n">
        <v>0.15</v>
      </c>
      <c r="D343" s="3301" t="n">
        <v>0.15</v>
      </c>
      <c r="E343" s="3301" t="n">
        <v>0.15</v>
      </c>
      <c r="F343" s="3301" t="n">
        <v>0.128</v>
      </c>
      <c r="G343" s="3302" t="n">
        <v>0.15</v>
      </c>
    </row>
    <row r="344" customFormat="false" ht="13.5" hidden="false" customHeight="false" outlineLevel="0" collapsed="false">
      <c r="A344" s="3311" t="s">
        <v>288</v>
      </c>
      <c r="B344" s="3300" t="s">
        <v>2203</v>
      </c>
      <c r="C344" s="3301" t="n">
        <v>0.15</v>
      </c>
      <c r="D344" s="3301" t="n">
        <v>0.15</v>
      </c>
      <c r="E344" s="3301" t="n">
        <v>0.15</v>
      </c>
      <c r="F344" s="3301" t="n">
        <v>0.148</v>
      </c>
      <c r="G344" s="3302" t="n">
        <v>0.15</v>
      </c>
    </row>
    <row r="345" customFormat="false" ht="13.5" hidden="false" customHeight="false" outlineLevel="0" collapsed="false">
      <c r="A345" s="3311" t="s">
        <v>288</v>
      </c>
      <c r="B345" s="3300" t="s">
        <v>2213</v>
      </c>
      <c r="C345" s="3301" t="n">
        <v>0.15</v>
      </c>
      <c r="D345" s="3301" t="n">
        <v>0.15</v>
      </c>
      <c r="E345" s="3301" t="n">
        <v>0.15</v>
      </c>
      <c r="F345" s="3301" t="n">
        <v>0.138</v>
      </c>
      <c r="G345" s="3302" t="n">
        <v>0.15</v>
      </c>
    </row>
    <row r="346" customFormat="false" ht="13.5" hidden="false" customHeight="false" outlineLevel="0" collapsed="false">
      <c r="A346" s="3311" t="s">
        <v>288</v>
      </c>
      <c r="B346" s="3300" t="s">
        <v>2223</v>
      </c>
      <c r="C346" s="3301" t="n">
        <v>0.15</v>
      </c>
      <c r="D346" s="3301" t="n">
        <v>0.15</v>
      </c>
      <c r="E346" s="3301" t="n">
        <v>0.15</v>
      </c>
      <c r="F346" s="3301" t="n">
        <v>0.144</v>
      </c>
      <c r="G346" s="3302" t="n">
        <v>0.15</v>
      </c>
    </row>
    <row r="347" customFormat="false" ht="13.5" hidden="false" customHeight="false" outlineLevel="0" collapsed="false">
      <c r="A347" s="3311" t="s">
        <v>288</v>
      </c>
      <c r="B347" s="3300" t="s">
        <v>2232</v>
      </c>
      <c r="C347" s="3301" t="n">
        <v>0.15</v>
      </c>
      <c r="D347" s="3301" t="n">
        <v>0.15</v>
      </c>
      <c r="E347" s="3301" t="n">
        <v>0.15</v>
      </c>
      <c r="F347" s="3301" t="n">
        <v>0.146</v>
      </c>
      <c r="G347" s="3302" t="n">
        <v>0.15</v>
      </c>
    </row>
    <row r="348" customFormat="false" ht="13.5" hidden="false" customHeight="false" outlineLevel="0" collapsed="false">
      <c r="A348" s="3311" t="s">
        <v>288</v>
      </c>
      <c r="B348" s="3300" t="s">
        <v>2240</v>
      </c>
      <c r="C348" s="3301" t="n">
        <v>0.15</v>
      </c>
      <c r="D348" s="3301" t="n">
        <v>0.15</v>
      </c>
      <c r="E348" s="3301" t="n">
        <v>0.15</v>
      </c>
      <c r="F348" s="3301" t="n">
        <v>0.144</v>
      </c>
      <c r="G348" s="3302" t="n">
        <v>0.15</v>
      </c>
    </row>
    <row r="349" customFormat="false" ht="13.5" hidden="false" customHeight="false" outlineLevel="0" collapsed="false">
      <c r="A349" s="3311" t="s">
        <v>288</v>
      </c>
      <c r="B349" s="3300" t="s">
        <v>2248</v>
      </c>
      <c r="C349" s="3301" t="n">
        <v>0.15</v>
      </c>
      <c r="D349" s="3301" t="n">
        <v>0.15</v>
      </c>
      <c r="E349" s="3301" t="n">
        <v>0.15</v>
      </c>
      <c r="F349" s="3301" t="n">
        <v>0.15</v>
      </c>
      <c r="G349" s="3302" t="n">
        <v>0.15</v>
      </c>
    </row>
    <row r="350" customFormat="false" ht="13.5" hidden="false" customHeight="false" outlineLevel="0" collapsed="false">
      <c r="A350" s="3311" t="s">
        <v>288</v>
      </c>
      <c r="B350" s="3300" t="s">
        <v>2256</v>
      </c>
      <c r="C350" s="3301" t="n">
        <v>0.15</v>
      </c>
      <c r="D350" s="3301" t="n">
        <v>0.15</v>
      </c>
      <c r="E350" s="3301" t="n">
        <v>0.15</v>
      </c>
      <c r="F350" s="3301" t="n">
        <v>0.147</v>
      </c>
      <c r="G350" s="3302" t="n">
        <v>0.15</v>
      </c>
    </row>
    <row r="351" customFormat="false" ht="13.5" hidden="false" customHeight="false" outlineLevel="0" collapsed="false">
      <c r="A351" s="3311" t="s">
        <v>288</v>
      </c>
      <c r="B351" s="3300" t="s">
        <v>2264</v>
      </c>
      <c r="C351" s="3301" t="n">
        <v>0.15</v>
      </c>
      <c r="D351" s="3301" t="n">
        <v>0.15</v>
      </c>
      <c r="E351" s="3301" t="n">
        <v>0.15</v>
      </c>
      <c r="F351" s="3301" t="n">
        <v>0.13</v>
      </c>
      <c r="G351" s="3302" t="n">
        <v>0.15</v>
      </c>
    </row>
    <row r="352" customFormat="false" ht="13.5" hidden="false" customHeight="false" outlineLevel="0" collapsed="false">
      <c r="A352" s="3311" t="s">
        <v>288</v>
      </c>
      <c r="B352" s="3300" t="s">
        <v>2271</v>
      </c>
      <c r="C352" s="3301" t="n">
        <v>0.15</v>
      </c>
      <c r="D352" s="3301" t="n">
        <v>0.15</v>
      </c>
      <c r="E352" s="3301" t="n">
        <v>0.15</v>
      </c>
      <c r="F352" s="3301" t="n">
        <v>0.146</v>
      </c>
      <c r="G352" s="3302" t="n">
        <v>0.15</v>
      </c>
    </row>
    <row r="353" customFormat="false" ht="13.5" hidden="false" customHeight="false" outlineLevel="0" collapsed="false">
      <c r="A353" s="3311" t="s">
        <v>288</v>
      </c>
      <c r="B353" s="3300" t="s">
        <v>2278</v>
      </c>
      <c r="C353" s="3301" t="n">
        <v>0.15</v>
      </c>
      <c r="D353" s="3301" t="n">
        <v>0.15</v>
      </c>
      <c r="E353" s="3301" t="n">
        <v>0.15</v>
      </c>
      <c r="F353" s="3301" t="n">
        <v>0.145</v>
      </c>
      <c r="G353" s="3302" t="n">
        <v>0.15</v>
      </c>
    </row>
    <row r="354" customFormat="false" ht="13.5" hidden="false" customHeight="false" outlineLevel="0" collapsed="false">
      <c r="A354" s="3311" t="s">
        <v>288</v>
      </c>
      <c r="B354" s="3300" t="s">
        <v>2285</v>
      </c>
      <c r="C354" s="3301" t="n">
        <v>0.15</v>
      </c>
      <c r="D354" s="3301" t="n">
        <v>0.15</v>
      </c>
      <c r="E354" s="3301" t="n">
        <v>0.15</v>
      </c>
      <c r="F354" s="3301" t="n">
        <v>0.141</v>
      </c>
      <c r="G354" s="3302" t="n">
        <v>0.15</v>
      </c>
    </row>
    <row r="355" customFormat="false" ht="13.5" hidden="false" customHeight="false" outlineLevel="0" collapsed="false">
      <c r="A355" s="3311" t="s">
        <v>288</v>
      </c>
      <c r="B355" s="3300" t="s">
        <v>2292</v>
      </c>
      <c r="C355" s="3301" t="n">
        <v>0.15</v>
      </c>
      <c r="D355" s="3301" t="n">
        <v>0.15</v>
      </c>
      <c r="E355" s="3301" t="n">
        <v>0.15</v>
      </c>
      <c r="F355" s="3301" t="n">
        <v>0.15</v>
      </c>
      <c r="G355" s="3302" t="n">
        <v>0.15</v>
      </c>
    </row>
    <row r="356" customFormat="false" ht="13.5" hidden="false" customHeight="false" outlineLevel="0" collapsed="false">
      <c r="A356" s="3311" t="s">
        <v>288</v>
      </c>
      <c r="B356" s="3300" t="s">
        <v>2299</v>
      </c>
      <c r="C356" s="3301" t="n">
        <v>0.15</v>
      </c>
      <c r="D356" s="3301" t="n">
        <v>0.15</v>
      </c>
      <c r="E356" s="3301" t="n">
        <v>0.15</v>
      </c>
      <c r="F356" s="3301" t="n">
        <v>0.15</v>
      </c>
      <c r="G356" s="3302" t="n">
        <v>0.15</v>
      </c>
    </row>
    <row r="357" customFormat="false" ht="13.5" hidden="false" customHeight="false" outlineLevel="0" collapsed="false">
      <c r="A357" s="3314" t="s">
        <v>288</v>
      </c>
      <c r="B357" s="3304" t="s">
        <v>2306</v>
      </c>
      <c r="C357" s="3305" t="n">
        <v>0.126</v>
      </c>
      <c r="D357" s="3305" t="n">
        <v>0.127</v>
      </c>
      <c r="E357" s="3305" t="n">
        <v>0.143</v>
      </c>
      <c r="F357" s="3305" t="n">
        <v>0.125</v>
      </c>
      <c r="G357" s="3307" t="n">
        <v>0.129</v>
      </c>
    </row>
    <row r="358" customFormat="false" ht="13.5" hidden="false" customHeight="false" outlineLevel="0" collapsed="false">
      <c r="A358" s="3310" t="s">
        <v>292</v>
      </c>
      <c r="B358" s="3296" t="s">
        <v>2021</v>
      </c>
      <c r="C358" s="3297" t="n">
        <v>0.15</v>
      </c>
      <c r="D358" s="3297" t="n">
        <v>0.15</v>
      </c>
      <c r="E358" s="3297" t="n">
        <v>0.15</v>
      </c>
      <c r="F358" s="3297" t="n">
        <v>0.15</v>
      </c>
      <c r="G358" s="3298" t="n">
        <v>0.15</v>
      </c>
    </row>
    <row r="359" customFormat="false" ht="13.5" hidden="false" customHeight="false" outlineLevel="0" collapsed="false">
      <c r="A359" s="3311" t="s">
        <v>292</v>
      </c>
      <c r="B359" s="3300" t="s">
        <v>2034</v>
      </c>
      <c r="C359" s="3301" t="n">
        <v>0.1</v>
      </c>
      <c r="D359" s="3301" t="n">
        <v>0.1</v>
      </c>
      <c r="E359" s="3301" t="n">
        <v>0.1</v>
      </c>
      <c r="F359" s="3301" t="n">
        <v>0.1</v>
      </c>
      <c r="G359" s="3302" t="n">
        <v>0.1</v>
      </c>
    </row>
    <row r="360" customFormat="false" ht="13.5" hidden="false" customHeight="false" outlineLevel="0" collapsed="false">
      <c r="A360" s="3311" t="s">
        <v>292</v>
      </c>
      <c r="B360" s="3300" t="s">
        <v>2047</v>
      </c>
      <c r="C360" s="3301" t="n">
        <v>0.15</v>
      </c>
      <c r="D360" s="3301" t="n">
        <v>0.15</v>
      </c>
      <c r="E360" s="3301" t="n">
        <v>0.15</v>
      </c>
      <c r="F360" s="3301" t="n">
        <v>0.149</v>
      </c>
      <c r="G360" s="3302" t="n">
        <v>0.15</v>
      </c>
    </row>
    <row r="361" customFormat="false" ht="13.5" hidden="false" customHeight="false" outlineLevel="0" collapsed="false">
      <c r="A361" s="3311" t="s">
        <v>292</v>
      </c>
      <c r="B361" s="3300" t="s">
        <v>2059</v>
      </c>
      <c r="C361" s="3301" t="n">
        <v>0.15</v>
      </c>
      <c r="D361" s="3301" t="n">
        <v>0.15</v>
      </c>
      <c r="E361" s="3301" t="n">
        <v>0.15</v>
      </c>
      <c r="F361" s="3301" t="n">
        <v>0.115</v>
      </c>
      <c r="G361" s="3302" t="n">
        <v>0.15</v>
      </c>
    </row>
    <row r="362" customFormat="false" ht="13.5" hidden="false" customHeight="false" outlineLevel="0" collapsed="false">
      <c r="A362" s="3311" t="s">
        <v>292</v>
      </c>
      <c r="B362" s="3300" t="s">
        <v>2071</v>
      </c>
      <c r="C362" s="3301" t="n">
        <v>0.15</v>
      </c>
      <c r="D362" s="3301" t="n">
        <v>0.15</v>
      </c>
      <c r="E362" s="3301" t="n">
        <v>0.15</v>
      </c>
      <c r="F362" s="3301" t="n">
        <v>0.106</v>
      </c>
      <c r="G362" s="3302" t="n">
        <v>0.15</v>
      </c>
    </row>
    <row r="363" customFormat="false" ht="13.5" hidden="false" customHeight="false" outlineLevel="0" collapsed="false">
      <c r="A363" s="3311" t="s">
        <v>292</v>
      </c>
      <c r="B363" s="3300" t="s">
        <v>2082</v>
      </c>
      <c r="C363" s="3301" t="n">
        <v>0.15</v>
      </c>
      <c r="D363" s="3301" t="n">
        <v>0.15</v>
      </c>
      <c r="E363" s="3301" t="n">
        <v>0.15</v>
      </c>
      <c r="F363" s="3301" t="n">
        <v>0.147</v>
      </c>
      <c r="G363" s="3302" t="n">
        <v>0.15</v>
      </c>
    </row>
    <row r="364" customFormat="false" ht="13.5" hidden="false" customHeight="false" outlineLevel="0" collapsed="false">
      <c r="A364" s="3311" t="s">
        <v>292</v>
      </c>
      <c r="B364" s="3300" t="s">
        <v>2093</v>
      </c>
      <c r="C364" s="3301" t="n">
        <v>0.15</v>
      </c>
      <c r="D364" s="3301" t="n">
        <v>0.15</v>
      </c>
      <c r="E364" s="3301" t="n">
        <v>0.15</v>
      </c>
      <c r="F364" s="3301" t="n">
        <v>0.148</v>
      </c>
      <c r="G364" s="3302" t="n">
        <v>0.15</v>
      </c>
    </row>
    <row r="365" customFormat="false" ht="13.5" hidden="false" customHeight="false" outlineLevel="0" collapsed="false">
      <c r="A365" s="3311" t="s">
        <v>292</v>
      </c>
      <c r="B365" s="3300" t="s">
        <v>2104</v>
      </c>
      <c r="C365" s="3301" t="n">
        <v>0.15</v>
      </c>
      <c r="D365" s="3301" t="n">
        <v>0.15</v>
      </c>
      <c r="E365" s="3301" t="n">
        <v>0.15</v>
      </c>
      <c r="F365" s="3301" t="n">
        <v>0.15</v>
      </c>
      <c r="G365" s="3302" t="n">
        <v>0.15</v>
      </c>
    </row>
    <row r="366" customFormat="false" ht="13.5" hidden="false" customHeight="false" outlineLevel="0" collapsed="false">
      <c r="A366" s="3311" t="s">
        <v>292</v>
      </c>
      <c r="B366" s="3300" t="s">
        <v>2114</v>
      </c>
      <c r="C366" s="3301" t="n">
        <v>0.15</v>
      </c>
      <c r="D366" s="3301" t="n">
        <v>0.15</v>
      </c>
      <c r="E366" s="3301" t="n">
        <v>0.15</v>
      </c>
      <c r="F366" s="3301" t="n">
        <v>0.15</v>
      </c>
      <c r="G366" s="3302" t="n">
        <v>0.15</v>
      </c>
    </row>
    <row r="367" customFormat="false" ht="13.5" hidden="false" customHeight="false" outlineLevel="0" collapsed="false">
      <c r="A367" s="3311" t="s">
        <v>292</v>
      </c>
      <c r="B367" s="3300" t="s">
        <v>2124</v>
      </c>
      <c r="C367" s="3301" t="n">
        <v>0.15</v>
      </c>
      <c r="D367" s="3301" t="n">
        <v>0.15</v>
      </c>
      <c r="E367" s="3301" t="n">
        <v>0.15</v>
      </c>
      <c r="F367" s="3301" t="n">
        <v>0.147</v>
      </c>
      <c r="G367" s="3302" t="n">
        <v>0.15</v>
      </c>
    </row>
    <row r="368" customFormat="false" ht="13.5" hidden="false" customHeight="false" outlineLevel="0" collapsed="false">
      <c r="A368" s="3311" t="s">
        <v>292</v>
      </c>
      <c r="B368" s="3300" t="s">
        <v>2134</v>
      </c>
      <c r="C368" s="3301" t="n">
        <v>0.15</v>
      </c>
      <c r="D368" s="3301" t="n">
        <v>0.15</v>
      </c>
      <c r="E368" s="3301" t="n">
        <v>0.15</v>
      </c>
      <c r="F368" s="3301" t="n">
        <v>0.136</v>
      </c>
      <c r="G368" s="3302" t="n">
        <v>0.15</v>
      </c>
    </row>
    <row r="369" customFormat="false" ht="13.5" hidden="false" customHeight="false" outlineLevel="0" collapsed="false">
      <c r="A369" s="3311" t="s">
        <v>292</v>
      </c>
      <c r="B369" s="3300" t="s">
        <v>2144</v>
      </c>
      <c r="C369" s="3301" t="n">
        <v>0.15</v>
      </c>
      <c r="D369" s="3301" t="n">
        <v>0.15</v>
      </c>
      <c r="E369" s="3301" t="n">
        <v>0.15</v>
      </c>
      <c r="F369" s="3301" t="n">
        <v>0.144</v>
      </c>
      <c r="G369" s="3302" t="n">
        <v>0.15</v>
      </c>
    </row>
    <row r="370" customFormat="false" ht="13.5" hidden="false" customHeight="false" outlineLevel="0" collapsed="false">
      <c r="A370" s="3311" t="s">
        <v>292</v>
      </c>
      <c r="B370" s="3300" t="s">
        <v>2154</v>
      </c>
      <c r="C370" s="3301" t="n">
        <v>0.15</v>
      </c>
      <c r="D370" s="3301" t="n">
        <v>0.15</v>
      </c>
      <c r="E370" s="3301" t="n">
        <v>0.15</v>
      </c>
      <c r="F370" s="3301" t="n">
        <v>0.146</v>
      </c>
      <c r="G370" s="3302" t="n">
        <v>0.15</v>
      </c>
    </row>
    <row r="371" customFormat="false" ht="13.5" hidden="false" customHeight="false" outlineLevel="0" collapsed="false">
      <c r="A371" s="3311" t="s">
        <v>292</v>
      </c>
      <c r="B371" s="3300" t="s">
        <v>2164</v>
      </c>
      <c r="C371" s="3301" t="n">
        <v>0.15</v>
      </c>
      <c r="D371" s="3301" t="n">
        <v>0.15</v>
      </c>
      <c r="E371" s="3301" t="n">
        <v>0.15</v>
      </c>
      <c r="F371" s="3301" t="n">
        <v>0.12</v>
      </c>
      <c r="G371" s="3302" t="n">
        <v>0.15</v>
      </c>
    </row>
    <row r="372" customFormat="false" ht="13.5" hidden="false" customHeight="false" outlineLevel="0" collapsed="false">
      <c r="A372" s="3311" t="s">
        <v>292</v>
      </c>
      <c r="B372" s="3300" t="s">
        <v>2174</v>
      </c>
      <c r="C372" s="3301" t="n">
        <v>0.15</v>
      </c>
      <c r="D372" s="3301" t="n">
        <v>0.15</v>
      </c>
      <c r="E372" s="3301" t="n">
        <v>0.15</v>
      </c>
      <c r="F372" s="3301" t="n">
        <v>0.143</v>
      </c>
      <c r="G372" s="3302" t="n">
        <v>0.15</v>
      </c>
    </row>
    <row r="373" customFormat="false" ht="13.5" hidden="false" customHeight="false" outlineLevel="0" collapsed="false">
      <c r="A373" s="3311" t="s">
        <v>292</v>
      </c>
      <c r="B373" s="3300" t="s">
        <v>2184</v>
      </c>
      <c r="C373" s="3301" t="n">
        <v>0.15</v>
      </c>
      <c r="D373" s="3301" t="n">
        <v>0.15</v>
      </c>
      <c r="E373" s="3301" t="n">
        <v>0.15</v>
      </c>
      <c r="F373" s="3301" t="n">
        <v>0.146</v>
      </c>
      <c r="G373" s="3302" t="n">
        <v>0.15</v>
      </c>
    </row>
    <row r="374" customFormat="false" ht="13.5" hidden="false" customHeight="false" outlineLevel="0" collapsed="false">
      <c r="A374" s="3311" t="s">
        <v>292</v>
      </c>
      <c r="B374" s="3300" t="s">
        <v>2194</v>
      </c>
      <c r="C374" s="3301" t="n">
        <v>0.15</v>
      </c>
      <c r="D374" s="3301" t="n">
        <v>0.15</v>
      </c>
      <c r="E374" s="3301" t="n">
        <v>0.15</v>
      </c>
      <c r="F374" s="3301" t="n">
        <v>0.144</v>
      </c>
      <c r="G374" s="3302" t="n">
        <v>0.15</v>
      </c>
    </row>
    <row r="375" customFormat="false" ht="13.5" hidden="false" customHeight="false" outlineLevel="0" collapsed="false">
      <c r="A375" s="3311" t="s">
        <v>292</v>
      </c>
      <c r="B375" s="3300" t="s">
        <v>2204</v>
      </c>
      <c r="C375" s="3301" t="n">
        <v>0.15</v>
      </c>
      <c r="D375" s="3301" t="n">
        <v>0.15</v>
      </c>
      <c r="E375" s="3301" t="n">
        <v>0.15</v>
      </c>
      <c r="F375" s="3301" t="n">
        <v>0.13</v>
      </c>
      <c r="G375" s="3302" t="n">
        <v>0.15</v>
      </c>
    </row>
    <row r="376" customFormat="false" ht="13.5" hidden="false" customHeight="false" outlineLevel="0" collapsed="false">
      <c r="A376" s="3311" t="s">
        <v>292</v>
      </c>
      <c r="B376" s="3300" t="s">
        <v>2214</v>
      </c>
      <c r="C376" s="3301" t="n">
        <v>0.15</v>
      </c>
      <c r="D376" s="3301" t="n">
        <v>0.15</v>
      </c>
      <c r="E376" s="3301" t="n">
        <v>0.15</v>
      </c>
      <c r="F376" s="3301" t="n">
        <v>0.142</v>
      </c>
      <c r="G376" s="3302" t="n">
        <v>0.15</v>
      </c>
    </row>
    <row r="377" customFormat="false" ht="13.5" hidden="false" customHeight="false" outlineLevel="0" collapsed="false">
      <c r="A377" s="3314" t="s">
        <v>292</v>
      </c>
      <c r="B377" s="3304" t="s">
        <v>2224</v>
      </c>
      <c r="C377" s="3305" t="n">
        <v>0.15</v>
      </c>
      <c r="D377" s="3305" t="n">
        <v>0.15</v>
      </c>
      <c r="E377" s="3305" t="n">
        <v>0.15</v>
      </c>
      <c r="F377" s="3305" t="n">
        <v>0.14</v>
      </c>
      <c r="G377" s="3307" t="n">
        <v>0.15</v>
      </c>
    </row>
    <row r="378" customFormat="false" ht="13.5" hidden="false" customHeight="false" outlineLevel="0" collapsed="false">
      <c r="A378" s="3310" t="s">
        <v>296</v>
      </c>
      <c r="B378" s="3296" t="s">
        <v>2022</v>
      </c>
      <c r="C378" s="3297" t="n">
        <v>0.15</v>
      </c>
      <c r="D378" s="3297" t="n">
        <v>0.15</v>
      </c>
      <c r="E378" s="3297" t="n">
        <v>0.15</v>
      </c>
      <c r="F378" s="3297" t="n">
        <v>0.107</v>
      </c>
      <c r="G378" s="3298" t="n">
        <v>0.15</v>
      </c>
    </row>
    <row r="379" customFormat="false" ht="13.5" hidden="false" customHeight="false" outlineLevel="0" collapsed="false">
      <c r="A379" s="3311" t="s">
        <v>296</v>
      </c>
      <c r="B379" s="3300" t="s">
        <v>2035</v>
      </c>
      <c r="C379" s="3301" t="n">
        <v>0.15</v>
      </c>
      <c r="D379" s="3301" t="n">
        <v>0.15</v>
      </c>
      <c r="E379" s="3301" t="n">
        <v>0.15</v>
      </c>
      <c r="F379" s="3301" t="n">
        <v>0.115</v>
      </c>
      <c r="G379" s="3302" t="n">
        <v>0.149</v>
      </c>
    </row>
    <row r="380" customFormat="false" ht="13.5" hidden="false" customHeight="false" outlineLevel="0" collapsed="false">
      <c r="A380" s="3311" t="s">
        <v>296</v>
      </c>
      <c r="B380" s="3300" t="s">
        <v>2048</v>
      </c>
      <c r="C380" s="3301" t="n">
        <v>0.15</v>
      </c>
      <c r="D380" s="3301" t="n">
        <v>0.15</v>
      </c>
      <c r="E380" s="3301" t="n">
        <v>0.15</v>
      </c>
      <c r="F380" s="3301" t="n">
        <v>0.1</v>
      </c>
      <c r="G380" s="3302" t="n">
        <v>0.148</v>
      </c>
    </row>
    <row r="381" customFormat="false" ht="13.5" hidden="false" customHeight="false" outlineLevel="0" collapsed="false">
      <c r="A381" s="3311" t="s">
        <v>296</v>
      </c>
      <c r="B381" s="3300" t="s">
        <v>2060</v>
      </c>
      <c r="C381" s="3301" t="n">
        <v>0.15</v>
      </c>
      <c r="D381" s="3301" t="n">
        <v>0.15</v>
      </c>
      <c r="E381" s="3301" t="n">
        <v>0.15</v>
      </c>
      <c r="F381" s="3301" t="n">
        <v>0.126</v>
      </c>
      <c r="G381" s="3302" t="n">
        <v>0.15</v>
      </c>
    </row>
    <row r="382" customFormat="false" ht="13.5" hidden="false" customHeight="false" outlineLevel="0" collapsed="false">
      <c r="A382" s="3311" t="s">
        <v>296</v>
      </c>
      <c r="B382" s="3300" t="s">
        <v>2072</v>
      </c>
      <c r="C382" s="3301" t="n">
        <v>0.15</v>
      </c>
      <c r="D382" s="3301" t="n">
        <v>0.15</v>
      </c>
      <c r="E382" s="3301" t="n">
        <v>0.15</v>
      </c>
      <c r="F382" s="3301" t="n">
        <v>0.15</v>
      </c>
      <c r="G382" s="3302" t="n">
        <v>0.15</v>
      </c>
    </row>
    <row r="383" customFormat="false" ht="13.5" hidden="false" customHeight="false" outlineLevel="0" collapsed="false">
      <c r="A383" s="3311" t="s">
        <v>296</v>
      </c>
      <c r="B383" s="3300" t="s">
        <v>2083</v>
      </c>
      <c r="C383" s="3301" t="n">
        <v>0.15</v>
      </c>
      <c r="D383" s="3301" t="n">
        <v>0.15</v>
      </c>
      <c r="E383" s="3301" t="n">
        <v>0.15</v>
      </c>
      <c r="F383" s="3301" t="n">
        <v>0.147</v>
      </c>
      <c r="G383" s="3302" t="n">
        <v>0.15</v>
      </c>
    </row>
    <row r="384" customFormat="false" ht="13.5" hidden="false" customHeight="false" outlineLevel="0" collapsed="false">
      <c r="A384" s="3321" t="s">
        <v>296</v>
      </c>
      <c r="B384" s="3322" t="s">
        <v>2094</v>
      </c>
      <c r="C384" s="3323" t="n">
        <v>0.15</v>
      </c>
      <c r="D384" s="3323" t="n">
        <v>0.15</v>
      </c>
      <c r="E384" s="3323" t="n">
        <v>0.15</v>
      </c>
      <c r="F384" s="3323" t="n">
        <v>0.15</v>
      </c>
      <c r="G384" s="3324" t="n">
        <v>0.15</v>
      </c>
    </row>
  </sheetData>
  <sheetProtection sheet="true" password="cee9" objects="true" scenarios="true"/>
  <mergeCells count="1">
    <mergeCell ref="A1:B1"/>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3.xml><?xml version="1.0" encoding="utf-8"?>
<worksheet xmlns="http://schemas.openxmlformats.org/spreadsheetml/2006/main" xmlns:r="http://schemas.openxmlformats.org/officeDocument/2006/relationships">
  <sheetPr filterMode="false">
    <pageSetUpPr fitToPage="false"/>
  </sheetPr>
  <dimension ref="A1:F17"/>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1" activeCellId="0" sqref="A1"/>
    </sheetView>
  </sheetViews>
  <sheetFormatPr defaultRowHeight="13.5" zeroHeight="false" outlineLevelRow="0" outlineLevelCol="0"/>
  <cols>
    <col collapsed="false" customWidth="true" hidden="false" outlineLevel="0" max="1025" min="1" style="3325" width="13.26"/>
  </cols>
  <sheetData>
    <row r="1" customFormat="false" ht="13.5" hidden="false" customHeight="false" outlineLevel="0" collapsed="false">
      <c r="A1" s="3326" t="s">
        <v>2395</v>
      </c>
      <c r="B1" s="3326"/>
      <c r="C1" s="3326"/>
      <c r="D1" s="3326"/>
      <c r="E1" s="3326"/>
      <c r="F1" s="3326"/>
    </row>
    <row r="2" customFormat="false" ht="13.5" hidden="false" customHeight="false" outlineLevel="0" collapsed="false">
      <c r="A2" s="3327" t="s">
        <v>2396</v>
      </c>
      <c r="B2" s="3328"/>
      <c r="C2" s="3328"/>
      <c r="D2" s="3328"/>
      <c r="E2" s="3328"/>
      <c r="F2" s="3328"/>
    </row>
    <row r="3" customFormat="false" ht="13.5" hidden="false" customHeight="false" outlineLevel="0" collapsed="false">
      <c r="A3" s="3327" t="s">
        <v>2397</v>
      </c>
      <c r="B3" s="3328"/>
      <c r="C3" s="3328"/>
      <c r="D3" s="3328"/>
      <c r="E3" s="3328"/>
      <c r="F3" s="3329" t="s">
        <v>2398</v>
      </c>
    </row>
    <row r="4" customFormat="false" ht="13.5" hidden="false" customHeight="false" outlineLevel="0" collapsed="false">
      <c r="A4" s="3330" t="s">
        <v>399</v>
      </c>
      <c r="B4" s="3330" t="s">
        <v>157</v>
      </c>
      <c r="C4" s="3330" t="s">
        <v>158</v>
      </c>
      <c r="D4" s="3330" t="s">
        <v>2399</v>
      </c>
      <c r="E4" s="3330" t="s">
        <v>159</v>
      </c>
      <c r="F4" s="3330" t="s">
        <v>276</v>
      </c>
    </row>
    <row r="5" customFormat="false" ht="13.5" hidden="false" customHeight="false" outlineLevel="0" collapsed="false">
      <c r="A5" s="3331" t="s">
        <v>204</v>
      </c>
      <c r="B5" s="3330"/>
      <c r="C5" s="3330"/>
      <c r="D5" s="3330"/>
      <c r="E5" s="3330"/>
      <c r="F5" s="3330"/>
    </row>
    <row r="6" customFormat="false" ht="13.5" hidden="false" customHeight="false" outlineLevel="0" collapsed="false">
      <c r="A6" s="3331" t="s">
        <v>226</v>
      </c>
      <c r="B6" s="3332" t="n">
        <v>35380</v>
      </c>
      <c r="C6" s="3332" t="n">
        <v>35180</v>
      </c>
      <c r="D6" s="3332" t="n">
        <v>35030</v>
      </c>
      <c r="E6" s="3332" t="n">
        <v>13780</v>
      </c>
      <c r="F6" s="3332" t="n">
        <v>25980</v>
      </c>
    </row>
    <row r="7" customFormat="false" ht="13.5" hidden="false" customHeight="false" outlineLevel="0" collapsed="false">
      <c r="A7" s="3331" t="s">
        <v>237</v>
      </c>
      <c r="B7" s="3332" t="n">
        <v>29960</v>
      </c>
      <c r="C7" s="3332" t="n">
        <v>29800</v>
      </c>
      <c r="D7" s="3332" t="n">
        <v>29690</v>
      </c>
      <c r="E7" s="3332" t="n">
        <v>10100</v>
      </c>
      <c r="F7" s="3332" t="n">
        <v>21690</v>
      </c>
    </row>
    <row r="8" customFormat="false" ht="13.5" hidden="false" customHeight="false" outlineLevel="0" collapsed="false">
      <c r="A8" s="3331" t="s">
        <v>247</v>
      </c>
      <c r="B8" s="3332" t="n">
        <v>24480</v>
      </c>
      <c r="C8" s="3332" t="n">
        <v>24380</v>
      </c>
      <c r="D8" s="3332" t="n">
        <v>25590</v>
      </c>
      <c r="E8" s="3332" t="n">
        <v>7010</v>
      </c>
      <c r="F8" s="3332" t="n">
        <v>17060</v>
      </c>
    </row>
    <row r="9" customFormat="false" ht="13.5" hidden="false" customHeight="false" outlineLevel="0" collapsed="false">
      <c r="A9" s="3331" t="s">
        <v>255</v>
      </c>
      <c r="B9" s="3332" t="n">
        <v>19370</v>
      </c>
      <c r="C9" s="3332" t="n">
        <v>19290</v>
      </c>
      <c r="D9" s="3332" t="n">
        <v>21280</v>
      </c>
      <c r="E9" s="3332" t="n">
        <v>4910</v>
      </c>
      <c r="F9" s="3332" t="n">
        <v>13090</v>
      </c>
    </row>
    <row r="10" customFormat="false" ht="13.5" hidden="false" customHeight="false" outlineLevel="0" collapsed="false">
      <c r="A10" s="3331" t="s">
        <v>263</v>
      </c>
      <c r="B10" s="3332" t="n">
        <v>15050</v>
      </c>
      <c r="C10" s="3332" t="n">
        <v>14980</v>
      </c>
      <c r="D10" s="3332" t="n">
        <v>17300</v>
      </c>
      <c r="E10" s="3332" t="n">
        <v>3450</v>
      </c>
      <c r="F10" s="3332" t="n">
        <v>9900</v>
      </c>
    </row>
    <row r="11" customFormat="false" ht="13.5" hidden="false" customHeight="false" outlineLevel="0" collapsed="false">
      <c r="A11" s="3331" t="s">
        <v>269</v>
      </c>
      <c r="B11" s="3332" t="n">
        <v>11550</v>
      </c>
      <c r="C11" s="3332" t="n">
        <v>11490</v>
      </c>
      <c r="D11" s="3332" t="n">
        <v>13850</v>
      </c>
      <c r="E11" s="3332" t="n">
        <v>2400</v>
      </c>
      <c r="F11" s="3332" t="n">
        <v>7390</v>
      </c>
    </row>
    <row r="12" customFormat="false" ht="13.5" hidden="false" customHeight="false" outlineLevel="0" collapsed="false">
      <c r="A12" s="3331" t="s">
        <v>274</v>
      </c>
      <c r="B12" s="3332" t="n">
        <v>8630</v>
      </c>
      <c r="C12" s="3332" t="n">
        <v>8580</v>
      </c>
      <c r="D12" s="3332" t="n">
        <v>10740</v>
      </c>
      <c r="E12" s="3332" t="n">
        <v>1720</v>
      </c>
      <c r="F12" s="3332" t="n">
        <v>5420</v>
      </c>
    </row>
    <row r="13" customFormat="false" ht="13.5" hidden="false" customHeight="false" outlineLevel="0" collapsed="false">
      <c r="A13" s="3331" t="s">
        <v>280</v>
      </c>
      <c r="B13" s="3332" t="n">
        <v>6620</v>
      </c>
      <c r="C13" s="3332" t="n">
        <v>6580</v>
      </c>
      <c r="D13" s="3332" t="n">
        <v>7830</v>
      </c>
      <c r="E13" s="3332" t="n">
        <v>1260</v>
      </c>
      <c r="F13" s="3332" t="n">
        <v>4040</v>
      </c>
    </row>
    <row r="14" customFormat="false" ht="13.5" hidden="false" customHeight="false" outlineLevel="0" collapsed="false">
      <c r="A14" s="3331" t="s">
        <v>284</v>
      </c>
      <c r="B14" s="3332" t="n">
        <v>4900</v>
      </c>
      <c r="C14" s="3332" t="n">
        <v>4860</v>
      </c>
      <c r="D14" s="3332" t="n">
        <v>5540</v>
      </c>
      <c r="E14" s="3332" t="n">
        <v>950</v>
      </c>
      <c r="F14" s="3332" t="n">
        <v>2930</v>
      </c>
    </row>
    <row r="15" customFormat="false" ht="13.5" hidden="false" customHeight="false" outlineLevel="0" collapsed="false">
      <c r="A15" s="3331" t="s">
        <v>288</v>
      </c>
      <c r="B15" s="3332" t="n">
        <v>3380</v>
      </c>
      <c r="C15" s="3332" t="n">
        <v>3340</v>
      </c>
      <c r="D15" s="3332" t="n">
        <v>3630</v>
      </c>
      <c r="E15" s="3332" t="n">
        <v>730</v>
      </c>
      <c r="F15" s="3332" t="n">
        <v>1990</v>
      </c>
    </row>
    <row r="16" customFormat="false" ht="13.5" hidden="false" customHeight="false" outlineLevel="0" collapsed="false">
      <c r="A16" s="3331" t="s">
        <v>292</v>
      </c>
      <c r="B16" s="3332" t="n">
        <v>2230</v>
      </c>
      <c r="C16" s="3332" t="n">
        <v>2200</v>
      </c>
      <c r="D16" s="3332" t="n">
        <v>2180</v>
      </c>
      <c r="E16" s="3332" t="n">
        <v>570</v>
      </c>
      <c r="F16" s="3332" t="n">
        <v>1330</v>
      </c>
    </row>
    <row r="17" customFormat="false" ht="13.5" hidden="false" customHeight="false" outlineLevel="0" collapsed="false">
      <c r="A17" s="3331" t="s">
        <v>296</v>
      </c>
      <c r="B17" s="3332" t="n">
        <v>1390</v>
      </c>
      <c r="C17" s="3332" t="n">
        <v>1360</v>
      </c>
      <c r="D17" s="3332" t="n">
        <v>1340</v>
      </c>
      <c r="E17" s="3332" t="n">
        <v>450</v>
      </c>
      <c r="F17" s="3332" t="n">
        <v>860</v>
      </c>
    </row>
  </sheetData>
  <sheetProtection sheet="true" password="cee9" objects="true" scenarios="true"/>
  <mergeCells count="1">
    <mergeCell ref="A1:F1"/>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4.xml><?xml version="1.0" encoding="utf-8"?>
<worksheet xmlns="http://schemas.openxmlformats.org/spreadsheetml/2006/main" xmlns:r="http://schemas.openxmlformats.org/officeDocument/2006/relationships">
  <sheetPr filterMode="false">
    <pageSetUpPr fitToPage="false"/>
  </sheetPr>
  <dimension ref="A1:AD38"/>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H3" activeCellId="0" sqref="H3"/>
    </sheetView>
  </sheetViews>
  <sheetFormatPr defaultRowHeight="13.5" zeroHeight="false" outlineLevelRow="0" outlineLevelCol="0"/>
  <cols>
    <col collapsed="false" customWidth="true" hidden="false" outlineLevel="0" max="1" min="1" style="0" width="13.88"/>
    <col collapsed="false" customWidth="true" hidden="false" outlineLevel="0" max="10" min="2" style="0" width="9"/>
    <col collapsed="false" customWidth="true" hidden="true" outlineLevel="0" max="17" min="11" style="0" width="9"/>
    <col collapsed="false" customWidth="true" hidden="false" outlineLevel="0" max="24" min="18" style="0" width="9"/>
    <col collapsed="false" customWidth="true" hidden="true" outlineLevel="0" max="30" min="25" style="0" width="9"/>
    <col collapsed="false" customWidth="true" hidden="false" outlineLevel="0" max="1025" min="31" style="0" width="9"/>
  </cols>
  <sheetData>
    <row r="1" customFormat="false" ht="13.5" hidden="false" customHeight="false" outlineLevel="0" collapsed="false">
      <c r="A1" s="3333" t="n">
        <f aca="false">基准地价修正!G23</f>
        <v>39031</v>
      </c>
      <c r="B1" s="3334" t="s">
        <v>2400</v>
      </c>
      <c r="C1" s="3334"/>
      <c r="D1" s="3334"/>
      <c r="E1" s="3334"/>
      <c r="F1" s="3334"/>
      <c r="G1" s="3334"/>
      <c r="H1" s="3334"/>
      <c r="I1" s="3334"/>
      <c r="J1" s="3335"/>
      <c r="K1" s="3334" t="s">
        <v>2401</v>
      </c>
      <c r="L1" s="3334"/>
      <c r="M1" s="3334"/>
      <c r="N1" s="3334"/>
      <c r="O1" s="3334"/>
      <c r="P1" s="3334"/>
      <c r="Q1" s="3335"/>
      <c r="R1" s="3336" t="s">
        <v>2402</v>
      </c>
      <c r="S1" s="3336"/>
      <c r="T1" s="3336"/>
      <c r="U1" s="3336"/>
      <c r="V1" s="3336"/>
      <c r="W1" s="3336"/>
      <c r="X1" s="3335"/>
      <c r="Y1" s="3336" t="s">
        <v>2403</v>
      </c>
      <c r="Z1" s="3336"/>
      <c r="AA1" s="3336"/>
      <c r="AB1" s="3336"/>
      <c r="AC1" s="3336"/>
      <c r="AD1" s="3336"/>
    </row>
    <row r="2" s="3337" customFormat="true" ht="13.5" hidden="false" customHeight="false" outlineLevel="0" collapsed="false">
      <c r="B2" s="3338"/>
      <c r="C2" s="3339"/>
      <c r="D2" s="3340" t="s">
        <v>2404</v>
      </c>
      <c r="E2" s="3340" t="s">
        <v>157</v>
      </c>
      <c r="F2" s="3340" t="s">
        <v>158</v>
      </c>
      <c r="G2" s="3340" t="s">
        <v>156</v>
      </c>
      <c r="H2" s="3340" t="s">
        <v>159</v>
      </c>
      <c r="I2" s="3340" t="s">
        <v>276</v>
      </c>
      <c r="J2" s="3341"/>
      <c r="K2" s="3340" t="s">
        <v>2404</v>
      </c>
      <c r="L2" s="3340" t="s">
        <v>157</v>
      </c>
      <c r="M2" s="3340" t="s">
        <v>158</v>
      </c>
      <c r="N2" s="3340" t="s">
        <v>156</v>
      </c>
      <c r="O2" s="3340" t="s">
        <v>159</v>
      </c>
      <c r="P2" s="3340" t="s">
        <v>276</v>
      </c>
      <c r="Q2" s="3341"/>
      <c r="R2" s="3340" t="s">
        <v>2404</v>
      </c>
      <c r="S2" s="3340" t="s">
        <v>157</v>
      </c>
      <c r="T2" s="3340" t="s">
        <v>158</v>
      </c>
      <c r="U2" s="3340" t="s">
        <v>156</v>
      </c>
      <c r="V2" s="3340" t="s">
        <v>159</v>
      </c>
      <c r="W2" s="3340" t="s">
        <v>276</v>
      </c>
      <c r="X2" s="3341"/>
      <c r="Y2" s="3340" t="s">
        <v>2404</v>
      </c>
      <c r="Z2" s="3340" t="s">
        <v>157</v>
      </c>
      <c r="AA2" s="3340" t="s">
        <v>158</v>
      </c>
      <c r="AB2" s="3340" t="s">
        <v>156</v>
      </c>
      <c r="AC2" s="3340" t="s">
        <v>159</v>
      </c>
      <c r="AD2" s="3340" t="s">
        <v>276</v>
      </c>
    </row>
    <row r="3" s="3354" customFormat="true" ht="12.75" hidden="false" customHeight="false" outlineLevel="0" collapsed="false">
      <c r="A3" s="3342" t="s">
        <v>2405</v>
      </c>
      <c r="B3" s="3343"/>
      <c r="C3" s="3344"/>
      <c r="D3" s="3344" t="n">
        <f aca="false">ROUND(AVERAGEIF(D4:D16,"&lt;&gt;0"),2)</f>
        <v>0.83</v>
      </c>
      <c r="E3" s="3344" t="n">
        <f aca="false">ROUND(AVERAGEIF(E4:E16,"&lt;&gt;0"),2)</f>
        <v>0.4</v>
      </c>
      <c r="F3" s="3344" t="n">
        <f aca="false">ROUND(AVERAGEIF(F4:F16,"&lt;&gt;0"),2)</f>
        <v>0.22</v>
      </c>
      <c r="G3" s="3344" t="n">
        <f aca="false">ROUND(AVERAGEIF(G4:G16,"&lt;&gt;0"),2)</f>
        <v>0.9</v>
      </c>
      <c r="H3" s="3344" t="n">
        <f aca="false">ROUND(AVERAGEIF(H4:H16,"&lt;&gt;0"),2)</f>
        <v>0.65</v>
      </c>
      <c r="I3" s="3344" t="n">
        <f aca="false">F3</f>
        <v>0.22</v>
      </c>
      <c r="J3" s="3345"/>
      <c r="K3" s="3346" t="n">
        <f aca="false">ROUND(AVERAGEIF(K4:K16,"&lt;&gt;0"),4)</f>
        <v>0.0083</v>
      </c>
      <c r="L3" s="3347" t="n">
        <f aca="false">ROUND(AVERAGEIF(L4:L16,"&lt;&gt;0"),4)</f>
        <v>0.004</v>
      </c>
      <c r="M3" s="3347" t="n">
        <f aca="false">ROUND(AVERAGEIF(M4:M16,"&lt;&gt;0"),4)</f>
        <v>0.0022</v>
      </c>
      <c r="N3" s="3347" t="n">
        <f aca="false">ROUND(AVERAGEIF(N4:N16,"&lt;&gt;0"),4)</f>
        <v>0.009</v>
      </c>
      <c r="O3" s="3347" t="n">
        <f aca="false">ROUND(AVERAGEIF(O4:O16,"&lt;&gt;0"),4)</f>
        <v>0.0065</v>
      </c>
      <c r="P3" s="3347" t="n">
        <f aca="false">M3</f>
        <v>0.0022</v>
      </c>
      <c r="Q3" s="3345"/>
      <c r="R3" s="3348" t="n">
        <f aca="false">ROUND(SUMPRODUCT(PRODUCT(1+K4:K16)),4)</f>
        <v>1.086</v>
      </c>
      <c r="S3" s="3349" t="n">
        <f aca="false">ROUND(SUMPRODUCT(PRODUCT(1+L4:L16)),4)</f>
        <v>1.0411</v>
      </c>
      <c r="T3" s="3349" t="n">
        <f aca="false">ROUND(SUMPRODUCT(PRODUCT(1+M4:M16)),4)</f>
        <v>1.0225</v>
      </c>
      <c r="U3" s="3349" t="n">
        <f aca="false">ROUND(SUMPRODUCT(PRODUCT(1+N4:N16)),4)</f>
        <v>1.0938</v>
      </c>
      <c r="V3" s="3349" t="n">
        <f aca="false">ROUND(SUMPRODUCT(PRODUCT(1+O4:O16)),4)</f>
        <v>1.0668</v>
      </c>
      <c r="W3" s="3348" t="n">
        <f aca="false">T3</f>
        <v>1.0225</v>
      </c>
      <c r="X3" s="3345"/>
      <c r="Y3" s="3350" t="n">
        <f aca="false">ROUND(AVERAGEIF(Y5:Y16,"&lt;&gt;0"),4)</f>
        <v>0.0087</v>
      </c>
      <c r="Z3" s="3351" t="n">
        <f aca="false">ROUND(AVERAGEIF(Z5:Z16,"&lt;&gt;0"),4)</f>
        <v>0.0035</v>
      </c>
      <c r="AA3" s="3352" t="n">
        <f aca="false">ROUND(AVERAGEIF(AA5:AA16,"&lt;&gt;0"),4)</f>
        <v>0.0009</v>
      </c>
      <c r="AB3" s="3350" t="n">
        <f aca="false">ROUND(AVERAGEIF(AB5:AB16,"&lt;&gt;0"),4)</f>
        <v>0.0095</v>
      </c>
      <c r="AC3" s="3353" t="n">
        <f aca="false">ROUND(AVERAGEIF(AC5:AC16,"&lt;&gt;0"),4)</f>
        <v>0.0061</v>
      </c>
      <c r="AD3" s="3350" t="n">
        <f aca="false">AA3</f>
        <v>0.0009</v>
      </c>
    </row>
    <row r="4" s="3355" customFormat="true" ht="12.75" hidden="false" customHeight="false" outlineLevel="0" collapsed="false">
      <c r="B4" s="3356"/>
      <c r="C4" s="3357"/>
      <c r="D4" s="3357"/>
      <c r="E4" s="3357"/>
      <c r="F4" s="3357"/>
      <c r="G4" s="3357"/>
      <c r="H4" s="3357"/>
      <c r="I4" s="3357"/>
      <c r="J4" s="3335"/>
      <c r="K4" s="3358"/>
      <c r="L4" s="3359"/>
      <c r="M4" s="3359"/>
      <c r="N4" s="3359"/>
      <c r="O4" s="3359"/>
      <c r="P4" s="3359"/>
      <c r="Q4" s="3335"/>
      <c r="R4" s="3360"/>
      <c r="S4" s="3361"/>
      <c r="T4" s="3362"/>
      <c r="U4" s="3360"/>
      <c r="V4" s="3363"/>
      <c r="W4" s="3360"/>
      <c r="X4" s="3335"/>
      <c r="Y4" s="3364"/>
      <c r="Z4" s="3365"/>
      <c r="AA4" s="3366"/>
      <c r="AB4" s="3364"/>
      <c r="AC4" s="3367"/>
      <c r="AD4" s="3364"/>
    </row>
    <row r="5" s="3377" customFormat="true" ht="12.75" hidden="false" customHeight="false" outlineLevel="0" collapsed="false">
      <c r="A5" s="3368" t="s">
        <v>2406</v>
      </c>
      <c r="B5" s="3369" t="n">
        <v>2023</v>
      </c>
      <c r="C5" s="3370" t="n">
        <v>4</v>
      </c>
      <c r="D5" s="3371" t="n">
        <v>0</v>
      </c>
      <c r="E5" s="3371" t="n">
        <v>0</v>
      </c>
      <c r="F5" s="3371" t="n">
        <v>0</v>
      </c>
      <c r="G5" s="3371" t="n">
        <v>0</v>
      </c>
      <c r="H5" s="3371" t="n">
        <v>0</v>
      </c>
      <c r="I5" s="3372" t="n">
        <f aca="false">F5</f>
        <v>0</v>
      </c>
      <c r="J5" s="3373"/>
      <c r="K5" s="3374" t="n">
        <f aca="false">D5/100</f>
        <v>0</v>
      </c>
      <c r="L5" s="3364" t="n">
        <f aca="false">E5/100</f>
        <v>0</v>
      </c>
      <c r="M5" s="3364" t="n">
        <f aca="false">F5/100</f>
        <v>0</v>
      </c>
      <c r="N5" s="3364" t="n">
        <f aca="false">G5/100</f>
        <v>0</v>
      </c>
      <c r="O5" s="3364" t="n">
        <f aca="false">H5/100</f>
        <v>0</v>
      </c>
      <c r="P5" s="3364" t="n">
        <f aca="false">M5</f>
        <v>0</v>
      </c>
      <c r="Q5" s="3373"/>
      <c r="R5" s="3375" t="n">
        <f aca="false">ROUND(IF(项目基本情况!$B$8="出让",SUMPRODUCT(PRODUCT(1+K5:$K$16)),SUMPRODUCT(PRODUCT(1+K5:$K$15))),4)</f>
        <v>1.0756</v>
      </c>
      <c r="S5" s="3375" t="n">
        <f aca="false">ROUND(IF(项目基本情况!$B$8="出让",SUMPRODUCT(PRODUCT(1+L5:$L$16)),SUMPRODUCT(PRODUCT(1+L5:$L$15))),4)</f>
        <v>1.0395</v>
      </c>
      <c r="T5" s="3375" t="n">
        <f aca="false">ROUND(IF(项目基本情况!$B$8="出让",SUMPRODUCT(PRODUCT(1+M5:$M$16)),SUMPRODUCT(PRODUCT(1+M5:$M$15))),4)</f>
        <v>1.0251</v>
      </c>
      <c r="U5" s="3375" t="n">
        <f aca="false">ROUND(IF(项目基本情况!$B$8="出让",SUMPRODUCT(PRODUCT(1+N5:$N$16)),SUMPRODUCT(PRODUCT(1+N5:$N$15))),4)</f>
        <v>1.0818</v>
      </c>
      <c r="V5" s="3375" t="n">
        <f aca="false">ROUND(IF(项目基本情况!$B$8="出让",SUMPRODUCT(PRODUCT(1+O5:$O$16)),SUMPRODUCT(PRODUCT(1+O5:$O$15))),4)</f>
        <v>1.063</v>
      </c>
      <c r="W5" s="3375" t="n">
        <f aca="false">T5</f>
        <v>1.0251</v>
      </c>
      <c r="X5" s="3373"/>
      <c r="Y5" s="3376" t="n">
        <f aca="false">IF(D5=0,0,ROUND(AVERAGE(D5:D16)/100,4))</f>
        <v>0</v>
      </c>
      <c r="Z5" s="3376" t="n">
        <f aca="false">IF(E5=0,0,ROUND(AVERAGE(E5:E16)/100,4))</f>
        <v>0</v>
      </c>
      <c r="AA5" s="3376" t="n">
        <f aca="false">IF(F5=0,0,ROUND(AVERAGE(F5:F16)/100,4))</f>
        <v>0</v>
      </c>
      <c r="AB5" s="3376" t="n">
        <f aca="false">IF(G5=0,0,ROUND(AVERAGE(G5:G16)/100,4))</f>
        <v>0</v>
      </c>
      <c r="AC5" s="3376" t="n">
        <f aca="false">IF(H5=0,0,ROUND(AVERAGE(H5:H16)/100,4))</f>
        <v>0</v>
      </c>
      <c r="AD5" s="3376" t="n">
        <f aca="false">AA5</f>
        <v>0</v>
      </c>
    </row>
    <row r="6" s="3377" customFormat="true" ht="12.75" hidden="false" customHeight="false" outlineLevel="0" collapsed="false">
      <c r="A6" s="3368" t="s">
        <v>2407</v>
      </c>
      <c r="B6" s="3369" t="n">
        <v>2023</v>
      </c>
      <c r="C6" s="3370" t="n">
        <v>3</v>
      </c>
      <c r="D6" s="3371" t="n">
        <v>0</v>
      </c>
      <c r="E6" s="3371" t="n">
        <v>0</v>
      </c>
      <c r="F6" s="3371" t="n">
        <v>0</v>
      </c>
      <c r="G6" s="3371" t="n">
        <v>0</v>
      </c>
      <c r="H6" s="3371" t="n">
        <v>0</v>
      </c>
      <c r="I6" s="3372" t="n">
        <f aca="false">F6</f>
        <v>0</v>
      </c>
      <c r="J6" s="3373"/>
      <c r="K6" s="3374" t="n">
        <f aca="false">D6/100</f>
        <v>0</v>
      </c>
      <c r="L6" s="3364" t="n">
        <f aca="false">E6/100</f>
        <v>0</v>
      </c>
      <c r="M6" s="3364" t="n">
        <f aca="false">F6/100</f>
        <v>0</v>
      </c>
      <c r="N6" s="3364" t="n">
        <f aca="false">G6/100</f>
        <v>0</v>
      </c>
      <c r="O6" s="3364" t="n">
        <f aca="false">H6/100</f>
        <v>0</v>
      </c>
      <c r="P6" s="3364" t="n">
        <f aca="false">M6</f>
        <v>0</v>
      </c>
      <c r="Q6" s="3373"/>
      <c r="R6" s="3375" t="n">
        <f aca="false">ROUND(IF(项目基本情况!$B$8="出让",SUMPRODUCT(PRODUCT(1+K6:$K$16)),SUMPRODUCT(PRODUCT(1+K6:$K$15))),4)</f>
        <v>1.0756</v>
      </c>
      <c r="S6" s="3375" t="n">
        <f aca="false">ROUND(IF(项目基本情况!$B$8="出让",SUMPRODUCT(PRODUCT(1+L6:$L$16)),SUMPRODUCT(PRODUCT(1+L6:$L$15))),4)</f>
        <v>1.0395</v>
      </c>
      <c r="T6" s="3375" t="n">
        <f aca="false">ROUND(IF(项目基本情况!$B$8="出让",SUMPRODUCT(PRODUCT(1+M6:$M$16)),SUMPRODUCT(PRODUCT(1+M6:$M$15))),4)</f>
        <v>1.0251</v>
      </c>
      <c r="U6" s="3375" t="n">
        <f aca="false">ROUND(IF(项目基本情况!$B$8="出让",SUMPRODUCT(PRODUCT(1+N6:$N$16)),SUMPRODUCT(PRODUCT(1+N6:$N$15))),4)</f>
        <v>1.0818</v>
      </c>
      <c r="V6" s="3375" t="n">
        <f aca="false">ROUND(IF(项目基本情况!$B$8="出让",SUMPRODUCT(PRODUCT(1+O6:$O$16)),SUMPRODUCT(PRODUCT(1+O6:$O$15))),4)</f>
        <v>1.063</v>
      </c>
      <c r="W6" s="3375" t="n">
        <f aca="false">T6</f>
        <v>1.0251</v>
      </c>
      <c r="X6" s="3373"/>
      <c r="Y6" s="3376"/>
      <c r="Z6" s="3376"/>
      <c r="AA6" s="3376"/>
      <c r="AB6" s="3376"/>
      <c r="AC6" s="3376"/>
      <c r="AD6" s="3376"/>
    </row>
    <row r="7" s="3387" customFormat="true" ht="12.75" hidden="false" customHeight="false" outlineLevel="0" collapsed="false">
      <c r="A7" s="3378" t="s">
        <v>2408</v>
      </c>
      <c r="B7" s="3379" t="n">
        <v>2023</v>
      </c>
      <c r="C7" s="3380" t="n">
        <v>2</v>
      </c>
      <c r="D7" s="3381" t="n">
        <v>0.91</v>
      </c>
      <c r="E7" s="3381" t="n">
        <v>0.66</v>
      </c>
      <c r="F7" s="3381" t="n">
        <v>0.47</v>
      </c>
      <c r="G7" s="3381" t="n">
        <v>0.96</v>
      </c>
      <c r="H7" s="3382" t="n">
        <v>0.71</v>
      </c>
      <c r="I7" s="3383" t="n">
        <f aca="false">F7</f>
        <v>0.47</v>
      </c>
      <c r="J7" s="3384"/>
      <c r="K7" s="3385" t="n">
        <f aca="false">D7/100</f>
        <v>0.0091</v>
      </c>
      <c r="L7" s="3386" t="n">
        <f aca="false">E7/100</f>
        <v>0.0066</v>
      </c>
      <c r="M7" s="3386" t="n">
        <f aca="false">F7/100</f>
        <v>0.0047</v>
      </c>
      <c r="N7" s="3386" t="n">
        <f aca="false">G7/100</f>
        <v>0.0096</v>
      </c>
      <c r="O7" s="3386" t="n">
        <f aca="false">H7/100</f>
        <v>0.0071</v>
      </c>
      <c r="P7" s="3386" t="n">
        <f aca="false">M7</f>
        <v>0.0047</v>
      </c>
      <c r="Q7" s="3384"/>
      <c r="R7" s="3384" t="n">
        <f aca="false">ROUND(IF(项目基本情况!$B$8="出让",SUMPRODUCT(PRODUCT(1+K7:$K$16)),SUMPRODUCT(PRODUCT(1+K7:$K$15))),4)</f>
        <v>1.0756</v>
      </c>
      <c r="S7" s="3384" t="n">
        <f aca="false">ROUND(IF(项目基本情况!$B$8="出让",SUMPRODUCT(PRODUCT(1+L7:$L$16)),SUMPRODUCT(PRODUCT(1+L7:$L$15))),4)</f>
        <v>1.0395</v>
      </c>
      <c r="T7" s="3384" t="n">
        <f aca="false">ROUND(IF(项目基本情况!$B$8="出让",SUMPRODUCT(PRODUCT(1+M7:$M$16)),SUMPRODUCT(PRODUCT(1+M7:$M$15))),4)</f>
        <v>1.0251</v>
      </c>
      <c r="U7" s="3384" t="n">
        <f aca="false">ROUND(IF(项目基本情况!$B$8="出让",SUMPRODUCT(PRODUCT(1+N7:$N$16)),SUMPRODUCT(PRODUCT(1+N7:$N$15))),4)</f>
        <v>1.0818</v>
      </c>
      <c r="V7" s="3384" t="n">
        <f aca="false">ROUND(IF(项目基本情况!$B$8="出让",SUMPRODUCT(PRODUCT(1+O7:$O$16)),SUMPRODUCT(PRODUCT(1+O7:$O$15))),4)</f>
        <v>1.063</v>
      </c>
      <c r="W7" s="3384" t="n">
        <f aca="false">T7</f>
        <v>1.0251</v>
      </c>
      <c r="X7" s="3384"/>
      <c r="Y7" s="3386"/>
      <c r="Z7" s="3386"/>
      <c r="AA7" s="3386"/>
      <c r="AB7" s="3386"/>
      <c r="AC7" s="3386"/>
      <c r="AD7" s="3386"/>
    </row>
    <row r="8" s="3377" customFormat="true" ht="12.75" hidden="false" customHeight="false" outlineLevel="0" collapsed="false">
      <c r="A8" s="3368" t="s">
        <v>2409</v>
      </c>
      <c r="B8" s="3369" t="n">
        <v>2023</v>
      </c>
      <c r="C8" s="3370" t="n">
        <v>1</v>
      </c>
      <c r="D8" s="3371" t="n">
        <v>0.89</v>
      </c>
      <c r="E8" s="3371" t="n">
        <v>0.74</v>
      </c>
      <c r="F8" s="3371" t="n">
        <v>0.57</v>
      </c>
      <c r="G8" s="3371" t="n">
        <v>0.92</v>
      </c>
      <c r="H8" s="3388" t="n">
        <v>0.5</v>
      </c>
      <c r="I8" s="3372" t="n">
        <f aca="false">F8</f>
        <v>0.57</v>
      </c>
      <c r="J8" s="3373"/>
      <c r="K8" s="3374" t="n">
        <f aca="false">D8/100</f>
        <v>0.0089</v>
      </c>
      <c r="L8" s="3364" t="n">
        <f aca="false">E8/100</f>
        <v>0.0074</v>
      </c>
      <c r="M8" s="3364" t="n">
        <f aca="false">F8/100</f>
        <v>0.0057</v>
      </c>
      <c r="N8" s="3364" t="n">
        <f aca="false">G8/100</f>
        <v>0.0092</v>
      </c>
      <c r="O8" s="3364" t="n">
        <f aca="false">H8/100</f>
        <v>0.005</v>
      </c>
      <c r="P8" s="3364" t="n">
        <f aca="false">M8</f>
        <v>0.0057</v>
      </c>
      <c r="Q8" s="3373"/>
      <c r="R8" s="3375" t="n">
        <f aca="false">ROUND(IF(项目基本情况!$B$8="出让",SUMPRODUCT(PRODUCT(1+K8:$K$16)),SUMPRODUCT(PRODUCT(1+K8:$K$15))),4)</f>
        <v>1.0659</v>
      </c>
      <c r="S8" s="3375" t="n">
        <f aca="false">ROUND(IF(项目基本情况!$B$8="出让",SUMPRODUCT(PRODUCT(1+L8:$L$16)),SUMPRODUCT(PRODUCT(1+L8:$L$15))),4)</f>
        <v>1.0326</v>
      </c>
      <c r="T8" s="3375" t="n">
        <f aca="false">ROUND(IF(项目基本情况!$B$8="出让",SUMPRODUCT(PRODUCT(1+M8:$M$16)),SUMPRODUCT(PRODUCT(1+M8:$M$15))),4)</f>
        <v>1.0203</v>
      </c>
      <c r="U8" s="3375" t="n">
        <f aca="false">ROUND(IF(项目基本情况!$B$8="出让",SUMPRODUCT(PRODUCT(1+N8:$N$16)),SUMPRODUCT(PRODUCT(1+N8:$N$15))),4)</f>
        <v>1.0715</v>
      </c>
      <c r="V8" s="3375" t="n">
        <f aca="false">ROUND(IF(项目基本情况!$B$8="出让",SUMPRODUCT(PRODUCT(1+O8:$O$16)),SUMPRODUCT(PRODUCT(1+O8:$O$15))),4)</f>
        <v>1.0555</v>
      </c>
      <c r="W8" s="3375" t="n">
        <f aca="false">T8</f>
        <v>1.0203</v>
      </c>
      <c r="X8" s="3373"/>
      <c r="Y8" s="3376"/>
      <c r="Z8" s="3376"/>
      <c r="AA8" s="3376"/>
      <c r="AB8" s="3376"/>
      <c r="AC8" s="3376"/>
      <c r="AD8" s="3376"/>
    </row>
    <row r="9" s="3377" customFormat="true" ht="12.75" hidden="false" customHeight="false" outlineLevel="0" collapsed="false">
      <c r="A9" s="3368" t="s">
        <v>2410</v>
      </c>
      <c r="B9" s="3369" t="n">
        <v>2022</v>
      </c>
      <c r="C9" s="3370" t="n">
        <v>4</v>
      </c>
      <c r="D9" s="3371" t="n">
        <v>0.62</v>
      </c>
      <c r="E9" s="3371" t="n">
        <v>0.2</v>
      </c>
      <c r="F9" s="3371" t="n">
        <v>0.11</v>
      </c>
      <c r="G9" s="3371" t="n">
        <v>0.69</v>
      </c>
      <c r="H9" s="3388" t="n">
        <v>0.53</v>
      </c>
      <c r="I9" s="3372" t="n">
        <f aca="false">F9</f>
        <v>0.11</v>
      </c>
      <c r="J9" s="3373"/>
      <c r="K9" s="3374" t="n">
        <f aca="false">D9/100</f>
        <v>0.0062</v>
      </c>
      <c r="L9" s="3364" t="n">
        <f aca="false">E9/100</f>
        <v>0.002</v>
      </c>
      <c r="M9" s="3364" t="n">
        <f aca="false">F9/100</f>
        <v>0.0011</v>
      </c>
      <c r="N9" s="3364" t="n">
        <f aca="false">G9/100</f>
        <v>0.0069</v>
      </c>
      <c r="O9" s="3364" t="n">
        <f aca="false">H9/100</f>
        <v>0.0053</v>
      </c>
      <c r="P9" s="3364" t="n">
        <f aca="false">M9</f>
        <v>0.0011</v>
      </c>
      <c r="Q9" s="3373"/>
      <c r="R9" s="3375" t="n">
        <f aca="false">ROUND(IF([3]项目基本情况!B8="出让",SUMPRODUCT(PRODUCT(1+K9:K16)),SUMPRODUCT(PRODUCT(1+K9:K15))),4)</f>
        <v>1.0565</v>
      </c>
      <c r="S9" s="3375" t="n">
        <f aca="false">ROUND(IF([3]项目基本情况!B8="出让",SUMPRODUCT(PRODUCT(1+L9:L16)),SUMPRODUCT(PRODUCT(1+L9:L15))),4)</f>
        <v>1.0251</v>
      </c>
      <c r="T9" s="3375" t="n">
        <f aca="false">ROUND(IF([3]项目基本情况!B8="出让",SUMPRODUCT(PRODUCT(1+M9:M16)),SUMPRODUCT(PRODUCT(1+M9:M15))),4)</f>
        <v>1.0145</v>
      </c>
      <c r="U9" s="3375" t="n">
        <f aca="false">ROUND(IF([3]项目基本情况!B8="出让",SUMPRODUCT(PRODUCT(1+N9:N16)),SUMPRODUCT(PRODUCT(1+N9:N15))),4)</f>
        <v>1.0618</v>
      </c>
      <c r="V9" s="3375" t="n">
        <f aca="false">ROUND(IF([3]项目基本情况!B8="出让",SUMPRODUCT(PRODUCT(1+O9:O16)),SUMPRODUCT(PRODUCT(1+O9:O15))),4)</f>
        <v>1.0502</v>
      </c>
      <c r="W9" s="3375" t="n">
        <f aca="false">T9</f>
        <v>1.0145</v>
      </c>
      <c r="X9" s="3373"/>
      <c r="Y9" s="3376" t="n">
        <f aca="false">IF(D9=0,0,ROUND(AVERAGE(D9:D17)/100,4))</f>
        <v>0.0081</v>
      </c>
      <c r="Z9" s="3376" t="n">
        <f aca="false">IF(E9=0,0,ROUND(AVERAGE(E9:E16)/100,4))</f>
        <v>0.0033</v>
      </c>
      <c r="AA9" s="3376" t="n">
        <f aca="false">IF(F9=0,0,ROUND(AVERAGE(F9:F16)/100,4))</f>
        <v>0.0015</v>
      </c>
      <c r="AB9" s="3376" t="n">
        <f aca="false">IF(G9=0,0,ROUND(AVERAGE(G9:G16)/100,4))</f>
        <v>0.0089</v>
      </c>
      <c r="AC9" s="3376" t="n">
        <f aca="false">IF(H9=0,0,ROUND(AVERAGE(H9:H16)/100,4))</f>
        <v>0.0066</v>
      </c>
      <c r="AD9" s="3376" t="n">
        <f aca="false">AA9</f>
        <v>0.0015</v>
      </c>
    </row>
    <row r="10" s="3377" customFormat="true" ht="12.75" hidden="false" customHeight="false" outlineLevel="0" collapsed="false">
      <c r="A10" s="3368" t="s">
        <v>2411</v>
      </c>
      <c r="B10" s="3369" t="n">
        <v>2022</v>
      </c>
      <c r="C10" s="3370" t="n">
        <v>3</v>
      </c>
      <c r="D10" s="3371" t="n">
        <v>0.66</v>
      </c>
      <c r="E10" s="3371" t="n">
        <v>0.32</v>
      </c>
      <c r="F10" s="3371" t="n">
        <v>0.23</v>
      </c>
      <c r="G10" s="3371" t="n">
        <v>0.72</v>
      </c>
      <c r="H10" s="3388" t="n">
        <v>0.63</v>
      </c>
      <c r="I10" s="3372" t="n">
        <f aca="false">F10</f>
        <v>0.23</v>
      </c>
      <c r="J10" s="3373"/>
      <c r="K10" s="3374" t="n">
        <f aca="false">D10/100</f>
        <v>0.0066</v>
      </c>
      <c r="L10" s="3364" t="n">
        <f aca="false">E10/100</f>
        <v>0.0032</v>
      </c>
      <c r="M10" s="3364" t="n">
        <f aca="false">F10/100</f>
        <v>0.0023</v>
      </c>
      <c r="N10" s="3364" t="n">
        <f aca="false">G10/100</f>
        <v>0.0072</v>
      </c>
      <c r="O10" s="3364" t="n">
        <f aca="false">H10/100</f>
        <v>0.0063</v>
      </c>
      <c r="P10" s="3364" t="n">
        <f aca="false">M10</f>
        <v>0.0023</v>
      </c>
      <c r="Q10" s="3373"/>
      <c r="R10" s="3375" t="n">
        <f aca="false">ROUND(IF([3]项目基本情况!B8="出让",SUMPRODUCT(PRODUCT(1+K10:K16)),SUMPRODUCT(PRODUCT(1+K10:K15))),4)</f>
        <v>1.05</v>
      </c>
      <c r="S10" s="3375" t="n">
        <f aca="false">ROUND(IF([3]项目基本情况!B8="出让",SUMPRODUCT(PRODUCT(1+L10:L16)),SUMPRODUCT(PRODUCT(1+L10:L15))),4)</f>
        <v>1.023</v>
      </c>
      <c r="T10" s="3375" t="n">
        <f aca="false">ROUND(IF([3]项目基本情况!B8="出让",SUMPRODUCT(PRODUCT(1+M10:M16)),SUMPRODUCT(PRODUCT(1+M10:M15))),4)</f>
        <v>1.0134</v>
      </c>
      <c r="U10" s="3375" t="n">
        <f aca="false">ROUND(IF([3]项目基本情况!B8="出让",SUMPRODUCT(PRODUCT(1+N10:N16)),SUMPRODUCT(PRODUCT(1+N10:N15))),4)</f>
        <v>1.0545</v>
      </c>
      <c r="V10" s="3375" t="n">
        <f aca="false">ROUND(IF([3]项目基本情况!B8="出让",SUMPRODUCT(PRODUCT(1+O10:O16)),SUMPRODUCT(PRODUCT(1+O10:O15))),4)</f>
        <v>1.0447</v>
      </c>
      <c r="W10" s="3375" t="n">
        <f aca="false">T10</f>
        <v>1.0134</v>
      </c>
      <c r="X10" s="3373"/>
      <c r="Y10" s="3376" t="n">
        <f aca="false">IF(D10=0,0,ROUND(AVERAGE(D10:D16)/100,4))</f>
        <v>0.0084</v>
      </c>
      <c r="Z10" s="3376" t="n">
        <f aca="false">IF(E10=0,0,ROUND(AVERAGE(E10:E16)/100,4))</f>
        <v>0.0035</v>
      </c>
      <c r="AA10" s="3376" t="n">
        <f aca="false">IF(F10=0,0,ROUND(AVERAGE(F10:F16)/100,4))</f>
        <v>0.0015</v>
      </c>
      <c r="AB10" s="3376" t="n">
        <f aca="false">IF(G10=0,0,ROUND(AVERAGE(G10:G16)/100,4))</f>
        <v>0.0092</v>
      </c>
      <c r="AC10" s="3376" t="n">
        <f aca="false">IF(H10=0,0,ROUND(AVERAGE(H10:H16)/100,4))</f>
        <v>0.0068</v>
      </c>
      <c r="AD10" s="3376" t="n">
        <f aca="false">AA10</f>
        <v>0.0015</v>
      </c>
    </row>
    <row r="11" s="3377" customFormat="true" ht="12.75" hidden="false" customHeight="false" outlineLevel="0" collapsed="false">
      <c r="A11" s="3368" t="s">
        <v>2412</v>
      </c>
      <c r="B11" s="3369" t="n">
        <v>2022</v>
      </c>
      <c r="C11" s="3370" t="n">
        <v>2</v>
      </c>
      <c r="D11" s="3371" t="n">
        <v>0.93</v>
      </c>
      <c r="E11" s="3371" t="n">
        <v>0.15</v>
      </c>
      <c r="F11" s="3371" t="n">
        <v>0.01</v>
      </c>
      <c r="G11" s="3371" t="n">
        <v>1.05</v>
      </c>
      <c r="H11" s="3388" t="n">
        <v>1.08</v>
      </c>
      <c r="I11" s="3372" t="n">
        <f aca="false">F11</f>
        <v>0.01</v>
      </c>
      <c r="J11" s="3373"/>
      <c r="K11" s="3374" t="n">
        <f aca="false">D11/100</f>
        <v>0.0093</v>
      </c>
      <c r="L11" s="3364" t="n">
        <f aca="false">E11/100</f>
        <v>0.0015</v>
      </c>
      <c r="M11" s="3364" t="n">
        <f aca="false">F11/100</f>
        <v>0.0001</v>
      </c>
      <c r="N11" s="3364" t="n">
        <f aca="false">G11/100</f>
        <v>0.0105</v>
      </c>
      <c r="O11" s="3364" t="n">
        <f aca="false">H11/100</f>
        <v>0.0108</v>
      </c>
      <c r="P11" s="3364" t="n">
        <f aca="false">M11</f>
        <v>0.0001</v>
      </c>
      <c r="Q11" s="3373"/>
      <c r="R11" s="3375" t="n">
        <f aca="false">ROUND(IF([3]项目基本情况!B8="出让",SUMPRODUCT(PRODUCT(1+K11:K16)),SUMPRODUCT(PRODUCT(1+K11:K15))),4)</f>
        <v>1.0431</v>
      </c>
      <c r="S11" s="3375" t="n">
        <f aca="false">ROUND(IF([3]项目基本情况!B8="出让",SUMPRODUCT(PRODUCT(1+L11:L16)),SUMPRODUCT(PRODUCT(1+L11:L15))),4)</f>
        <v>1.0197</v>
      </c>
      <c r="T11" s="3375" t="n">
        <f aca="false">ROUND(IF([3]项目基本情况!B8="出让",SUMPRODUCT(PRODUCT(1+M11:M16)),SUMPRODUCT(PRODUCT(1+M11:M15))),4)</f>
        <v>1.011</v>
      </c>
      <c r="U11" s="3375" t="n">
        <f aca="false">ROUND(IF([3]项目基本情况!B8="出让",SUMPRODUCT(PRODUCT(1+N11:N16)),SUMPRODUCT(PRODUCT(1+N11:N15))),4)</f>
        <v>1.0469</v>
      </c>
      <c r="V11" s="3375" t="n">
        <f aca="false">ROUND(IF([3]项目基本情况!B8="出让",SUMPRODUCT(PRODUCT(1+O11:O16)),SUMPRODUCT(PRODUCT(1+O11:O15))),4)</f>
        <v>1.0382</v>
      </c>
      <c r="W11" s="3375" t="n">
        <f aca="false">T11</f>
        <v>1.011</v>
      </c>
      <c r="X11" s="3373"/>
      <c r="Y11" s="3376" t="n">
        <f aca="false">IF(D11=0,0,ROUND(AVERAGE(D11:D16)/100,4))</f>
        <v>0.0087</v>
      </c>
      <c r="Z11" s="3376" t="n">
        <f aca="false">IF(E11=0,0,ROUND(AVERAGE(E11:E16)/100,4))</f>
        <v>0.0035</v>
      </c>
      <c r="AA11" s="3376" t="n">
        <f aca="false">IF(F11=0,0,ROUND(AVERAGE(F11:F16)/100,4))</f>
        <v>0.0014</v>
      </c>
      <c r="AB11" s="3376" t="n">
        <f aca="false">IF(G11=0,0,ROUND(AVERAGE(G11:G16)/100,4))</f>
        <v>0.0095</v>
      </c>
      <c r="AC11" s="3376" t="n">
        <f aca="false">IF(H11=0,0,ROUND(AVERAGE(H11:H16)/100,4))</f>
        <v>0.0069</v>
      </c>
      <c r="AD11" s="3376" t="n">
        <f aca="false">AA11</f>
        <v>0.0014</v>
      </c>
    </row>
    <row r="12" s="3377" customFormat="true" ht="12.75" hidden="false" customHeight="false" outlineLevel="0" collapsed="false">
      <c r="A12" s="3368" t="s">
        <v>2413</v>
      </c>
      <c r="B12" s="3369" t="n">
        <v>2022</v>
      </c>
      <c r="C12" s="3370" t="n">
        <v>1</v>
      </c>
      <c r="D12" s="3371" t="n">
        <v>0.89</v>
      </c>
      <c r="E12" s="3371" t="n">
        <v>0.44</v>
      </c>
      <c r="F12" s="3371" t="n">
        <v>0.37</v>
      </c>
      <c r="G12" s="3371" t="n">
        <v>0.96</v>
      </c>
      <c r="H12" s="3388" t="n">
        <v>0.64</v>
      </c>
      <c r="I12" s="3372" t="n">
        <f aca="false">F12</f>
        <v>0.37</v>
      </c>
      <c r="J12" s="3373"/>
      <c r="K12" s="3374" t="n">
        <f aca="false">D12/100</f>
        <v>0.0089</v>
      </c>
      <c r="L12" s="3364" t="n">
        <f aca="false">E12/100</f>
        <v>0.0044</v>
      </c>
      <c r="M12" s="3364" t="n">
        <f aca="false">F12/100</f>
        <v>0.0037</v>
      </c>
      <c r="N12" s="3364" t="n">
        <f aca="false">G12/100</f>
        <v>0.0096</v>
      </c>
      <c r="O12" s="3364" t="n">
        <f aca="false">H12/100</f>
        <v>0.0064</v>
      </c>
      <c r="P12" s="3364" t="n">
        <f aca="false">M12</f>
        <v>0.0037</v>
      </c>
      <c r="Q12" s="3373"/>
      <c r="R12" s="3375" t="n">
        <f aca="false">ROUND(IF([3]项目基本情况!B8="出让",SUMPRODUCT(PRODUCT(1+K12:K16)),SUMPRODUCT(PRODUCT(1+K12:K15))),4)</f>
        <v>1.0335</v>
      </c>
      <c r="S12" s="3375" t="n">
        <f aca="false">ROUND(IF([3]项目基本情况!B8="出让",SUMPRODUCT(PRODUCT(1+L12:L16)),SUMPRODUCT(PRODUCT(1+L12:L15))),4)</f>
        <v>1.0182</v>
      </c>
      <c r="T12" s="3375" t="n">
        <f aca="false">ROUND(IF([3]项目基本情况!B8="出让",SUMPRODUCT(PRODUCT(1+M12:M16)),SUMPRODUCT(PRODUCT(1+M12:M15))),4)</f>
        <v>1.0109</v>
      </c>
      <c r="U12" s="3375" t="n">
        <f aca="false">ROUND(IF([3]项目基本情况!B8="出让",SUMPRODUCT(PRODUCT(1+N12:N16)),SUMPRODUCT(PRODUCT(1+N12:N15))),4)</f>
        <v>1.0361</v>
      </c>
      <c r="V12" s="3375" t="n">
        <f aca="false">ROUND(IF([3]项目基本情况!B8="出让",SUMPRODUCT(PRODUCT(1+O12:O16)),SUMPRODUCT(PRODUCT(1+O12:O15))),4)</f>
        <v>1.0271</v>
      </c>
      <c r="W12" s="3375" t="n">
        <f aca="false">T12</f>
        <v>1.0109</v>
      </c>
      <c r="X12" s="3373"/>
      <c r="Y12" s="3376" t="n">
        <f aca="false">IF(D12=0,0,ROUND(AVERAGE(D12:D16)/100,4))</f>
        <v>0.0086</v>
      </c>
      <c r="Z12" s="3376" t="n">
        <f aca="false">IF(E12=0,0,ROUND(AVERAGE(E12:E16)/100,4))</f>
        <v>0.0039</v>
      </c>
      <c r="AA12" s="3376" t="n">
        <f aca="false">IF(F12=0,0,ROUND(AVERAGE(F12:F16)/100,4))</f>
        <v>0.0017</v>
      </c>
      <c r="AB12" s="3376" t="n">
        <f aca="false">IF(G12=0,0,ROUND(AVERAGE(G12:G16)/100,4))</f>
        <v>0.0093</v>
      </c>
      <c r="AC12" s="3376" t="n">
        <f aca="false">IF(H12=0,0,ROUND(AVERAGE(H12:H16)/100,4))</f>
        <v>0.0061</v>
      </c>
      <c r="AD12" s="3376" t="n">
        <f aca="false">AA12</f>
        <v>0.0017</v>
      </c>
    </row>
    <row r="13" s="3377" customFormat="true" ht="12.75" hidden="false" customHeight="false" outlineLevel="0" collapsed="false">
      <c r="A13" s="3368" t="s">
        <v>2414</v>
      </c>
      <c r="B13" s="3369" t="n">
        <v>2021</v>
      </c>
      <c r="C13" s="3370" t="n">
        <v>4</v>
      </c>
      <c r="D13" s="3371" t="n">
        <v>1.03</v>
      </c>
      <c r="E13" s="3371" t="n">
        <v>0.24</v>
      </c>
      <c r="F13" s="3371" t="n">
        <v>0.07</v>
      </c>
      <c r="G13" s="3371" t="n">
        <v>1.17</v>
      </c>
      <c r="H13" s="3388" t="n">
        <v>0.55</v>
      </c>
      <c r="I13" s="3372" t="n">
        <f aca="false">F13</f>
        <v>0.07</v>
      </c>
      <c r="J13" s="3373"/>
      <c r="K13" s="3374" t="n">
        <f aca="false">D13/100</f>
        <v>0.0103</v>
      </c>
      <c r="L13" s="3364" t="n">
        <f aca="false">E13/100</f>
        <v>0.0024</v>
      </c>
      <c r="M13" s="3364" t="n">
        <f aca="false">F13/100</f>
        <v>0.0007</v>
      </c>
      <c r="N13" s="3364" t="n">
        <f aca="false">G13/100</f>
        <v>0.0117</v>
      </c>
      <c r="O13" s="3364" t="n">
        <f aca="false">H13/100</f>
        <v>0.0055</v>
      </c>
      <c r="P13" s="3364" t="n">
        <f aca="false">M13</f>
        <v>0.0007</v>
      </c>
      <c r="Q13" s="3373"/>
      <c r="R13" s="3375" t="n">
        <f aca="false">ROUND(IF([3]项目基本情况!B8="出让",SUMPRODUCT(PRODUCT(1+K13:K16)),SUMPRODUCT(PRODUCT(1+K13:K15))),4)</f>
        <v>1.0244</v>
      </c>
      <c r="S13" s="3375" t="n">
        <f aca="false">ROUND(IF([3]项目基本情况!B8="出让",SUMPRODUCT(PRODUCT(1+L13:L16)),SUMPRODUCT(PRODUCT(1+L13:L15))),4)</f>
        <v>1.0138</v>
      </c>
      <c r="T13" s="3375" t="n">
        <f aca="false">ROUND(IF([3]项目基本情况!B8="出让",SUMPRODUCT(PRODUCT(1+M13:M16)),SUMPRODUCT(PRODUCT(1+M13:M15))),4)</f>
        <v>1.0072</v>
      </c>
      <c r="U13" s="3375" t="n">
        <f aca="false">ROUND(IF([3]项目基本情况!B8="出让",SUMPRODUCT(PRODUCT(1+N13:N16)),SUMPRODUCT(PRODUCT(1+N13:N15))),4)</f>
        <v>1.0262</v>
      </c>
      <c r="V13" s="3375" t="n">
        <f aca="false">ROUND(IF([3]项目基本情况!B8="出让",SUMPRODUCT(PRODUCT(1+O13:O16)),SUMPRODUCT(PRODUCT(1+O13:O15))),4)</f>
        <v>1.0205</v>
      </c>
      <c r="W13" s="3375" t="n">
        <f aca="false">T13</f>
        <v>1.0072</v>
      </c>
      <c r="X13" s="3373"/>
      <c r="Y13" s="3376" t="n">
        <f aca="false">IF(D13=0,0,ROUND(AVERAGE(D13:D16)/100,4))</f>
        <v>0.0085</v>
      </c>
      <c r="Z13" s="3376" t="n">
        <f aca="false">IF(E13=0,0,ROUND(AVERAGE(E13:E16)/100,4))</f>
        <v>0.0038</v>
      </c>
      <c r="AA13" s="3376" t="n">
        <f aca="false">IF(F13=0,0,ROUND(AVERAGE(F13:F16)/100,4))</f>
        <v>0.0012</v>
      </c>
      <c r="AB13" s="3376" t="n">
        <f aca="false">IF(G13=0,0,ROUND(AVERAGE(G13:G16)/100,4))</f>
        <v>0.0093</v>
      </c>
      <c r="AC13" s="3376" t="n">
        <f aca="false">IF(H13=0,0,ROUND(AVERAGE(H13:H16)/100,4))</f>
        <v>0.006</v>
      </c>
      <c r="AD13" s="3376" t="n">
        <f aca="false">AA13</f>
        <v>0.0012</v>
      </c>
    </row>
    <row r="14" s="3377" customFormat="true" ht="12.75" hidden="false" customHeight="false" outlineLevel="0" collapsed="false">
      <c r="A14" s="3368" t="s">
        <v>2415</v>
      </c>
      <c r="B14" s="3369" t="n">
        <v>2021</v>
      </c>
      <c r="C14" s="3370" t="n">
        <v>3</v>
      </c>
      <c r="D14" s="3371" t="n">
        <v>0.47</v>
      </c>
      <c r="E14" s="3371" t="n">
        <v>0.41</v>
      </c>
      <c r="F14" s="3371" t="n">
        <v>0.24</v>
      </c>
      <c r="G14" s="3371" t="n">
        <v>0.48</v>
      </c>
      <c r="H14" s="3388" t="n">
        <v>0.48</v>
      </c>
      <c r="I14" s="3372" t="n">
        <f aca="false">F14</f>
        <v>0.24</v>
      </c>
      <c r="J14" s="3373"/>
      <c r="K14" s="3374" t="n">
        <f aca="false">D14/100</f>
        <v>0.0047</v>
      </c>
      <c r="L14" s="3364" t="n">
        <f aca="false">E14/100</f>
        <v>0.0041</v>
      </c>
      <c r="M14" s="3364" t="n">
        <f aca="false">F14/100</f>
        <v>0.0024</v>
      </c>
      <c r="N14" s="3364" t="n">
        <f aca="false">G14/100</f>
        <v>0.0048</v>
      </c>
      <c r="O14" s="3364" t="n">
        <f aca="false">H14/100</f>
        <v>0.0048</v>
      </c>
      <c r="P14" s="3364" t="n">
        <f aca="false">M14</f>
        <v>0.0024</v>
      </c>
      <c r="Q14" s="3373"/>
      <c r="R14" s="3375" t="n">
        <f aca="false">ROUND(IF([3]项目基本情况!B8="出让",SUMPRODUCT(PRODUCT(1+K14:K16)),SUMPRODUCT(PRODUCT(1+K14:K15))),4)</f>
        <v>1.0139</v>
      </c>
      <c r="S14" s="3375" t="n">
        <f aca="false">ROUND(IF([3]项目基本情况!B8="出让",SUMPRODUCT(PRODUCT(1+L14:L16)),SUMPRODUCT(PRODUCT(1+L14:L15))),4)</f>
        <v>1.0113</v>
      </c>
      <c r="T14" s="3375" t="n">
        <f aca="false">ROUND(IF([3]项目基本情况!B8="出让",SUMPRODUCT(PRODUCT(1+M14:M16)),SUMPRODUCT(PRODUCT(1+M14:M15))),4)</f>
        <v>1.0065</v>
      </c>
      <c r="U14" s="3375" t="n">
        <f aca="false">ROUND(IF([3]项目基本情况!B8="出让",SUMPRODUCT(PRODUCT(1+N14:N16)),SUMPRODUCT(PRODUCT(1+N14:N15))),4)</f>
        <v>1.0143</v>
      </c>
      <c r="V14" s="3375" t="n">
        <f aca="false">ROUND(IF([3]项目基本情况!B8="出让",SUMPRODUCT(PRODUCT(1+O14:O16)),SUMPRODUCT(PRODUCT(1+O14:O15))),4)</f>
        <v>1.0149</v>
      </c>
      <c r="W14" s="3375" t="n">
        <f aca="false">T14</f>
        <v>1.0065</v>
      </c>
      <c r="X14" s="3373"/>
      <c r="Y14" s="3376" t="n">
        <f aca="false">IF(D14=0,0,ROUND(AVERAGE(D14:D16)/100,4))</f>
        <v>0.0079</v>
      </c>
      <c r="Z14" s="3376" t="n">
        <f aca="false">IF(E14=0,0,ROUND(AVERAGE(E14:E16)/100,4))</f>
        <v>0.0043</v>
      </c>
      <c r="AA14" s="3376" t="n">
        <f aca="false">IF(F14=0,0,ROUND(AVERAGE(F14:F16)/100,4))</f>
        <v>0.0013</v>
      </c>
      <c r="AB14" s="3376" t="n">
        <f aca="false">IF(G14=0,0,ROUND(AVERAGE(G14:G16)/100,4))</f>
        <v>0.0085</v>
      </c>
      <c r="AC14" s="3376" t="n">
        <f aca="false">IF(H14=0,0,ROUND(AVERAGE(H14:H16)/100,4))</f>
        <v>0.0062</v>
      </c>
      <c r="AD14" s="3376" t="n">
        <f aca="false">AA14</f>
        <v>0.0013</v>
      </c>
    </row>
    <row r="15" s="3377" customFormat="true" ht="12.75" hidden="false" customHeight="false" outlineLevel="0" collapsed="false">
      <c r="A15" s="3368" t="s">
        <v>2416</v>
      </c>
      <c r="B15" s="3369" t="n">
        <v>2021</v>
      </c>
      <c r="C15" s="3370" t="n">
        <v>2</v>
      </c>
      <c r="D15" s="3371" t="n">
        <v>0.92</v>
      </c>
      <c r="E15" s="3371" t="n">
        <v>0.72</v>
      </c>
      <c r="F15" s="3371" t="n">
        <v>0.41</v>
      </c>
      <c r="G15" s="3371" t="n">
        <v>0.95</v>
      </c>
      <c r="H15" s="3388" t="n">
        <v>1.01</v>
      </c>
      <c r="I15" s="3372" t="n">
        <f aca="false">F15</f>
        <v>0.41</v>
      </c>
      <c r="J15" s="3373"/>
      <c r="K15" s="3374" t="n">
        <f aca="false">D15/100</f>
        <v>0.0092</v>
      </c>
      <c r="L15" s="3364" t="n">
        <f aca="false">E15/100</f>
        <v>0.0072</v>
      </c>
      <c r="M15" s="3364" t="n">
        <f aca="false">F15/100</f>
        <v>0.0041</v>
      </c>
      <c r="N15" s="3364" t="n">
        <f aca="false">G15/100</f>
        <v>0.0095</v>
      </c>
      <c r="O15" s="3364" t="n">
        <f aca="false">H15/100</f>
        <v>0.0101</v>
      </c>
      <c r="P15" s="3364" t="n">
        <f aca="false">M15</f>
        <v>0.0041</v>
      </c>
      <c r="Q15" s="3373"/>
      <c r="R15" s="3375" t="n">
        <f aca="false">ROUND(IF([3]项目基本情况!B8="出让",SUMPRODUCT(PRODUCT(1+K15:K16)),SUMPRODUCT(PRODUCT(1+K15:K15))),4)</f>
        <v>1.0092</v>
      </c>
      <c r="S15" s="3375" t="n">
        <f aca="false">ROUND(IF([3]项目基本情况!B8="出让",SUMPRODUCT(PRODUCT(1+L15:L16)),SUMPRODUCT(PRODUCT(1+L15:L15))),4)</f>
        <v>1.0072</v>
      </c>
      <c r="T15" s="3375" t="n">
        <f aca="false">ROUND(IF([3]项目基本情况!B8="出让",SUMPRODUCT(PRODUCT(1+M15:M16)),SUMPRODUCT(PRODUCT(1+M15:M15))),4)</f>
        <v>1.0041</v>
      </c>
      <c r="U15" s="3375" t="n">
        <f aca="false">ROUND(IF([3]项目基本情况!B8="出让",SUMPRODUCT(PRODUCT(1+N15:N16)),SUMPRODUCT(PRODUCT(1+N15:N15))),4)</f>
        <v>1.0095</v>
      </c>
      <c r="V15" s="3375" t="n">
        <f aca="false">ROUND(IF([3]项目基本情况!B8="出让",SUMPRODUCT(PRODUCT(1+O15:O16)),SUMPRODUCT(PRODUCT(1+O15:O15))),4)</f>
        <v>1.0101</v>
      </c>
      <c r="W15" s="3375" t="n">
        <f aca="false">T15</f>
        <v>1.0041</v>
      </c>
      <c r="X15" s="3373"/>
      <c r="Y15" s="3376" t="n">
        <f aca="false">IF(D15=0,0,ROUND(AVERAGE(D15:D16)/100,4))</f>
        <v>0.0095</v>
      </c>
      <c r="Z15" s="3376" t="n">
        <f aca="false">IF(E15=0,0,ROUND(AVERAGE(E15:E16)/100,4))</f>
        <v>0.0044</v>
      </c>
      <c r="AA15" s="3376" t="n">
        <f aca="false">IF(F15=0,0,ROUND(AVERAGE(F15:F16)/100,4))</f>
        <v>0.0008</v>
      </c>
      <c r="AB15" s="3376" t="n">
        <f aca="false">IF(G15=0,0,ROUND(AVERAGE(G15:G16)/100,4))</f>
        <v>0.0103</v>
      </c>
      <c r="AC15" s="3376" t="n">
        <f aca="false">IF(H15=0,0,ROUND(AVERAGE(H15:H16)/100,4))</f>
        <v>0.0069</v>
      </c>
      <c r="AD15" s="3376" t="n">
        <f aca="false">AA15</f>
        <v>0.0008</v>
      </c>
    </row>
    <row r="16" s="3399" customFormat="true" ht="12.75" hidden="false" customHeight="false" outlineLevel="0" collapsed="false">
      <c r="A16" s="3389" t="s">
        <v>2417</v>
      </c>
      <c r="B16" s="3390" t="n">
        <v>2021</v>
      </c>
      <c r="C16" s="3391" t="n">
        <v>1</v>
      </c>
      <c r="D16" s="3392" t="n">
        <v>0.97</v>
      </c>
      <c r="E16" s="3392" t="n">
        <v>0.16</v>
      </c>
      <c r="F16" s="3392" t="n">
        <v>-0.25</v>
      </c>
      <c r="G16" s="3392" t="n">
        <v>1.11</v>
      </c>
      <c r="H16" s="3393" t="n">
        <v>0.36</v>
      </c>
      <c r="I16" s="3394" t="n">
        <f aca="false">F16</f>
        <v>-0.25</v>
      </c>
      <c r="J16" s="3395"/>
      <c r="K16" s="3396" t="n">
        <f aca="false">D16/100</f>
        <v>0.0097</v>
      </c>
      <c r="L16" s="3397" t="n">
        <f aca="false">E16/100</f>
        <v>0.0016</v>
      </c>
      <c r="M16" s="3397" t="n">
        <f aca="false">F16/100</f>
        <v>-0.0025</v>
      </c>
      <c r="N16" s="3397" t="n">
        <f aca="false">G16/100</f>
        <v>0.0111</v>
      </c>
      <c r="O16" s="3397" t="n">
        <f aca="false">H16/100</f>
        <v>0.0036</v>
      </c>
      <c r="P16" s="3397" t="n">
        <f aca="false">M16</f>
        <v>-0.0025</v>
      </c>
      <c r="Q16" s="3395"/>
      <c r="R16" s="3398" t="n">
        <v>1</v>
      </c>
      <c r="S16" s="3398" t="n">
        <v>1</v>
      </c>
      <c r="T16" s="3398" t="n">
        <v>1</v>
      </c>
      <c r="U16" s="3398" t="n">
        <v>1</v>
      </c>
      <c r="V16" s="3398" t="n">
        <v>1</v>
      </c>
      <c r="W16" s="3398" t="n">
        <f aca="false">T16</f>
        <v>1</v>
      </c>
      <c r="X16" s="3395"/>
      <c r="Y16" s="3397" t="n">
        <f aca="false">IF(D16=0,0,ROUND(AVERAGE(D16:D16)/100,4))</f>
        <v>0.0097</v>
      </c>
      <c r="Z16" s="3397" t="n">
        <f aca="false">IF(E16=0,0,ROUND(AVERAGE(E16:E16)/100,4))</f>
        <v>0.0016</v>
      </c>
      <c r="AA16" s="3397" t="n">
        <f aca="false">IF(F16=0,0,ROUND(AVERAGE(F16:F16)/100,4))</f>
        <v>-0.0025</v>
      </c>
      <c r="AB16" s="3397" t="n">
        <f aca="false">IF(G16=0,0,ROUND(AVERAGE(G16:G16)/100,4))</f>
        <v>0.0111</v>
      </c>
      <c r="AC16" s="3397" t="n">
        <f aca="false">IF(H16=0,0,ROUND(AVERAGE(H16:H16)/100,4))</f>
        <v>0.0036</v>
      </c>
      <c r="AD16" s="3397" t="n">
        <f aca="false">AA16</f>
        <v>-0.0025</v>
      </c>
    </row>
    <row r="17" s="3400" customFormat="true" ht="13.5" hidden="false" customHeight="false" outlineLevel="0" collapsed="false"/>
    <row r="18" s="3400" customFormat="true" ht="13.5" hidden="false" customHeight="false" outlineLevel="0" collapsed="false">
      <c r="A18" s="3401" t="s">
        <v>2418</v>
      </c>
    </row>
    <row r="19" s="3400" customFormat="true" ht="13.5" hidden="false" customHeight="false" outlineLevel="0" collapsed="false">
      <c r="I19" s="3402" t="s">
        <v>1250</v>
      </c>
    </row>
    <row r="20" s="3400" customFormat="true" ht="13.5" hidden="false" customHeight="false" outlineLevel="0" collapsed="false"/>
    <row r="21" s="3403" customFormat="true" ht="12.75" hidden="false" customHeight="false" outlineLevel="0" collapsed="false">
      <c r="B21" s="3334" t="s">
        <v>2419</v>
      </c>
      <c r="C21" s="3334"/>
      <c r="D21" s="3334"/>
      <c r="E21" s="3334"/>
      <c r="F21" s="3334"/>
      <c r="G21" s="3334"/>
      <c r="H21" s="3334"/>
      <c r="I21" s="3334"/>
      <c r="J21" s="3335"/>
      <c r="K21" s="3334" t="s">
        <v>2401</v>
      </c>
      <c r="L21" s="3334"/>
      <c r="M21" s="3334"/>
      <c r="N21" s="3334"/>
      <c r="O21" s="3334"/>
      <c r="P21" s="3334"/>
      <c r="Q21" s="3335"/>
      <c r="R21" s="3336" t="s">
        <v>2402</v>
      </c>
      <c r="S21" s="3336"/>
      <c r="T21" s="3336"/>
      <c r="U21" s="3336"/>
      <c r="V21" s="3336"/>
      <c r="W21" s="3336"/>
      <c r="X21" s="3335"/>
      <c r="Y21" s="3336" t="s">
        <v>2403</v>
      </c>
      <c r="Z21" s="3336"/>
      <c r="AA21" s="3336"/>
      <c r="AB21" s="3336"/>
      <c r="AC21" s="3336"/>
      <c r="AD21" s="3336"/>
    </row>
    <row r="22" s="3337" customFormat="true" ht="13.5" hidden="false" customHeight="false" outlineLevel="0" collapsed="false">
      <c r="B22" s="3338"/>
      <c r="C22" s="3339"/>
      <c r="D22" s="3340" t="s">
        <v>2404</v>
      </c>
      <c r="E22" s="3340" t="s">
        <v>157</v>
      </c>
      <c r="F22" s="3340" t="s">
        <v>158</v>
      </c>
      <c r="G22" s="3340" t="s">
        <v>156</v>
      </c>
      <c r="H22" s="3340"/>
      <c r="I22" s="3340" t="s">
        <v>276</v>
      </c>
      <c r="J22" s="3341"/>
      <c r="K22" s="3340" t="s">
        <v>2404</v>
      </c>
      <c r="L22" s="3340" t="s">
        <v>157</v>
      </c>
      <c r="M22" s="3340" t="s">
        <v>158</v>
      </c>
      <c r="N22" s="3340" t="s">
        <v>156</v>
      </c>
      <c r="O22" s="3340"/>
      <c r="P22" s="3340" t="s">
        <v>276</v>
      </c>
      <c r="Q22" s="3341"/>
      <c r="R22" s="3340" t="s">
        <v>2404</v>
      </c>
      <c r="S22" s="3340" t="s">
        <v>157</v>
      </c>
      <c r="T22" s="3340" t="s">
        <v>158</v>
      </c>
      <c r="U22" s="3340" t="s">
        <v>156</v>
      </c>
      <c r="V22" s="3340"/>
      <c r="W22" s="3340" t="s">
        <v>276</v>
      </c>
      <c r="X22" s="3341"/>
      <c r="Y22" s="3340" t="s">
        <v>2404</v>
      </c>
      <c r="Z22" s="3340" t="s">
        <v>157</v>
      </c>
      <c r="AA22" s="3340" t="s">
        <v>158</v>
      </c>
      <c r="AB22" s="3340" t="s">
        <v>156</v>
      </c>
      <c r="AC22" s="3340"/>
      <c r="AD22" s="3340" t="s">
        <v>276</v>
      </c>
    </row>
    <row r="23" s="3354" customFormat="true" ht="12.75" hidden="false" customHeight="false" outlineLevel="0" collapsed="false">
      <c r="A23" s="3342" t="s">
        <v>2405</v>
      </c>
      <c r="B23" s="3343"/>
      <c r="C23" s="3344"/>
      <c r="D23" s="3344"/>
      <c r="E23" s="3344" t="n">
        <f aca="false">ROUND(AVERAGEIF(E24:E36,"&lt;&gt;0"),2)</f>
        <v>0.42</v>
      </c>
      <c r="F23" s="3344" t="n">
        <f aca="false">ROUND(AVERAGEIF(F24:F36,"&lt;&gt;0"),2)</f>
        <v>0.32</v>
      </c>
      <c r="G23" s="3344" t="n">
        <f aca="false">ROUND(AVERAGEIF(G24:G36,"&lt;&gt;0"),2)</f>
        <v>0.75</v>
      </c>
      <c r="H23" s="3344"/>
      <c r="I23" s="3344" t="n">
        <f aca="false">F23</f>
        <v>0.32</v>
      </c>
      <c r="J23" s="3345"/>
      <c r="K23" s="3346"/>
      <c r="L23" s="3347" t="n">
        <f aca="false">ROUND(AVERAGEIF(L24:L36,"&lt;&gt;0"),4)</f>
        <v>0.0042</v>
      </c>
      <c r="M23" s="3347" t="n">
        <f aca="false">ROUND(AVERAGEIF(M24:M36,"&lt;&gt;0"),4)</f>
        <v>0.0032</v>
      </c>
      <c r="N23" s="3347" t="n">
        <f aca="false">ROUND(AVERAGEIF(N24:N36,"&lt;&gt;0"),4)</f>
        <v>0.0075</v>
      </c>
      <c r="O23" s="3347"/>
      <c r="P23" s="3347" t="n">
        <f aca="false">M23</f>
        <v>0.0032</v>
      </c>
      <c r="Q23" s="3345"/>
      <c r="R23" s="3348"/>
      <c r="S23" s="3349" t="n">
        <f aca="false">ROUND(SUMPRODUCT(PRODUCT(1+L24:L36)),4)</f>
        <v>1.0432</v>
      </c>
      <c r="T23" s="3349" t="n">
        <f aca="false">ROUND(SUMPRODUCT(PRODUCT(1+M24:M36)),4)</f>
        <v>1.0319</v>
      </c>
      <c r="U23" s="3349" t="n">
        <f aca="false">ROUND(SUMPRODUCT(PRODUCT(1+N24:N36)),4)</f>
        <v>1.0772</v>
      </c>
      <c r="V23" s="3349"/>
      <c r="W23" s="3348" t="n">
        <f aca="false">T23</f>
        <v>1.0319</v>
      </c>
      <c r="X23" s="3345"/>
      <c r="Y23" s="3350"/>
      <c r="Z23" s="3351" t="n">
        <f aca="false">ROUND(AVERAGEIF(Z24:Z36,"&lt;&gt;0"),4)</f>
        <v>0.0043</v>
      </c>
      <c r="AA23" s="3352" t="n">
        <f aca="false">ROUND(AVERAGEIF(AA24:AA36,"&lt;&gt;0"),4)</f>
        <v>0.0036</v>
      </c>
      <c r="AB23" s="3350" t="n">
        <f aca="false">ROUND(AVERAGEIF(AB24:AB36,"&lt;&gt;0"),4)</f>
        <v>0.0089</v>
      </c>
      <c r="AC23" s="3353"/>
      <c r="AD23" s="3350" t="n">
        <f aca="false">AA23</f>
        <v>0.0036</v>
      </c>
    </row>
    <row r="24" s="3355" customFormat="true" ht="12.75" hidden="false" customHeight="false" outlineLevel="0" collapsed="false">
      <c r="B24" s="3356"/>
      <c r="C24" s="3357"/>
      <c r="D24" s="3357"/>
      <c r="E24" s="3357"/>
      <c r="F24" s="3357"/>
      <c r="G24" s="3357"/>
      <c r="H24" s="3357"/>
      <c r="I24" s="3357"/>
      <c r="J24" s="3335"/>
      <c r="K24" s="3358"/>
      <c r="L24" s="3359"/>
      <c r="M24" s="3359"/>
      <c r="N24" s="3359"/>
      <c r="O24" s="3359"/>
      <c r="P24" s="3359"/>
      <c r="Q24" s="3335"/>
      <c r="R24" s="3360"/>
      <c r="S24" s="3361"/>
      <c r="T24" s="3362"/>
      <c r="U24" s="3360"/>
      <c r="V24" s="3363"/>
      <c r="W24" s="3360"/>
      <c r="X24" s="3335"/>
      <c r="Y24" s="3364"/>
      <c r="Z24" s="3365"/>
      <c r="AA24" s="3366"/>
      <c r="AB24" s="3364"/>
      <c r="AC24" s="3367"/>
      <c r="AD24" s="3364"/>
    </row>
    <row r="25" s="3377" customFormat="true" ht="12.75" hidden="false" customHeight="false" outlineLevel="0" collapsed="false">
      <c r="A25" s="3368" t="s">
        <v>2406</v>
      </c>
      <c r="B25" s="3369" t="n">
        <v>2023</v>
      </c>
      <c r="C25" s="3370" t="n">
        <v>4</v>
      </c>
      <c r="D25" s="3371"/>
      <c r="E25" s="3371" t="n">
        <v>0</v>
      </c>
      <c r="F25" s="3371" t="n">
        <v>0</v>
      </c>
      <c r="G25" s="3371" t="n">
        <v>0</v>
      </c>
      <c r="H25" s="3371"/>
      <c r="I25" s="3372" t="n">
        <f aca="false">F25</f>
        <v>0</v>
      </c>
      <c r="J25" s="3373"/>
      <c r="K25" s="3374"/>
      <c r="L25" s="3364" t="n">
        <f aca="false">E25/100</f>
        <v>0</v>
      </c>
      <c r="M25" s="3364" t="n">
        <f aca="false">F25/100</f>
        <v>0</v>
      </c>
      <c r="N25" s="3364" t="n">
        <f aca="false">G25/100</f>
        <v>0</v>
      </c>
      <c r="O25" s="3364"/>
      <c r="P25" s="3364" t="n">
        <f aca="false">M25</f>
        <v>0</v>
      </c>
      <c r="Q25" s="3373"/>
      <c r="R25" s="3375"/>
      <c r="S25" s="3375" t="n">
        <f aca="false">ROUND(IF([3]项目基本情况!$B$8="出让",SUMPRODUCT(PRODUCT(1+L25:L$36)),SUMPRODUCT(PRODUCT(1+L25:L$35))),4)</f>
        <v>1.0396</v>
      </c>
      <c r="T25" s="3375" t="n">
        <f aca="false">ROUND(IF([3]项目基本情况!$B$8="出让",SUMPRODUCT(PRODUCT(1+M25:M$36)),SUMPRODUCT(PRODUCT(1+M25:M$35))),4)</f>
        <v>1.027</v>
      </c>
      <c r="U25" s="3375" t="n">
        <f aca="false">ROUND(IF([3]项目基本情况!$B$8="出让",SUMPRODUCT(PRODUCT(1+N25:N$36)),SUMPRODUCT(PRODUCT(1+N25:N$35))),4)</f>
        <v>1.0668</v>
      </c>
      <c r="V25" s="3375"/>
      <c r="W25" s="3375" t="n">
        <f aca="false">T25</f>
        <v>1.027</v>
      </c>
      <c r="X25" s="3373"/>
      <c r="Y25" s="3376"/>
      <c r="Z25" s="3404" t="n">
        <f aca="false">IF(E25=0,0,ROUND(AVERAGE(E25:E36)/100,4))</f>
        <v>0</v>
      </c>
      <c r="AA25" s="3404" t="n">
        <f aca="false">IF(F25=0,0,ROUND(AVERAGE(F25:F36)/100,4))</f>
        <v>0</v>
      </c>
      <c r="AB25" s="3404" t="n">
        <f aca="false">IF(G25=0,0,ROUND(AVERAGE(G25:G36)/100,4))</f>
        <v>0</v>
      </c>
      <c r="AC25" s="3405"/>
      <c r="AD25" s="3376" t="n">
        <f aca="false">IF(I25=0,0,ROUND(AVERAGE(I25:I36)/100,4))</f>
        <v>0</v>
      </c>
    </row>
    <row r="26" s="3377" customFormat="true" ht="12.75" hidden="false" customHeight="false" outlineLevel="0" collapsed="false">
      <c r="A26" s="3368" t="s">
        <v>2407</v>
      </c>
      <c r="B26" s="3369" t="n">
        <v>2023</v>
      </c>
      <c r="C26" s="3370" t="n">
        <v>3</v>
      </c>
      <c r="D26" s="3371"/>
      <c r="E26" s="3371" t="n">
        <v>0</v>
      </c>
      <c r="F26" s="3371" t="n">
        <v>0</v>
      </c>
      <c r="G26" s="3371" t="n">
        <v>0</v>
      </c>
      <c r="H26" s="3388"/>
      <c r="I26" s="3372" t="n">
        <f aca="false">F26</f>
        <v>0</v>
      </c>
      <c r="J26" s="3373"/>
      <c r="K26" s="3374"/>
      <c r="L26" s="3364" t="n">
        <f aca="false">E26/100</f>
        <v>0</v>
      </c>
      <c r="M26" s="3364" t="n">
        <f aca="false">F26/100</f>
        <v>0</v>
      </c>
      <c r="N26" s="3364" t="n">
        <f aca="false">G26/100</f>
        <v>0</v>
      </c>
      <c r="O26" s="3364"/>
      <c r="P26" s="3364" t="n">
        <f aca="false">M26</f>
        <v>0</v>
      </c>
      <c r="Q26" s="3373"/>
      <c r="R26" s="3375"/>
      <c r="S26" s="3375" t="n">
        <f aca="false">ROUND(IF([3]项目基本情况!$B$8="出让",SUMPRODUCT(PRODUCT(1+L26:L$36)),SUMPRODUCT(PRODUCT(1+L26:L$35))),4)</f>
        <v>1.0396</v>
      </c>
      <c r="T26" s="3375" t="n">
        <f aca="false">ROUND(IF([3]项目基本情况!$B$8="出让",SUMPRODUCT(PRODUCT(1+M26:M$36)),SUMPRODUCT(PRODUCT(1+M26:M$35))),4)</f>
        <v>1.027</v>
      </c>
      <c r="U26" s="3375" t="n">
        <f aca="false">ROUND(IF([3]项目基本情况!$B$8="出让",SUMPRODUCT(PRODUCT(1+N26:N$36)),SUMPRODUCT(PRODUCT(1+N26:N$35))),4)</f>
        <v>1.0668</v>
      </c>
      <c r="V26" s="3375"/>
      <c r="W26" s="3375" t="n">
        <f aca="false">T26</f>
        <v>1.027</v>
      </c>
      <c r="X26" s="3373"/>
      <c r="Y26" s="3376"/>
      <c r="Z26" s="3404"/>
      <c r="AA26" s="3406"/>
      <c r="AB26" s="3406"/>
      <c r="AC26" s="3405"/>
      <c r="AD26" s="3376"/>
    </row>
    <row r="27" s="3387" customFormat="true" ht="12.75" hidden="false" customHeight="false" outlineLevel="0" collapsed="false">
      <c r="A27" s="3378" t="s">
        <v>2408</v>
      </c>
      <c r="B27" s="3379" t="n">
        <v>2023</v>
      </c>
      <c r="C27" s="3380" t="n">
        <v>2</v>
      </c>
      <c r="D27" s="3381"/>
      <c r="E27" s="3381" t="n">
        <v>0.5</v>
      </c>
      <c r="F27" s="3381" t="n">
        <v>0.45</v>
      </c>
      <c r="G27" s="3381" t="n">
        <v>0.89</v>
      </c>
      <c r="H27" s="3382"/>
      <c r="I27" s="3383" t="n">
        <f aca="false">F27</f>
        <v>0.45</v>
      </c>
      <c r="J27" s="3384"/>
      <c r="K27" s="3385"/>
      <c r="L27" s="3386" t="n">
        <f aca="false">E27/100</f>
        <v>0.005</v>
      </c>
      <c r="M27" s="3386" t="n">
        <f aca="false">F27/100</f>
        <v>0.0045</v>
      </c>
      <c r="N27" s="3386" t="n">
        <f aca="false">G27/100</f>
        <v>0.0089</v>
      </c>
      <c r="O27" s="3386"/>
      <c r="P27" s="3386" t="n">
        <f aca="false">M27</f>
        <v>0.0045</v>
      </c>
      <c r="Q27" s="3384"/>
      <c r="R27" s="3384"/>
      <c r="S27" s="3384" t="n">
        <f aca="false">ROUND(IF([3]项目基本情况!$B$8="出让",SUMPRODUCT(PRODUCT(1+L27:L$36)),SUMPRODUCT(PRODUCT(1+L27:L$35))),4)</f>
        <v>1.0396</v>
      </c>
      <c r="T27" s="3384" t="n">
        <f aca="false">ROUND(IF([3]项目基本情况!$B$8="出让",SUMPRODUCT(PRODUCT(1+M27:M$36)),SUMPRODUCT(PRODUCT(1+M27:M$35))),4)</f>
        <v>1.027</v>
      </c>
      <c r="U27" s="3384" t="n">
        <f aca="false">ROUND(IF([3]项目基本情况!$B$8="出让",SUMPRODUCT(PRODUCT(1+N27:N$36)),SUMPRODUCT(PRODUCT(1+N27:N$35))),4)</f>
        <v>1.0668</v>
      </c>
      <c r="V27" s="3384"/>
      <c r="W27" s="3384" t="n">
        <f aca="false">T27</f>
        <v>1.027</v>
      </c>
      <c r="X27" s="3384"/>
      <c r="Y27" s="3386"/>
      <c r="Z27" s="3407"/>
      <c r="AA27" s="3408"/>
      <c r="AB27" s="3386"/>
      <c r="AC27" s="3409"/>
      <c r="AD27" s="3386"/>
    </row>
    <row r="28" s="3377" customFormat="true" ht="12.75" hidden="false" customHeight="false" outlineLevel="0" collapsed="false">
      <c r="A28" s="3368" t="s">
        <v>2409</v>
      </c>
      <c r="B28" s="3369" t="n">
        <v>2023</v>
      </c>
      <c r="C28" s="3370" t="n">
        <v>1</v>
      </c>
      <c r="D28" s="3371"/>
      <c r="E28" s="3371" t="n">
        <v>0.55</v>
      </c>
      <c r="F28" s="3371" t="n">
        <v>0.59</v>
      </c>
      <c r="G28" s="3371" t="n">
        <v>0.64</v>
      </c>
      <c r="H28" s="3388"/>
      <c r="I28" s="3372" t="n">
        <f aca="false">F28</f>
        <v>0.59</v>
      </c>
      <c r="J28" s="3373"/>
      <c r="K28" s="3374"/>
      <c r="L28" s="3364" t="n">
        <f aca="false">E28/100</f>
        <v>0.0055</v>
      </c>
      <c r="M28" s="3364" t="n">
        <f aca="false">F28/100</f>
        <v>0.0059</v>
      </c>
      <c r="N28" s="3364" t="n">
        <f aca="false">G28/100</f>
        <v>0.0064</v>
      </c>
      <c r="O28" s="3364"/>
      <c r="P28" s="3364" t="n">
        <f aca="false">M28</f>
        <v>0.0059</v>
      </c>
      <c r="Q28" s="3373"/>
      <c r="R28" s="3375"/>
      <c r="S28" s="3375" t="n">
        <f aca="false">ROUND(IF([3]项目基本情况!$B$8="出让",SUMPRODUCT(PRODUCT(1+L28:L$36)),SUMPRODUCT(PRODUCT(1+L28:L$35))),4)</f>
        <v>1.0344</v>
      </c>
      <c r="T28" s="3375" t="n">
        <f aca="false">ROUND(IF([3]项目基本情况!$B$8="出让",SUMPRODUCT(PRODUCT(1+M28:M$36)),SUMPRODUCT(PRODUCT(1+M28:M$35))),4)</f>
        <v>1.0224</v>
      </c>
      <c r="U28" s="3375" t="n">
        <f aca="false">ROUND(IF([3]项目基本情况!$B$8="出让",SUMPRODUCT(PRODUCT(1+N28:N$36)),SUMPRODUCT(PRODUCT(1+N28:N$35))),4)</f>
        <v>1.0574</v>
      </c>
      <c r="V28" s="3375"/>
      <c r="W28" s="3375" t="n">
        <f aca="false">T28</f>
        <v>1.0224</v>
      </c>
      <c r="X28" s="3373"/>
      <c r="Y28" s="3376"/>
      <c r="Z28" s="3404"/>
      <c r="AA28" s="3410"/>
      <c r="AB28" s="3376"/>
      <c r="AC28" s="3405"/>
      <c r="AD28" s="3376"/>
    </row>
    <row r="29" s="3377" customFormat="true" ht="12.75" hidden="false" customHeight="false" outlineLevel="0" collapsed="false">
      <c r="A29" s="3368" t="s">
        <v>2410</v>
      </c>
      <c r="B29" s="3369" t="n">
        <v>2022</v>
      </c>
      <c r="C29" s="3370" t="n">
        <v>4</v>
      </c>
      <c r="D29" s="3371"/>
      <c r="E29" s="3371" t="n">
        <v>0.45</v>
      </c>
      <c r="F29" s="3371" t="n">
        <v>0.2</v>
      </c>
      <c r="G29" s="3371" t="n">
        <v>0.38</v>
      </c>
      <c r="H29" s="3388"/>
      <c r="I29" s="3372" t="n">
        <f aca="false">F29</f>
        <v>0.2</v>
      </c>
      <c r="J29" s="3373"/>
      <c r="K29" s="3374"/>
      <c r="L29" s="3364" t="n">
        <f aca="false">E29/100</f>
        <v>0.0045</v>
      </c>
      <c r="M29" s="3364" t="n">
        <f aca="false">F29/100</f>
        <v>0.002</v>
      </c>
      <c r="N29" s="3364" t="n">
        <f aca="false">G29/100</f>
        <v>0.0038</v>
      </c>
      <c r="O29" s="3364"/>
      <c r="P29" s="3364" t="n">
        <f aca="false">M29</f>
        <v>0.002</v>
      </c>
      <c r="Q29" s="3373"/>
      <c r="R29" s="3375"/>
      <c r="S29" s="3375" t="n">
        <f aca="false">ROUND(IF([3]项目基本情况!$B$8="出让",SUMPRODUCT(PRODUCT(1+L29:L$36)),SUMPRODUCT(PRODUCT(1+L29:L$35))),4)</f>
        <v>1.0287</v>
      </c>
      <c r="T29" s="3375" t="n">
        <f aca="false">ROUND(IF([3]项目基本情况!$B$8="出让",SUMPRODUCT(PRODUCT(1+M29:M$36)),SUMPRODUCT(PRODUCT(1+M29:M$35))),4)</f>
        <v>1.0164</v>
      </c>
      <c r="U29" s="3375" t="n">
        <f aca="false">ROUND(IF([3]项目基本情况!$B$8="出让",SUMPRODUCT(PRODUCT(1+N29:N$36)),SUMPRODUCT(PRODUCT(1+N29:N$35))),4)</f>
        <v>1.0506</v>
      </c>
      <c r="V29" s="3375"/>
      <c r="W29" s="3375" t="n">
        <f aca="false">T29</f>
        <v>1.0164</v>
      </c>
      <c r="X29" s="3373"/>
      <c r="Y29" s="3376"/>
      <c r="Z29" s="3404" t="n">
        <f aca="false">IF(E29=0,0,ROUND(AVERAGE(E29:E37)/100,4))</f>
        <v>0.004</v>
      </c>
      <c r="AA29" s="3410" t="n">
        <f aca="false">IF(F29=0,0,ROUND(AVERAGE(F29:F37)/100,4))</f>
        <v>0.0026</v>
      </c>
      <c r="AB29" s="3376" t="n">
        <f aca="false">IF(G29=0,0,ROUND(AVERAGE(G29:G37)/100,4))</f>
        <v>0.0074</v>
      </c>
      <c r="AC29" s="3405"/>
      <c r="AD29" s="3376" t="n">
        <f aca="false">IF(I29=0,0,ROUND(AVERAGE(I29:I37)/100,4))</f>
        <v>0.0026</v>
      </c>
    </row>
    <row r="30" s="3377" customFormat="true" ht="12.75" hidden="false" customHeight="false" outlineLevel="0" collapsed="false">
      <c r="A30" s="3368" t="s">
        <v>2411</v>
      </c>
      <c r="B30" s="3369" t="n">
        <v>2022</v>
      </c>
      <c r="C30" s="3370" t="n">
        <v>3</v>
      </c>
      <c r="D30" s="3371"/>
      <c r="E30" s="3371" t="n">
        <v>0.3</v>
      </c>
      <c r="F30" s="3371" t="n">
        <v>0.29</v>
      </c>
      <c r="G30" s="3371" t="n">
        <v>0.83</v>
      </c>
      <c r="H30" s="3388"/>
      <c r="I30" s="3372" t="n">
        <f aca="false">F30</f>
        <v>0.29</v>
      </c>
      <c r="J30" s="3373"/>
      <c r="K30" s="3374"/>
      <c r="L30" s="3364" t="n">
        <f aca="false">E30/100</f>
        <v>0.003</v>
      </c>
      <c r="M30" s="3364" t="n">
        <f aca="false">F30/100</f>
        <v>0.0029</v>
      </c>
      <c r="N30" s="3364" t="n">
        <f aca="false">G30/100</f>
        <v>0.0083</v>
      </c>
      <c r="O30" s="3364"/>
      <c r="P30" s="3364" t="n">
        <f aca="false">M30</f>
        <v>0.0029</v>
      </c>
      <c r="Q30" s="3373"/>
      <c r="R30" s="3375"/>
      <c r="S30" s="3375" t="n">
        <f aca="false">ROUND(IF([3]项目基本情况!$B$8="出让",SUMPRODUCT(PRODUCT(1+L30:L$36)),SUMPRODUCT(PRODUCT(1+L30:L$35))),4)</f>
        <v>1.0241</v>
      </c>
      <c r="T30" s="3375" t="n">
        <f aca="false">ROUND(IF([3]项目基本情况!$B$8="出让",SUMPRODUCT(PRODUCT(1+M30:M$36)),SUMPRODUCT(PRODUCT(1+M30:M$35))),4)</f>
        <v>1.0144</v>
      </c>
      <c r="U30" s="3375" t="n">
        <f aca="false">ROUND(IF([3]项目基本情况!$B$8="出让",SUMPRODUCT(PRODUCT(1+N30:N$36)),SUMPRODUCT(PRODUCT(1+N30:N$35))),4)</f>
        <v>1.0467</v>
      </c>
      <c r="V30" s="3375"/>
      <c r="W30" s="3375" t="n">
        <f aca="false">T30</f>
        <v>1.0144</v>
      </c>
      <c r="X30" s="3373"/>
      <c r="Y30" s="3376"/>
      <c r="Z30" s="3404" t="n">
        <f aca="false">IF(E30=0,0,ROUND(AVERAGE(E30:E38)/100,4))</f>
        <v>0.0039</v>
      </c>
      <c r="AA30" s="3410" t="n">
        <f aca="false">IF(F30=0,0,ROUND(AVERAGE(F30:F38)/100,4))</f>
        <v>0.0027</v>
      </c>
      <c r="AB30" s="3376" t="n">
        <f aca="false">IF(G30=0,0,ROUND(AVERAGE(G30:G38)/100,4))</f>
        <v>0.0079</v>
      </c>
      <c r="AC30" s="3405"/>
      <c r="AD30" s="3376" t="n">
        <f aca="false">IF(I30=0,0,ROUND(AVERAGE(I30:I38)/100,4))</f>
        <v>0.0027</v>
      </c>
    </row>
    <row r="31" s="3377" customFormat="true" ht="12.75" hidden="false" customHeight="false" outlineLevel="0" collapsed="false">
      <c r="A31" s="3368" t="s">
        <v>2412</v>
      </c>
      <c r="B31" s="3369" t="n">
        <v>2022</v>
      </c>
      <c r="C31" s="3370" t="n">
        <v>2</v>
      </c>
      <c r="D31" s="3371"/>
      <c r="E31" s="3371" t="n">
        <v>-0.11</v>
      </c>
      <c r="F31" s="3371" t="n">
        <v>-0.13</v>
      </c>
      <c r="G31" s="3371" t="n">
        <v>0.53</v>
      </c>
      <c r="H31" s="3388"/>
      <c r="I31" s="3372" t="n">
        <f aca="false">F31</f>
        <v>-0.13</v>
      </c>
      <c r="J31" s="3373"/>
      <c r="K31" s="3374"/>
      <c r="L31" s="3364" t="n">
        <f aca="false">E31/100</f>
        <v>-0.0011</v>
      </c>
      <c r="M31" s="3364" t="n">
        <f aca="false">F31/100</f>
        <v>-0.0013</v>
      </c>
      <c r="N31" s="3364" t="n">
        <f aca="false">G31/100</f>
        <v>0.0053</v>
      </c>
      <c r="O31" s="3364"/>
      <c r="P31" s="3364" t="n">
        <f aca="false">M31</f>
        <v>-0.0013</v>
      </c>
      <c r="Q31" s="3373"/>
      <c r="R31" s="3375"/>
      <c r="S31" s="3375" t="n">
        <f aca="false">ROUND(IF([3]项目基本情况!$B$8="出让",SUMPRODUCT(PRODUCT(1+L31:L$36)),SUMPRODUCT(PRODUCT(1+L31:L$35))),4)</f>
        <v>1.0211</v>
      </c>
      <c r="T31" s="3375" t="n">
        <f aca="false">ROUND(IF([3]项目基本情况!$B$8="出让",SUMPRODUCT(PRODUCT(1+M31:M$36)),SUMPRODUCT(PRODUCT(1+M31:M$35))),4)</f>
        <v>1.0114</v>
      </c>
      <c r="U31" s="3375" t="n">
        <f aca="false">ROUND(IF([3]项目基本情况!$B$8="出让",SUMPRODUCT(PRODUCT(1+N31:N$36)),SUMPRODUCT(PRODUCT(1+N31:N$35))),4)</f>
        <v>1.0381</v>
      </c>
      <c r="V31" s="3375"/>
      <c r="W31" s="3375" t="n">
        <f aca="false">T31</f>
        <v>1.0114</v>
      </c>
      <c r="X31" s="3373"/>
      <c r="Y31" s="3376"/>
      <c r="Z31" s="3404" t="n">
        <f aca="false">IF(E31=0,0,ROUND(AVERAGE(E31:E39)/100,4))</f>
        <v>0.0041</v>
      </c>
      <c r="AA31" s="3410" t="n">
        <f aca="false">IF(F31=0,0,ROUND(AVERAGE(F31:F39)/100,4))</f>
        <v>0.0027</v>
      </c>
      <c r="AB31" s="3376" t="n">
        <f aca="false">IF(G31=0,0,ROUND(AVERAGE(G31:G39)/100,4))</f>
        <v>0.0079</v>
      </c>
      <c r="AC31" s="3405"/>
      <c r="AD31" s="3376" t="n">
        <f aca="false">IF(I31=0,0,ROUND(AVERAGE(I31:I39)/100,4))</f>
        <v>0.0027</v>
      </c>
    </row>
    <row r="32" s="3377" customFormat="true" ht="12.75" hidden="false" customHeight="false" outlineLevel="0" collapsed="false">
      <c r="A32" s="3368" t="s">
        <v>2413</v>
      </c>
      <c r="B32" s="3369" t="n">
        <v>2022</v>
      </c>
      <c r="C32" s="3370" t="n">
        <v>1</v>
      </c>
      <c r="D32" s="3371"/>
      <c r="E32" s="3371" t="n">
        <v>0.6</v>
      </c>
      <c r="F32" s="3371" t="n">
        <v>0.45</v>
      </c>
      <c r="G32" s="3371" t="n">
        <v>0.53</v>
      </c>
      <c r="H32" s="3388"/>
      <c r="I32" s="3372" t="n">
        <f aca="false">F32</f>
        <v>0.45</v>
      </c>
      <c r="J32" s="3373"/>
      <c r="K32" s="3374"/>
      <c r="L32" s="3364" t="n">
        <f aca="false">E32/100</f>
        <v>0.006</v>
      </c>
      <c r="M32" s="3364" t="n">
        <f aca="false">F32/100</f>
        <v>0.0045</v>
      </c>
      <c r="N32" s="3364" t="n">
        <f aca="false">G32/100</f>
        <v>0.0053</v>
      </c>
      <c r="O32" s="3364"/>
      <c r="P32" s="3364" t="n">
        <f aca="false">M32</f>
        <v>0.0045</v>
      </c>
      <c r="Q32" s="3373"/>
      <c r="R32" s="3375"/>
      <c r="S32" s="3375" t="n">
        <f aca="false">ROUND(IF([3]项目基本情况!$B$8="出让",SUMPRODUCT(PRODUCT(1+L32:L$36)),SUMPRODUCT(PRODUCT(1+L32:L$35))),4)</f>
        <v>1.0222</v>
      </c>
      <c r="T32" s="3375" t="n">
        <f aca="false">ROUND(IF([3]项目基本情况!$B$8="出让",SUMPRODUCT(PRODUCT(1+M32:M$36)),SUMPRODUCT(PRODUCT(1+M32:M$35))),4)</f>
        <v>1.0128</v>
      </c>
      <c r="U32" s="3375" t="n">
        <f aca="false">ROUND(IF([3]项目基本情况!$B$8="出让",SUMPRODUCT(PRODUCT(1+N32:N$36)),SUMPRODUCT(PRODUCT(1+N32:N$35))),4)</f>
        <v>1.0326</v>
      </c>
      <c r="V32" s="3375"/>
      <c r="W32" s="3375" t="n">
        <f aca="false">T32</f>
        <v>1.0128</v>
      </c>
      <c r="X32" s="3373"/>
      <c r="Y32" s="3376"/>
      <c r="Z32" s="3404" t="n">
        <f aca="false">IF(E32=0,0,ROUND(AVERAGE(E32:E40)/100,4))</f>
        <v>0.0051</v>
      </c>
      <c r="AA32" s="3410" t="n">
        <f aca="false">IF(F32=0,0,ROUND(AVERAGE(F32:F40)/100,4))</f>
        <v>0.0035</v>
      </c>
      <c r="AB32" s="3376" t="n">
        <f aca="false">IF(G32=0,0,ROUND(AVERAGE(G32:G40)/100,4))</f>
        <v>0.0084</v>
      </c>
      <c r="AC32" s="3405"/>
      <c r="AD32" s="3376" t="n">
        <f aca="false">IF(I32=0,0,ROUND(AVERAGE(I32:I40)/100,4))</f>
        <v>0.0035</v>
      </c>
    </row>
    <row r="33" s="3377" customFormat="true" ht="12.75" hidden="false" customHeight="false" outlineLevel="0" collapsed="false">
      <c r="A33" s="3368" t="s">
        <v>2414</v>
      </c>
      <c r="B33" s="3369" t="n">
        <v>2021</v>
      </c>
      <c r="C33" s="3370" t="n">
        <v>4</v>
      </c>
      <c r="D33" s="3371"/>
      <c r="E33" s="3371" t="n">
        <v>0.58</v>
      </c>
      <c r="F33" s="3371" t="n">
        <v>0.08</v>
      </c>
      <c r="G33" s="3371" t="n">
        <v>0.68</v>
      </c>
      <c r="H33" s="3388"/>
      <c r="I33" s="3372" t="n">
        <f aca="false">F33</f>
        <v>0.08</v>
      </c>
      <c r="J33" s="3373"/>
      <c r="K33" s="3374"/>
      <c r="L33" s="3364" t="n">
        <f aca="false">E33/100</f>
        <v>0.0058</v>
      </c>
      <c r="M33" s="3364" t="n">
        <f aca="false">F33/100</f>
        <v>0.0008</v>
      </c>
      <c r="N33" s="3364" t="n">
        <f aca="false">G33/100</f>
        <v>0.0068</v>
      </c>
      <c r="O33" s="3364"/>
      <c r="P33" s="3364" t="n">
        <f aca="false">M33</f>
        <v>0.0008</v>
      </c>
      <c r="Q33" s="3373"/>
      <c r="R33" s="3375"/>
      <c r="S33" s="3375" t="n">
        <f aca="false">ROUND(IF([3]项目基本情况!$B$8="出让",SUMPRODUCT(PRODUCT(1+L33:L$36)),SUMPRODUCT(PRODUCT(1+L33:L$35))),4)</f>
        <v>1.0161</v>
      </c>
      <c r="T33" s="3375" t="n">
        <f aca="false">ROUND(IF([3]项目基本情况!$B$8="出让",SUMPRODUCT(PRODUCT(1+M33:M$36)),SUMPRODUCT(PRODUCT(1+M33:M$35))),4)</f>
        <v>1.0082</v>
      </c>
      <c r="U33" s="3375" t="n">
        <f aca="false">ROUND(IF([3]项目基本情况!$B$8="出让",SUMPRODUCT(PRODUCT(1+N33:N$36)),SUMPRODUCT(PRODUCT(1+N33:N$35))),4)</f>
        <v>1.0271</v>
      </c>
      <c r="V33" s="3375"/>
      <c r="W33" s="3375" t="n">
        <f aca="false">T33</f>
        <v>1.0082</v>
      </c>
      <c r="X33" s="3373"/>
      <c r="Y33" s="3376"/>
      <c r="Z33" s="3404" t="n">
        <f aca="false">IF(E33=0,0,ROUND(AVERAGE(E33:E41)/100,4))</f>
        <v>0.0049</v>
      </c>
      <c r="AA33" s="3410" t="n">
        <f aca="false">IF(F33=0,0,ROUND(AVERAGE(F33:F41)/100,4))</f>
        <v>0.0033</v>
      </c>
      <c r="AB33" s="3376" t="n">
        <f aca="false">IF(G33=0,0,ROUND(AVERAGE(G33:G41)/100,4))</f>
        <v>0.0092</v>
      </c>
      <c r="AC33" s="3405"/>
      <c r="AD33" s="3376" t="n">
        <f aca="false">IF(I33=0,0,ROUND(AVERAGE(I33:I41)/100,4))</f>
        <v>0.0033</v>
      </c>
    </row>
    <row r="34" s="3377" customFormat="true" ht="12.75" hidden="false" customHeight="false" outlineLevel="0" collapsed="false">
      <c r="A34" s="3368" t="s">
        <v>2415</v>
      </c>
      <c r="B34" s="3369" t="n">
        <v>2021</v>
      </c>
      <c r="C34" s="3370" t="n">
        <v>3</v>
      </c>
      <c r="D34" s="3371"/>
      <c r="E34" s="3371" t="n">
        <v>0.47</v>
      </c>
      <c r="F34" s="3371" t="n">
        <v>0.28</v>
      </c>
      <c r="G34" s="3371" t="n">
        <v>0.91</v>
      </c>
      <c r="H34" s="3388"/>
      <c r="I34" s="3372" t="n">
        <f aca="false">F34</f>
        <v>0.28</v>
      </c>
      <c r="J34" s="3373"/>
      <c r="K34" s="3374"/>
      <c r="L34" s="3364" t="n">
        <f aca="false">E34/100</f>
        <v>0.0047</v>
      </c>
      <c r="M34" s="3364" t="n">
        <f aca="false">F34/100</f>
        <v>0.0028</v>
      </c>
      <c r="N34" s="3364" t="n">
        <f aca="false">G34/100</f>
        <v>0.0091</v>
      </c>
      <c r="O34" s="3364"/>
      <c r="P34" s="3364" t="n">
        <f aca="false">M34</f>
        <v>0.0028</v>
      </c>
      <c r="Q34" s="3373"/>
      <c r="R34" s="3375"/>
      <c r="S34" s="3375" t="n">
        <f aca="false">ROUND(IF([3]项目基本情况!$B$8="出让",SUMPRODUCT(PRODUCT(1+L34:L$36)),SUMPRODUCT(PRODUCT(1+L34:L$35))),4)</f>
        <v>1.0102</v>
      </c>
      <c r="T34" s="3375" t="n">
        <f aca="false">ROUND(IF([3]项目基本情况!$B$8="出让",SUMPRODUCT(PRODUCT(1+M34:M$36)),SUMPRODUCT(PRODUCT(1+M34:M$35))),4)</f>
        <v>1.0074</v>
      </c>
      <c r="U34" s="3375" t="n">
        <f aca="false">ROUND(IF([3]项目基本情况!$B$8="出让",SUMPRODUCT(PRODUCT(1+N34:N$36)),SUMPRODUCT(PRODUCT(1+N34:N$35))),4)</f>
        <v>1.0202</v>
      </c>
      <c r="V34" s="3375"/>
      <c r="W34" s="3375" t="n">
        <f aca="false">T34</f>
        <v>1.0074</v>
      </c>
      <c r="X34" s="3373"/>
      <c r="Y34" s="3376"/>
      <c r="Z34" s="3404" t="n">
        <f aca="false">IF(E34=0,0,ROUND(AVERAGE(E34:E42)/100,4))</f>
        <v>0.0046</v>
      </c>
      <c r="AA34" s="3410" t="n">
        <f aca="false">IF(F34=0,0,ROUND(AVERAGE(F34:F42)/100,4))</f>
        <v>0.0041</v>
      </c>
      <c r="AB34" s="3376" t="n">
        <f aca="false">IF(G34=0,0,ROUND(AVERAGE(G34:G42)/100,4))</f>
        <v>0.01</v>
      </c>
      <c r="AC34" s="3405"/>
      <c r="AD34" s="3376" t="n">
        <f aca="false">IF(I34=0,0,ROUND(AVERAGE(I34:I42)/100,4))</f>
        <v>0.0041</v>
      </c>
    </row>
    <row r="35" s="3377" customFormat="true" ht="12.75" hidden="false" customHeight="false" outlineLevel="0" collapsed="false">
      <c r="A35" s="3368" t="s">
        <v>2416</v>
      </c>
      <c r="B35" s="3369" t="n">
        <v>2021</v>
      </c>
      <c r="C35" s="3370" t="n">
        <v>2</v>
      </c>
      <c r="D35" s="3371"/>
      <c r="E35" s="3371" t="n">
        <v>0.55</v>
      </c>
      <c r="F35" s="3371" t="n">
        <v>0.46</v>
      </c>
      <c r="G35" s="3371" t="n">
        <v>1.1</v>
      </c>
      <c r="H35" s="3388"/>
      <c r="I35" s="3372" t="n">
        <f aca="false">F35</f>
        <v>0.46</v>
      </c>
      <c r="J35" s="3373"/>
      <c r="K35" s="3374"/>
      <c r="L35" s="3364" t="n">
        <f aca="false">E35/100</f>
        <v>0.0055</v>
      </c>
      <c r="M35" s="3364" t="n">
        <f aca="false">F35/100</f>
        <v>0.0046</v>
      </c>
      <c r="N35" s="3364" t="n">
        <f aca="false">G35/100</f>
        <v>0.011</v>
      </c>
      <c r="O35" s="3364"/>
      <c r="P35" s="3364" t="n">
        <f aca="false">M35</f>
        <v>0.0046</v>
      </c>
      <c r="Q35" s="3373"/>
      <c r="R35" s="3375"/>
      <c r="S35" s="3375" t="n">
        <f aca="false">ROUND(IF([3]项目基本情况!$B$8="出让",SUMPRODUCT(PRODUCT(1+L35:L$36)),SUMPRODUCT(PRODUCT(1+L35:L$35))),4)</f>
        <v>1.0055</v>
      </c>
      <c r="T35" s="3375" t="n">
        <f aca="false">ROUND(IF([3]项目基本情况!$B$8="出让",SUMPRODUCT(PRODUCT(1+M35:M$36)),SUMPRODUCT(PRODUCT(1+M35:M$35))),4)</f>
        <v>1.0046</v>
      </c>
      <c r="U35" s="3375" t="n">
        <f aca="false">ROUND(IF([3]项目基本情况!$B$8="出让",SUMPRODUCT(PRODUCT(1+N35:N$36)),SUMPRODUCT(PRODUCT(1+N35:N$35))),4)</f>
        <v>1.011</v>
      </c>
      <c r="V35" s="3375"/>
      <c r="W35" s="3375" t="n">
        <f aca="false">T35</f>
        <v>1.0046</v>
      </c>
      <c r="X35" s="3373"/>
      <c r="Y35" s="3376"/>
      <c r="Z35" s="3404" t="n">
        <f aca="false">IF(E35=0,0,ROUND(AVERAGE(E35:E43)/100,4))</f>
        <v>0.0045</v>
      </c>
      <c r="AA35" s="3410" t="n">
        <f aca="false">IF(F35=0,0,ROUND(AVERAGE(F35:F43)/100,4))</f>
        <v>0.0047</v>
      </c>
      <c r="AB35" s="3376" t="n">
        <f aca="false">IF(G35=0,0,ROUND(AVERAGE(G35:G43)/100,4))</f>
        <v>0.0104</v>
      </c>
      <c r="AC35" s="3405"/>
      <c r="AD35" s="3376" t="n">
        <f aca="false">IF(I35=0,0,ROUND(AVERAGE(I35:I43)/100,4))</f>
        <v>0.0047</v>
      </c>
    </row>
    <row r="36" s="3399" customFormat="true" ht="12.75" hidden="false" customHeight="false" outlineLevel="0" collapsed="false">
      <c r="A36" s="3389" t="s">
        <v>2417</v>
      </c>
      <c r="B36" s="3390" t="n">
        <v>2021</v>
      </c>
      <c r="C36" s="3391" t="n">
        <v>1</v>
      </c>
      <c r="D36" s="3392"/>
      <c r="E36" s="3392" t="n">
        <v>0.35</v>
      </c>
      <c r="F36" s="3392" t="n">
        <v>0.48</v>
      </c>
      <c r="G36" s="3392" t="n">
        <v>0.98</v>
      </c>
      <c r="H36" s="3393"/>
      <c r="I36" s="3394" t="n">
        <f aca="false">F36</f>
        <v>0.48</v>
      </c>
      <c r="J36" s="3395"/>
      <c r="K36" s="3396"/>
      <c r="L36" s="3397" t="n">
        <f aca="false">E36/100</f>
        <v>0.0035</v>
      </c>
      <c r="M36" s="3397" t="n">
        <f aca="false">F36/100</f>
        <v>0.0048</v>
      </c>
      <c r="N36" s="3397" t="n">
        <f aca="false">G36/100</f>
        <v>0.0098</v>
      </c>
      <c r="O36" s="3397"/>
      <c r="P36" s="3397" t="n">
        <f aca="false">M36</f>
        <v>0.0048</v>
      </c>
      <c r="Q36" s="3395"/>
      <c r="R36" s="3398"/>
      <c r="S36" s="3398" t="n">
        <v>1</v>
      </c>
      <c r="T36" s="3398" t="n">
        <v>1</v>
      </c>
      <c r="U36" s="3398" t="n">
        <v>1</v>
      </c>
      <c r="V36" s="3398"/>
      <c r="W36" s="3398" t="n">
        <f aca="false">T36</f>
        <v>1</v>
      </c>
      <c r="X36" s="3395"/>
      <c r="Y36" s="3397"/>
      <c r="Z36" s="3411" t="n">
        <f aca="false">IF(E36=0,0,ROUND(AVERAGE(E36:E44)/100,4))</f>
        <v>0.0035</v>
      </c>
      <c r="AA36" s="3412" t="n">
        <f aca="false">IF(F36=0,0,ROUND(AVERAGE(F36:F44)/100,4))</f>
        <v>0.0048</v>
      </c>
      <c r="AB36" s="3397" t="n">
        <f aca="false">IF(G36=0,0,ROUND(AVERAGE(G36:G44)/100,4))</f>
        <v>0.0098</v>
      </c>
      <c r="AC36" s="3413"/>
      <c r="AD36" s="3397" t="n">
        <f aca="false">IF(I36=0,0,ROUND(AVERAGE(I36:I44)/100,4))</f>
        <v>0.0048</v>
      </c>
    </row>
    <row r="38" customFormat="false" ht="13.5" hidden="false" customHeight="false" outlineLevel="0" collapsed="false">
      <c r="A38" s="3401" t="s">
        <v>2420</v>
      </c>
    </row>
  </sheetData>
  <sheetProtection sheet="true" password="cee9" objects="true" scenarios="true"/>
  <mergeCells count="4">
    <mergeCell ref="R1:W1"/>
    <mergeCell ref="Y1:AD1"/>
    <mergeCell ref="R21:W21"/>
    <mergeCell ref="Y21:AD21"/>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5.xml><?xml version="1.0" encoding="utf-8"?>
<worksheet xmlns="http://schemas.openxmlformats.org/spreadsheetml/2006/main" xmlns:r="http://schemas.openxmlformats.org/officeDocument/2006/relationships">
  <sheetPr filterMode="false">
    <pageSetUpPr fitToPage="false"/>
  </sheetPr>
  <dimension ref="A1:AH123"/>
  <sheetViews>
    <sheetView showFormulas="false" showGridLines="true" showRowColHeaders="true" showZeros="true" rightToLeft="false" tabSelected="false" showOutlineSymbols="true" defaultGridColor="true" view="pageBreakPreview" topLeftCell="A1" colorId="64" zoomScale="100" zoomScaleNormal="80" zoomScalePageLayoutView="100" workbookViewId="0">
      <selection pane="topLeft" activeCell="I8" activeCellId="0" sqref="I8"/>
    </sheetView>
  </sheetViews>
  <sheetFormatPr defaultRowHeight="12.75" zeroHeight="false" outlineLevelRow="0" outlineLevelCol="0"/>
  <cols>
    <col collapsed="false" customWidth="true" hidden="false" outlineLevel="0" max="6" min="1" style="3414" width="9"/>
    <col collapsed="false" customWidth="true" hidden="false" outlineLevel="0" max="7" min="7" style="3415" width="9"/>
    <col collapsed="false" customWidth="true" hidden="false" outlineLevel="0" max="12" min="8" style="3414" width="9"/>
    <col collapsed="false" customWidth="true" hidden="false" outlineLevel="0" max="13" min="13" style="3414" width="2.25"/>
    <col collapsed="false" customWidth="true" hidden="false" outlineLevel="0" max="14" min="14" style="3415" width="9"/>
    <col collapsed="false" customWidth="true" hidden="false" outlineLevel="0" max="17" min="15" style="3414" width="9"/>
    <col collapsed="false" customWidth="true" hidden="false" outlineLevel="0" max="18" min="18" style="3414" width="2.37"/>
    <col collapsed="false" customWidth="true" hidden="false" outlineLevel="0" max="19" min="19" style="3415" width="7.12"/>
    <col collapsed="false" customWidth="true" hidden="false" outlineLevel="0" max="22" min="20" style="3414" width="7.12"/>
    <col collapsed="false" customWidth="true" hidden="false" outlineLevel="0" max="23" min="23" style="3414" width="24.25"/>
    <col collapsed="false" customWidth="true" hidden="false" outlineLevel="0" max="25" min="24" style="3414" width="9"/>
    <col collapsed="false" customWidth="true" hidden="false" outlineLevel="0" max="27" min="26" style="3414" width="11.62"/>
    <col collapsed="false" customWidth="true" hidden="false" outlineLevel="0" max="28" min="28" style="3414" width="9"/>
    <col collapsed="false" customWidth="true" hidden="false" outlineLevel="0" max="29" min="29" style="3414" width="2"/>
    <col collapsed="false" customWidth="true" hidden="false" outlineLevel="0" max="1025" min="30" style="3414" width="9"/>
  </cols>
  <sheetData>
    <row r="1" s="3416" customFormat="true" ht="12.75" hidden="false" customHeight="false" outlineLevel="0" collapsed="false">
      <c r="B1" s="3417" t="s">
        <v>2421</v>
      </c>
      <c r="C1" s="3417"/>
      <c r="D1" s="3417"/>
      <c r="E1" s="3417"/>
      <c r="F1" s="3417"/>
      <c r="G1" s="3417" t="s">
        <v>2422</v>
      </c>
      <c r="H1" s="3417"/>
      <c r="I1" s="3417"/>
      <c r="J1" s="3417"/>
      <c r="K1" s="3417"/>
      <c r="L1" s="3417"/>
      <c r="N1" s="3417" t="s">
        <v>2401</v>
      </c>
      <c r="O1" s="3417"/>
      <c r="P1" s="3417"/>
      <c r="Q1" s="3417"/>
      <c r="S1" s="3417" t="s">
        <v>2423</v>
      </c>
      <c r="T1" s="3417"/>
      <c r="U1" s="3417"/>
      <c r="V1" s="3417"/>
      <c r="X1" s="3418" t="s">
        <v>2402</v>
      </c>
      <c r="Y1" s="3418"/>
      <c r="Z1" s="3418"/>
      <c r="AA1" s="3418"/>
      <c r="AB1" s="3418"/>
      <c r="AD1" s="3418" t="s">
        <v>2403</v>
      </c>
      <c r="AE1" s="3418"/>
      <c r="AF1" s="3418"/>
      <c r="AG1" s="3418"/>
      <c r="AH1" s="3418"/>
    </row>
    <row r="2" s="3419" customFormat="true" ht="13.5" hidden="false" customHeight="false" outlineLevel="0" collapsed="false">
      <c r="B2" s="3420" t="s">
        <v>1689</v>
      </c>
      <c r="C2" s="3420" t="s">
        <v>157</v>
      </c>
      <c r="D2" s="3420" t="s">
        <v>158</v>
      </c>
      <c r="E2" s="3420" t="s">
        <v>156</v>
      </c>
      <c r="F2" s="3420" t="s">
        <v>159</v>
      </c>
      <c r="G2" s="3421"/>
      <c r="I2" s="3420" t="s">
        <v>1689</v>
      </c>
      <c r="J2" s="3420" t="s">
        <v>1742</v>
      </c>
      <c r="K2" s="3420" t="s">
        <v>156</v>
      </c>
      <c r="L2" s="3420" t="s">
        <v>159</v>
      </c>
      <c r="N2" s="3420" t="s">
        <v>1689</v>
      </c>
      <c r="O2" s="3420" t="s">
        <v>1742</v>
      </c>
      <c r="P2" s="3420" t="s">
        <v>156</v>
      </c>
      <c r="Q2" s="3420" t="s">
        <v>159</v>
      </c>
      <c r="S2" s="3420" t="s">
        <v>1689</v>
      </c>
      <c r="T2" s="3420" t="s">
        <v>1742</v>
      </c>
      <c r="U2" s="3420" t="s">
        <v>156</v>
      </c>
      <c r="V2" s="3420" t="s">
        <v>159</v>
      </c>
      <c r="X2" s="3420" t="s">
        <v>1689</v>
      </c>
      <c r="Y2" s="3420" t="s">
        <v>157</v>
      </c>
      <c r="Z2" s="3420" t="s">
        <v>158</v>
      </c>
      <c r="AA2" s="3420" t="s">
        <v>156</v>
      </c>
      <c r="AB2" s="3420" t="s">
        <v>159</v>
      </c>
      <c r="AD2" s="3420" t="s">
        <v>1689</v>
      </c>
      <c r="AE2" s="3420" t="s">
        <v>157</v>
      </c>
      <c r="AF2" s="3420" t="s">
        <v>158</v>
      </c>
      <c r="AG2" s="3420" t="s">
        <v>156</v>
      </c>
      <c r="AH2" s="3420" t="s">
        <v>159</v>
      </c>
    </row>
    <row r="3" s="3428" customFormat="true" ht="14.25" hidden="false" customHeight="false" outlineLevel="0" collapsed="false">
      <c r="A3" s="3422" t="s">
        <v>2405</v>
      </c>
      <c r="B3" s="3423"/>
      <c r="C3" s="3423"/>
      <c r="D3" s="3424"/>
      <c r="E3" s="3424"/>
      <c r="F3" s="3423"/>
      <c r="G3" s="3425"/>
      <c r="H3" s="3426"/>
      <c r="I3" s="3427" t="n">
        <f aca="false">ROUND(AVERAGE($I4:$I40),2)</f>
        <v>1.55</v>
      </c>
      <c r="J3" s="3427" t="n">
        <f aca="false">ROUND(AVERAGE($J4:$J40),2)</f>
        <v>0.97</v>
      </c>
      <c r="K3" s="3427" t="n">
        <f aca="false">ROUND(AVERAGE($K4:$K40),2)</f>
        <v>1.66</v>
      </c>
      <c r="L3" s="3427" t="n">
        <f aca="false">ROUND(AVERAGE($L4:$L40),2)</f>
        <v>1.1</v>
      </c>
      <c r="N3" s="3425"/>
      <c r="S3" s="3425"/>
      <c r="W3" s="3429"/>
      <c r="X3" s="3430" t="n">
        <f aca="false">ROUND(SUMPRODUCT(PRODUCT(1+N3:N$39)),4)</f>
        <v>1.6585</v>
      </c>
      <c r="Y3" s="3430" t="n">
        <f aca="false">ROUND(SUMPRODUCT(PRODUCT(1+O3:O$39)),4)</f>
        <v>1.3677</v>
      </c>
      <c r="Z3" s="3430" t="n">
        <f aca="false">Y3</f>
        <v>1.3677</v>
      </c>
      <c r="AA3" s="3430" t="n">
        <f aca="false">ROUND(SUMPRODUCT(PRODUCT(1+P3:P$39)),4)</f>
        <v>1.7434</v>
      </c>
      <c r="AB3" s="3430" t="n">
        <f aca="false">ROUND(SUMPRODUCT(PRODUCT(1+Q3:Q$39)),4)</f>
        <v>1.4609</v>
      </c>
      <c r="AD3" s="3431" t="n">
        <f aca="false">ROUND(AVERAGE(I3:I$40)/100,4)</f>
        <v>0.0155</v>
      </c>
      <c r="AE3" s="3431" t="n">
        <f aca="false">ROUND(AVERAGE(J3:J$40)/100,4)</f>
        <v>0.0097</v>
      </c>
      <c r="AF3" s="3431" t="n">
        <f aca="false">AE3</f>
        <v>0.0097</v>
      </c>
      <c r="AG3" s="3431" t="n">
        <f aca="false">ROUND(AVERAGE(K3:K$40)/100,4)</f>
        <v>0.0166</v>
      </c>
      <c r="AH3" s="3431" t="n">
        <f aca="false">ROUND(AVERAGE(L3:L$40)/100,4)</f>
        <v>0.011</v>
      </c>
    </row>
    <row r="4" s="3432" customFormat="true" ht="14.25" hidden="false" customHeight="false" outlineLevel="0" collapsed="false">
      <c r="B4" s="3433"/>
      <c r="C4" s="3433"/>
      <c r="D4" s="3434"/>
      <c r="E4" s="3434"/>
      <c r="F4" s="3433"/>
      <c r="G4" s="3435"/>
      <c r="H4" s="3436"/>
      <c r="I4" s="3437"/>
      <c r="J4" s="3437"/>
      <c r="K4" s="3437"/>
      <c r="L4" s="3437"/>
      <c r="N4" s="3435"/>
      <c r="S4" s="3435"/>
      <c r="X4" s="3414"/>
      <c r="Y4" s="3414"/>
      <c r="Z4" s="3414"/>
      <c r="AA4" s="3414"/>
      <c r="AB4" s="3414"/>
      <c r="AD4" s="3438"/>
      <c r="AE4" s="3438"/>
      <c r="AF4" s="3438"/>
      <c r="AG4" s="3438"/>
      <c r="AH4" s="3438"/>
    </row>
    <row r="5" s="3449" customFormat="true" ht="12.75" hidden="false" customHeight="false" outlineLevel="0" collapsed="false">
      <c r="A5" s="3439" t="s">
        <v>2410</v>
      </c>
      <c r="B5" s="3440" t="n">
        <f aca="false">B6*(1+N5)</f>
        <v>510.070896595546</v>
      </c>
      <c r="C5" s="3440" t="n">
        <f aca="false">C6*(1+O5)</f>
        <v>352.555931857374</v>
      </c>
      <c r="D5" s="3440" t="n">
        <f aca="false">C5</f>
        <v>352.555931857374</v>
      </c>
      <c r="E5" s="3440" t="n">
        <f aca="false">E6*(1+P5)</f>
        <v>737.279924634037</v>
      </c>
      <c r="F5" s="3440" t="n">
        <f aca="false">F6*(1+Q5)</f>
        <v>335.883191982979</v>
      </c>
      <c r="G5" s="3441" t="n">
        <v>2022</v>
      </c>
      <c r="H5" s="3442" t="n">
        <v>1</v>
      </c>
      <c r="I5" s="3443" t="n">
        <v>0</v>
      </c>
      <c r="J5" s="3443" t="n">
        <v>0</v>
      </c>
      <c r="K5" s="3443" t="n">
        <v>0</v>
      </c>
      <c r="L5" s="3444" t="n">
        <v>0</v>
      </c>
      <c r="M5" s="3414"/>
      <c r="N5" s="3445" t="n">
        <f aca="false">I5/100</f>
        <v>0</v>
      </c>
      <c r="O5" s="3438" t="n">
        <f aca="false">J5/100</f>
        <v>0</v>
      </c>
      <c r="P5" s="3438" t="n">
        <f aca="false">K5/100</f>
        <v>0</v>
      </c>
      <c r="Q5" s="3438" t="n">
        <f aca="false">L5/100</f>
        <v>0</v>
      </c>
      <c r="R5" s="3446"/>
      <c r="S5" s="3445"/>
      <c r="T5" s="3438"/>
      <c r="U5" s="3438"/>
      <c r="V5" s="3438"/>
      <c r="W5" s="3447"/>
      <c r="X5" s="3447" t="e">
        <f aca="false">ROUND(IF(项目基本情况!#REF!="出让",SUMPRODUCT(PRODUCT(1+N5:N$40)),SUMPRODUCT(PRODUCT(1+N5:N$39))),4)</f>
        <v>#VALUE!</v>
      </c>
      <c r="Y5" s="3447" t="e">
        <f aca="false">ROUND(IF(项目基本情况!#REF!="出让",SUMPRODUCT(PRODUCT(1+O5:O$40)),SUMPRODUCT(PRODUCT(1+O5:O$39))),4)</f>
        <v>#VALUE!</v>
      </c>
      <c r="Z5" s="3447" t="e">
        <f aca="false">Y5</f>
        <v>#VALUE!</v>
      </c>
      <c r="AA5" s="3447" t="e">
        <f aca="false">ROUND(IF(项目基本情况!#REF!="出让",SUMPRODUCT(PRODUCT(1+P5:P$40)),SUMPRODUCT(PRODUCT(1+P5:P$39))),4)</f>
        <v>#VALUE!</v>
      </c>
      <c r="AB5" s="3447" t="e">
        <f aca="false">ROUND(IF(项目基本情况!#REF!="出让",SUMPRODUCT(PRODUCT(1+Q5:Q$40)),SUMPRODUCT(PRODUCT(1+Q5:Q$39))),4)</f>
        <v>#VALUE!</v>
      </c>
      <c r="AC5" s="3447"/>
      <c r="AD5" s="3448" t="n">
        <f aca="false">ROUND(AVERAGE(I5:I$40)/100,4)</f>
        <v>0.0155</v>
      </c>
      <c r="AE5" s="3448" t="n">
        <f aca="false">ROUND(AVERAGE(J5:J$40)/100,4)</f>
        <v>0.0097</v>
      </c>
      <c r="AF5" s="3448" t="n">
        <f aca="false">AE5</f>
        <v>0.0097</v>
      </c>
      <c r="AG5" s="3448" t="n">
        <f aca="false">ROUND(AVERAGE(K5:K$40)/100,4)</f>
        <v>0.0166</v>
      </c>
      <c r="AH5" s="3448" t="n">
        <f aca="false">ROUND(AVERAGE(L5:L$40)/100,4)</f>
        <v>0.011</v>
      </c>
    </row>
    <row r="6" s="3454" customFormat="true" ht="12.75" hidden="false" customHeight="false" outlineLevel="0" collapsed="false">
      <c r="A6" s="3450" t="s">
        <v>2411</v>
      </c>
      <c r="B6" s="3451" t="n">
        <f aca="false">B7*(1+N6)</f>
        <v>510.070896595546</v>
      </c>
      <c r="C6" s="3451" t="n">
        <f aca="false">C7*(1+O6)</f>
        <v>352.555931857374</v>
      </c>
      <c r="D6" s="3451" t="n">
        <f aca="false">C6</f>
        <v>352.555931857374</v>
      </c>
      <c r="E6" s="3451" t="n">
        <f aca="false">E7*(1+P6)</f>
        <v>737.279924634037</v>
      </c>
      <c r="F6" s="3451" t="n">
        <f aca="false">F7*(1+Q6)</f>
        <v>335.883191982979</v>
      </c>
      <c r="G6" s="3441" t="n">
        <v>2022</v>
      </c>
      <c r="H6" s="3452" t="n">
        <v>1</v>
      </c>
      <c r="I6" s="3453" t="n">
        <v>0</v>
      </c>
      <c r="J6" s="3453" t="n">
        <v>0</v>
      </c>
      <c r="K6" s="3453" t="n">
        <v>0</v>
      </c>
      <c r="L6" s="3453" t="n">
        <v>0</v>
      </c>
      <c r="N6" s="3455" t="n">
        <f aca="false">I6/100</f>
        <v>0</v>
      </c>
      <c r="O6" s="3455" t="n">
        <f aca="false">J6/100</f>
        <v>0</v>
      </c>
      <c r="P6" s="3455" t="n">
        <f aca="false">K6/100</f>
        <v>0</v>
      </c>
      <c r="Q6" s="3455" t="n">
        <f aca="false">L6/100</f>
        <v>0</v>
      </c>
      <c r="S6" s="3456"/>
      <c r="W6" s="3457" t="s">
        <v>2424</v>
      </c>
      <c r="X6" s="3458" t="e">
        <f aca="false">ROUND(IF(项目基本情况!#REF!="出让",SUMPRODUCT(PRODUCT(1+N6:N$40)),SUMPRODUCT(PRODUCT(1+N6:N$39))),4)</f>
        <v>#VALUE!</v>
      </c>
      <c r="Y6" s="3458" t="e">
        <f aca="false">ROUND(IF(项目基本情况!#REF!="出让",SUMPRODUCT(PRODUCT(1+O6:O$40)),SUMPRODUCT(PRODUCT(1+O6:O$39))),4)</f>
        <v>#VALUE!</v>
      </c>
      <c r="Z6" s="3458" t="e">
        <f aca="false">Y6</f>
        <v>#VALUE!</v>
      </c>
      <c r="AA6" s="3458" t="e">
        <f aca="false">ROUND(IF(项目基本情况!#REF!="出让",SUMPRODUCT(PRODUCT(1+P6:P$40)),SUMPRODUCT(PRODUCT(1+P6:P$39))),4)</f>
        <v>#VALUE!</v>
      </c>
      <c r="AB6" s="3458" t="e">
        <f aca="false">ROUND(IF(项目基本情况!#REF!="出让",SUMPRODUCT(PRODUCT(1+Q6:Q$40)),SUMPRODUCT(PRODUCT(1+Q6:Q$39))),4)</f>
        <v>#VALUE!</v>
      </c>
      <c r="AD6" s="3459" t="n">
        <f aca="false">ROUND(AVERAGE(I6:I$40)/100,4)</f>
        <v>0.016</v>
      </c>
      <c r="AE6" s="3459" t="n">
        <f aca="false">ROUND(AVERAGE(J6:J$40)/100,4)</f>
        <v>0.01</v>
      </c>
      <c r="AF6" s="3459" t="n">
        <f aca="false">AE6</f>
        <v>0.01</v>
      </c>
      <c r="AG6" s="3459" t="n">
        <f aca="false">ROUND(AVERAGE(K6:K$40)/100,4)</f>
        <v>0.0171</v>
      </c>
      <c r="AH6" s="3459" t="n">
        <f aca="false">ROUND(AVERAGE(L6:L$40)/100,4)</f>
        <v>0.0113</v>
      </c>
    </row>
    <row r="7" s="3449" customFormat="true" ht="12.75" hidden="false" customHeight="false" outlineLevel="0" collapsed="false">
      <c r="A7" s="3439" t="s">
        <v>2412</v>
      </c>
      <c r="B7" s="3440" t="n">
        <f aca="false">B8*(1+N7)</f>
        <v>510.070896595546</v>
      </c>
      <c r="C7" s="3440" t="n">
        <f aca="false">C8*(1+O7)</f>
        <v>352.555931857374</v>
      </c>
      <c r="D7" s="3440" t="n">
        <f aca="false">C7</f>
        <v>352.555931857374</v>
      </c>
      <c r="E7" s="3440" t="n">
        <f aca="false">E8*(1+P7)</f>
        <v>737.279924634037</v>
      </c>
      <c r="F7" s="3440" t="n">
        <f aca="false">F8*(1+Q7)</f>
        <v>335.883191982979</v>
      </c>
      <c r="G7" s="3441" t="n">
        <v>2022</v>
      </c>
      <c r="H7" s="3442" t="n">
        <v>1</v>
      </c>
      <c r="I7" s="3443" t="n">
        <v>0</v>
      </c>
      <c r="J7" s="3443" t="n">
        <v>0</v>
      </c>
      <c r="K7" s="3443" t="n">
        <v>0</v>
      </c>
      <c r="L7" s="3444" t="n">
        <v>0</v>
      </c>
      <c r="M7" s="3414"/>
      <c r="N7" s="3445" t="n">
        <f aca="false">I7/100</f>
        <v>0</v>
      </c>
      <c r="O7" s="3438" t="n">
        <f aca="false">J7/100</f>
        <v>0</v>
      </c>
      <c r="P7" s="3438" t="n">
        <f aca="false">K7/100</f>
        <v>0</v>
      </c>
      <c r="Q7" s="3438" t="n">
        <f aca="false">L7/100</f>
        <v>0</v>
      </c>
      <c r="R7" s="3446"/>
      <c r="S7" s="3445"/>
      <c r="T7" s="3438"/>
      <c r="U7" s="3438"/>
      <c r="V7" s="3438"/>
      <c r="W7" s="3447"/>
      <c r="X7" s="3447" t="e">
        <f aca="false">ROUND(IF(项目基本情况!#REF!="出让",SUMPRODUCT(PRODUCT(1+N7:N$40)),SUMPRODUCT(PRODUCT(1+N7:N$39))),4)</f>
        <v>#VALUE!</v>
      </c>
      <c r="Y7" s="3447" t="e">
        <f aca="false">ROUND(IF(项目基本情况!#REF!="出让",SUMPRODUCT(PRODUCT(1+O7:O$40)),SUMPRODUCT(PRODUCT(1+O7:O$39))),4)</f>
        <v>#VALUE!</v>
      </c>
      <c r="Z7" s="3447" t="e">
        <f aca="false">Y7</f>
        <v>#VALUE!</v>
      </c>
      <c r="AA7" s="3447" t="e">
        <f aca="false">ROUND(IF(项目基本情况!#REF!="出让",SUMPRODUCT(PRODUCT(1+P7:P$40)),SUMPRODUCT(PRODUCT(1+P7:P$39))),4)</f>
        <v>#VALUE!</v>
      </c>
      <c r="AB7" s="3447" t="e">
        <f aca="false">ROUND(IF(项目基本情况!#REF!="出让",SUMPRODUCT(PRODUCT(1+Q7:Q$40)),SUMPRODUCT(PRODUCT(1+Q7:Q$39))),4)</f>
        <v>#VALUE!</v>
      </c>
      <c r="AC7" s="3447"/>
      <c r="AD7" s="3448" t="n">
        <f aca="false">ROUND(AVERAGE(I7:I$40)/100,4)</f>
        <v>0.0164</v>
      </c>
      <c r="AE7" s="3448" t="n">
        <f aca="false">ROUND(AVERAGE(J7:J$40)/100,4)</f>
        <v>0.0103</v>
      </c>
      <c r="AF7" s="3448" t="n">
        <f aca="false">AE7</f>
        <v>0.0103</v>
      </c>
      <c r="AG7" s="3448" t="n">
        <f aca="false">ROUND(AVERAGE(K7:K$40)/100,4)</f>
        <v>0.0176</v>
      </c>
      <c r="AH7" s="3448" t="n">
        <f aca="false">ROUND(AVERAGE(L7:L$40)/100,4)</f>
        <v>0.0116</v>
      </c>
    </row>
    <row r="8" s="3449" customFormat="true" ht="12.75" hidden="false" customHeight="false" outlineLevel="0" collapsed="false">
      <c r="A8" s="3439" t="s">
        <v>2413</v>
      </c>
      <c r="B8" s="3440" t="n">
        <f aca="false">B9*(1+N8)</f>
        <v>510.070896595546</v>
      </c>
      <c r="C8" s="3440" t="n">
        <f aca="false">C9*(1+O8)</f>
        <v>352.555931857374</v>
      </c>
      <c r="D8" s="3440" t="n">
        <f aca="false">C8</f>
        <v>352.555931857374</v>
      </c>
      <c r="E8" s="3440" t="n">
        <f aca="false">E9*(1+P8)</f>
        <v>737.279924634037</v>
      </c>
      <c r="F8" s="3440" t="n">
        <f aca="false">F9*(1+Q8)</f>
        <v>335.883191982979</v>
      </c>
      <c r="G8" s="3441" t="n">
        <v>2022</v>
      </c>
      <c r="H8" s="3442" t="n">
        <v>1</v>
      </c>
      <c r="I8" s="3443"/>
      <c r="J8" s="3443"/>
      <c r="K8" s="3443" t="n">
        <v>0</v>
      </c>
      <c r="L8" s="3444" t="n">
        <v>0</v>
      </c>
      <c r="M8" s="3414"/>
      <c r="N8" s="3445" t="n">
        <f aca="false">I8/100</f>
        <v>0</v>
      </c>
      <c r="O8" s="3438" t="n">
        <f aca="false">J8/100</f>
        <v>0</v>
      </c>
      <c r="P8" s="3438" t="n">
        <f aca="false">K8/100</f>
        <v>0</v>
      </c>
      <c r="Q8" s="3438" t="n">
        <f aca="false">L8/100</f>
        <v>0</v>
      </c>
      <c r="R8" s="3446"/>
      <c r="S8" s="3445"/>
      <c r="T8" s="3438"/>
      <c r="U8" s="3438"/>
      <c r="V8" s="3438"/>
      <c r="W8" s="3447"/>
      <c r="X8" s="3447" t="n">
        <f aca="false">ROUND(IF(项目基本情况!B1="出让",SUMPRODUCT(PRODUCT(1+N8:N$40)),SUMPRODUCT(PRODUCT(1+N8:N$39))),4)</f>
        <v>1.6585</v>
      </c>
      <c r="Y8" s="3447" t="n">
        <f aca="false">ROUND(IF(项目基本情况!B1="出让",SUMPRODUCT(PRODUCT(1+O8:O$40)),SUMPRODUCT(PRODUCT(1+O8:O$39))),4)</f>
        <v>1.3677</v>
      </c>
      <c r="Z8" s="3447" t="n">
        <f aca="false">Y8</f>
        <v>1.3677</v>
      </c>
      <c r="AA8" s="3447" t="n">
        <f aca="false">ROUND(IF(项目基本情况!B1="出让",SUMPRODUCT(PRODUCT(1+P8:P$40)),SUMPRODUCT(PRODUCT(1+P8:P$39))),4)</f>
        <v>1.7434</v>
      </c>
      <c r="AB8" s="3447" t="n">
        <f aca="false">ROUND(IF(项目基本情况!B1="出让",SUMPRODUCT(PRODUCT(1+Q8:Q$40)),SUMPRODUCT(PRODUCT(1+Q8:Q$39))),4)</f>
        <v>1.4609</v>
      </c>
      <c r="AC8" s="3447"/>
      <c r="AD8" s="3448" t="n">
        <f aca="false">ROUND(AVERAGE(I8:I$40)/100,4)</f>
        <v>0.0169</v>
      </c>
      <c r="AE8" s="3448" t="n">
        <f aca="false">ROUND(AVERAGE(J8:J$40)/100,4)</f>
        <v>0.0106</v>
      </c>
      <c r="AF8" s="3448" t="n">
        <f aca="false">AE8</f>
        <v>0.0106</v>
      </c>
      <c r="AG8" s="3448" t="n">
        <f aca="false">ROUND(AVERAGE(K8:K$40)/100,4)</f>
        <v>0.0181</v>
      </c>
      <c r="AH8" s="3448" t="n">
        <f aca="false">ROUND(AVERAGE(L8:L$40)/100,4)</f>
        <v>0.012</v>
      </c>
    </row>
    <row r="9" s="3449" customFormat="true" ht="12.75" hidden="false" customHeight="false" outlineLevel="0" collapsed="false">
      <c r="A9" s="3439" t="s">
        <v>2414</v>
      </c>
      <c r="B9" s="3440" t="n">
        <f aca="false">B10*(1+N9)</f>
        <v>510.070896595546</v>
      </c>
      <c r="C9" s="3440" t="n">
        <f aca="false">C10*(1+O9)</f>
        <v>352.555931857374</v>
      </c>
      <c r="D9" s="3440" t="n">
        <f aca="false">C9</f>
        <v>352.555931857374</v>
      </c>
      <c r="E9" s="3440" t="n">
        <f aca="false">E10*(1+P9)</f>
        <v>737.279924634037</v>
      </c>
      <c r="F9" s="3440" t="n">
        <f aca="false">F10*(1+Q9)</f>
        <v>335.883191982979</v>
      </c>
      <c r="G9" s="3441" t="n">
        <v>2021</v>
      </c>
      <c r="H9" s="3442" t="n">
        <v>4</v>
      </c>
      <c r="I9" s="3443" t="n">
        <v>1.03</v>
      </c>
      <c r="J9" s="3443" t="n">
        <v>0.24</v>
      </c>
      <c r="K9" s="3443" t="n">
        <v>1.17</v>
      </c>
      <c r="L9" s="3444" t="n">
        <v>0.55</v>
      </c>
      <c r="M9" s="3414"/>
      <c r="N9" s="3445" t="n">
        <f aca="false">I9/100</f>
        <v>0.0103</v>
      </c>
      <c r="O9" s="3438" t="n">
        <f aca="false">J9/100</f>
        <v>0.0024</v>
      </c>
      <c r="P9" s="3438" t="n">
        <f aca="false">K9/100</f>
        <v>0.0117</v>
      </c>
      <c r="Q9" s="3438" t="n">
        <f aca="false">L9/100</f>
        <v>0.0055</v>
      </c>
      <c r="R9" s="3446"/>
      <c r="S9" s="3445"/>
      <c r="T9" s="3438"/>
      <c r="U9" s="3438"/>
      <c r="V9" s="3438"/>
      <c r="W9" s="3447"/>
      <c r="X9" s="3447" t="n">
        <f aca="false">ROUND(IF(项目基本情况!B2="出让",SUMPRODUCT(PRODUCT(1+N9:N$40)),SUMPRODUCT(PRODUCT(1+N9:N$39))),4)</f>
        <v>1.6585</v>
      </c>
      <c r="Y9" s="3447" t="n">
        <f aca="false">ROUND(IF(项目基本情况!B2="出让",SUMPRODUCT(PRODUCT(1+O9:O$40)),SUMPRODUCT(PRODUCT(1+O9:O$39))),4)</f>
        <v>1.3677</v>
      </c>
      <c r="Z9" s="3447" t="n">
        <f aca="false">Y9</f>
        <v>1.3677</v>
      </c>
      <c r="AA9" s="3447" t="n">
        <f aca="false">ROUND(IF(项目基本情况!B2="出让",SUMPRODUCT(PRODUCT(1+P9:P$40)),SUMPRODUCT(PRODUCT(1+P9:P$39))),4)</f>
        <v>1.7434</v>
      </c>
      <c r="AB9" s="3447" t="n">
        <f aca="false">ROUND(IF(项目基本情况!B2="出让",SUMPRODUCT(PRODUCT(1+Q9:Q$40)),SUMPRODUCT(PRODUCT(1+Q9:Q$39))),4)</f>
        <v>1.4609</v>
      </c>
      <c r="AC9" s="3447"/>
      <c r="AD9" s="3448" t="n">
        <f aca="false">ROUND(AVERAGE(I9:I$40)/100,4)</f>
        <v>0.0169</v>
      </c>
      <c r="AE9" s="3448" t="n">
        <f aca="false">ROUND(AVERAGE(J9:J$40)/100,4)</f>
        <v>0.0106</v>
      </c>
      <c r="AF9" s="3448" t="n">
        <f aca="false">AE9</f>
        <v>0.0106</v>
      </c>
      <c r="AG9" s="3448" t="n">
        <f aca="false">ROUND(AVERAGE(K9:K$40)/100,4)</f>
        <v>0.0187</v>
      </c>
      <c r="AH9" s="3448" t="n">
        <f aca="false">ROUND(AVERAGE(L9:L$40)/100,4)</f>
        <v>0.0124</v>
      </c>
    </row>
    <row r="10" s="3449" customFormat="true" ht="12.75" hidden="false" customHeight="false" outlineLevel="0" collapsed="false">
      <c r="A10" s="3439" t="s">
        <v>2415</v>
      </c>
      <c r="B10" s="3440" t="n">
        <f aca="false">B11*(1+N10)</f>
        <v>504.870728096156</v>
      </c>
      <c r="C10" s="3440" t="n">
        <f aca="false">C11*(1+O10)</f>
        <v>351.71182348102</v>
      </c>
      <c r="D10" s="3440" t="n">
        <f aca="false">C10</f>
        <v>351.71182348102</v>
      </c>
      <c r="E10" s="3440" t="n">
        <f aca="false">E11*(1+P10)</f>
        <v>728.753508583608</v>
      </c>
      <c r="F10" s="3440" t="n">
        <f aca="false">F11*(1+Q10)</f>
        <v>334.045939316737</v>
      </c>
      <c r="G10" s="3441" t="n">
        <v>2021</v>
      </c>
      <c r="H10" s="3442" t="n">
        <v>3</v>
      </c>
      <c r="I10" s="3443" t="n">
        <v>0.47</v>
      </c>
      <c r="J10" s="3443" t="n">
        <v>0.41</v>
      </c>
      <c r="K10" s="3443" t="n">
        <v>0.48</v>
      </c>
      <c r="L10" s="3444" t="n">
        <v>0.48</v>
      </c>
      <c r="M10" s="3414"/>
      <c r="N10" s="3445" t="n">
        <f aca="false">I10/100</f>
        <v>0.0047</v>
      </c>
      <c r="O10" s="3438" t="n">
        <f aca="false">J10/100</f>
        <v>0.0041</v>
      </c>
      <c r="P10" s="3438" t="n">
        <f aca="false">K10/100</f>
        <v>0.0048</v>
      </c>
      <c r="Q10" s="3438" t="n">
        <f aca="false">L10/100</f>
        <v>0.0048</v>
      </c>
      <c r="R10" s="3446"/>
      <c r="S10" s="3445"/>
      <c r="T10" s="3438"/>
      <c r="U10" s="3438"/>
      <c r="V10" s="3438"/>
      <c r="W10" s="3447"/>
      <c r="X10" s="3447" t="n">
        <f aca="false">ROUND(IF(项目基本情况!B3="出让",SUMPRODUCT(PRODUCT(1+N10:N$40)),SUMPRODUCT(PRODUCT(1+N10:N$39))),4)</f>
        <v>1.6416</v>
      </c>
      <c r="Y10" s="3447" t="n">
        <f aca="false">ROUND(IF(项目基本情况!B3="出让",SUMPRODUCT(PRODUCT(1+O10:O$40)),SUMPRODUCT(PRODUCT(1+O10:O$39))),4)</f>
        <v>1.3644</v>
      </c>
      <c r="Z10" s="3447" t="n">
        <f aca="false">Y10</f>
        <v>1.3644</v>
      </c>
      <c r="AA10" s="3447" t="n">
        <f aca="false">ROUND(IF(项目基本情况!B3="出让",SUMPRODUCT(PRODUCT(1+P10:P$40)),SUMPRODUCT(PRODUCT(1+P10:P$39))),4)</f>
        <v>1.7232</v>
      </c>
      <c r="AB10" s="3447" t="n">
        <f aca="false">ROUND(IF(项目基本情况!B3="出让",SUMPRODUCT(PRODUCT(1+Q10:Q$40)),SUMPRODUCT(PRODUCT(1+Q10:Q$39))),4)</f>
        <v>1.4529</v>
      </c>
      <c r="AC10" s="3447"/>
      <c r="AD10" s="3448" t="n">
        <f aca="false">ROUND(AVERAGE(I10:I$40)/100,4)</f>
        <v>0.0172</v>
      </c>
      <c r="AE10" s="3448" t="n">
        <f aca="false">ROUND(AVERAGE(J10:J$40)/100,4)</f>
        <v>0.0109</v>
      </c>
      <c r="AF10" s="3448" t="n">
        <f aca="false">AE10</f>
        <v>0.0109</v>
      </c>
      <c r="AG10" s="3448" t="n">
        <f aca="false">ROUND(AVERAGE(K10:K$40)/100,4)</f>
        <v>0.0189</v>
      </c>
      <c r="AH10" s="3448" t="n">
        <f aca="false">ROUND(AVERAGE(L10:L$40)/100,4)</f>
        <v>0.0126</v>
      </c>
    </row>
    <row r="11" s="3449" customFormat="true" ht="12.75" hidden="false" customHeight="false" outlineLevel="0" collapsed="false">
      <c r="A11" s="3439" t="s">
        <v>2416</v>
      </c>
      <c r="B11" s="3440" t="n">
        <f aca="false">B12*(1+N11)</f>
        <v>502.508936096502</v>
      </c>
      <c r="C11" s="3440" t="n">
        <f aca="false">C12*(1+O11)</f>
        <v>350.275693139149</v>
      </c>
      <c r="D11" s="3440" t="n">
        <f aca="false">C11</f>
        <v>350.275693139149</v>
      </c>
      <c r="E11" s="3440" t="n">
        <f aca="false">E12*(1+P11)</f>
        <v>725.272202013941</v>
      </c>
      <c r="F11" s="3440" t="n">
        <f aca="false">F12*(1+Q11)</f>
        <v>332.450178460128</v>
      </c>
      <c r="G11" s="3441" t="n">
        <v>2021</v>
      </c>
      <c r="H11" s="3442" t="n">
        <v>2</v>
      </c>
      <c r="I11" s="3443" t="n">
        <v>0.92</v>
      </c>
      <c r="J11" s="3443" t="n">
        <v>0.72</v>
      </c>
      <c r="K11" s="3443" t="n">
        <v>0.95</v>
      </c>
      <c r="L11" s="3444" t="n">
        <v>1.01</v>
      </c>
      <c r="M11" s="3414"/>
      <c r="N11" s="3445" t="n">
        <f aca="false">I11/100</f>
        <v>0.0092</v>
      </c>
      <c r="O11" s="3438" t="n">
        <f aca="false">J11/100</f>
        <v>0.0072</v>
      </c>
      <c r="P11" s="3438" t="n">
        <f aca="false">K11/100</f>
        <v>0.0095</v>
      </c>
      <c r="Q11" s="3438" t="n">
        <f aca="false">L11/100</f>
        <v>0.0101</v>
      </c>
      <c r="R11" s="3446"/>
      <c r="S11" s="3445"/>
      <c r="T11" s="3438"/>
      <c r="U11" s="3438"/>
      <c r="V11" s="3438"/>
      <c r="W11" s="3447"/>
      <c r="X11" s="3447" t="n">
        <f aca="false">ROUND(IF(项目基本情况!B4="出让",SUMPRODUCT(PRODUCT(1+N11:N$40)),SUMPRODUCT(PRODUCT(1+N11:N$39))),4)</f>
        <v>1.6339</v>
      </c>
      <c r="Y11" s="3447" t="n">
        <f aca="false">ROUND(IF(项目基本情况!B4="出让",SUMPRODUCT(PRODUCT(1+O11:O$40)),SUMPRODUCT(PRODUCT(1+O11:O$39))),4)</f>
        <v>1.3588</v>
      </c>
      <c r="Z11" s="3447" t="n">
        <f aca="false">Y11</f>
        <v>1.3588</v>
      </c>
      <c r="AA11" s="3447" t="n">
        <f aca="false">ROUND(IF(项目基本情况!B4="出让",SUMPRODUCT(PRODUCT(1+P11:P$40)),SUMPRODUCT(PRODUCT(1+P11:P$39))),4)</f>
        <v>1.715</v>
      </c>
      <c r="AB11" s="3447" t="n">
        <f aca="false">ROUND(IF(项目基本情况!B4="出让",SUMPRODUCT(PRODUCT(1+Q11:Q$40)),SUMPRODUCT(PRODUCT(1+Q11:Q$39))),4)</f>
        <v>1.446</v>
      </c>
      <c r="AC11" s="3447"/>
      <c r="AD11" s="3448" t="n">
        <f aca="false">ROUND(AVERAGE(I11:I$40)/100,4)</f>
        <v>0.0176</v>
      </c>
      <c r="AE11" s="3448" t="n">
        <f aca="false">ROUND(AVERAGE(J11:J$40)/100,4)</f>
        <v>0.0111</v>
      </c>
      <c r="AF11" s="3448" t="n">
        <f aca="false">AE11</f>
        <v>0.0111</v>
      </c>
      <c r="AG11" s="3448" t="n">
        <f aca="false">ROUND(AVERAGE(K11:K$40)/100,4)</f>
        <v>0.0194</v>
      </c>
      <c r="AH11" s="3448" t="n">
        <f aca="false">ROUND(AVERAGE(L11:L$40)/100,4)</f>
        <v>0.0128</v>
      </c>
    </row>
    <row r="12" s="3449" customFormat="true" ht="12.75" hidden="false" customHeight="false" outlineLevel="0" collapsed="false">
      <c r="A12" s="3439" t="s">
        <v>2417</v>
      </c>
      <c r="B12" s="3440" t="n">
        <f aca="false">B13*(1+N12)</f>
        <v>497.927998510208</v>
      </c>
      <c r="C12" s="3440" t="n">
        <f aca="false">C13*(1+O12)</f>
        <v>347.771736635374</v>
      </c>
      <c r="D12" s="3440" t="n">
        <f aca="false">C12</f>
        <v>347.771736635374</v>
      </c>
      <c r="E12" s="3440" t="n">
        <f aca="false">E13*(1+P12)</f>
        <v>718.446955932582</v>
      </c>
      <c r="F12" s="3440" t="n">
        <f aca="false">F13*(1+Q12)</f>
        <v>329.126005801532</v>
      </c>
      <c r="G12" s="3441" t="n">
        <v>2021</v>
      </c>
      <c r="H12" s="3442" t="n">
        <v>1</v>
      </c>
      <c r="I12" s="3443" t="n">
        <v>0.97</v>
      </c>
      <c r="J12" s="3443" t="n">
        <v>0.16</v>
      </c>
      <c r="K12" s="3443" t="n">
        <v>1.11</v>
      </c>
      <c r="L12" s="3444" t="n">
        <v>0.36</v>
      </c>
      <c r="M12" s="3414"/>
      <c r="N12" s="3445" t="n">
        <f aca="false">I12/100</f>
        <v>0.0097</v>
      </c>
      <c r="O12" s="3438" t="n">
        <f aca="false">J12/100</f>
        <v>0.0016</v>
      </c>
      <c r="P12" s="3438" t="n">
        <f aca="false">K12/100</f>
        <v>0.0111</v>
      </c>
      <c r="Q12" s="3438" t="n">
        <f aca="false">L12/100</f>
        <v>0.0036</v>
      </c>
      <c r="R12" s="3446"/>
      <c r="S12" s="3445" t="n">
        <f aca="false">B12/B13-1</f>
        <v>0.00970000000000004</v>
      </c>
      <c r="T12" s="3438" t="n">
        <f aca="false">C12/C13-1</f>
        <v>0.00160000000000005</v>
      </c>
      <c r="U12" s="3438" t="n">
        <f aca="false">D12/D13-1</f>
        <v>0.00160000000000005</v>
      </c>
      <c r="V12" s="3438" t="n">
        <f aca="false">E12/E13-1</f>
        <v>0.0111000000000001</v>
      </c>
      <c r="W12" s="3447"/>
      <c r="X12" s="3447" t="n">
        <f aca="false">ROUND(IF(项目基本情况!B5="出让",SUMPRODUCT(PRODUCT(1+N12:N$40)),SUMPRODUCT(PRODUCT(1+N12:N$39))),4)</f>
        <v>1.619</v>
      </c>
      <c r="Y12" s="3447" t="n">
        <f aca="false">ROUND(IF(项目基本情况!B5="出让",SUMPRODUCT(PRODUCT(1+O12:O$40)),SUMPRODUCT(PRODUCT(1+O12:O$39))),4)</f>
        <v>1.3491</v>
      </c>
      <c r="Z12" s="3447" t="n">
        <f aca="false">Y12</f>
        <v>1.3491</v>
      </c>
      <c r="AA12" s="3447" t="n">
        <f aca="false">ROUND(IF(项目基本情况!B5="出让",SUMPRODUCT(PRODUCT(1+P12:P$40)),SUMPRODUCT(PRODUCT(1+P12:P$39))),4)</f>
        <v>1.6988</v>
      </c>
      <c r="AB12" s="3447" t="n">
        <f aca="false">ROUND(IF(项目基本情况!B5="出让",SUMPRODUCT(PRODUCT(1+Q12:Q$40)),SUMPRODUCT(PRODUCT(1+Q12:Q$39))),4)</f>
        <v>1.4315</v>
      </c>
      <c r="AC12" s="3447"/>
      <c r="AD12" s="3448" t="n">
        <f aca="false">ROUND(AVERAGE(I12:I$40)/100,4)</f>
        <v>0.0179</v>
      </c>
      <c r="AE12" s="3448" t="n">
        <f aca="false">ROUND(AVERAGE(J12:J$40)/100,4)</f>
        <v>0.0112</v>
      </c>
      <c r="AF12" s="3448" t="n">
        <f aca="false">AE12</f>
        <v>0.0112</v>
      </c>
      <c r="AG12" s="3448" t="n">
        <f aca="false">ROUND(AVERAGE(K12:K$40)/100,4)</f>
        <v>0.0197</v>
      </c>
      <c r="AH12" s="3448" t="n">
        <f aca="false">ROUND(AVERAGE(L12:L$40)/100,4)</f>
        <v>0.0129</v>
      </c>
    </row>
    <row r="13" s="3449" customFormat="true" ht="12.75" hidden="false" customHeight="false" outlineLevel="0" collapsed="false">
      <c r="A13" s="3439" t="s">
        <v>2425</v>
      </c>
      <c r="B13" s="3440" t="n">
        <f aca="false">B14*(1+N13)</f>
        <v>493.144496890372</v>
      </c>
      <c r="C13" s="3440" t="n">
        <f aca="false">C14*(1+O13)</f>
        <v>347.216190730206</v>
      </c>
      <c r="D13" s="3440" t="n">
        <f aca="false">C13</f>
        <v>347.216190730206</v>
      </c>
      <c r="E13" s="3440" t="n">
        <f aca="false">E14*(1+P13)</f>
        <v>710.559742787639</v>
      </c>
      <c r="F13" s="3440" t="n">
        <f aca="false">F14*(1+Q13)</f>
        <v>327.945402353061</v>
      </c>
      <c r="G13" s="3441" t="n">
        <v>2020</v>
      </c>
      <c r="H13" s="3442" t="n">
        <v>4</v>
      </c>
      <c r="I13" s="3443" t="n">
        <v>2.07</v>
      </c>
      <c r="J13" s="3443" t="n">
        <v>0.37</v>
      </c>
      <c r="K13" s="3443" t="n">
        <v>2.35</v>
      </c>
      <c r="L13" s="3444" t="n">
        <v>2.69</v>
      </c>
      <c r="M13" s="3414"/>
      <c r="N13" s="3445" t="n">
        <f aca="false">I13/100</f>
        <v>0.0207</v>
      </c>
      <c r="O13" s="3438" t="n">
        <f aca="false">J13/100</f>
        <v>0.0037</v>
      </c>
      <c r="P13" s="3438" t="n">
        <f aca="false">K13/100</f>
        <v>0.0235</v>
      </c>
      <c r="Q13" s="3438" t="n">
        <f aca="false">L13/100</f>
        <v>0.0269</v>
      </c>
      <c r="R13" s="3446"/>
      <c r="S13" s="3445"/>
      <c r="T13" s="3438"/>
      <c r="U13" s="3438"/>
      <c r="V13" s="3438"/>
      <c r="W13" s="3447"/>
      <c r="X13" s="3447" t="n">
        <f aca="false">ROUND(IF(项目基本情况!B6="出让",SUMPRODUCT(PRODUCT(1+N13:N$40)),SUMPRODUCT(PRODUCT(1+N13:N$39))),4)</f>
        <v>1.6035</v>
      </c>
      <c r="Y13" s="3447" t="n">
        <f aca="false">ROUND(IF(项目基本情况!B6="出让",SUMPRODUCT(PRODUCT(1+O13:O$40)),SUMPRODUCT(PRODUCT(1+O13:O$39))),4)</f>
        <v>1.3469</v>
      </c>
      <c r="Z13" s="3447" t="n">
        <f aca="false">Y13</f>
        <v>1.3469</v>
      </c>
      <c r="AA13" s="3447" t="n">
        <f aca="false">ROUND(IF(项目基本情况!B6="出让",SUMPRODUCT(PRODUCT(1+P13:P$40)),SUMPRODUCT(PRODUCT(1+P13:P$39))),4)</f>
        <v>1.6802</v>
      </c>
      <c r="AB13" s="3447" t="n">
        <f aca="false">ROUND(IF(项目基本情况!B6="出让",SUMPRODUCT(PRODUCT(1+Q13:Q$40)),SUMPRODUCT(PRODUCT(1+Q13:Q$39))),4)</f>
        <v>1.4264</v>
      </c>
      <c r="AC13" s="3447"/>
      <c r="AD13" s="3448" t="n">
        <f aca="false">ROUND(AVERAGE(I13:I$40)/100,4)</f>
        <v>0.0182</v>
      </c>
      <c r="AE13" s="3448" t="n">
        <f aca="false">ROUND(AVERAGE(J13:J$40)/100,4)</f>
        <v>0.0116</v>
      </c>
      <c r="AF13" s="3448" t="n">
        <f aca="false">AE13</f>
        <v>0.0116</v>
      </c>
      <c r="AG13" s="3448" t="n">
        <f aca="false">ROUND(AVERAGE(K13:K$40)/100,4)</f>
        <v>0.02</v>
      </c>
      <c r="AH13" s="3448" t="n">
        <f aca="false">ROUND(AVERAGE(L13:L$40)/100,4)</f>
        <v>0.0133</v>
      </c>
    </row>
    <row r="14" s="3449" customFormat="true" ht="12.75" hidden="false" customHeight="false" outlineLevel="0" collapsed="false">
      <c r="A14" s="3439" t="s">
        <v>2426</v>
      </c>
      <c r="B14" s="3440" t="n">
        <f aca="false">B15*(1+N14)</f>
        <v>483.143427932176</v>
      </c>
      <c r="C14" s="3440" t="n">
        <f aca="false">C15*(1+O14)</f>
        <v>345.936226691448</v>
      </c>
      <c r="D14" s="3440" t="n">
        <f aca="false">C14</f>
        <v>345.936226691448</v>
      </c>
      <c r="E14" s="3440" t="n">
        <f aca="false">E15*(1+P14)</f>
        <v>694.244985625441</v>
      </c>
      <c r="F14" s="3440" t="n">
        <f aca="false">F15*(1+Q14)</f>
        <v>319.354759327161</v>
      </c>
      <c r="G14" s="3441" t="n">
        <v>2020</v>
      </c>
      <c r="H14" s="3442" t="n">
        <v>3</v>
      </c>
      <c r="I14" s="3443" t="n">
        <v>0.36</v>
      </c>
      <c r="J14" s="3443" t="n">
        <v>-0.39</v>
      </c>
      <c r="K14" s="3443" t="n">
        <v>0.49</v>
      </c>
      <c r="L14" s="3444" t="n">
        <v>0.07</v>
      </c>
      <c r="M14" s="3414"/>
      <c r="N14" s="3445" t="n">
        <f aca="false">I14/100</f>
        <v>0.0036</v>
      </c>
      <c r="O14" s="3438" t="n">
        <f aca="false">J14/100</f>
        <v>-0.0039</v>
      </c>
      <c r="P14" s="3438" t="n">
        <f aca="false">K14/100</f>
        <v>0.0049</v>
      </c>
      <c r="Q14" s="3438" t="n">
        <f aca="false">L14/100</f>
        <v>0.0007</v>
      </c>
      <c r="R14" s="3446"/>
      <c r="S14" s="3445"/>
      <c r="T14" s="3438"/>
      <c r="U14" s="3438"/>
      <c r="V14" s="3438"/>
      <c r="W14" s="3447"/>
      <c r="X14" s="3447" t="n">
        <f aca="false">ROUND(IF(项目基本情况!B7="出让",SUMPRODUCT(PRODUCT(1+N14:N$40)),SUMPRODUCT(PRODUCT(1+N14:N$39))),4)</f>
        <v>1.571</v>
      </c>
      <c r="Y14" s="3447" t="n">
        <f aca="false">ROUND(IF(项目基本情况!B7="出让",SUMPRODUCT(PRODUCT(1+O14:O$40)),SUMPRODUCT(PRODUCT(1+O14:O$39))),4)</f>
        <v>1.342</v>
      </c>
      <c r="Z14" s="3447" t="n">
        <f aca="false">Y14</f>
        <v>1.342</v>
      </c>
      <c r="AA14" s="3447" t="n">
        <f aca="false">ROUND(IF(项目基本情况!B7="出让",SUMPRODUCT(PRODUCT(1+P14:P$40)),SUMPRODUCT(PRODUCT(1+P14:P$39))),4)</f>
        <v>1.6416</v>
      </c>
      <c r="AB14" s="3447" t="n">
        <f aca="false">ROUND(IF(项目基本情况!B7="出让",SUMPRODUCT(PRODUCT(1+Q14:Q$40)),SUMPRODUCT(PRODUCT(1+Q14:Q$39))),4)</f>
        <v>1.389</v>
      </c>
      <c r="AC14" s="3447"/>
      <c r="AD14" s="3448" t="n">
        <f aca="false">ROUND(AVERAGE(I14:I$40)/100,4)</f>
        <v>0.0181</v>
      </c>
      <c r="AE14" s="3448" t="n">
        <f aca="false">ROUND(AVERAGE(J14:J$40)/100,4)</f>
        <v>0.0119</v>
      </c>
      <c r="AF14" s="3448" t="n">
        <f aca="false">AE14</f>
        <v>0.0119</v>
      </c>
      <c r="AG14" s="3448" t="n">
        <f aca="false">ROUND(AVERAGE(K14:K$40)/100,4)</f>
        <v>0.0199</v>
      </c>
      <c r="AH14" s="3448" t="n">
        <f aca="false">ROUND(AVERAGE(L14:L$40)/100,4)</f>
        <v>0.0128</v>
      </c>
    </row>
    <row r="15" s="3449" customFormat="true" ht="12.75" hidden="false" customHeight="false" outlineLevel="0" collapsed="false">
      <c r="A15" s="3439" t="s">
        <v>2427</v>
      </c>
      <c r="B15" s="3440" t="n">
        <f aca="false">B16*(1+N15)</f>
        <v>481.410350669764</v>
      </c>
      <c r="C15" s="3440" t="n">
        <f aca="false">C16*(1+O15)</f>
        <v>347.290660266487</v>
      </c>
      <c r="D15" s="3440" t="n">
        <f aca="false">C15</f>
        <v>347.290660266487</v>
      </c>
      <c r="E15" s="3440" t="n">
        <f aca="false">E16*(1+P15)</f>
        <v>690.85977273902</v>
      </c>
      <c r="F15" s="3440" t="n">
        <f aca="false">F16*(1+Q15)</f>
        <v>319.131367370002</v>
      </c>
      <c r="G15" s="3441" t="n">
        <v>2020</v>
      </c>
      <c r="H15" s="3442" t="n">
        <v>2</v>
      </c>
      <c r="I15" s="3443" t="n">
        <v>0.31</v>
      </c>
      <c r="J15" s="3443" t="n">
        <v>-0.78</v>
      </c>
      <c r="K15" s="3443" t="n">
        <v>0.5</v>
      </c>
      <c r="L15" s="3444" t="n">
        <v>0.47</v>
      </c>
      <c r="M15" s="3414"/>
      <c r="N15" s="3445" t="n">
        <f aca="false">I15/100</f>
        <v>0.0031</v>
      </c>
      <c r="O15" s="3438" t="n">
        <f aca="false">J15/100</f>
        <v>-0.0078</v>
      </c>
      <c r="P15" s="3438" t="n">
        <f aca="false">K15/100</f>
        <v>0.005</v>
      </c>
      <c r="Q15" s="3438" t="n">
        <f aca="false">L15/100</f>
        <v>0.0047</v>
      </c>
      <c r="R15" s="3446"/>
      <c r="S15" s="3445"/>
      <c r="T15" s="3438"/>
      <c r="U15" s="3438"/>
      <c r="V15" s="3438"/>
      <c r="W15" s="3447"/>
      <c r="X15" s="3447" t="n">
        <f aca="false">ROUND(IF(项目基本情况!B8="出让",SUMPRODUCT(PRODUCT(1+N15:N$40)),SUMPRODUCT(PRODUCT(1+N15:N$39))),4)</f>
        <v>1.5653</v>
      </c>
      <c r="Y15" s="3447" t="n">
        <f aca="false">ROUND(IF(项目基本情况!B8="出让",SUMPRODUCT(PRODUCT(1+O15:O$40)),SUMPRODUCT(PRODUCT(1+O15:O$39))),4)</f>
        <v>1.3472</v>
      </c>
      <c r="Z15" s="3447" t="n">
        <f aca="false">Y15</f>
        <v>1.3472</v>
      </c>
      <c r="AA15" s="3447" t="n">
        <f aca="false">ROUND(IF(项目基本情况!B8="出让",SUMPRODUCT(PRODUCT(1+P15:P$40)),SUMPRODUCT(PRODUCT(1+P15:P$39))),4)</f>
        <v>1.6336</v>
      </c>
      <c r="AB15" s="3447" t="n">
        <f aca="false">ROUND(IF(项目基本情况!B8="出让",SUMPRODUCT(PRODUCT(1+Q15:Q$40)),SUMPRODUCT(PRODUCT(1+Q15:Q$39))),4)</f>
        <v>1.3881</v>
      </c>
      <c r="AC15" s="3447"/>
      <c r="AD15" s="3448" t="n">
        <f aca="false">ROUND(AVERAGE(I15:I$40)/100,4)</f>
        <v>0.0186</v>
      </c>
      <c r="AE15" s="3448" t="n">
        <f aca="false">ROUND(AVERAGE(J15:J$40)/100,4)</f>
        <v>0.0125</v>
      </c>
      <c r="AF15" s="3448" t="n">
        <f aca="false">AE15</f>
        <v>0.0125</v>
      </c>
      <c r="AG15" s="3448" t="n">
        <f aca="false">ROUND(AVERAGE(K15:K$40)/100,4)</f>
        <v>0.0204</v>
      </c>
      <c r="AH15" s="3448" t="n">
        <f aca="false">ROUND(AVERAGE(L15:L$40)/100,4)</f>
        <v>0.0132</v>
      </c>
    </row>
    <row r="16" s="3449" customFormat="true" ht="12.75" hidden="false" customHeight="false" outlineLevel="0" collapsed="false">
      <c r="A16" s="3439" t="s">
        <v>2428</v>
      </c>
      <c r="B16" s="3440" t="n">
        <f aca="false">B17*(1+N16)</f>
        <v>479.922590638784</v>
      </c>
      <c r="C16" s="3440" t="n">
        <f aca="false">C17*(1+O16)</f>
        <v>350.020822683418</v>
      </c>
      <c r="D16" s="3440" t="n">
        <f aca="false">C16</f>
        <v>350.020822683418</v>
      </c>
      <c r="E16" s="3440" t="n">
        <f aca="false">E17*(1+P16)</f>
        <v>687.422659441811</v>
      </c>
      <c r="F16" s="3440" t="n">
        <f aca="false">F17*(1+Q16)</f>
        <v>317.63846657709</v>
      </c>
      <c r="G16" s="3441" t="n">
        <v>2020</v>
      </c>
      <c r="H16" s="3442" t="n">
        <v>1</v>
      </c>
      <c r="I16" s="3443" t="n">
        <v>0.12</v>
      </c>
      <c r="J16" s="3443" t="n">
        <v>-0.4</v>
      </c>
      <c r="K16" s="3443" t="n">
        <v>0.21</v>
      </c>
      <c r="L16" s="3444" t="n">
        <v>0.27</v>
      </c>
      <c r="M16" s="3414"/>
      <c r="N16" s="3445" t="n">
        <f aca="false">I16/100</f>
        <v>0.0012</v>
      </c>
      <c r="O16" s="3438" t="n">
        <f aca="false">J16/100</f>
        <v>-0.004</v>
      </c>
      <c r="P16" s="3438" t="n">
        <f aca="false">K16/100</f>
        <v>0.0021</v>
      </c>
      <c r="Q16" s="3438" t="n">
        <f aca="false">L16/100</f>
        <v>0.0027</v>
      </c>
      <c r="R16" s="3446"/>
      <c r="S16" s="3445" t="n">
        <f aca="false">B16/B17-1</f>
        <v>0.00120000000000009</v>
      </c>
      <c r="T16" s="3438" t="n">
        <f aca="false">C16/C17-1</f>
        <v>-0.004</v>
      </c>
      <c r="U16" s="3438" t="n">
        <f aca="false">D16/D17-1</f>
        <v>-0.004</v>
      </c>
      <c r="V16" s="3438" t="n">
        <f aca="false">E16/E17-1</f>
        <v>0.00209999999999999</v>
      </c>
      <c r="W16" s="3447"/>
      <c r="X16" s="3447" t="n">
        <f aca="false">ROUND(IF(项目基本情况!B8="出让",SUMPRODUCT(PRODUCT(1+N16:N$40)),SUMPRODUCT(PRODUCT(1+N16:N$39))),4)</f>
        <v>1.5605</v>
      </c>
      <c r="Y16" s="3447" t="n">
        <f aca="false">ROUND(IF(项目基本情况!B8="出让",SUMPRODUCT(PRODUCT(1+O16:O$40)),SUMPRODUCT(PRODUCT(1+O16:O$39))),4)</f>
        <v>1.3578</v>
      </c>
      <c r="Z16" s="3447" t="n">
        <f aca="false">Y16</f>
        <v>1.3578</v>
      </c>
      <c r="AA16" s="3447" t="n">
        <f aca="false">ROUND(IF(项目基本情况!B8="出让",SUMPRODUCT(PRODUCT(1+P16:P$40)),SUMPRODUCT(PRODUCT(1+P16:P$39))),4)</f>
        <v>1.6255</v>
      </c>
      <c r="AB16" s="3447" t="n">
        <f aca="false">ROUND(IF(项目基本情况!B8="出让",SUMPRODUCT(PRODUCT(1+Q16:Q$40)),SUMPRODUCT(PRODUCT(1+Q16:Q$39))),4)</f>
        <v>1.3816</v>
      </c>
      <c r="AC16" s="3447"/>
      <c r="AD16" s="3448" t="n">
        <f aca="false">ROUND(AVERAGE(I16:I$40)/100,4)</f>
        <v>0.0192</v>
      </c>
      <c r="AE16" s="3448" t="n">
        <f aca="false">ROUND(AVERAGE(J16:J$40)/100,4)</f>
        <v>0.0133</v>
      </c>
      <c r="AF16" s="3448" t="n">
        <f aca="false">AE16</f>
        <v>0.0133</v>
      </c>
      <c r="AG16" s="3448" t="n">
        <f aca="false">ROUND(AVERAGE(K16:K$40)/100,4)</f>
        <v>0.0211</v>
      </c>
      <c r="AH16" s="3448" t="n">
        <f aca="false">ROUND(AVERAGE(L16:L$40)/100,4)</f>
        <v>0.0136</v>
      </c>
    </row>
    <row r="17" s="3449" customFormat="true" ht="12.75" hidden="false" customHeight="false" outlineLevel="0" collapsed="false">
      <c r="A17" s="3439" t="s">
        <v>2429</v>
      </c>
      <c r="B17" s="3440" t="n">
        <f aca="false">B18*(1+N17)</f>
        <v>479.347373790236</v>
      </c>
      <c r="C17" s="3440" t="n">
        <f aca="false">C18*(1+O17)</f>
        <v>351.426528798612</v>
      </c>
      <c r="D17" s="3440" t="n">
        <f aca="false">C17</f>
        <v>351.426528798612</v>
      </c>
      <c r="E17" s="3440" t="n">
        <f aca="false">E18*(1+P17)</f>
        <v>685.982097038031</v>
      </c>
      <c r="F17" s="3440" t="n">
        <f aca="false">F18*(1+Q17)</f>
        <v>316.78315206651</v>
      </c>
      <c r="G17" s="3441" t="n">
        <v>2019</v>
      </c>
      <c r="H17" s="3442" t="n">
        <v>4</v>
      </c>
      <c r="I17" s="3442" t="n">
        <v>0.45</v>
      </c>
      <c r="J17" s="3442" t="n">
        <v>-0.12</v>
      </c>
      <c r="K17" s="3442" t="n">
        <v>0.54</v>
      </c>
      <c r="L17" s="3460" t="n">
        <v>0.48</v>
      </c>
      <c r="M17" s="3414"/>
      <c r="N17" s="3445" t="n">
        <f aca="false">I17/100</f>
        <v>0.0045</v>
      </c>
      <c r="O17" s="3438" t="n">
        <f aca="false">J17/100</f>
        <v>-0.0012</v>
      </c>
      <c r="P17" s="3438" t="n">
        <f aca="false">K17/100</f>
        <v>0.0054</v>
      </c>
      <c r="Q17" s="3438" t="n">
        <f aca="false">L17/100</f>
        <v>0.0048</v>
      </c>
      <c r="R17" s="3446"/>
      <c r="S17" s="3445"/>
      <c r="T17" s="3438"/>
      <c r="U17" s="3438"/>
      <c r="V17" s="3438"/>
      <c r="W17" s="3447"/>
      <c r="X17" s="3447" t="n">
        <f aca="false">ROUND(IF(项目基本情况!B8="出让",SUMPRODUCT(PRODUCT(1+N17:N$40)),SUMPRODUCT(PRODUCT(1+N17:N$39))),4)</f>
        <v>1.5586</v>
      </c>
      <c r="Y17" s="3447" t="n">
        <f aca="false">ROUND(IF(项目基本情况!B8="出让",SUMPRODUCT(PRODUCT(1+O17:O$40)),SUMPRODUCT(PRODUCT(1+O17:O$39))),4)</f>
        <v>1.3633</v>
      </c>
      <c r="Z17" s="3447" t="n">
        <f aca="false">Y17</f>
        <v>1.3633</v>
      </c>
      <c r="AA17" s="3447" t="n">
        <f aca="false">ROUND(IF(项目基本情况!B8="出让",SUMPRODUCT(PRODUCT(1+P17:P$40)),SUMPRODUCT(PRODUCT(1+P17:P$39))),4)</f>
        <v>1.6221</v>
      </c>
      <c r="AB17" s="3447" t="n">
        <f aca="false">ROUND(IF(项目基本情况!B8="出让",SUMPRODUCT(PRODUCT(1+Q17:Q$40)),SUMPRODUCT(PRODUCT(1+Q17:Q$39))),4)</f>
        <v>1.3778</v>
      </c>
      <c r="AC17" s="3447"/>
      <c r="AD17" s="3448" t="n">
        <f aca="false">ROUND(AVERAGE(I17:I$40)/100,4)</f>
        <v>0.02</v>
      </c>
      <c r="AE17" s="3448" t="n">
        <f aca="false">ROUND(AVERAGE(J17:J$40)/100,4)</f>
        <v>0.014</v>
      </c>
      <c r="AF17" s="3448" t="n">
        <f aca="false">AE17</f>
        <v>0.014</v>
      </c>
      <c r="AG17" s="3448" t="n">
        <f aca="false">ROUND(AVERAGE(K17:K$40)/100,4)</f>
        <v>0.0219</v>
      </c>
      <c r="AH17" s="3448" t="n">
        <f aca="false">ROUND(AVERAGE(L17:L$40)/100,4)</f>
        <v>0.014</v>
      </c>
    </row>
    <row r="18" s="3449" customFormat="true" ht="12.75" hidden="false" customHeight="false" outlineLevel="0" collapsed="false">
      <c r="A18" s="3439" t="s">
        <v>2430</v>
      </c>
      <c r="B18" s="3440" t="n">
        <f aca="false">B19*(1+N18)</f>
        <v>477.199973907651</v>
      </c>
      <c r="C18" s="3440" t="n">
        <f aca="false">C19*(1+O18)</f>
        <v>351.848747295367</v>
      </c>
      <c r="D18" s="3440" t="n">
        <f aca="false">C18</f>
        <v>351.848747295367</v>
      </c>
      <c r="E18" s="3440" t="n">
        <f aca="false">E19*(1+P18)</f>
        <v>682.297689514652</v>
      </c>
      <c r="F18" s="3440" t="n">
        <f aca="false">F19*(1+Q18)</f>
        <v>315.26985675409</v>
      </c>
      <c r="G18" s="3441" t="n">
        <v>2019</v>
      </c>
      <c r="H18" s="3442" t="n">
        <v>3</v>
      </c>
      <c r="I18" s="3442" t="n">
        <v>0.61</v>
      </c>
      <c r="J18" s="3442" t="n">
        <v>0.67</v>
      </c>
      <c r="K18" s="3442" t="n">
        <v>0.6</v>
      </c>
      <c r="L18" s="3460" t="n">
        <v>1.03</v>
      </c>
      <c r="M18" s="3414"/>
      <c r="N18" s="3445" t="n">
        <f aca="false">I18/100</f>
        <v>0.0061</v>
      </c>
      <c r="O18" s="3438" t="n">
        <f aca="false">J18/100</f>
        <v>0.0067</v>
      </c>
      <c r="P18" s="3438" t="n">
        <f aca="false">K18/100</f>
        <v>0.006</v>
      </c>
      <c r="Q18" s="3438" t="n">
        <f aca="false">L18/100</f>
        <v>0.0103</v>
      </c>
      <c r="R18" s="3446"/>
      <c r="S18" s="3445"/>
      <c r="T18" s="3438"/>
      <c r="U18" s="3438"/>
      <c r="V18" s="3438"/>
      <c r="W18" s="3447"/>
      <c r="X18" s="3447" t="n">
        <f aca="false">ROUND(IF(项目基本情况!B8="出让",SUMPRODUCT(PRODUCT(1+N18:N$40)),SUMPRODUCT(PRODUCT(1+N18:N$39))),4)</f>
        <v>1.5516</v>
      </c>
      <c r="Y18" s="3447" t="n">
        <f aca="false">ROUND(IF(项目基本情况!B8="出让",SUMPRODUCT(PRODUCT(1+O18:O$40)),SUMPRODUCT(PRODUCT(1+O18:O$39))),4)</f>
        <v>1.3649</v>
      </c>
      <c r="Z18" s="3447" t="n">
        <f aca="false">Y18</f>
        <v>1.3649</v>
      </c>
      <c r="AA18" s="3447" t="n">
        <f aca="false">ROUND(IF(项目基本情况!B8="出让",SUMPRODUCT(PRODUCT(1+P18:P$40)),SUMPRODUCT(PRODUCT(1+P18:P$39))),4)</f>
        <v>1.6134</v>
      </c>
      <c r="AB18" s="3447" t="n">
        <f aca="false">ROUND(IF(项目基本情况!B8="出让",SUMPRODUCT(PRODUCT(1+Q18:Q$40)),SUMPRODUCT(PRODUCT(1+Q18:Q$39))),4)</f>
        <v>1.3713</v>
      </c>
      <c r="AC18" s="3447"/>
      <c r="AD18" s="3448" t="n">
        <f aca="false">ROUND(AVERAGE(I18:I$40)/100,4)</f>
        <v>0.0207</v>
      </c>
      <c r="AE18" s="3448" t="n">
        <f aca="false">ROUND(AVERAGE(J18:J$40)/100,4)</f>
        <v>0.0147</v>
      </c>
      <c r="AF18" s="3448" t="n">
        <f aca="false">AE18</f>
        <v>0.0147</v>
      </c>
      <c r="AG18" s="3448" t="n">
        <f aca="false">ROUND(AVERAGE(K18:K$40)/100,4)</f>
        <v>0.0226</v>
      </c>
      <c r="AH18" s="3448" t="n">
        <f aca="false">ROUND(AVERAGE(L18:L$40)/100,4)</f>
        <v>0.0144</v>
      </c>
    </row>
    <row r="19" s="3449" customFormat="true" ht="12.75" hidden="false" customHeight="false" outlineLevel="0" collapsed="false">
      <c r="A19" s="3439" t="s">
        <v>2431</v>
      </c>
      <c r="B19" s="3440" t="n">
        <f aca="false">B20*(1+N19)</f>
        <v>474.306703019234</v>
      </c>
      <c r="C19" s="3440" t="n">
        <f aca="false">C20*(1+O19)</f>
        <v>349.507050059965</v>
      </c>
      <c r="D19" s="3440" t="n">
        <f aca="false">C19</f>
        <v>349.507050059965</v>
      </c>
      <c r="E19" s="3440" t="n">
        <f aca="false">E20*(1+P19)</f>
        <v>678.22831959707</v>
      </c>
      <c r="F19" s="3440" t="n">
        <f aca="false">F20*(1+Q19)</f>
        <v>312.055683216956</v>
      </c>
      <c r="G19" s="3441" t="n">
        <v>2019</v>
      </c>
      <c r="H19" s="3461" t="n">
        <v>2</v>
      </c>
      <c r="I19" s="3461" t="n">
        <v>1.53</v>
      </c>
      <c r="J19" s="3461" t="n">
        <v>1.01</v>
      </c>
      <c r="K19" s="3461" t="n">
        <v>1.62</v>
      </c>
      <c r="L19" s="3462" t="n">
        <v>1.25</v>
      </c>
      <c r="M19" s="3414"/>
      <c r="N19" s="3445" t="n">
        <f aca="false">I19/100</f>
        <v>0.0153</v>
      </c>
      <c r="O19" s="3438" t="n">
        <f aca="false">J19/100</f>
        <v>0.0101</v>
      </c>
      <c r="P19" s="3438" t="n">
        <f aca="false">K19/100</f>
        <v>0.0162</v>
      </c>
      <c r="Q19" s="3438" t="n">
        <f aca="false">L19/100</f>
        <v>0.0125</v>
      </c>
      <c r="R19" s="3446"/>
      <c r="S19" s="3445"/>
      <c r="T19" s="3438"/>
      <c r="U19" s="3438"/>
      <c r="V19" s="3438"/>
      <c r="W19" s="3447"/>
      <c r="X19" s="3447" t="n">
        <f aca="false">ROUND(IF(项目基本情况!B8="出让",SUMPRODUCT(PRODUCT(1+N19:N$40)),SUMPRODUCT(PRODUCT(1+N19:N$39))),4)</f>
        <v>1.5422</v>
      </c>
      <c r="Y19" s="3447" t="n">
        <f aca="false">ROUND(IF(项目基本情况!B8="出让",SUMPRODUCT(PRODUCT(1+O19:O$40)),SUMPRODUCT(PRODUCT(1+O19:O$39))),4)</f>
        <v>1.3558</v>
      </c>
      <c r="Z19" s="3447" t="n">
        <f aca="false">Y19</f>
        <v>1.3558</v>
      </c>
      <c r="AA19" s="3447" t="n">
        <f aca="false">ROUND(IF(项目基本情况!B8="出让",SUMPRODUCT(PRODUCT(1+P19:P$40)),SUMPRODUCT(PRODUCT(1+P19:P$39))),4)</f>
        <v>1.6037</v>
      </c>
      <c r="AB19" s="3447" t="n">
        <f aca="false">ROUND(IF(项目基本情况!B8="出让",SUMPRODUCT(PRODUCT(1+Q19:Q$40)),SUMPRODUCT(PRODUCT(1+Q19:Q$39))),4)</f>
        <v>1.3573</v>
      </c>
      <c r="AC19" s="3447"/>
      <c r="AD19" s="3448" t="n">
        <f aca="false">ROUND(AVERAGE(I19:I$40)/100,4)</f>
        <v>0.0213</v>
      </c>
      <c r="AE19" s="3448" t="n">
        <f aca="false">ROUND(AVERAGE(J19:J$40)/100,4)</f>
        <v>0.015</v>
      </c>
      <c r="AF19" s="3448" t="n">
        <f aca="false">AE19</f>
        <v>0.015</v>
      </c>
      <c r="AG19" s="3448" t="n">
        <f aca="false">ROUND(AVERAGE(K19:K$40)/100,4)</f>
        <v>0.0233</v>
      </c>
      <c r="AH19" s="3448" t="n">
        <f aca="false">ROUND(AVERAGE(L19:L$40)/100,4)</f>
        <v>0.0146</v>
      </c>
    </row>
    <row r="20" s="3449" customFormat="true" ht="12.75" hidden="false" customHeight="false" outlineLevel="0" collapsed="false">
      <c r="A20" s="3439" t="s">
        <v>2432</v>
      </c>
      <c r="B20" s="3440" t="n">
        <f aca="false">B21*(1+N20)</f>
        <v>467.159167752619</v>
      </c>
      <c r="C20" s="3440" t="n">
        <f aca="false">C21*(1+O20)</f>
        <v>346.012325571691</v>
      </c>
      <c r="D20" s="3440" t="n">
        <f aca="false">C20</f>
        <v>346.012325571691</v>
      </c>
      <c r="E20" s="3440" t="n">
        <f aca="false">E21*(1+P20)</f>
        <v>667.416177521226</v>
      </c>
      <c r="F20" s="3440" t="n">
        <f aca="false">F21*(1+Q20)</f>
        <v>308.203143917981</v>
      </c>
      <c r="G20" s="3441" t="n">
        <v>2019</v>
      </c>
      <c r="H20" s="3442" t="n">
        <v>1</v>
      </c>
      <c r="I20" s="3442" t="n">
        <v>0.6</v>
      </c>
      <c r="J20" s="3442" t="n">
        <v>0.37</v>
      </c>
      <c r="K20" s="3442" t="n">
        <v>0.63</v>
      </c>
      <c r="L20" s="3460" t="n">
        <v>1.13</v>
      </c>
      <c r="M20" s="3414"/>
      <c r="N20" s="3445" t="n">
        <f aca="false">I20/100</f>
        <v>0.006</v>
      </c>
      <c r="O20" s="3438" t="n">
        <f aca="false">J20/100</f>
        <v>0.0037</v>
      </c>
      <c r="P20" s="3438" t="n">
        <f aca="false">K20/100</f>
        <v>0.0063</v>
      </c>
      <c r="Q20" s="3438" t="n">
        <f aca="false">L20/100</f>
        <v>0.0113</v>
      </c>
      <c r="R20" s="3446"/>
      <c r="S20" s="3445" t="n">
        <f aca="false">B20/B21-1</f>
        <v>0.00600000000000001</v>
      </c>
      <c r="T20" s="3438" t="n">
        <f aca="false">C20/C21-1</f>
        <v>0.00370000000000004</v>
      </c>
      <c r="U20" s="3438" t="n">
        <f aca="false">D20/D21-1</f>
        <v>0.00370000000000004</v>
      </c>
      <c r="V20" s="3438" t="n">
        <f aca="false">E20/E21-1</f>
        <v>0.00629999999999997</v>
      </c>
      <c r="W20" s="3447"/>
      <c r="X20" s="3447" t="n">
        <f aca="false">ROUND(IF(项目基本情况!B8="出让",SUMPRODUCT(PRODUCT(1+N20:N$40)),SUMPRODUCT(PRODUCT(1+N20:N$39))),4)</f>
        <v>1.519</v>
      </c>
      <c r="Y20" s="3447" t="n">
        <f aca="false">ROUND(IF(项目基本情况!B8="出让",SUMPRODUCT(PRODUCT(1+O20:O$40)),SUMPRODUCT(PRODUCT(1+O20:O$39))),4)</f>
        <v>1.3423</v>
      </c>
      <c r="Z20" s="3447" t="n">
        <f aca="false">Y20</f>
        <v>1.3423</v>
      </c>
      <c r="AA20" s="3447" t="n">
        <f aca="false">ROUND(IF(项目基本情况!B8="出让",SUMPRODUCT(PRODUCT(1+P20:P$40)),SUMPRODUCT(PRODUCT(1+P20:P$39))),4)</f>
        <v>1.5782</v>
      </c>
      <c r="AB20" s="3447" t="n">
        <f aca="false">ROUND(IF(项目基本情况!B8="出让",SUMPRODUCT(PRODUCT(1+Q20:Q$40)),SUMPRODUCT(PRODUCT(1+Q20:Q$39))),4)</f>
        <v>1.3405</v>
      </c>
      <c r="AC20" s="3447"/>
      <c r="AD20" s="3448" t="n">
        <f aca="false">ROUND(AVERAGE(I20:I$40)/100,4)</f>
        <v>0.0216</v>
      </c>
      <c r="AE20" s="3448" t="n">
        <f aca="false">ROUND(AVERAGE(J20:J$40)/100,4)</f>
        <v>0.0153</v>
      </c>
      <c r="AF20" s="3448" t="n">
        <f aca="false">AE20</f>
        <v>0.0153</v>
      </c>
      <c r="AG20" s="3448" t="n">
        <f aca="false">ROUND(AVERAGE(K20:K$40)/100,4)</f>
        <v>0.0237</v>
      </c>
      <c r="AH20" s="3448" t="n">
        <f aca="false">ROUND(AVERAGE(L20:L$40)/100,4)</f>
        <v>0.0147</v>
      </c>
    </row>
    <row r="21" s="3449" customFormat="true" ht="12.75" hidden="false" customHeight="false" outlineLevel="0" collapsed="false">
      <c r="A21" s="3439" t="s">
        <v>2433</v>
      </c>
      <c r="B21" s="3463" t="n">
        <f aca="false">B22*(1+N21)</f>
        <v>464.372930171589</v>
      </c>
      <c r="C21" s="3463" t="n">
        <f aca="false">C22*(1+O21)</f>
        <v>344.73679941386</v>
      </c>
      <c r="D21" s="3463" t="n">
        <f aca="false">C21</f>
        <v>344.73679941386</v>
      </c>
      <c r="E21" s="3463" t="n">
        <f aca="false">E22*(1+P21)</f>
        <v>663.237779510311</v>
      </c>
      <c r="F21" s="3464" t="n">
        <f aca="false">F22*(1+Q21)</f>
        <v>304.759363114784</v>
      </c>
      <c r="G21" s="3465" t="n">
        <v>2018</v>
      </c>
      <c r="H21" s="3461" t="n">
        <v>4</v>
      </c>
      <c r="I21" s="3461" t="n">
        <v>0.96</v>
      </c>
      <c r="J21" s="3461" t="n">
        <v>1.03</v>
      </c>
      <c r="K21" s="3461" t="n">
        <v>0.92</v>
      </c>
      <c r="L21" s="3462" t="n">
        <v>1.29</v>
      </c>
      <c r="M21" s="3414"/>
      <c r="N21" s="3445" t="n">
        <f aca="false">I21/100</f>
        <v>0.0096</v>
      </c>
      <c r="O21" s="3438" t="n">
        <f aca="false">J21/100</f>
        <v>0.0103</v>
      </c>
      <c r="P21" s="3438" t="n">
        <f aca="false">K21/100</f>
        <v>0.0092</v>
      </c>
      <c r="Q21" s="3438" t="n">
        <f aca="false">L21/100</f>
        <v>0.0129</v>
      </c>
      <c r="R21" s="3446"/>
      <c r="S21" s="3445"/>
      <c r="T21" s="3438"/>
      <c r="U21" s="3438"/>
      <c r="V21" s="3438"/>
      <c r="W21" s="3447"/>
      <c r="X21" s="3447" t="n">
        <f aca="false">ROUND(SUMPRODUCT(PRODUCT(1+N21:N$39)),4)</f>
        <v>1.5099</v>
      </c>
      <c r="Y21" s="3447" t="n">
        <f aca="false">ROUND(SUMPRODUCT(PRODUCT(1+O21:O$39)),4)</f>
        <v>1.3373</v>
      </c>
      <c r="Z21" s="3447" t="n">
        <f aca="false">Y21</f>
        <v>1.3373</v>
      </c>
      <c r="AA21" s="3447" t="n">
        <f aca="false">ROUND(SUMPRODUCT(PRODUCT(1+P21:P$39)),4)</f>
        <v>1.5683</v>
      </c>
      <c r="AB21" s="3447" t="n">
        <f aca="false">ROUND(SUMPRODUCT(PRODUCT(1+Q21:Q$39)),4)</f>
        <v>1.3256</v>
      </c>
      <c r="AC21" s="3447"/>
      <c r="AD21" s="3448" t="n">
        <f aca="false">ROUND(AVERAGE(I21:I$40)/100,4)</f>
        <v>0.0224</v>
      </c>
      <c r="AE21" s="3448" t="n">
        <f aca="false">ROUND(AVERAGE(J21:J$40)/100,4)</f>
        <v>0.0158</v>
      </c>
      <c r="AF21" s="3448" t="n">
        <f aca="false">AE21</f>
        <v>0.0158</v>
      </c>
      <c r="AG21" s="3448" t="n">
        <f aca="false">ROUND(AVERAGE(K21:K$40)/100,4)</f>
        <v>0.0245</v>
      </c>
      <c r="AH21" s="3448" t="n">
        <f aca="false">ROUND(AVERAGE(L21:L$40)/100,4)</f>
        <v>0.0149</v>
      </c>
    </row>
    <row r="22" s="3449" customFormat="true" ht="14.45" hidden="false" customHeight="true" outlineLevel="0" collapsed="false">
      <c r="A22" s="3439" t="s">
        <v>2434</v>
      </c>
      <c r="B22" s="3440" t="n">
        <f aca="false">B23*(1+N22)</f>
        <v>459.95733971037</v>
      </c>
      <c r="C22" s="3440" t="n">
        <f aca="false">C23*(1+O22)</f>
        <v>341.222210644224</v>
      </c>
      <c r="D22" s="3440" t="n">
        <f aca="false">C22</f>
        <v>341.222210644224</v>
      </c>
      <c r="E22" s="3440" t="n">
        <f aca="false">E23*(1+P22)</f>
        <v>657.191616637248</v>
      </c>
      <c r="F22" s="3440" t="n">
        <f aca="false">F23*(1+Q22)</f>
        <v>300.878036444648</v>
      </c>
      <c r="G22" s="3465"/>
      <c r="H22" s="3442" t="n">
        <v>3</v>
      </c>
      <c r="I22" s="3442" t="n">
        <v>1.51</v>
      </c>
      <c r="J22" s="3442" t="n">
        <v>1.41</v>
      </c>
      <c r="K22" s="3442" t="n">
        <v>1.52</v>
      </c>
      <c r="L22" s="3460" t="n">
        <v>1.74</v>
      </c>
      <c r="M22" s="3414"/>
      <c r="N22" s="3445" t="n">
        <f aca="false">I22/100</f>
        <v>0.0151</v>
      </c>
      <c r="O22" s="3438" t="n">
        <f aca="false">J22/100</f>
        <v>0.0141</v>
      </c>
      <c r="P22" s="3438" t="n">
        <f aca="false">K22/100</f>
        <v>0.0152</v>
      </c>
      <c r="Q22" s="3438" t="n">
        <f aca="false">L22/100</f>
        <v>0.0174</v>
      </c>
      <c r="R22" s="3446"/>
      <c r="S22" s="3445"/>
      <c r="T22" s="3438"/>
      <c r="U22" s="3438"/>
      <c r="V22" s="3438"/>
      <c r="W22" s="3447"/>
      <c r="X22" s="3447" t="n">
        <f aca="false">ROUND(SUMPRODUCT(PRODUCT(1+N22:N$39)),4)</f>
        <v>1.4956</v>
      </c>
      <c r="Y22" s="3447" t="n">
        <f aca="false">ROUND(SUMPRODUCT(PRODUCT(1+O22:O$39)),4)</f>
        <v>1.3237</v>
      </c>
      <c r="Z22" s="3447" t="n">
        <f aca="false">Y22</f>
        <v>1.3237</v>
      </c>
      <c r="AA22" s="3447" t="n">
        <f aca="false">ROUND(SUMPRODUCT(PRODUCT(1+P22:P$39)),4)</f>
        <v>1.554</v>
      </c>
      <c r="AB22" s="3447" t="n">
        <f aca="false">ROUND(SUMPRODUCT(PRODUCT(1+Q22:Q$39)),4)</f>
        <v>1.3087</v>
      </c>
      <c r="AC22" s="3447"/>
      <c r="AD22" s="3448" t="n">
        <f aca="false">ROUND(AVERAGE(I22:I$40)/100,4)</f>
        <v>0.0231</v>
      </c>
      <c r="AE22" s="3448" t="n">
        <f aca="false">ROUND(AVERAGE(J22:J$40)/100,4)</f>
        <v>0.0161</v>
      </c>
      <c r="AF22" s="3448" t="n">
        <f aca="false">AE22</f>
        <v>0.0161</v>
      </c>
      <c r="AG22" s="3448" t="n">
        <f aca="false">ROUND(AVERAGE(K22:K$40)/100,4)</f>
        <v>0.0253</v>
      </c>
      <c r="AH22" s="3448" t="n">
        <f aca="false">ROUND(AVERAGE(L22:L$40)/100,4)</f>
        <v>0.015</v>
      </c>
    </row>
    <row r="23" s="3449" customFormat="true" ht="14.45" hidden="false" customHeight="true" outlineLevel="0" collapsed="false">
      <c r="A23" s="3439" t="s">
        <v>2435</v>
      </c>
      <c r="B23" s="3440" t="n">
        <f aca="false">B24*(1+N23)</f>
        <v>453.1152987</v>
      </c>
      <c r="C23" s="3440" t="n">
        <f aca="false">C24*(1+O23)</f>
        <v>336.47787264</v>
      </c>
      <c r="D23" s="3440" t="n">
        <f aca="false">C23</f>
        <v>336.47787264</v>
      </c>
      <c r="E23" s="3440" t="n">
        <f aca="false">E24*(1+P23)</f>
        <v>647.35186824</v>
      </c>
      <c r="F23" s="3440" t="n">
        <f aca="false">F24*(1+Q23)</f>
        <v>295.73229452</v>
      </c>
      <c r="G23" s="3465"/>
      <c r="H23" s="3466" t="n">
        <v>2</v>
      </c>
      <c r="I23" s="3466" t="n">
        <v>1.49</v>
      </c>
      <c r="J23" s="3466" t="n">
        <v>0.96</v>
      </c>
      <c r="K23" s="3466" t="n">
        <v>1.58</v>
      </c>
      <c r="L23" s="3467" t="n">
        <v>2.44</v>
      </c>
      <c r="M23" s="3414"/>
      <c r="N23" s="3445" t="n">
        <f aca="false">I23/100</f>
        <v>0.0149</v>
      </c>
      <c r="O23" s="3438" t="n">
        <f aca="false">J23/100</f>
        <v>0.0096</v>
      </c>
      <c r="P23" s="3438" t="n">
        <f aca="false">K23/100</f>
        <v>0.0158</v>
      </c>
      <c r="Q23" s="3438" t="n">
        <f aca="false">L23/100</f>
        <v>0.0244</v>
      </c>
      <c r="R23" s="3446"/>
      <c r="S23" s="3445"/>
      <c r="T23" s="3438"/>
      <c r="U23" s="3438"/>
      <c r="V23" s="3438"/>
      <c r="W23" s="3447"/>
      <c r="X23" s="3447" t="n">
        <f aca="false">ROUND(SUMPRODUCT(PRODUCT(1+N23:N$39)),4)</f>
        <v>1.4733</v>
      </c>
      <c r="Y23" s="3447" t="n">
        <f aca="false">ROUND(SUMPRODUCT(PRODUCT(1+O23:O$39)),4)</f>
        <v>1.3053</v>
      </c>
      <c r="Z23" s="3447" t="n">
        <f aca="false">Y23</f>
        <v>1.3053</v>
      </c>
      <c r="AA23" s="3447" t="n">
        <f aca="false">ROUND(SUMPRODUCT(PRODUCT(1+P23:P$39)),4)</f>
        <v>1.5307</v>
      </c>
      <c r="AB23" s="3447" t="n">
        <f aca="false">ROUND(SUMPRODUCT(PRODUCT(1+Q23:Q$39)),4)</f>
        <v>1.2863</v>
      </c>
      <c r="AC23" s="3447"/>
      <c r="AD23" s="3448" t="n">
        <f aca="false">ROUND(AVERAGE(I23:I$40)/100,4)</f>
        <v>0.0235</v>
      </c>
      <c r="AE23" s="3448" t="n">
        <f aca="false">ROUND(AVERAGE(J23:J$40)/100,4)</f>
        <v>0.0162</v>
      </c>
      <c r="AF23" s="3448" t="n">
        <f aca="false">AE23</f>
        <v>0.0162</v>
      </c>
      <c r="AG23" s="3448" t="n">
        <f aca="false">ROUND(AVERAGE(K23:K$40)/100,4)</f>
        <v>0.0259</v>
      </c>
      <c r="AH23" s="3448" t="n">
        <f aca="false">ROUND(AVERAGE(L23:L$40)/100,4)</f>
        <v>0.0149</v>
      </c>
    </row>
    <row r="24" s="3449" customFormat="true" ht="15" hidden="false" customHeight="true" outlineLevel="0" collapsed="false">
      <c r="A24" s="3439" t="s">
        <v>2436</v>
      </c>
      <c r="B24" s="3440" t="n">
        <f aca="false">B25*(1+N24)</f>
        <v>446.463</v>
      </c>
      <c r="C24" s="3440" t="n">
        <f aca="false">C25*(1+O24)</f>
        <v>333.2784</v>
      </c>
      <c r="D24" s="3440" t="n">
        <f aca="false">C24</f>
        <v>333.2784</v>
      </c>
      <c r="E24" s="3440" t="n">
        <f aca="false">E25*(1+P24)</f>
        <v>637.2828</v>
      </c>
      <c r="F24" s="3440" t="n">
        <f aca="false">F25*(1+Q24)</f>
        <v>288.6883</v>
      </c>
      <c r="G24" s="3465"/>
      <c r="H24" s="3442" t="n">
        <v>1</v>
      </c>
      <c r="I24" s="3442" t="n">
        <v>1.7</v>
      </c>
      <c r="J24" s="3442" t="n">
        <v>1.92</v>
      </c>
      <c r="K24" s="3442" t="n">
        <v>1.64</v>
      </c>
      <c r="L24" s="3460" t="n">
        <v>2.01</v>
      </c>
      <c r="M24" s="3414"/>
      <c r="N24" s="3445" t="n">
        <f aca="false">I24/100</f>
        <v>0.017</v>
      </c>
      <c r="O24" s="3438" t="n">
        <f aca="false">J24/100</f>
        <v>0.0192</v>
      </c>
      <c r="P24" s="3438" t="n">
        <f aca="false">K24/100</f>
        <v>0.0164</v>
      </c>
      <c r="Q24" s="3438" t="n">
        <f aca="false">L24/100</f>
        <v>0.0201</v>
      </c>
      <c r="R24" s="3446"/>
      <c r="S24" s="3445" t="n">
        <f aca="false">B24/B25-1</f>
        <v>0.0169999999999999</v>
      </c>
      <c r="T24" s="3438" t="n">
        <f aca="false">C24/C25-1</f>
        <v>0.0192000000000001</v>
      </c>
      <c r="U24" s="3438" t="n">
        <f aca="false">D24/D25-1</f>
        <v>0.0192000000000001</v>
      </c>
      <c r="V24" s="3438" t="n">
        <f aca="false">E24/E25-1</f>
        <v>0.0164</v>
      </c>
      <c r="W24" s="3447"/>
      <c r="X24" s="3447" t="n">
        <f aca="false">ROUND(SUMPRODUCT(PRODUCT(1+N24:N$39)),4)</f>
        <v>1.4517</v>
      </c>
      <c r="Y24" s="3447" t="n">
        <f aca="false">ROUND(SUMPRODUCT(PRODUCT(1+O24:O$39)),4)</f>
        <v>1.2929</v>
      </c>
      <c r="Z24" s="3447" t="n">
        <f aca="false">Y24</f>
        <v>1.2929</v>
      </c>
      <c r="AA24" s="3447" t="n">
        <f aca="false">ROUND(SUMPRODUCT(PRODUCT(1+P24:P$39)),4)</f>
        <v>1.5069</v>
      </c>
      <c r="AB24" s="3447" t="n">
        <f aca="false">ROUND(SUMPRODUCT(PRODUCT(1+Q24:Q$39)),4)</f>
        <v>1.2557</v>
      </c>
      <c r="AC24" s="3447"/>
      <c r="AD24" s="3448" t="n">
        <f aca="false">ROUND(AVERAGE(I24:I$40)/100,4)</f>
        <v>0.024</v>
      </c>
      <c r="AE24" s="3448" t="n">
        <f aca="false">ROUND(AVERAGE(J24:J$40)/100,4)</f>
        <v>0.0166</v>
      </c>
      <c r="AF24" s="3448" t="n">
        <f aca="false">AE24</f>
        <v>0.0166</v>
      </c>
      <c r="AG24" s="3448" t="n">
        <f aca="false">ROUND(AVERAGE(K24:K$40)/100,4)</f>
        <v>0.0265</v>
      </c>
      <c r="AH24" s="3448" t="n">
        <f aca="false">ROUND(AVERAGE(L24:L$40)/100,4)</f>
        <v>0.0143</v>
      </c>
    </row>
    <row r="25" customFormat="false" ht="12.75" hidden="false" customHeight="false" outlineLevel="0" collapsed="false">
      <c r="A25" s="3439" t="s">
        <v>2437</v>
      </c>
      <c r="B25" s="3468" t="n">
        <v>439</v>
      </c>
      <c r="C25" s="3468" t="n">
        <v>327</v>
      </c>
      <c r="D25" s="3468" t="n">
        <f aca="false">C25</f>
        <v>327</v>
      </c>
      <c r="E25" s="3468" t="n">
        <v>627</v>
      </c>
      <c r="F25" s="3469" t="n">
        <v>283</v>
      </c>
      <c r="G25" s="3470" t="n">
        <v>2017</v>
      </c>
      <c r="H25" s="3461" t="n">
        <v>4</v>
      </c>
      <c r="I25" s="3461" t="n">
        <v>1.71</v>
      </c>
      <c r="J25" s="3461" t="n">
        <v>1.78</v>
      </c>
      <c r="K25" s="3461" t="n">
        <v>1.71</v>
      </c>
      <c r="L25" s="3462" t="n">
        <v>1.43</v>
      </c>
      <c r="N25" s="3445" t="n">
        <f aca="false">I25/100</f>
        <v>0.0171</v>
      </c>
      <c r="O25" s="3438" t="n">
        <f aca="false">J25/100</f>
        <v>0.0178</v>
      </c>
      <c r="P25" s="3438" t="n">
        <f aca="false">K25/100</f>
        <v>0.0171</v>
      </c>
      <c r="Q25" s="3438" t="n">
        <f aca="false">L25/100</f>
        <v>0.0143</v>
      </c>
      <c r="R25" s="3446"/>
      <c r="S25" s="3471"/>
      <c r="T25" s="3472"/>
      <c r="U25" s="3472"/>
      <c r="V25" s="3472"/>
      <c r="X25" s="3414" t="n">
        <f aca="false">ROUND(SUMPRODUCT(PRODUCT(1+N25:N$39)),4)</f>
        <v>1.4274</v>
      </c>
      <c r="Y25" s="3414" t="n">
        <f aca="false">ROUND(SUMPRODUCT(PRODUCT(1+O25:O$39)),4)</f>
        <v>1.2685</v>
      </c>
      <c r="Z25" s="3414" t="n">
        <f aca="false">Y25</f>
        <v>1.2685</v>
      </c>
      <c r="AA25" s="3414" t="n">
        <f aca="false">ROUND(SUMPRODUCT(PRODUCT(1+P25:P$39)),4)</f>
        <v>1.4826</v>
      </c>
      <c r="AB25" s="3414" t="n">
        <f aca="false">ROUND(SUMPRODUCT(PRODUCT(1+Q25:Q$39)),4)</f>
        <v>1.2309</v>
      </c>
      <c r="AD25" s="3438" t="n">
        <f aca="false">ROUND(AVERAGE(I25:I$40)/100,4)</f>
        <v>0.0245</v>
      </c>
      <c r="AE25" s="3438" t="n">
        <f aca="false">ROUND(AVERAGE(J25:J$40)/100,4)</f>
        <v>0.0165</v>
      </c>
      <c r="AF25" s="3438" t="n">
        <f aca="false">AE25</f>
        <v>0.0165</v>
      </c>
      <c r="AG25" s="3438" t="n">
        <f aca="false">ROUND(AVERAGE(K25:K$40)/100,4)</f>
        <v>0.0271</v>
      </c>
      <c r="AH25" s="3438" t="n">
        <f aca="false">ROUND(AVERAGE(L25:L$40)/100,4)</f>
        <v>0.0139</v>
      </c>
    </row>
    <row r="26" s="3449" customFormat="true" ht="14.45" hidden="false" customHeight="true" outlineLevel="0" collapsed="false">
      <c r="A26" s="3439" t="s">
        <v>2438</v>
      </c>
      <c r="B26" s="3440" t="n">
        <f aca="false">B27*(1+N26)</f>
        <v>431.8073081168</v>
      </c>
      <c r="C26" s="3440" t="n">
        <f aca="false">C27*(1+O26)</f>
        <v>320.5788051648</v>
      </c>
      <c r="D26" s="3440" t="n">
        <f aca="false">C26</f>
        <v>320.5788051648</v>
      </c>
      <c r="E26" s="3440" t="n">
        <f aca="false">E27*(1+P26)</f>
        <v>615.961105531968</v>
      </c>
      <c r="F26" s="3440" t="n">
        <f aca="false">F27*(1+Q26)</f>
        <v>279.467773001088</v>
      </c>
      <c r="G26" s="3470"/>
      <c r="H26" s="3442" t="n">
        <v>3</v>
      </c>
      <c r="I26" s="3442" t="n">
        <v>2.98</v>
      </c>
      <c r="J26" s="3442" t="n">
        <v>2.11</v>
      </c>
      <c r="K26" s="3442" t="n">
        <v>3.24</v>
      </c>
      <c r="L26" s="3460" t="n">
        <v>1.72</v>
      </c>
      <c r="M26" s="3414"/>
      <c r="N26" s="3445" t="n">
        <f aca="false">I26/100</f>
        <v>0.0298</v>
      </c>
      <c r="O26" s="3438" t="n">
        <f aca="false">J26/100</f>
        <v>0.0211</v>
      </c>
      <c r="P26" s="3438" t="n">
        <f aca="false">K26/100</f>
        <v>0.0324</v>
      </c>
      <c r="Q26" s="3438" t="n">
        <f aca="false">L26/100</f>
        <v>0.0172</v>
      </c>
      <c r="R26" s="3446"/>
      <c r="S26" s="3445"/>
      <c r="T26" s="3438"/>
      <c r="U26" s="3438"/>
      <c r="V26" s="3438"/>
      <c r="W26" s="3447"/>
      <c r="X26" s="3447" t="n">
        <f aca="false">ROUND(SUMPRODUCT(PRODUCT(1+N26:N$39)),4)</f>
        <v>1.4034</v>
      </c>
      <c r="Y26" s="3447" t="n">
        <f aca="false">ROUND(SUMPRODUCT(PRODUCT(1+O26:O$39)),4)</f>
        <v>1.2463</v>
      </c>
      <c r="Z26" s="3447" t="n">
        <f aca="false">Y26</f>
        <v>1.2463</v>
      </c>
      <c r="AA26" s="3447" t="n">
        <f aca="false">ROUND(SUMPRODUCT(PRODUCT(1+P26:P$39)),4)</f>
        <v>1.4577</v>
      </c>
      <c r="AB26" s="3447" t="n">
        <f aca="false">ROUND(SUMPRODUCT(PRODUCT(1+Q26:Q$39)),4)</f>
        <v>1.2136</v>
      </c>
      <c r="AC26" s="3447"/>
      <c r="AD26" s="3448" t="n">
        <f aca="false">ROUND(AVERAGE(I26:I$40)/100,4)</f>
        <v>0.0249</v>
      </c>
      <c r="AE26" s="3448" t="n">
        <f aca="false">ROUND(AVERAGE(J26:J$40)/100,4)</f>
        <v>0.0164</v>
      </c>
      <c r="AF26" s="3448" t="n">
        <f aca="false">AE26</f>
        <v>0.0164</v>
      </c>
      <c r="AG26" s="3448" t="n">
        <f aca="false">ROUND(AVERAGE(K26:K$40)/100,4)</f>
        <v>0.0278</v>
      </c>
      <c r="AH26" s="3448" t="n">
        <f aca="false">ROUND(AVERAGE(L26:L$40)/100,4)</f>
        <v>0.0139</v>
      </c>
    </row>
    <row r="27" s="3454" customFormat="true" ht="14.45" hidden="false" customHeight="true" outlineLevel="0" collapsed="false">
      <c r="A27" s="3439" t="s">
        <v>2439</v>
      </c>
      <c r="B27" s="3440" t="n">
        <f aca="false">B28*(1+N27)</f>
        <v>419.311816</v>
      </c>
      <c r="C27" s="3440" t="n">
        <f aca="false">C28*(1+O27)</f>
        <v>313.954368</v>
      </c>
      <c r="D27" s="3440" t="n">
        <f aca="false">C27</f>
        <v>313.954368</v>
      </c>
      <c r="E27" s="3440" t="n">
        <f aca="false">E28*(1+P27)</f>
        <v>596.63028432</v>
      </c>
      <c r="F27" s="3440" t="n">
        <f aca="false">F28*(1+Q27)</f>
        <v>274.74220704</v>
      </c>
      <c r="G27" s="3470"/>
      <c r="H27" s="3466" t="n">
        <v>2</v>
      </c>
      <c r="I27" s="3466" t="n">
        <v>3.4</v>
      </c>
      <c r="J27" s="3466" t="n">
        <v>2</v>
      </c>
      <c r="K27" s="3466" t="n">
        <v>3.82</v>
      </c>
      <c r="L27" s="3467" t="n">
        <v>1.68</v>
      </c>
      <c r="M27" s="3414"/>
      <c r="N27" s="3445" t="n">
        <f aca="false">I27/100</f>
        <v>0.034</v>
      </c>
      <c r="O27" s="3438" t="n">
        <f aca="false">J27/100</f>
        <v>0.02</v>
      </c>
      <c r="P27" s="3438" t="n">
        <f aca="false">K27/100</f>
        <v>0.0382</v>
      </c>
      <c r="Q27" s="3438" t="n">
        <f aca="false">L27/100</f>
        <v>0.0168</v>
      </c>
      <c r="R27" s="3446"/>
      <c r="S27" s="3471"/>
      <c r="T27" s="3472"/>
      <c r="U27" s="3472"/>
      <c r="V27" s="3472"/>
      <c r="W27" s="3432"/>
      <c r="X27" s="3447" t="n">
        <f aca="false">ROUND(SUMPRODUCT(PRODUCT(1+N27:N$39)),4)</f>
        <v>1.3628</v>
      </c>
      <c r="Y27" s="3447" t="n">
        <f aca="false">ROUND(SUMPRODUCT(PRODUCT(1+O27:O$39)),4)</f>
        <v>1.2206</v>
      </c>
      <c r="Z27" s="3447" t="n">
        <f aca="false">Y27</f>
        <v>1.2206</v>
      </c>
      <c r="AA27" s="3447" t="n">
        <f aca="false">ROUND(SUMPRODUCT(PRODUCT(1+P27:P$39)),4)</f>
        <v>1.4119</v>
      </c>
      <c r="AB27" s="3447" t="n">
        <f aca="false">ROUND(SUMPRODUCT(PRODUCT(1+Q27:Q$39)),4)</f>
        <v>1.193</v>
      </c>
      <c r="AC27" s="3432"/>
      <c r="AD27" s="3448" t="n">
        <f aca="false">ROUND(AVERAGE(I27:I$40)/100,4)</f>
        <v>0.0246</v>
      </c>
      <c r="AE27" s="3448" t="n">
        <f aca="false">ROUND(AVERAGE(J27:J$40)/100,4)</f>
        <v>0.016</v>
      </c>
      <c r="AF27" s="3448" t="n">
        <f aca="false">AE27</f>
        <v>0.016</v>
      </c>
      <c r="AG27" s="3448" t="n">
        <f aca="false">ROUND(AVERAGE(K27:K$40)/100,4)</f>
        <v>0.0275</v>
      </c>
      <c r="AH27" s="3448" t="n">
        <f aca="false">ROUND(AVERAGE(L27:L$40)/100,4)</f>
        <v>0.0137</v>
      </c>
    </row>
    <row r="28" s="3449" customFormat="true" ht="15" hidden="false" customHeight="true" outlineLevel="0" collapsed="false">
      <c r="A28" s="3439" t="s">
        <v>2440</v>
      </c>
      <c r="B28" s="3440" t="n">
        <f aca="false">B29*(1+N28)</f>
        <v>405.524</v>
      </c>
      <c r="C28" s="3440" t="n">
        <f aca="false">C29*(1+O28)</f>
        <v>307.7984</v>
      </c>
      <c r="D28" s="3440" t="n">
        <f aca="false">C28</f>
        <v>307.7984</v>
      </c>
      <c r="E28" s="3440" t="n">
        <f aca="false">E29*(1+P28)</f>
        <v>574.6776</v>
      </c>
      <c r="F28" s="3440" t="n">
        <f aca="false">F29*(1+Q28)</f>
        <v>270.2028</v>
      </c>
      <c r="G28" s="3470"/>
      <c r="H28" s="3442" t="n">
        <v>1</v>
      </c>
      <c r="I28" s="3442" t="n">
        <v>3.45</v>
      </c>
      <c r="J28" s="3442" t="n">
        <v>1.92</v>
      </c>
      <c r="K28" s="3442" t="n">
        <v>3.92</v>
      </c>
      <c r="L28" s="3460" t="n">
        <v>1.58</v>
      </c>
      <c r="M28" s="3414"/>
      <c r="N28" s="3445" t="n">
        <f aca="false">I28/100</f>
        <v>0.0345</v>
      </c>
      <c r="O28" s="3438" t="n">
        <f aca="false">J28/100</f>
        <v>0.0192</v>
      </c>
      <c r="P28" s="3438" t="n">
        <f aca="false">K28/100</f>
        <v>0.0392</v>
      </c>
      <c r="Q28" s="3438" t="n">
        <f aca="false">L28/100</f>
        <v>0.0158</v>
      </c>
      <c r="R28" s="3446"/>
      <c r="S28" s="3445" t="n">
        <f aca="false">B28/B29-1</f>
        <v>0.0345</v>
      </c>
      <c r="T28" s="3438" t="n">
        <f aca="false">C28/C29-1</f>
        <v>0.0192000000000001</v>
      </c>
      <c r="U28" s="3438" t="n">
        <f aca="false">D28/D29-1</f>
        <v>0.0192000000000001</v>
      </c>
      <c r="V28" s="3438" t="n">
        <f aca="false">E28/E29-1</f>
        <v>0.0391999999999999</v>
      </c>
      <c r="W28" s="3447"/>
      <c r="X28" s="3447" t="n">
        <f aca="false">ROUND(SUMPRODUCT(PRODUCT(1+N28:N$39)),4)</f>
        <v>1.318</v>
      </c>
      <c r="Y28" s="3447" t="n">
        <f aca="false">ROUND(SUMPRODUCT(PRODUCT(1+O28:O$39)),4)</f>
        <v>1.1966</v>
      </c>
      <c r="Z28" s="3447" t="n">
        <f aca="false">Y28</f>
        <v>1.1966</v>
      </c>
      <c r="AA28" s="3447" t="n">
        <f aca="false">ROUND(SUMPRODUCT(PRODUCT(1+P28:P$39)),4)</f>
        <v>1.36</v>
      </c>
      <c r="AB28" s="3447" t="n">
        <f aca="false">ROUND(SUMPRODUCT(PRODUCT(1+Q28:Q$39)),4)</f>
        <v>1.1733</v>
      </c>
      <c r="AC28" s="3447"/>
      <c r="AD28" s="3448" t="n">
        <f aca="false">ROUND(AVERAGE(I28:I$40)/100,4)</f>
        <v>0.0239</v>
      </c>
      <c r="AE28" s="3448" t="n">
        <f aca="false">ROUND(AVERAGE(J28:J$40)/100,4)</f>
        <v>0.0157</v>
      </c>
      <c r="AF28" s="3448" t="n">
        <f aca="false">AE28</f>
        <v>0.0157</v>
      </c>
      <c r="AG28" s="3448" t="n">
        <f aca="false">ROUND(AVERAGE(K28:K$40)/100,4)</f>
        <v>0.0266</v>
      </c>
      <c r="AH28" s="3448" t="n">
        <f aca="false">ROUND(AVERAGE(L28:L$40)/100,4)</f>
        <v>0.0134</v>
      </c>
    </row>
    <row r="29" customFormat="false" ht="12.75" hidden="false" customHeight="false" outlineLevel="0" collapsed="false">
      <c r="A29" s="3439" t="s">
        <v>2441</v>
      </c>
      <c r="B29" s="3468" t="n">
        <v>392</v>
      </c>
      <c r="C29" s="3468" t="n">
        <v>302</v>
      </c>
      <c r="D29" s="3468" t="n">
        <f aca="false">C29</f>
        <v>302</v>
      </c>
      <c r="E29" s="3468" t="n">
        <v>553</v>
      </c>
      <c r="F29" s="3469" t="n">
        <v>266</v>
      </c>
      <c r="G29" s="3473" t="n">
        <v>2016</v>
      </c>
      <c r="H29" s="3461" t="n">
        <v>4</v>
      </c>
      <c r="I29" s="3461" t="n">
        <v>4.56</v>
      </c>
      <c r="J29" s="3461" t="n">
        <v>2.15</v>
      </c>
      <c r="K29" s="3461" t="n">
        <v>5.32</v>
      </c>
      <c r="L29" s="3462" t="n">
        <v>1.57</v>
      </c>
      <c r="N29" s="3445" t="n">
        <f aca="false">I29/100</f>
        <v>0.0456</v>
      </c>
      <c r="O29" s="3438" t="n">
        <f aca="false">J29/100</f>
        <v>0.0215</v>
      </c>
      <c r="P29" s="3438" t="n">
        <f aca="false">K29/100</f>
        <v>0.0532</v>
      </c>
      <c r="Q29" s="3438" t="n">
        <f aca="false">L29/100</f>
        <v>0.0157</v>
      </c>
      <c r="R29" s="3446"/>
      <c r="S29" s="3471"/>
      <c r="T29" s="3472"/>
      <c r="U29" s="3472"/>
      <c r="V29" s="3472"/>
      <c r="X29" s="3414" t="n">
        <f aca="false">ROUND(SUMPRODUCT(PRODUCT(1+N29:N$39)),4)</f>
        <v>1.274</v>
      </c>
      <c r="Y29" s="3414" t="n">
        <f aca="false">ROUND(SUMPRODUCT(PRODUCT(1+O29:O$39)),4)</f>
        <v>1.1741</v>
      </c>
      <c r="Z29" s="3414" t="n">
        <f aca="false">Y29</f>
        <v>1.1741</v>
      </c>
      <c r="AA29" s="3414" t="n">
        <f aca="false">ROUND(SUMPRODUCT(PRODUCT(1+P29:P$39)),4)</f>
        <v>1.3087</v>
      </c>
      <c r="AB29" s="3414" t="n">
        <f aca="false">ROUND(SUMPRODUCT(PRODUCT(1+Q29:Q$39)),4)</f>
        <v>1.1551</v>
      </c>
      <c r="AD29" s="3438" t="n">
        <f aca="false">ROUND(AVERAGE(I29:I$40)/100,4)</f>
        <v>0.023</v>
      </c>
      <c r="AE29" s="3438" t="n">
        <f aca="false">ROUND(AVERAGE(J29:J$40)/100,4)</f>
        <v>0.0155</v>
      </c>
      <c r="AF29" s="3438" t="n">
        <f aca="false">AE29</f>
        <v>0.0155</v>
      </c>
      <c r="AG29" s="3438" t="n">
        <f aca="false">ROUND(AVERAGE(K29:K$40)/100,4)</f>
        <v>0.0256</v>
      </c>
      <c r="AH29" s="3438" t="n">
        <f aca="false">ROUND(AVERAGE(L29:L$40)/100,4)</f>
        <v>0.0132</v>
      </c>
    </row>
    <row r="30" customFormat="false" ht="12.75" hidden="false" customHeight="false" outlineLevel="0" collapsed="false">
      <c r="A30" s="3439" t="s">
        <v>2442</v>
      </c>
      <c r="B30" s="3440" t="n">
        <f aca="false">B29/(1+N29)</f>
        <v>374.904361132364</v>
      </c>
      <c r="C30" s="3440" t="n">
        <f aca="false">C29/(1+O29)</f>
        <v>295.643661282428</v>
      </c>
      <c r="D30" s="3440" t="n">
        <f aca="false">C30</f>
        <v>295.643661282428</v>
      </c>
      <c r="E30" s="3440" t="n">
        <f aca="false">E29/(1+P29)</f>
        <v>525.066464109381</v>
      </c>
      <c r="F30" s="3440" t="n">
        <f aca="false">F29/(1+Q29)</f>
        <v>261.888352860096</v>
      </c>
      <c r="G30" s="3473"/>
      <c r="H30" s="3442" t="n">
        <v>3</v>
      </c>
      <c r="I30" s="3442" t="n">
        <v>4.12</v>
      </c>
      <c r="J30" s="3442" t="n">
        <v>2</v>
      </c>
      <c r="K30" s="3442" t="n">
        <v>4.79</v>
      </c>
      <c r="L30" s="3460" t="n">
        <v>1.97</v>
      </c>
      <c r="N30" s="3445" t="n">
        <f aca="false">I30/100</f>
        <v>0.0412</v>
      </c>
      <c r="O30" s="3438" t="n">
        <f aca="false">J30/100</f>
        <v>0.02</v>
      </c>
      <c r="P30" s="3438" t="n">
        <f aca="false">K30/100</f>
        <v>0.0479</v>
      </c>
      <c r="Q30" s="3438" t="n">
        <f aca="false">L30/100</f>
        <v>0.0197</v>
      </c>
      <c r="R30" s="3446"/>
      <c r="S30" s="3445"/>
      <c r="T30" s="3438"/>
      <c r="U30" s="3438"/>
      <c r="V30" s="3438"/>
      <c r="X30" s="3414" t="n">
        <f aca="false">ROUND(SUMPRODUCT(PRODUCT(1+N30:N$39)),4)</f>
        <v>1.2185</v>
      </c>
      <c r="Y30" s="3414" t="n">
        <f aca="false">ROUND(SUMPRODUCT(PRODUCT(1+O30:O$39)),4)</f>
        <v>1.1494</v>
      </c>
      <c r="Z30" s="3414" t="n">
        <f aca="false">Y30</f>
        <v>1.1494</v>
      </c>
      <c r="AA30" s="3414" t="n">
        <f aca="false">ROUND(SUMPRODUCT(PRODUCT(1+P30:P$39)),4)</f>
        <v>1.2426</v>
      </c>
      <c r="AB30" s="3414" t="n">
        <f aca="false">ROUND(SUMPRODUCT(PRODUCT(1+Q30:Q$39)),4)</f>
        <v>1.1372</v>
      </c>
      <c r="AD30" s="3438" t="n">
        <f aca="false">ROUND(AVERAGE(I30:I$40)/100,4)</f>
        <v>0.0209</v>
      </c>
      <c r="AE30" s="3438" t="n">
        <f aca="false">ROUND(AVERAGE(J30:J$40)/100,4)</f>
        <v>0.0149</v>
      </c>
      <c r="AF30" s="3438" t="n">
        <f aca="false">AE30</f>
        <v>0.0149</v>
      </c>
      <c r="AG30" s="3438" t="n">
        <f aca="false">ROUND(AVERAGE(K30:K$40)/100,4)</f>
        <v>0.0231</v>
      </c>
      <c r="AH30" s="3438" t="n">
        <f aca="false">ROUND(AVERAGE(L30:L$40)/100,4)</f>
        <v>0.013</v>
      </c>
    </row>
    <row r="31" customFormat="false" ht="12.75" hidden="false" customHeight="false" outlineLevel="0" collapsed="false">
      <c r="A31" s="3439" t="s">
        <v>2443</v>
      </c>
      <c r="B31" s="3440" t="n">
        <f aca="false">B30/(1+N30)</f>
        <v>360.069497822094</v>
      </c>
      <c r="C31" s="3440" t="n">
        <f aca="false">C30/(1+O30)</f>
        <v>289.846726747478</v>
      </c>
      <c r="D31" s="3440" t="n">
        <f aca="false">C31</f>
        <v>289.846726747478</v>
      </c>
      <c r="E31" s="3440" t="n">
        <f aca="false">E30/(1+P30)</f>
        <v>501.065430011815</v>
      </c>
      <c r="F31" s="3440" t="n">
        <f aca="false">F30/(1+Q30)</f>
        <v>256.82882500745</v>
      </c>
      <c r="G31" s="3473"/>
      <c r="H31" s="3466" t="n">
        <v>2</v>
      </c>
      <c r="I31" s="3466" t="n">
        <v>3.85</v>
      </c>
      <c r="J31" s="3466" t="n">
        <v>1.95</v>
      </c>
      <c r="K31" s="3466" t="n">
        <v>4.48</v>
      </c>
      <c r="L31" s="3467" t="n">
        <v>1.41</v>
      </c>
      <c r="N31" s="3445" t="n">
        <f aca="false">I31/100</f>
        <v>0.0385</v>
      </c>
      <c r="O31" s="3438" t="n">
        <f aca="false">J31/100</f>
        <v>0.0195</v>
      </c>
      <c r="P31" s="3438" t="n">
        <f aca="false">K31/100</f>
        <v>0.0448</v>
      </c>
      <c r="Q31" s="3438" t="n">
        <f aca="false">L31/100</f>
        <v>0.0141</v>
      </c>
      <c r="R31" s="3446"/>
      <c r="S31" s="3445"/>
      <c r="T31" s="3438"/>
      <c r="U31" s="3438"/>
      <c r="V31" s="3438"/>
      <c r="X31" s="3414" t="n">
        <f aca="false">ROUND(SUMPRODUCT(PRODUCT(1+N31:N$39)),4)</f>
        <v>1.1703</v>
      </c>
      <c r="Y31" s="3414" t="n">
        <f aca="false">ROUND(SUMPRODUCT(PRODUCT(1+O31:O$39)),4)</f>
        <v>1.1269</v>
      </c>
      <c r="Z31" s="3414" t="n">
        <f aca="false">Y31</f>
        <v>1.1269</v>
      </c>
      <c r="AA31" s="3414" t="n">
        <f aca="false">ROUND(SUMPRODUCT(PRODUCT(1+P31:P$39)),4)</f>
        <v>1.1858</v>
      </c>
      <c r="AB31" s="3414" t="n">
        <f aca="false">ROUND(SUMPRODUCT(PRODUCT(1+Q31:Q$39)),4)</f>
        <v>1.1152</v>
      </c>
      <c r="AD31" s="3438" t="n">
        <f aca="false">ROUND(AVERAGE(I31:I$40)/100,4)</f>
        <v>0.0189</v>
      </c>
      <c r="AE31" s="3438" t="n">
        <f aca="false">ROUND(AVERAGE(J31:J$40)/100,4)</f>
        <v>0.0144</v>
      </c>
      <c r="AF31" s="3438" t="n">
        <f aca="false">AE31</f>
        <v>0.0144</v>
      </c>
      <c r="AG31" s="3438" t="n">
        <f aca="false">ROUND(AVERAGE(K31:K$40)/100,4)</f>
        <v>0.0206</v>
      </c>
      <c r="AH31" s="3438" t="n">
        <f aca="false">ROUND(AVERAGE(L31:L$40)/100,4)</f>
        <v>0.0123</v>
      </c>
    </row>
    <row r="32" customFormat="false" ht="12.75" hidden="false" customHeight="false" outlineLevel="0" collapsed="false">
      <c r="A32" s="3439" t="s">
        <v>2444</v>
      </c>
      <c r="B32" s="3440" t="n">
        <f aca="false">B31/(1+N31)</f>
        <v>346.720748986128</v>
      </c>
      <c r="C32" s="3440" t="n">
        <f aca="false">C31/(1+O31)</f>
        <v>284.302821723863</v>
      </c>
      <c r="D32" s="3440" t="n">
        <f aca="false">C32</f>
        <v>284.302821723863</v>
      </c>
      <c r="E32" s="3440" t="n">
        <f aca="false">E31/(1+P31)</f>
        <v>479.58023546307</v>
      </c>
      <c r="F32" s="3440" t="n">
        <f aca="false">F31/(1+Q31)</f>
        <v>253.257888775712</v>
      </c>
      <c r="G32" s="3473"/>
      <c r="H32" s="3442" t="n">
        <v>1</v>
      </c>
      <c r="I32" s="3442" t="n">
        <v>4.09</v>
      </c>
      <c r="J32" s="3442" t="n">
        <v>2.93</v>
      </c>
      <c r="K32" s="3442" t="n">
        <v>4.54</v>
      </c>
      <c r="L32" s="3460" t="n">
        <v>1.48</v>
      </c>
      <c r="N32" s="3445" t="n">
        <f aca="false">I32/100</f>
        <v>0.0409</v>
      </c>
      <c r="O32" s="3438" t="n">
        <f aca="false">J32/100</f>
        <v>0.0293</v>
      </c>
      <c r="P32" s="3438" t="n">
        <f aca="false">K32/100</f>
        <v>0.0454</v>
      </c>
      <c r="Q32" s="3438" t="n">
        <f aca="false">L32/100</f>
        <v>0.0148</v>
      </c>
      <c r="R32" s="3446"/>
      <c r="S32" s="3474" t="n">
        <f aca="false">B32/B33-1</f>
        <v>0.0412034504087928</v>
      </c>
      <c r="T32" s="3475" t="n">
        <f aca="false">C32/C33-1</f>
        <v>0.0263639773424651</v>
      </c>
      <c r="U32" s="3475" t="n">
        <f aca="false">E32/E33-1</f>
        <v>0.0448371142986264</v>
      </c>
      <c r="V32" s="3475" t="n">
        <f aca="false">F32/F33-1</f>
        <v>0.0170999549225386</v>
      </c>
      <c r="X32" s="3414" t="n">
        <f aca="false">ROUND(SUMPRODUCT(PRODUCT(1+N32:N$39)),4)</f>
        <v>1.1269</v>
      </c>
      <c r="Y32" s="3414" t="n">
        <f aca="false">ROUND(SUMPRODUCT(PRODUCT(1+O32:O$39)),4)</f>
        <v>1.1053</v>
      </c>
      <c r="Z32" s="3414" t="n">
        <f aca="false">Y32</f>
        <v>1.1053</v>
      </c>
      <c r="AA32" s="3414" t="n">
        <f aca="false">ROUND(SUMPRODUCT(PRODUCT(1+P32:P$39)),4)</f>
        <v>1.1349</v>
      </c>
      <c r="AB32" s="3414" t="n">
        <f aca="false">ROUND(SUMPRODUCT(PRODUCT(1+Q32:Q$39)),4)</f>
        <v>1.0997</v>
      </c>
      <c r="AD32" s="3438" t="n">
        <f aca="false">ROUND(AVERAGE(I32:I$40)/100,4)</f>
        <v>0.0167</v>
      </c>
      <c r="AE32" s="3438" t="n">
        <f aca="false">ROUND(AVERAGE(J32:J$40)/100,4)</f>
        <v>0.0138</v>
      </c>
      <c r="AF32" s="3438" t="n">
        <f aca="false">AE32</f>
        <v>0.0138</v>
      </c>
      <c r="AG32" s="3438" t="n">
        <f aca="false">ROUND(AVERAGE(K32:K$40)/100,4)</f>
        <v>0.0179</v>
      </c>
      <c r="AH32" s="3438" t="n">
        <f aca="false">ROUND(AVERAGE(L32:L$40)/100,4)</f>
        <v>0.0121</v>
      </c>
    </row>
    <row r="33" customFormat="false" ht="12.75" hidden="false" customHeight="false" outlineLevel="0" collapsed="false">
      <c r="A33" s="3439" t="s">
        <v>2445</v>
      </c>
      <c r="B33" s="3468" t="n">
        <v>333</v>
      </c>
      <c r="C33" s="3468" t="n">
        <v>277</v>
      </c>
      <c r="D33" s="3468" t="n">
        <f aca="false">C33</f>
        <v>277</v>
      </c>
      <c r="E33" s="3468" t="n">
        <v>459</v>
      </c>
      <c r="F33" s="3469" t="n">
        <v>249</v>
      </c>
      <c r="G33" s="3476" t="n">
        <v>2015</v>
      </c>
      <c r="H33" s="3477" t="n">
        <v>4</v>
      </c>
      <c r="I33" s="3477" t="n">
        <v>1.63</v>
      </c>
      <c r="J33" s="3477" t="n">
        <v>1.11</v>
      </c>
      <c r="K33" s="3477" t="n">
        <v>1.77</v>
      </c>
      <c r="L33" s="3478" t="n">
        <v>1.89</v>
      </c>
      <c r="N33" s="3479" t="n">
        <f aca="false">I33/100</f>
        <v>0.0163</v>
      </c>
      <c r="O33" s="3480" t="n">
        <f aca="false">J33/100</f>
        <v>0.0111</v>
      </c>
      <c r="P33" s="3480" t="n">
        <f aca="false">K33/100</f>
        <v>0.0177</v>
      </c>
      <c r="Q33" s="3480" t="n">
        <f aca="false">L33/100</f>
        <v>0.0189</v>
      </c>
      <c r="R33" s="3446"/>
      <c r="X33" s="3414" t="n">
        <f aca="false">ROUND(SUMPRODUCT(PRODUCT(1+N33:N$39)),4)</f>
        <v>1.0826</v>
      </c>
      <c r="Y33" s="3414" t="n">
        <f aca="false">ROUND(SUMPRODUCT(PRODUCT(1+O33:O$39)),4)</f>
        <v>1.0738</v>
      </c>
      <c r="Z33" s="3414" t="n">
        <f aca="false">Y33</f>
        <v>1.0738</v>
      </c>
      <c r="AA33" s="3414" t="n">
        <f aca="false">ROUND(SUMPRODUCT(PRODUCT(1+P33:P$39)),4)</f>
        <v>1.0856</v>
      </c>
      <c r="AB33" s="3414" t="n">
        <f aca="false">ROUND(SUMPRODUCT(PRODUCT(1+Q33:Q$39)),4)</f>
        <v>1.0837</v>
      </c>
      <c r="AD33" s="3438" t="n">
        <f aca="false">ROUND(AVERAGE(I33:I$40)/100,4)</f>
        <v>0.0137</v>
      </c>
      <c r="AE33" s="3438" t="n">
        <f aca="false">ROUND(AVERAGE(J33:J$40)/100,4)</f>
        <v>0.0119</v>
      </c>
      <c r="AF33" s="3438" t="n">
        <f aca="false">AE33</f>
        <v>0.0119</v>
      </c>
      <c r="AG33" s="3438" t="n">
        <f aca="false">ROUND(AVERAGE(K33:K$40)/100,4)</f>
        <v>0.0145</v>
      </c>
      <c r="AH33" s="3438" t="n">
        <f aca="false">ROUND(AVERAGE(L33:L$40)/100,4)</f>
        <v>0.0118</v>
      </c>
    </row>
    <row r="34" customFormat="false" ht="12.75" hidden="false" customHeight="false" outlineLevel="0" collapsed="false">
      <c r="A34" s="3439" t="s">
        <v>2446</v>
      </c>
      <c r="B34" s="3440" t="n">
        <f aca="false">B33/(1+N33)</f>
        <v>327.659155761094</v>
      </c>
      <c r="C34" s="3440" t="n">
        <f aca="false">C33/(1+O33)</f>
        <v>273.959054495104</v>
      </c>
      <c r="D34" s="3440" t="n">
        <f aca="false">C34</f>
        <v>273.959054495104</v>
      </c>
      <c r="E34" s="3440" t="n">
        <f aca="false">E33/(1+P33)</f>
        <v>451.016999115653</v>
      </c>
      <c r="F34" s="3440" t="n">
        <f aca="false">F33/(1+Q33)</f>
        <v>244.381195406811</v>
      </c>
      <c r="G34" s="3476"/>
      <c r="H34" s="3481" t="n">
        <v>3</v>
      </c>
      <c r="I34" s="3481" t="n">
        <v>1.65</v>
      </c>
      <c r="J34" s="3481" t="n">
        <v>0.92</v>
      </c>
      <c r="K34" s="3481" t="n">
        <v>1.88</v>
      </c>
      <c r="L34" s="3482" t="n">
        <v>1.26</v>
      </c>
      <c r="N34" s="3445" t="n">
        <f aca="false">I34/100</f>
        <v>0.0165</v>
      </c>
      <c r="O34" s="3483" t="n">
        <f aca="false">J34/100</f>
        <v>0.0092</v>
      </c>
      <c r="P34" s="3483" t="n">
        <f aca="false">K34/100</f>
        <v>0.0188</v>
      </c>
      <c r="Q34" s="3483" t="n">
        <f aca="false">L34/100</f>
        <v>0.0126</v>
      </c>
      <c r="R34" s="3446"/>
      <c r="S34" s="3445"/>
      <c r="T34" s="3438"/>
      <c r="U34" s="3438"/>
      <c r="V34" s="3438"/>
      <c r="X34" s="3414" t="n">
        <f aca="false">ROUND(SUMPRODUCT(PRODUCT(1+N34:N$39)),4)</f>
        <v>1.0652</v>
      </c>
      <c r="Y34" s="3414" t="n">
        <f aca="false">ROUND(SUMPRODUCT(PRODUCT(1+O34:O$39)),4)</f>
        <v>1.0621</v>
      </c>
      <c r="Z34" s="3414" t="n">
        <f aca="false">Y34</f>
        <v>1.0621</v>
      </c>
      <c r="AA34" s="3414" t="n">
        <f aca="false">ROUND(SUMPRODUCT(PRODUCT(1+P34:P$39)),4)</f>
        <v>1.0668</v>
      </c>
      <c r="AB34" s="3414" t="n">
        <f aca="false">ROUND(SUMPRODUCT(PRODUCT(1+Q34:Q$39)),4)</f>
        <v>1.0636</v>
      </c>
      <c r="AD34" s="3438" t="n">
        <f aca="false">ROUND(AVERAGE(I34:I$40)/100,4)</f>
        <v>0.0133</v>
      </c>
      <c r="AE34" s="3438" t="n">
        <f aca="false">ROUND(AVERAGE(J34:J$40)/100,4)</f>
        <v>0.012</v>
      </c>
      <c r="AF34" s="3438" t="n">
        <f aca="false">AE34</f>
        <v>0.012</v>
      </c>
      <c r="AG34" s="3438" t="n">
        <f aca="false">ROUND(AVERAGE(K34:K$40)/100,4)</f>
        <v>0.014</v>
      </c>
      <c r="AH34" s="3438" t="n">
        <f aca="false">ROUND(AVERAGE(L34:L$40)/100,4)</f>
        <v>0.0108</v>
      </c>
    </row>
    <row r="35" customFormat="false" ht="12.75" hidden="false" customHeight="false" outlineLevel="0" collapsed="false">
      <c r="A35" s="3439" t="s">
        <v>2447</v>
      </c>
      <c r="B35" s="3440" t="n">
        <f aca="false">B34/(1+N34)</f>
        <v>322.340536902208</v>
      </c>
      <c r="C35" s="3440" t="n">
        <f aca="false">C34/(1+O34)</f>
        <v>271.461607704225</v>
      </c>
      <c r="D35" s="3440" t="n">
        <f aca="false">C35</f>
        <v>271.461607704225</v>
      </c>
      <c r="E35" s="3440" t="n">
        <f aca="false">E34/(1+P34)</f>
        <v>442.694345421725</v>
      </c>
      <c r="F35" s="3440" t="n">
        <f aca="false">F34/(1+Q34)</f>
        <v>241.340307531909</v>
      </c>
      <c r="G35" s="3476"/>
      <c r="H35" s="3466" t="n">
        <v>2</v>
      </c>
      <c r="I35" s="3466" t="n">
        <v>0.77</v>
      </c>
      <c r="J35" s="3466" t="n">
        <v>0.69</v>
      </c>
      <c r="K35" s="3466" t="n">
        <v>0.8</v>
      </c>
      <c r="L35" s="3467" t="n">
        <v>0.88</v>
      </c>
      <c r="N35" s="3445" t="n">
        <f aca="false">I35/100</f>
        <v>0.0077</v>
      </c>
      <c r="O35" s="3483" t="n">
        <f aca="false">J35/100</f>
        <v>0.0069</v>
      </c>
      <c r="P35" s="3483" t="n">
        <f aca="false">K35/100</f>
        <v>0.008</v>
      </c>
      <c r="Q35" s="3483" t="n">
        <f aca="false">L35/100</f>
        <v>0.0088</v>
      </c>
      <c r="R35" s="3446"/>
      <c r="S35" s="3445"/>
      <c r="T35" s="3438"/>
      <c r="U35" s="3438"/>
      <c r="V35" s="3438"/>
      <c r="X35" s="3414" t="n">
        <f aca="false">ROUND(SUMPRODUCT(PRODUCT(1+N35:N$39)),4)</f>
        <v>1.048</v>
      </c>
      <c r="Y35" s="3414" t="n">
        <f aca="false">ROUND(SUMPRODUCT(PRODUCT(1+O35:O$39)),4)</f>
        <v>1.0524</v>
      </c>
      <c r="Z35" s="3414" t="n">
        <f aca="false">Y35</f>
        <v>1.0524</v>
      </c>
      <c r="AA35" s="3414" t="n">
        <f aca="false">ROUND(SUMPRODUCT(PRODUCT(1+P35:P$39)),4)</f>
        <v>1.0471</v>
      </c>
      <c r="AB35" s="3414" t="n">
        <f aca="false">ROUND(SUMPRODUCT(PRODUCT(1+Q35:Q$39)),4)</f>
        <v>1.0504</v>
      </c>
      <c r="AD35" s="3438" t="n">
        <f aca="false">ROUND(AVERAGE(I35:I$40)/100,4)</f>
        <v>0.0128</v>
      </c>
      <c r="AE35" s="3438" t="n">
        <f aca="false">ROUND(AVERAGE(J35:J$40)/100,4)</f>
        <v>0.0125</v>
      </c>
      <c r="AF35" s="3438" t="n">
        <f aca="false">AE35</f>
        <v>0.0125</v>
      </c>
      <c r="AG35" s="3438" t="n">
        <f aca="false">ROUND(AVERAGE(K35:K$40)/100,4)</f>
        <v>0.0132</v>
      </c>
      <c r="AH35" s="3438" t="n">
        <f aca="false">ROUND(AVERAGE(L35:L$40)/100,4)</f>
        <v>0.0105</v>
      </c>
    </row>
    <row r="36" customFormat="false" ht="12.75" hidden="false" customHeight="false" outlineLevel="0" collapsed="false">
      <c r="A36" s="3439" t="s">
        <v>2448</v>
      </c>
      <c r="B36" s="3440" t="n">
        <f aca="false">B35/(1+N35)</f>
        <v>319.877480303868</v>
      </c>
      <c r="C36" s="3440" t="n">
        <f aca="false">C35/(1+O35)</f>
        <v>269.601358331736</v>
      </c>
      <c r="D36" s="3440" t="n">
        <f aca="false">C36</f>
        <v>269.601358331736</v>
      </c>
      <c r="E36" s="3440" t="n">
        <f aca="false">E35/(1+P35)</f>
        <v>439.180898235838</v>
      </c>
      <c r="F36" s="3440" t="n">
        <f aca="false">F35/(1+Q35)</f>
        <v>239.235039187063</v>
      </c>
      <c r="G36" s="3476"/>
      <c r="H36" s="3442" t="n">
        <v>1</v>
      </c>
      <c r="I36" s="3442" t="n">
        <v>0.51</v>
      </c>
      <c r="J36" s="3442" t="n">
        <v>0.54</v>
      </c>
      <c r="K36" s="3442" t="n">
        <v>0.48</v>
      </c>
      <c r="L36" s="3460" t="n">
        <v>0.93</v>
      </c>
      <c r="N36" s="3474" t="n">
        <f aca="false">I36/100</f>
        <v>0.0051</v>
      </c>
      <c r="O36" s="3475" t="n">
        <f aca="false">J36/100</f>
        <v>0.0054</v>
      </c>
      <c r="P36" s="3475" t="n">
        <f aca="false">K36/100</f>
        <v>0.0048</v>
      </c>
      <c r="Q36" s="3475" t="n">
        <f aca="false">L36/100</f>
        <v>0.0093</v>
      </c>
      <c r="R36" s="3446"/>
      <c r="S36" s="3474" t="n">
        <f aca="false">B36/B37-1</f>
        <v>0.00590402611279228</v>
      </c>
      <c r="T36" s="3475" t="n">
        <f aca="false">C36/C37-1</f>
        <v>0.00597521765573328</v>
      </c>
      <c r="U36" s="3475" t="n">
        <f aca="false">E36/E37-1</f>
        <v>0.00499061381198596</v>
      </c>
      <c r="V36" s="3475" t="n">
        <f aca="false">F36/F37-1</f>
        <v>0.00943054509309338</v>
      </c>
      <c r="X36" s="3414" t="n">
        <f aca="false">ROUND(SUMPRODUCT(PRODUCT(1+N36:N$39)),4)</f>
        <v>1.0399</v>
      </c>
      <c r="Y36" s="3414" t="n">
        <f aca="false">ROUND(SUMPRODUCT(PRODUCT(1+O36:O$39)),4)</f>
        <v>1.0452</v>
      </c>
      <c r="Z36" s="3414" t="n">
        <f aca="false">Y36</f>
        <v>1.0452</v>
      </c>
      <c r="AA36" s="3414" t="n">
        <f aca="false">ROUND(SUMPRODUCT(PRODUCT(1+P36:P$39)),4)</f>
        <v>1.0388</v>
      </c>
      <c r="AB36" s="3414" t="n">
        <f aca="false">ROUND(SUMPRODUCT(PRODUCT(1+Q36:Q$39)),4)</f>
        <v>1.0412</v>
      </c>
      <c r="AD36" s="3438" t="n">
        <f aca="false">ROUND(AVERAGE(I36:I$40)/100,4)</f>
        <v>0.0138</v>
      </c>
      <c r="AE36" s="3438" t="n">
        <f aca="false">ROUND(AVERAGE(J36:J$40)/100,4)</f>
        <v>0.0136</v>
      </c>
      <c r="AF36" s="3438" t="n">
        <f aca="false">AE36</f>
        <v>0.0136</v>
      </c>
      <c r="AG36" s="3438" t="n">
        <f aca="false">ROUND(AVERAGE(K36:K$40)/100,4)</f>
        <v>0.0142</v>
      </c>
      <c r="AH36" s="3438" t="n">
        <f aca="false">ROUND(AVERAGE(L36:L$40)/100,4)</f>
        <v>0.0108</v>
      </c>
    </row>
    <row r="37" customFormat="false" ht="12.75" hidden="false" customHeight="false" outlineLevel="0" collapsed="false">
      <c r="A37" s="3439" t="s">
        <v>2449</v>
      </c>
      <c r="B37" s="3484" t="n">
        <v>318</v>
      </c>
      <c r="C37" s="3484" t="n">
        <v>268</v>
      </c>
      <c r="D37" s="3484" t="n">
        <f aca="false">C37</f>
        <v>268</v>
      </c>
      <c r="E37" s="3484" t="n">
        <v>437</v>
      </c>
      <c r="F37" s="3485" t="n">
        <v>237</v>
      </c>
      <c r="G37" s="3476" t="n">
        <v>2014</v>
      </c>
      <c r="H37" s="3477" t="n">
        <v>4</v>
      </c>
      <c r="I37" s="3477" t="n">
        <v>0.21</v>
      </c>
      <c r="J37" s="3477" t="n">
        <v>0.41</v>
      </c>
      <c r="K37" s="3477" t="n">
        <v>0.12</v>
      </c>
      <c r="L37" s="3478" t="n">
        <v>0.89</v>
      </c>
      <c r="N37" s="3445" t="n">
        <f aca="false">I37/100</f>
        <v>0.0021</v>
      </c>
      <c r="O37" s="3438" t="n">
        <f aca="false">J37/100</f>
        <v>0.0041</v>
      </c>
      <c r="P37" s="3438" t="n">
        <f aca="false">K37/100</f>
        <v>0.0012</v>
      </c>
      <c r="Q37" s="3438" t="n">
        <f aca="false">L37/100</f>
        <v>0.0089</v>
      </c>
      <c r="R37" s="3446"/>
      <c r="S37" s="3471"/>
      <c r="T37" s="3472"/>
      <c r="U37" s="3472"/>
      <c r="V37" s="3472"/>
      <c r="X37" s="3414" t="n">
        <f aca="false">ROUND(SUMPRODUCT(PRODUCT(1+N37:N$39)),4)</f>
        <v>1.0347</v>
      </c>
      <c r="Y37" s="3414" t="n">
        <f aca="false">ROUND(SUMPRODUCT(PRODUCT(1+O37:O$39)),4)</f>
        <v>1.0395</v>
      </c>
      <c r="Z37" s="3414" t="n">
        <f aca="false">Y37</f>
        <v>1.0395</v>
      </c>
      <c r="AA37" s="3414" t="n">
        <f aca="false">ROUND(SUMPRODUCT(PRODUCT(1+P37:P$39)),4)</f>
        <v>1.0338</v>
      </c>
      <c r="AB37" s="3414" t="n">
        <f aca="false">ROUND(SUMPRODUCT(PRODUCT(1+Q37:Q$39)),4)</f>
        <v>1.0316</v>
      </c>
      <c r="AD37" s="3438" t="n">
        <f aca="false">ROUND(AVERAGE(I37:I$40)/100,4)</f>
        <v>0.016</v>
      </c>
      <c r="AE37" s="3438" t="n">
        <f aca="false">ROUND(AVERAGE(J37:J$40)/100,4)</f>
        <v>0.0156</v>
      </c>
      <c r="AF37" s="3438" t="n">
        <f aca="false">AE37</f>
        <v>0.0156</v>
      </c>
      <c r="AG37" s="3438" t="n">
        <f aca="false">ROUND(AVERAGE(K37:K$40)/100,4)</f>
        <v>0.0166</v>
      </c>
      <c r="AH37" s="3438" t="n">
        <f aca="false">ROUND(AVERAGE(L37:L$40)/100,4)</f>
        <v>0.0112</v>
      </c>
    </row>
    <row r="38" customFormat="false" ht="12.75" hidden="false" customHeight="false" outlineLevel="0" collapsed="false">
      <c r="A38" s="3439" t="s">
        <v>2450</v>
      </c>
      <c r="B38" s="3440" t="n">
        <f aca="false">B37/(1+N37)</f>
        <v>317.333599441174</v>
      </c>
      <c r="C38" s="3440" t="n">
        <f aca="false">C37/(1+O37)</f>
        <v>266.905686684593</v>
      </c>
      <c r="D38" s="3440" t="n">
        <f aca="false">C38</f>
        <v>266.905686684593</v>
      </c>
      <c r="E38" s="3440" t="n">
        <f aca="false">E37/(1+P37)</f>
        <v>436.476228525769</v>
      </c>
      <c r="F38" s="3440" t="n">
        <f aca="false">F37/(1+Q37)</f>
        <v>234.909307166221</v>
      </c>
      <c r="G38" s="3476"/>
      <c r="H38" s="3486" t="n">
        <v>3</v>
      </c>
      <c r="I38" s="3486" t="n">
        <v>0.83</v>
      </c>
      <c r="J38" s="3486" t="n">
        <v>1.47</v>
      </c>
      <c r="K38" s="3486" t="n">
        <v>0.65</v>
      </c>
      <c r="L38" s="3487" t="n">
        <v>0.72</v>
      </c>
      <c r="N38" s="3445" t="n">
        <f aca="false">I38/100</f>
        <v>0.0083</v>
      </c>
      <c r="O38" s="3438" t="n">
        <f aca="false">J38/100</f>
        <v>0.0147</v>
      </c>
      <c r="P38" s="3438" t="n">
        <f aca="false">K38/100</f>
        <v>0.0065</v>
      </c>
      <c r="Q38" s="3438" t="n">
        <f aca="false">L38/100</f>
        <v>0.0072</v>
      </c>
      <c r="R38" s="3446"/>
      <c r="S38" s="3445"/>
      <c r="T38" s="3438"/>
      <c r="U38" s="3438"/>
      <c r="V38" s="3438"/>
      <c r="X38" s="3414" t="n">
        <f aca="false">ROUND(SUMPRODUCT(PRODUCT(1+N38:N$39)),4)</f>
        <v>1.0325</v>
      </c>
      <c r="Y38" s="3414" t="n">
        <f aca="false">ROUND(SUMPRODUCT(PRODUCT(1+O38:O$39)),4)</f>
        <v>1.0353</v>
      </c>
      <c r="Z38" s="3414" t="n">
        <f aca="false">Y38</f>
        <v>1.0353</v>
      </c>
      <c r="AA38" s="3414" t="n">
        <f aca="false">ROUND(SUMPRODUCT(PRODUCT(1+P38:P$39)),4)</f>
        <v>1.0326</v>
      </c>
      <c r="AB38" s="3414" t="n">
        <f aca="false">ROUND(SUMPRODUCT(PRODUCT(1+Q38:Q$39)),4)</f>
        <v>1.0225</v>
      </c>
      <c r="AD38" s="3438" t="n">
        <f aca="false">ROUND(AVERAGE(I38:I$40)/100,4)</f>
        <v>0.0207</v>
      </c>
      <c r="AE38" s="3438" t="n">
        <f aca="false">ROUND(AVERAGE(J38:J$40)/100,4)</f>
        <v>0.0195</v>
      </c>
      <c r="AF38" s="3438" t="n">
        <f aca="false">AE38</f>
        <v>0.0195</v>
      </c>
      <c r="AG38" s="3438" t="n">
        <f aca="false">ROUND(AVERAGE(K38:K$40)/100,4)</f>
        <v>0.0217</v>
      </c>
      <c r="AH38" s="3438" t="n">
        <f aca="false">ROUND(AVERAGE(L38:L$40)/100,4)</f>
        <v>0.012</v>
      </c>
    </row>
    <row r="39" customFormat="false" ht="12.75" hidden="false" customHeight="false" outlineLevel="0" collapsed="false">
      <c r="A39" s="3439" t="s">
        <v>2451</v>
      </c>
      <c r="B39" s="3440" t="n">
        <f aca="false">B38/(1+N38)</f>
        <v>314.721411723865</v>
      </c>
      <c r="C39" s="3440" t="n">
        <f aca="false">C38/(1+O38)</f>
        <v>263.03901319069</v>
      </c>
      <c r="D39" s="3440" t="n">
        <f aca="false">C39</f>
        <v>263.03901319069</v>
      </c>
      <c r="E39" s="3440" t="n">
        <f aca="false">E38/(1+P38)</f>
        <v>433.657455067828</v>
      </c>
      <c r="F39" s="3440" t="n">
        <f aca="false">F38/(1+Q38)</f>
        <v>233.230050800457</v>
      </c>
      <c r="G39" s="3476"/>
      <c r="H39" s="3477" t="n">
        <v>2</v>
      </c>
      <c r="I39" s="3477" t="n">
        <v>2.4</v>
      </c>
      <c r="J39" s="3477" t="n">
        <v>2.03</v>
      </c>
      <c r="K39" s="3477" t="n">
        <v>2.59</v>
      </c>
      <c r="L39" s="3478" t="n">
        <v>1.52</v>
      </c>
      <c r="N39" s="3445" t="n">
        <f aca="false">I39/100</f>
        <v>0.024</v>
      </c>
      <c r="O39" s="3438" t="n">
        <f aca="false">J39/100</f>
        <v>0.0203</v>
      </c>
      <c r="P39" s="3438" t="n">
        <f aca="false">K39/100</f>
        <v>0.0259</v>
      </c>
      <c r="Q39" s="3438" t="n">
        <f aca="false">L39/100</f>
        <v>0.0152</v>
      </c>
      <c r="R39" s="3446"/>
      <c r="S39" s="3445"/>
      <c r="T39" s="3438"/>
      <c r="U39" s="3438"/>
      <c r="V39" s="3438"/>
      <c r="X39" s="3414" t="n">
        <f aca="false">1+N39</f>
        <v>1.024</v>
      </c>
      <c r="Y39" s="3414" t="n">
        <f aca="false">1+O39</f>
        <v>1.0203</v>
      </c>
      <c r="Z39" s="3414" t="n">
        <f aca="false">Y39</f>
        <v>1.0203</v>
      </c>
      <c r="AA39" s="3414" t="n">
        <f aca="false">1+P39</f>
        <v>1.0259</v>
      </c>
      <c r="AB39" s="3414" t="n">
        <f aca="false">1+Q39</f>
        <v>1.0152</v>
      </c>
      <c r="AD39" s="3438" t="n">
        <f aca="false">ROUND(AVERAGE(I39:I$40)/100,4)</f>
        <v>0.0269</v>
      </c>
      <c r="AE39" s="3438" t="n">
        <f aca="false">ROUND(AVERAGE(J39:J$40)/100,4)</f>
        <v>0.0219</v>
      </c>
      <c r="AF39" s="3438" t="n">
        <f aca="false">AE39</f>
        <v>0.0219</v>
      </c>
      <c r="AG39" s="3438" t="n">
        <f aca="false">ROUND(AVERAGE(K39:K$40)/100,4)</f>
        <v>0.0294</v>
      </c>
      <c r="AH39" s="3438" t="n">
        <f aca="false">ROUND(AVERAGE(L39:L$40)/100,4)</f>
        <v>0.0144</v>
      </c>
    </row>
    <row r="40" s="3492" customFormat="true" ht="12.75" hidden="false" customHeight="false" outlineLevel="0" collapsed="false">
      <c r="A40" s="3488" t="s">
        <v>2452</v>
      </c>
      <c r="B40" s="3489" t="n">
        <f aca="false">B39/(1+N39)</f>
        <v>307.345128636587</v>
      </c>
      <c r="C40" s="3489" t="n">
        <f aca="false">C39/(1+O39)</f>
        <v>257.80556031627</v>
      </c>
      <c r="D40" s="3489" t="n">
        <f aca="false">C40</f>
        <v>257.80556031627</v>
      </c>
      <c r="E40" s="3489" t="n">
        <f aca="false">E39/(1+P39)</f>
        <v>422.709284596772</v>
      </c>
      <c r="F40" s="3489" t="n">
        <f aca="false">F39/(1+Q39)</f>
        <v>229.738032703366</v>
      </c>
      <c r="G40" s="3476"/>
      <c r="H40" s="3490" t="n">
        <v>1</v>
      </c>
      <c r="I40" s="3490" t="n">
        <v>2.97</v>
      </c>
      <c r="J40" s="3490" t="n">
        <v>2.34</v>
      </c>
      <c r="K40" s="3490" t="n">
        <v>3.28</v>
      </c>
      <c r="L40" s="3491" t="n">
        <v>1.36</v>
      </c>
      <c r="N40" s="3493" t="n">
        <f aca="false">I40/100</f>
        <v>0.0297</v>
      </c>
      <c r="O40" s="3494" t="n">
        <f aca="false">J40/100</f>
        <v>0.0234</v>
      </c>
      <c r="P40" s="3494" t="n">
        <f aca="false">K40/100</f>
        <v>0.0328</v>
      </c>
      <c r="Q40" s="3494" t="n">
        <f aca="false">L40/100</f>
        <v>0.0136</v>
      </c>
      <c r="R40" s="3495"/>
      <c r="S40" s="3496" t="n">
        <f aca="false">B40/B41-1</f>
        <v>0.0279101292193555</v>
      </c>
      <c r="T40" s="3497" t="n">
        <f aca="false">C40/C41-1</f>
        <v>0.0230379377629752</v>
      </c>
      <c r="U40" s="3497" t="n">
        <f aca="false">E40/E41-1</f>
        <v>0.0335190332439408</v>
      </c>
      <c r="V40" s="3497" t="n">
        <f aca="false">F40/F41-1</f>
        <v>0.0120618180765029</v>
      </c>
      <c r="W40" s="3498" t="s">
        <v>2453</v>
      </c>
      <c r="X40" s="3499" t="n">
        <v>1</v>
      </c>
      <c r="Y40" s="3499" t="n">
        <v>1</v>
      </c>
      <c r="Z40" s="3499" t="n">
        <v>1</v>
      </c>
      <c r="AA40" s="3499" t="n">
        <v>1</v>
      </c>
      <c r="AB40" s="3499" t="n">
        <v>1</v>
      </c>
      <c r="AD40" s="3494" t="n">
        <f aca="false">I40/100</f>
        <v>0.0297</v>
      </c>
      <c r="AE40" s="3494" t="n">
        <f aca="false">J40/100</f>
        <v>0.0234</v>
      </c>
      <c r="AF40" s="3494" t="n">
        <f aca="false">AE40</f>
        <v>0.0234</v>
      </c>
      <c r="AG40" s="3494" t="n">
        <f aca="false">K40/100</f>
        <v>0.0328</v>
      </c>
      <c r="AH40" s="3494" t="n">
        <f aca="false">L40/100</f>
        <v>0.0136</v>
      </c>
    </row>
    <row r="41" customFormat="false" ht="12.75" hidden="false" customHeight="false" outlineLevel="0" collapsed="false">
      <c r="A41" s="3439" t="s">
        <v>2454</v>
      </c>
      <c r="B41" s="3468" t="n">
        <v>299</v>
      </c>
      <c r="C41" s="3468" t="n">
        <v>252</v>
      </c>
      <c r="D41" s="3468" t="n">
        <f aca="false">C41</f>
        <v>252</v>
      </c>
      <c r="E41" s="3468" t="n">
        <v>409</v>
      </c>
      <c r="F41" s="3469" t="n">
        <v>227</v>
      </c>
      <c r="G41" s="3500" t="n">
        <v>2013</v>
      </c>
      <c r="H41" s="3501" t="n">
        <v>4</v>
      </c>
      <c r="I41" s="3501" t="n">
        <v>1.83</v>
      </c>
      <c r="J41" s="3501" t="n">
        <v>1.68</v>
      </c>
      <c r="K41" s="3501" t="n">
        <v>1.97</v>
      </c>
      <c r="L41" s="3502" t="n">
        <v>0.87</v>
      </c>
      <c r="N41" s="3479" t="n">
        <f aca="false">I41/100</f>
        <v>0.0183</v>
      </c>
      <c r="O41" s="3480" t="n">
        <f aca="false">J41/100</f>
        <v>0.0168</v>
      </c>
      <c r="P41" s="3480" t="n">
        <f aca="false">K41/100</f>
        <v>0.0197</v>
      </c>
      <c r="Q41" s="3480" t="n">
        <f aca="false">L41/100</f>
        <v>0.0087</v>
      </c>
      <c r="R41" s="3446"/>
      <c r="S41" s="3471"/>
      <c r="T41" s="3472"/>
      <c r="U41" s="3472"/>
      <c r="V41" s="3472"/>
      <c r="X41" s="3472"/>
      <c r="Y41" s="3472"/>
      <c r="Z41" s="3472"/>
    </row>
    <row r="42" customFormat="false" ht="12.75" hidden="false" customHeight="false" outlineLevel="0" collapsed="false">
      <c r="A42" s="3439" t="s">
        <v>2455</v>
      </c>
      <c r="B42" s="3440" t="n">
        <f aca="false">B41/(1+N41)</f>
        <v>293.626632622999</v>
      </c>
      <c r="C42" s="3440" t="n">
        <f aca="false">C41/(1+O41)</f>
        <v>247.836349331235</v>
      </c>
      <c r="D42" s="3440" t="n">
        <f aca="false">C42</f>
        <v>247.836349331235</v>
      </c>
      <c r="E42" s="3440" t="n">
        <f aca="false">E41/(1+P41)</f>
        <v>401.098362263411</v>
      </c>
      <c r="F42" s="3440" t="n">
        <f aca="false">F41/(1+Q41)</f>
        <v>225.04213343908</v>
      </c>
      <c r="G42" s="3500"/>
      <c r="H42" s="3481" t="n">
        <v>3</v>
      </c>
      <c r="I42" s="3481" t="n">
        <v>1.86</v>
      </c>
      <c r="J42" s="3481" t="n">
        <v>1.72</v>
      </c>
      <c r="K42" s="3481" t="n">
        <v>1.98</v>
      </c>
      <c r="L42" s="3482" t="n">
        <v>0.88</v>
      </c>
      <c r="N42" s="3445" t="n">
        <f aca="false">I42/100</f>
        <v>0.0186</v>
      </c>
      <c r="O42" s="3483" t="n">
        <f aca="false">J42/100</f>
        <v>0.0172</v>
      </c>
      <c r="P42" s="3483" t="n">
        <f aca="false">K42/100</f>
        <v>0.0198</v>
      </c>
      <c r="Q42" s="3483" t="n">
        <f aca="false">L42/100</f>
        <v>0.0088</v>
      </c>
      <c r="R42" s="3446"/>
      <c r="S42" s="3445"/>
      <c r="T42" s="3438"/>
      <c r="U42" s="3438"/>
      <c r="V42" s="3438"/>
    </row>
    <row r="43" customFormat="false" ht="12.75" hidden="false" customHeight="false" outlineLevel="0" collapsed="false">
      <c r="A43" s="3439" t="s">
        <v>2456</v>
      </c>
      <c r="B43" s="3440" t="n">
        <f aca="false">B42/(1+N42)</f>
        <v>288.264905382878</v>
      </c>
      <c r="C43" s="3440" t="n">
        <f aca="false">C42/(1+O42)</f>
        <v>243.645644250133</v>
      </c>
      <c r="D43" s="3440" t="n">
        <f aca="false">C43</f>
        <v>243.645644250133</v>
      </c>
      <c r="E43" s="3440" t="n">
        <f aca="false">E42/(1+P42)</f>
        <v>393.310808259865</v>
      </c>
      <c r="F43" s="3440" t="n">
        <f aca="false">F42/(1+Q42)</f>
        <v>223.079037905512</v>
      </c>
      <c r="G43" s="3500"/>
      <c r="H43" s="3466" t="n">
        <v>2</v>
      </c>
      <c r="I43" s="3466" t="n">
        <v>2.04</v>
      </c>
      <c r="J43" s="3466" t="n">
        <v>2.33</v>
      </c>
      <c r="K43" s="3466" t="n">
        <v>2.07</v>
      </c>
      <c r="L43" s="3467" t="n">
        <v>0.69</v>
      </c>
      <c r="N43" s="3445" t="n">
        <f aca="false">I43/100</f>
        <v>0.0204</v>
      </c>
      <c r="O43" s="3483" t="n">
        <f aca="false">J43/100</f>
        <v>0.0233</v>
      </c>
      <c r="P43" s="3483" t="n">
        <f aca="false">K43/100</f>
        <v>0.0207</v>
      </c>
      <c r="Q43" s="3483" t="n">
        <f aca="false">L43/100</f>
        <v>0.0069</v>
      </c>
      <c r="R43" s="3446"/>
      <c r="S43" s="3445"/>
      <c r="T43" s="3438"/>
      <c r="U43" s="3438"/>
      <c r="V43" s="3438"/>
      <c r="X43" s="3503"/>
      <c r="Y43" s="3504"/>
    </row>
    <row r="44" customFormat="false" ht="12.75" hidden="false" customHeight="false" outlineLevel="0" collapsed="false">
      <c r="A44" s="3439" t="s">
        <v>2457</v>
      </c>
      <c r="B44" s="3440" t="n">
        <f aca="false">B43/(1+N43)</f>
        <v>282.501867290158</v>
      </c>
      <c r="C44" s="3440" t="n">
        <f aca="false">C43/(1+O43)</f>
        <v>238.097961741555</v>
      </c>
      <c r="D44" s="3440" t="n">
        <f aca="false">C44</f>
        <v>238.097961741555</v>
      </c>
      <c r="E44" s="3440" t="n">
        <f aca="false">E43/(1+P43)</f>
        <v>385.334386460141</v>
      </c>
      <c r="F44" s="3440" t="n">
        <f aca="false">F43/(1+Q43)</f>
        <v>221.550340555677</v>
      </c>
      <c r="G44" s="3500"/>
      <c r="H44" s="3442" t="n">
        <v>1</v>
      </c>
      <c r="I44" s="3442" t="n">
        <v>1.67</v>
      </c>
      <c r="J44" s="3442" t="n">
        <v>1.31</v>
      </c>
      <c r="K44" s="3442" t="n">
        <v>1.85</v>
      </c>
      <c r="L44" s="3460" t="n">
        <v>0.96</v>
      </c>
      <c r="N44" s="3474" t="n">
        <f aca="false">I44/100</f>
        <v>0.0167</v>
      </c>
      <c r="O44" s="3475" t="n">
        <f aca="false">J44/100</f>
        <v>0.0131</v>
      </c>
      <c r="P44" s="3475" t="n">
        <f aca="false">K44/100</f>
        <v>0.0185</v>
      </c>
      <c r="Q44" s="3475" t="n">
        <f aca="false">L44/100</f>
        <v>0.0096</v>
      </c>
      <c r="R44" s="3446"/>
      <c r="S44" s="3474" t="n">
        <f aca="false">B44/B45-1</f>
        <v>0.0161937672307855</v>
      </c>
      <c r="T44" s="3475" t="n">
        <f aca="false">C44/C45-1</f>
        <v>0.0175126570151909</v>
      </c>
      <c r="U44" s="3475" t="n">
        <f aca="false">E44/E45-1</f>
        <v>0.016713420739157</v>
      </c>
      <c r="V44" s="3475" t="n">
        <f aca="false">F44/F45-1</f>
        <v>0.00704700252580626</v>
      </c>
      <c r="X44" s="3505"/>
      <c r="Y44" s="3438"/>
      <c r="Z44" s="3438"/>
    </row>
    <row r="45" customFormat="false" ht="12.75" hidden="false" customHeight="false" outlineLevel="0" collapsed="false">
      <c r="A45" s="3439" t="s">
        <v>2458</v>
      </c>
      <c r="B45" s="3506" t="n">
        <v>278</v>
      </c>
      <c r="C45" s="3506" t="n">
        <v>234</v>
      </c>
      <c r="D45" s="3506" t="n">
        <f aca="false">C45</f>
        <v>234</v>
      </c>
      <c r="E45" s="3506" t="n">
        <v>379</v>
      </c>
      <c r="F45" s="3507" t="n">
        <v>220</v>
      </c>
      <c r="G45" s="3476" t="n">
        <v>2012</v>
      </c>
      <c r="H45" s="3477" t="n">
        <v>4</v>
      </c>
      <c r="I45" s="3477" t="n">
        <v>0.91</v>
      </c>
      <c r="J45" s="3477" t="n">
        <v>0.68</v>
      </c>
      <c r="K45" s="3477" t="n">
        <v>0.98</v>
      </c>
      <c r="L45" s="3478" t="n">
        <v>0.9</v>
      </c>
      <c r="N45" s="3445" t="n">
        <f aca="false">I45/100</f>
        <v>0.0091</v>
      </c>
      <c r="O45" s="3438" t="n">
        <f aca="false">J45/100</f>
        <v>0.0068</v>
      </c>
      <c r="P45" s="3438" t="n">
        <f aca="false">K45/100</f>
        <v>0.0098</v>
      </c>
      <c r="Q45" s="3438" t="n">
        <f aca="false">L45/100</f>
        <v>0.009</v>
      </c>
      <c r="R45" s="3446"/>
      <c r="S45" s="3471"/>
      <c r="T45" s="3472"/>
      <c r="U45" s="3472"/>
      <c r="V45" s="3472"/>
      <c r="X45" s="3472"/>
      <c r="Y45" s="3472"/>
      <c r="Z45" s="3472"/>
    </row>
    <row r="46" customFormat="false" ht="12.75" hidden="false" customHeight="false" outlineLevel="0" collapsed="false">
      <c r="A46" s="3439" t="s">
        <v>2459</v>
      </c>
      <c r="B46" s="3440" t="n">
        <f aca="false">B45/(1+N45)</f>
        <v>275.493013576454</v>
      </c>
      <c r="C46" s="3440" t="n">
        <f aca="false">C45/(1+O45)</f>
        <v>232.419547079857</v>
      </c>
      <c r="D46" s="3440" t="n">
        <f aca="false">C46</f>
        <v>232.419547079857</v>
      </c>
      <c r="E46" s="3440" t="n">
        <f aca="false">E45/(1+P45)</f>
        <v>375.321845910081</v>
      </c>
      <c r="F46" s="3440" t="n">
        <f aca="false">F45/(1+Q45)</f>
        <v>218.037661050545</v>
      </c>
      <c r="G46" s="3476"/>
      <c r="H46" s="3481" t="n">
        <v>3</v>
      </c>
      <c r="I46" s="3481" t="n">
        <v>0.09</v>
      </c>
      <c r="J46" s="3481" t="n">
        <v>0.29</v>
      </c>
      <c r="K46" s="3481" t="n">
        <v>-0.01</v>
      </c>
      <c r="L46" s="3482" t="n">
        <v>0.58</v>
      </c>
      <c r="N46" s="3445" t="n">
        <f aca="false">I46/100</f>
        <v>0.0009</v>
      </c>
      <c r="O46" s="3438" t="n">
        <f aca="false">J46/100</f>
        <v>0.0029</v>
      </c>
      <c r="P46" s="3438" t="n">
        <f aca="false">K46/100</f>
        <v>-0.0001</v>
      </c>
      <c r="Q46" s="3438" t="n">
        <f aca="false">L46/100</f>
        <v>0.0058</v>
      </c>
      <c r="R46" s="3446"/>
      <c r="S46" s="3445"/>
      <c r="T46" s="3438"/>
      <c r="U46" s="3438"/>
      <c r="V46" s="3438"/>
    </row>
    <row r="47" customFormat="false" ht="12.75" hidden="false" customHeight="false" outlineLevel="0" collapsed="false">
      <c r="A47" s="3439" t="s">
        <v>2460</v>
      </c>
      <c r="B47" s="3440" t="n">
        <f aca="false">B46/(1+N46)</f>
        <v>275.245292812923</v>
      </c>
      <c r="C47" s="3440" t="n">
        <f aca="false">C46/(1+O46)</f>
        <v>231.747479389627</v>
      </c>
      <c r="D47" s="3440" t="n">
        <f aca="false">C47</f>
        <v>231.747479389627</v>
      </c>
      <c r="E47" s="3440" t="n">
        <f aca="false">E46/(1+P46)</f>
        <v>375.359381848266</v>
      </c>
      <c r="F47" s="3440" t="n">
        <f aca="false">F46/(1+Q46)</f>
        <v>216.780335106925</v>
      </c>
      <c r="G47" s="3476"/>
      <c r="H47" s="3466" t="n">
        <v>2</v>
      </c>
      <c r="I47" s="3466" t="n">
        <v>0.02</v>
      </c>
      <c r="J47" s="3466" t="n">
        <v>0.12</v>
      </c>
      <c r="K47" s="3466" t="n">
        <v>-0.08</v>
      </c>
      <c r="L47" s="3467" t="n">
        <v>1.24</v>
      </c>
      <c r="N47" s="3445" t="n">
        <f aca="false">I47/100</f>
        <v>0.0002</v>
      </c>
      <c r="O47" s="3438" t="n">
        <f aca="false">J47/100</f>
        <v>0.0012</v>
      </c>
      <c r="P47" s="3438" t="n">
        <f aca="false">K47/100</f>
        <v>-0.0008</v>
      </c>
      <c r="Q47" s="3438" t="n">
        <f aca="false">L47/100</f>
        <v>0.0124</v>
      </c>
      <c r="R47" s="3446"/>
      <c r="S47" s="3445"/>
      <c r="T47" s="3438"/>
      <c r="U47" s="3438"/>
      <c r="V47" s="3438"/>
    </row>
    <row r="48" customFormat="false" ht="12.75" hidden="false" customHeight="false" outlineLevel="0" collapsed="false">
      <c r="A48" s="3439" t="s">
        <v>2461</v>
      </c>
      <c r="B48" s="3440" t="n">
        <f aca="false">B47/(1+N47)</f>
        <v>275.19025476197</v>
      </c>
      <c r="C48" s="3508" t="n">
        <v>232</v>
      </c>
      <c r="D48" s="3508" t="n">
        <f aca="false">C48</f>
        <v>232</v>
      </c>
      <c r="E48" s="3440" t="n">
        <f aca="false">E47/(1+P47)</f>
        <v>375.659909776087</v>
      </c>
      <c r="F48" s="3440" t="n">
        <f aca="false">F47/(1+Q47)</f>
        <v>214.125182839713</v>
      </c>
      <c r="G48" s="3476"/>
      <c r="H48" s="3442" t="n">
        <v>1</v>
      </c>
      <c r="I48" s="3442" t="n">
        <v>0.02</v>
      </c>
      <c r="J48" s="3442" t="n">
        <v>0.13</v>
      </c>
      <c r="K48" s="3442" t="n">
        <v>-0.04</v>
      </c>
      <c r="L48" s="3460" t="n">
        <v>0.46</v>
      </c>
      <c r="N48" s="3445" t="n">
        <f aca="false">I48/100</f>
        <v>0.0002</v>
      </c>
      <c r="O48" s="3438" t="n">
        <f aca="false">J48/100</f>
        <v>0.0013</v>
      </c>
      <c r="P48" s="3438" t="n">
        <f aca="false">K48/100</f>
        <v>-0.0004</v>
      </c>
      <c r="Q48" s="3438" t="n">
        <f aca="false">L48/100</f>
        <v>0.0046</v>
      </c>
      <c r="R48" s="3446"/>
      <c r="S48" s="3474" t="n">
        <f aca="false">B48/B49-1</f>
        <v>0.000691835498073612</v>
      </c>
      <c r="T48" s="3475" t="n">
        <f aca="false">C48/C49-1</f>
        <v>0</v>
      </c>
      <c r="U48" s="3475" t="n">
        <f aca="false">E48/E49-1</f>
        <v>-0.000904495276364603</v>
      </c>
      <c r="V48" s="3475" t="n">
        <f aca="false">F48/F49-1</f>
        <v>0.00528254854325128</v>
      </c>
      <c r="X48" s="3438"/>
      <c r="Y48" s="3438"/>
      <c r="Z48" s="3438"/>
    </row>
    <row r="49" customFormat="false" ht="12.75" hidden="false" customHeight="false" outlineLevel="0" collapsed="false">
      <c r="A49" s="3439" t="s">
        <v>2462</v>
      </c>
      <c r="B49" s="3468" t="n">
        <v>275</v>
      </c>
      <c r="C49" s="3468" t="n">
        <v>232</v>
      </c>
      <c r="D49" s="3468" t="n">
        <f aca="false">C49</f>
        <v>232</v>
      </c>
      <c r="E49" s="3468" t="n">
        <v>376</v>
      </c>
      <c r="F49" s="3469" t="n">
        <v>213</v>
      </c>
      <c r="G49" s="3476" t="n">
        <v>2011</v>
      </c>
      <c r="H49" s="3477" t="n">
        <v>4</v>
      </c>
      <c r="I49" s="3477" t="n">
        <v>-0.2</v>
      </c>
      <c r="J49" s="3477" t="n">
        <v>0.04</v>
      </c>
      <c r="K49" s="3477" t="n">
        <v>-0.34</v>
      </c>
      <c r="L49" s="3478" t="n">
        <v>0.46</v>
      </c>
      <c r="N49" s="3479" t="n">
        <f aca="false">I49/100</f>
        <v>-0.002</v>
      </c>
      <c r="O49" s="3480" t="n">
        <f aca="false">J49/100</f>
        <v>0.0004</v>
      </c>
      <c r="P49" s="3480" t="n">
        <f aca="false">K49/100</f>
        <v>-0.0034</v>
      </c>
      <c r="Q49" s="3480" t="n">
        <f aca="false">L49/100</f>
        <v>0.0046</v>
      </c>
      <c r="R49" s="3446"/>
      <c r="S49" s="3471"/>
      <c r="T49" s="3472"/>
      <c r="U49" s="3472"/>
      <c r="V49" s="3472"/>
      <c r="X49" s="3472"/>
      <c r="Y49" s="3472"/>
      <c r="Z49" s="3472"/>
    </row>
    <row r="50" customFormat="false" ht="12.75" hidden="false" customHeight="false" outlineLevel="0" collapsed="false">
      <c r="A50" s="3439" t="s">
        <v>2463</v>
      </c>
      <c r="B50" s="3440" t="n">
        <f aca="false">B49/(1+N49)</f>
        <v>275.551102204409</v>
      </c>
      <c r="C50" s="3440" t="n">
        <f aca="false">C49/(1+O49)</f>
        <v>231.907237105158</v>
      </c>
      <c r="D50" s="3440" t="n">
        <f aca="false">C50</f>
        <v>231.907237105158</v>
      </c>
      <c r="E50" s="3440" t="n">
        <f aca="false">E49/(1+P49)</f>
        <v>377.282761388722</v>
      </c>
      <c r="F50" s="3440" t="n">
        <f aca="false">F49/(1+Q49)</f>
        <v>212.024686442365</v>
      </c>
      <c r="G50" s="3476" t="n">
        <v>2011</v>
      </c>
      <c r="H50" s="3481" t="n">
        <v>3</v>
      </c>
      <c r="I50" s="3481" t="n">
        <v>0.13</v>
      </c>
      <c r="J50" s="3481" t="n">
        <v>0.75</v>
      </c>
      <c r="K50" s="3481" t="n">
        <v>-0.08</v>
      </c>
      <c r="L50" s="3482" t="n">
        <v>0.53</v>
      </c>
      <c r="N50" s="3445" t="n">
        <f aca="false">I50/100</f>
        <v>0.0013</v>
      </c>
      <c r="O50" s="3483" t="n">
        <f aca="false">J50/100</f>
        <v>0.0075</v>
      </c>
      <c r="P50" s="3483" t="n">
        <f aca="false">K50/100</f>
        <v>-0.0008</v>
      </c>
      <c r="Q50" s="3483" t="n">
        <f aca="false">L50/100</f>
        <v>0.0053</v>
      </c>
      <c r="R50" s="3446"/>
      <c r="S50" s="3445"/>
      <c r="T50" s="3438"/>
      <c r="U50" s="3438"/>
      <c r="V50" s="3438"/>
    </row>
    <row r="51" customFormat="false" ht="12.75" hidden="false" customHeight="false" outlineLevel="0" collapsed="false">
      <c r="A51" s="3439" t="s">
        <v>2464</v>
      </c>
      <c r="B51" s="3440" t="n">
        <f aca="false">B50/(1+N50)</f>
        <v>275.193350848306</v>
      </c>
      <c r="C51" s="3440" t="n">
        <f aca="false">C50/(1+O50)</f>
        <v>230.180880501397</v>
      </c>
      <c r="D51" s="3440" t="n">
        <f aca="false">C51</f>
        <v>230.180880501397</v>
      </c>
      <c r="E51" s="3440" t="n">
        <f aca="false">E50/(1+P50)</f>
        <v>377.584829252123</v>
      </c>
      <c r="F51" s="3440" t="n">
        <f aca="false">F50/(1+Q50)</f>
        <v>210.906879978479</v>
      </c>
      <c r="G51" s="3476" t="n">
        <v>2011</v>
      </c>
      <c r="H51" s="3466" t="n">
        <v>2</v>
      </c>
      <c r="I51" s="3466" t="n">
        <v>-0.4</v>
      </c>
      <c r="J51" s="3466" t="n">
        <v>0.17</v>
      </c>
      <c r="K51" s="3466" t="n">
        <v>-0.58</v>
      </c>
      <c r="L51" s="3467" t="n">
        <v>-0.2</v>
      </c>
      <c r="N51" s="3445" t="n">
        <f aca="false">I51/100</f>
        <v>-0.004</v>
      </c>
      <c r="O51" s="3483" t="n">
        <f aca="false">J51/100</f>
        <v>0.0017</v>
      </c>
      <c r="P51" s="3483" t="n">
        <f aca="false">K51/100</f>
        <v>-0.0058</v>
      </c>
      <c r="Q51" s="3483" t="n">
        <f aca="false">L51/100</f>
        <v>-0.002</v>
      </c>
      <c r="R51" s="3446"/>
      <c r="S51" s="3445"/>
      <c r="T51" s="3438"/>
      <c r="U51" s="3438"/>
      <c r="V51" s="3438"/>
    </row>
    <row r="52" customFormat="false" ht="12.75" hidden="false" customHeight="false" outlineLevel="0" collapsed="false">
      <c r="A52" s="3439" t="s">
        <v>2465</v>
      </c>
      <c r="B52" s="3440" t="n">
        <f aca="false">B51/(1+N51)</f>
        <v>276.29854502842</v>
      </c>
      <c r="C52" s="3440" t="n">
        <f aca="false">C51/(1+O51)</f>
        <v>229.79023709833</v>
      </c>
      <c r="D52" s="3440" t="n">
        <f aca="false">C52</f>
        <v>229.79023709833</v>
      </c>
      <c r="E52" s="3440" t="n">
        <f aca="false">E51/(1+P51)</f>
        <v>379.787597316559</v>
      </c>
      <c r="F52" s="3440" t="n">
        <f aca="false">F51/(1+Q51)</f>
        <v>211.329539056592</v>
      </c>
      <c r="G52" s="3476" t="n">
        <v>2011</v>
      </c>
      <c r="H52" s="3442" t="n">
        <v>1</v>
      </c>
      <c r="I52" s="3442" t="n">
        <v>2.65</v>
      </c>
      <c r="J52" s="3442" t="n">
        <v>3.76</v>
      </c>
      <c r="K52" s="3442" t="n">
        <v>1.89</v>
      </c>
      <c r="L52" s="3460" t="n">
        <v>7.95</v>
      </c>
      <c r="N52" s="3474" t="n">
        <f aca="false">I52/100</f>
        <v>0.0265</v>
      </c>
      <c r="O52" s="3475" t="n">
        <f aca="false">J52/100</f>
        <v>0.0376</v>
      </c>
      <c r="P52" s="3475" t="n">
        <f aca="false">K52/100</f>
        <v>0.0189</v>
      </c>
      <c r="Q52" s="3475" t="n">
        <f aca="false">L52/100</f>
        <v>0.0795</v>
      </c>
      <c r="R52" s="3446"/>
      <c r="S52" s="3474" t="n">
        <f aca="false">B52/B53-1</f>
        <v>0.0271321376521179</v>
      </c>
      <c r="T52" s="3475" t="n">
        <f aca="false">C52/C53-1</f>
        <v>0.0397748284992319</v>
      </c>
      <c r="U52" s="3475" t="n">
        <f aca="false">E52/E53-1</f>
        <v>0.0181973118406418</v>
      </c>
      <c r="V52" s="3475" t="n">
        <f aca="false">F52/F53-1</f>
        <v>0.0782119339622058</v>
      </c>
      <c r="X52" s="3438"/>
      <c r="Y52" s="3438"/>
      <c r="Z52" s="3438"/>
    </row>
    <row r="53" customFormat="false" ht="12.75" hidden="false" customHeight="false" outlineLevel="0" collapsed="false">
      <c r="A53" s="3439" t="s">
        <v>2466</v>
      </c>
      <c r="B53" s="3468" t="n">
        <v>269</v>
      </c>
      <c r="C53" s="3468" t="n">
        <v>221</v>
      </c>
      <c r="D53" s="3468" t="n">
        <f aca="false">C53</f>
        <v>221</v>
      </c>
      <c r="E53" s="3468" t="n">
        <v>373</v>
      </c>
      <c r="F53" s="3469" t="n">
        <v>196</v>
      </c>
      <c r="G53" s="3476" t="n">
        <v>2010</v>
      </c>
      <c r="H53" s="3477" t="n">
        <v>4</v>
      </c>
      <c r="I53" s="3477" t="n">
        <v>5.72</v>
      </c>
      <c r="J53" s="3477" t="n">
        <v>6.57</v>
      </c>
      <c r="K53" s="3477" t="n">
        <v>5.72</v>
      </c>
      <c r="L53" s="3478" t="n">
        <v>2.72</v>
      </c>
      <c r="N53" s="3445" t="n">
        <f aca="false">I53/100</f>
        <v>0.0572</v>
      </c>
      <c r="O53" s="3438" t="n">
        <f aca="false">J53/100</f>
        <v>0.0657</v>
      </c>
      <c r="P53" s="3438" t="n">
        <f aca="false">K53/100</f>
        <v>0.0572</v>
      </c>
      <c r="Q53" s="3438" t="n">
        <f aca="false">L53/100</f>
        <v>0.0272</v>
      </c>
      <c r="R53" s="3446"/>
      <c r="S53" s="3471"/>
      <c r="T53" s="3472"/>
      <c r="U53" s="3472"/>
      <c r="V53" s="3472"/>
      <c r="X53" s="3472"/>
      <c r="Y53" s="3472"/>
      <c r="Z53" s="3472"/>
    </row>
    <row r="54" customFormat="false" ht="12.75" hidden="false" customHeight="false" outlineLevel="0" collapsed="false">
      <c r="A54" s="3439" t="s">
        <v>2467</v>
      </c>
      <c r="B54" s="3440" t="n">
        <f aca="false">B53/(1+N53)</f>
        <v>254.445705637533</v>
      </c>
      <c r="C54" s="3440" t="n">
        <f aca="false">C53/(1+O53)</f>
        <v>207.375433987051</v>
      </c>
      <c r="D54" s="3440" t="n">
        <f aca="false">C54</f>
        <v>207.375433987051</v>
      </c>
      <c r="E54" s="3440" t="n">
        <f aca="false">E53/(1+P53)</f>
        <v>352.818766553159</v>
      </c>
      <c r="F54" s="3440" t="n">
        <f aca="false">F53/(1+Q53)</f>
        <v>190.809968847352</v>
      </c>
      <c r="G54" s="3476" t="n">
        <v>2010</v>
      </c>
      <c r="H54" s="3481" t="n">
        <v>3</v>
      </c>
      <c r="I54" s="3481" t="n">
        <v>4.73</v>
      </c>
      <c r="J54" s="3481" t="n">
        <v>3.9</v>
      </c>
      <c r="K54" s="3481" t="n">
        <v>5.03</v>
      </c>
      <c r="L54" s="3482" t="n">
        <v>4.21</v>
      </c>
      <c r="N54" s="3445" t="n">
        <f aca="false">I54/100</f>
        <v>0.0473</v>
      </c>
      <c r="O54" s="3438" t="n">
        <f aca="false">J54/100</f>
        <v>0.039</v>
      </c>
      <c r="P54" s="3438" t="n">
        <f aca="false">K54/100</f>
        <v>0.0503</v>
      </c>
      <c r="Q54" s="3438" t="n">
        <f aca="false">L54/100</f>
        <v>0.0421</v>
      </c>
      <c r="R54" s="3446"/>
      <c r="S54" s="3445"/>
      <c r="T54" s="3438"/>
      <c r="U54" s="3438"/>
      <c r="V54" s="3438"/>
    </row>
    <row r="55" customFormat="false" ht="12.75" hidden="false" customHeight="false" outlineLevel="0" collapsed="false">
      <c r="A55" s="3439" t="s">
        <v>2468</v>
      </c>
      <c r="B55" s="3440" t="n">
        <f aca="false">B54/(1+N54)</f>
        <v>242.953982275884</v>
      </c>
      <c r="C55" s="3440" t="n">
        <f aca="false">C54/(1+O54)</f>
        <v>199.591370536141</v>
      </c>
      <c r="D55" s="3440" t="n">
        <f aca="false">C55</f>
        <v>199.591370536141</v>
      </c>
      <c r="E55" s="3440" t="n">
        <f aca="false">E54/(1+P54)</f>
        <v>335.921895223421</v>
      </c>
      <c r="F55" s="3440" t="n">
        <f aca="false">F54/(1+Q54)</f>
        <v>183.101399911095</v>
      </c>
      <c r="G55" s="3476" t="n">
        <v>2010</v>
      </c>
      <c r="H55" s="3466" t="n">
        <v>2</v>
      </c>
      <c r="I55" s="3466" t="n">
        <v>4.69</v>
      </c>
      <c r="J55" s="3466" t="n">
        <v>3.55</v>
      </c>
      <c r="K55" s="3466" t="n">
        <v>5.07</v>
      </c>
      <c r="L55" s="3467" t="n">
        <v>4.23</v>
      </c>
      <c r="N55" s="3445" t="n">
        <f aca="false">I55/100</f>
        <v>0.0469</v>
      </c>
      <c r="O55" s="3438" t="n">
        <f aca="false">J55/100</f>
        <v>0.0355</v>
      </c>
      <c r="P55" s="3438" t="n">
        <f aca="false">K55/100</f>
        <v>0.0507</v>
      </c>
      <c r="Q55" s="3438" t="n">
        <f aca="false">L55/100</f>
        <v>0.0423</v>
      </c>
      <c r="R55" s="3446"/>
      <c r="S55" s="3445"/>
      <c r="T55" s="3438"/>
      <c r="U55" s="3438"/>
      <c r="V55" s="3438"/>
    </row>
    <row r="56" customFormat="false" ht="12.75" hidden="false" customHeight="false" outlineLevel="0" collapsed="false">
      <c r="A56" s="3439" t="s">
        <v>2469</v>
      </c>
      <c r="B56" s="3440" t="n">
        <f aca="false">B55/(1+N55)</f>
        <v>232.069903788216</v>
      </c>
      <c r="C56" s="3440" t="n">
        <f aca="false">C55/(1+O55)</f>
        <v>192.748788542869</v>
      </c>
      <c r="D56" s="3440" t="n">
        <f aca="false">C56</f>
        <v>192.748788542869</v>
      </c>
      <c r="E56" s="3440" t="n">
        <f aca="false">E55/(1+P55)</f>
        <v>319.71247284993</v>
      </c>
      <c r="F56" s="3440" t="n">
        <f aca="false">F55/(1+Q55)</f>
        <v>175.670536228624</v>
      </c>
      <c r="G56" s="3476" t="n">
        <v>2010</v>
      </c>
      <c r="H56" s="3442" t="n">
        <v>1</v>
      </c>
      <c r="I56" s="3442" t="n">
        <v>5.4</v>
      </c>
      <c r="J56" s="3442" t="n">
        <v>3.2</v>
      </c>
      <c r="K56" s="3442" t="n">
        <v>6.16</v>
      </c>
      <c r="L56" s="3460" t="n">
        <v>4.51</v>
      </c>
      <c r="N56" s="3445" t="n">
        <f aca="false">I56/100</f>
        <v>0.054</v>
      </c>
      <c r="O56" s="3438" t="n">
        <f aca="false">J56/100</f>
        <v>0.032</v>
      </c>
      <c r="P56" s="3438" t="n">
        <f aca="false">K56/100</f>
        <v>0.0616</v>
      </c>
      <c r="Q56" s="3438" t="n">
        <f aca="false">L56/100</f>
        <v>0.0451</v>
      </c>
      <c r="R56" s="3446"/>
      <c r="S56" s="3474" t="n">
        <f aca="false">B56/B57-1</f>
        <v>0.0548631990373476</v>
      </c>
      <c r="T56" s="3475" t="n">
        <f aca="false">C56/C57-1</f>
        <v>0.0307421847212266</v>
      </c>
      <c r="U56" s="3475" t="n">
        <f aca="false">E56/E57-1</f>
        <v>0.0621676838868102</v>
      </c>
      <c r="V56" s="3475" t="n">
        <f aca="false">F56/F57-1</f>
        <v>0.04565795374181</v>
      </c>
      <c r="X56" s="3438"/>
      <c r="Y56" s="3438"/>
      <c r="Z56" s="3438"/>
    </row>
    <row r="57" customFormat="false" ht="12.75" hidden="false" customHeight="false" outlineLevel="0" collapsed="false">
      <c r="A57" s="3439" t="s">
        <v>2470</v>
      </c>
      <c r="B57" s="3468" t="n">
        <v>220</v>
      </c>
      <c r="C57" s="3468" t="n">
        <v>187</v>
      </c>
      <c r="D57" s="3468" t="n">
        <f aca="false">C57</f>
        <v>187</v>
      </c>
      <c r="E57" s="3468" t="n">
        <v>301</v>
      </c>
      <c r="F57" s="3469" t="n">
        <v>168</v>
      </c>
      <c r="G57" s="3476" t="n">
        <v>2009</v>
      </c>
      <c r="H57" s="3477" t="n">
        <v>4</v>
      </c>
      <c r="I57" s="3477" t="n">
        <v>2.3</v>
      </c>
      <c r="J57" s="3477" t="n">
        <v>1.04</v>
      </c>
      <c r="K57" s="3477" t="n">
        <v>2.84</v>
      </c>
      <c r="L57" s="3478" t="n">
        <v>0.67</v>
      </c>
      <c r="N57" s="3479" t="n">
        <f aca="false">I57/100</f>
        <v>0.023</v>
      </c>
      <c r="O57" s="3480" t="n">
        <f aca="false">J57/100</f>
        <v>0.0104</v>
      </c>
      <c r="P57" s="3480" t="n">
        <f aca="false">K57/100</f>
        <v>0.0284</v>
      </c>
      <c r="Q57" s="3480" t="n">
        <f aca="false">L57/100</f>
        <v>0.0067</v>
      </c>
      <c r="R57" s="3446"/>
      <c r="S57" s="3471"/>
      <c r="T57" s="3472"/>
      <c r="U57" s="3472"/>
      <c r="V57" s="3472"/>
      <c r="X57" s="3472"/>
      <c r="Y57" s="3472"/>
      <c r="Z57" s="3472"/>
    </row>
    <row r="58" customFormat="false" ht="12.75" hidden="false" customHeight="false" outlineLevel="0" collapsed="false">
      <c r="A58" s="3439" t="s">
        <v>2471</v>
      </c>
      <c r="B58" s="3440" t="n">
        <f aca="false">B57/(1+N57)</f>
        <v>215.05376344086</v>
      </c>
      <c r="C58" s="3440" t="n">
        <f aca="false">C57/(1+O57)</f>
        <v>185.07521773555</v>
      </c>
      <c r="D58" s="3440" t="n">
        <f aca="false">C58</f>
        <v>185.07521773555</v>
      </c>
      <c r="E58" s="3440" t="n">
        <f aca="false">E57/(1+P57)</f>
        <v>292.68767016725</v>
      </c>
      <c r="F58" s="3440" t="n">
        <f aca="false">F57/(1+Q57)</f>
        <v>166.881891328102</v>
      </c>
      <c r="G58" s="3476" t="n">
        <v>2009</v>
      </c>
      <c r="H58" s="3481" t="n">
        <v>3</v>
      </c>
      <c r="I58" s="3481" t="n">
        <v>2.1</v>
      </c>
      <c r="J58" s="3481" t="n">
        <v>1.86</v>
      </c>
      <c r="K58" s="3481" t="n">
        <v>2.29</v>
      </c>
      <c r="L58" s="3482" t="n">
        <v>0.85</v>
      </c>
      <c r="N58" s="3445" t="n">
        <f aca="false">I58/100</f>
        <v>0.021</v>
      </c>
      <c r="O58" s="3483" t="n">
        <f aca="false">J58/100</f>
        <v>0.0186</v>
      </c>
      <c r="P58" s="3483" t="n">
        <f aca="false">K58/100</f>
        <v>0.0229</v>
      </c>
      <c r="Q58" s="3483" t="n">
        <f aca="false">L58/100</f>
        <v>0.0085</v>
      </c>
      <c r="R58" s="3446"/>
      <c r="S58" s="3445"/>
      <c r="T58" s="3438"/>
      <c r="U58" s="3438"/>
      <c r="V58" s="3438"/>
    </row>
    <row r="59" customFormat="false" ht="12.75" hidden="false" customHeight="false" outlineLevel="0" collapsed="false">
      <c r="A59" s="3439" t="s">
        <v>2472</v>
      </c>
      <c r="B59" s="3440" t="n">
        <f aca="false">B58/(1+N58)</f>
        <v>210.630522469011</v>
      </c>
      <c r="C59" s="3440" t="n">
        <f aca="false">C58/(1+O58)</f>
        <v>181.695678122472</v>
      </c>
      <c r="D59" s="3440" t="n">
        <f aca="false">C59</f>
        <v>181.695678122472</v>
      </c>
      <c r="E59" s="3440" t="n">
        <f aca="false">E58/(1+P58)</f>
        <v>286.135174667367</v>
      </c>
      <c r="F59" s="3440" t="n">
        <f aca="false">F58/(1+Q58)</f>
        <v>165.475350845912</v>
      </c>
      <c r="G59" s="3476" t="n">
        <v>2009</v>
      </c>
      <c r="H59" s="3466" t="n">
        <v>2</v>
      </c>
      <c r="I59" s="3466" t="n">
        <v>0.86</v>
      </c>
      <c r="J59" s="3466" t="n">
        <v>-1.13</v>
      </c>
      <c r="K59" s="3466" t="n">
        <v>1.79</v>
      </c>
      <c r="L59" s="3467" t="n">
        <v>-2.07</v>
      </c>
      <c r="N59" s="3445" t="n">
        <f aca="false">I59/100</f>
        <v>0.0086</v>
      </c>
      <c r="O59" s="3483" t="n">
        <f aca="false">J59/100</f>
        <v>-0.0113</v>
      </c>
      <c r="P59" s="3483" t="n">
        <f aca="false">K59/100</f>
        <v>0.0179</v>
      </c>
      <c r="Q59" s="3483" t="n">
        <f aca="false">L59/100</f>
        <v>-0.0207</v>
      </c>
      <c r="R59" s="3446"/>
      <c r="S59" s="3445"/>
      <c r="T59" s="3438"/>
      <c r="U59" s="3438"/>
      <c r="V59" s="3438"/>
    </row>
    <row r="60" customFormat="false" ht="12.75" hidden="false" customHeight="false" outlineLevel="0" collapsed="false">
      <c r="A60" s="3439" t="s">
        <v>2473</v>
      </c>
      <c r="B60" s="3440" t="n">
        <f aca="false">B59/(1+N59)</f>
        <v>208.834545378754</v>
      </c>
      <c r="C60" s="3440" t="n">
        <f aca="false">C59/(1+O59)</f>
        <v>183.772305170904</v>
      </c>
      <c r="D60" s="3440" t="n">
        <f aca="false">C60</f>
        <v>183.772305170904</v>
      </c>
      <c r="E60" s="3440" t="n">
        <f aca="false">E59/(1+P59)</f>
        <v>281.103423388709</v>
      </c>
      <c r="F60" s="3440" t="n">
        <f aca="false">F59/(1+Q59)</f>
        <v>168.973093889423</v>
      </c>
      <c r="G60" s="3476" t="n">
        <v>2009</v>
      </c>
      <c r="H60" s="3442" t="n">
        <v>1</v>
      </c>
      <c r="I60" s="3442" t="n">
        <v>-2.64</v>
      </c>
      <c r="J60" s="3442" t="n">
        <v>-2.53</v>
      </c>
      <c r="K60" s="3442" t="n">
        <v>-3.02</v>
      </c>
      <c r="L60" s="3460" t="n">
        <v>1.52</v>
      </c>
      <c r="N60" s="3474" t="n">
        <f aca="false">I60/100</f>
        <v>-0.0264</v>
      </c>
      <c r="O60" s="3475" t="n">
        <f aca="false">J60/100</f>
        <v>-0.0253</v>
      </c>
      <c r="P60" s="3475" t="n">
        <f aca="false">K60/100</f>
        <v>-0.0302</v>
      </c>
      <c r="Q60" s="3475" t="n">
        <f aca="false">L60/100</f>
        <v>0.0152</v>
      </c>
      <c r="R60" s="3446"/>
      <c r="S60" s="3474" t="n">
        <f aca="false">B60/B61-1</f>
        <v>-0.0241376384170388</v>
      </c>
      <c r="T60" s="3475" t="n">
        <f aca="false">C60/C61-1</f>
        <v>-0.022487738452641</v>
      </c>
      <c r="U60" s="3475" t="n">
        <f aca="false">E60/E61-1</f>
        <v>-0.0273237945027354</v>
      </c>
      <c r="V60" s="3475" t="n">
        <f aca="false">F60/F61-1</f>
        <v>0.017910204153148</v>
      </c>
      <c r="X60" s="3438"/>
      <c r="Y60" s="3438"/>
      <c r="Z60" s="3438"/>
    </row>
    <row r="61" customFormat="false" ht="12.75" hidden="false" customHeight="false" outlineLevel="0" collapsed="false">
      <c r="A61" s="3439" t="s">
        <v>2474</v>
      </c>
      <c r="B61" s="3506" t="n">
        <v>214</v>
      </c>
      <c r="C61" s="3506" t="n">
        <v>188</v>
      </c>
      <c r="D61" s="3506" t="n">
        <f aca="false">C61</f>
        <v>188</v>
      </c>
      <c r="E61" s="3506" t="n">
        <v>289</v>
      </c>
      <c r="F61" s="3507" t="n">
        <v>166</v>
      </c>
      <c r="G61" s="3476" t="n">
        <v>2008</v>
      </c>
      <c r="H61" s="3477" t="n">
        <v>4</v>
      </c>
      <c r="I61" s="3477" t="n">
        <v>1.73</v>
      </c>
      <c r="J61" s="3477" t="n">
        <v>0.03</v>
      </c>
      <c r="K61" s="3477" t="n">
        <v>2.59</v>
      </c>
      <c r="L61" s="3478" t="n">
        <v>-1.66</v>
      </c>
      <c r="N61" s="3445" t="n">
        <f aca="false">I61/100</f>
        <v>0.0173</v>
      </c>
      <c r="O61" s="3438" t="n">
        <f aca="false">J61/100</f>
        <v>0.0003</v>
      </c>
      <c r="P61" s="3438" t="n">
        <f aca="false">K61/100</f>
        <v>0.0259</v>
      </c>
      <c r="Q61" s="3438" t="n">
        <f aca="false">L61/100</f>
        <v>-0.0166</v>
      </c>
      <c r="R61" s="3446"/>
      <c r="S61" s="3471"/>
      <c r="T61" s="3472"/>
      <c r="U61" s="3472"/>
      <c r="V61" s="3472"/>
      <c r="X61" s="3472"/>
      <c r="Y61" s="3472"/>
      <c r="Z61" s="3472"/>
    </row>
    <row r="62" customFormat="false" ht="12.75" hidden="false" customHeight="false" outlineLevel="0" collapsed="false">
      <c r="A62" s="3439" t="s">
        <v>2475</v>
      </c>
      <c r="B62" s="3440" t="n">
        <f aca="false">B61/(1+N61)</f>
        <v>210.360758871523</v>
      </c>
      <c r="C62" s="3440" t="n">
        <f aca="false">C61/(1+O61)</f>
        <v>187.943616914926</v>
      </c>
      <c r="D62" s="3440" t="n">
        <f aca="false">C62</f>
        <v>187.943616914926</v>
      </c>
      <c r="E62" s="3440" t="n">
        <f aca="false">E61/(1+P61)</f>
        <v>281.703869772882</v>
      </c>
      <c r="F62" s="3440" t="n">
        <f aca="false">F61/(1+Q61)</f>
        <v>168.80211511084</v>
      </c>
      <c r="G62" s="3476" t="n">
        <v>2008</v>
      </c>
      <c r="H62" s="3481" t="n">
        <v>3</v>
      </c>
      <c r="I62" s="3481" t="n">
        <v>1.96</v>
      </c>
      <c r="J62" s="3481" t="n">
        <v>2.36</v>
      </c>
      <c r="K62" s="3481" t="n">
        <v>1.82</v>
      </c>
      <c r="L62" s="3482" t="n">
        <v>2.22</v>
      </c>
      <c r="N62" s="3445" t="n">
        <f aca="false">I62/100</f>
        <v>0.0196</v>
      </c>
      <c r="O62" s="3438" t="n">
        <f aca="false">J62/100</f>
        <v>0.0236</v>
      </c>
      <c r="P62" s="3438" t="n">
        <f aca="false">K62/100</f>
        <v>0.0182</v>
      </c>
      <c r="Q62" s="3438" t="n">
        <f aca="false">L62/100</f>
        <v>0.0222</v>
      </c>
      <c r="R62" s="3446"/>
      <c r="S62" s="3445"/>
      <c r="T62" s="3438"/>
      <c r="U62" s="3438"/>
      <c r="V62" s="3438"/>
    </row>
    <row r="63" customFormat="false" ht="12.75" hidden="false" customHeight="false" outlineLevel="0" collapsed="false">
      <c r="A63" s="3439" t="s">
        <v>2476</v>
      </c>
      <c r="B63" s="3440" t="n">
        <f aca="false">B62/(1+N62)</f>
        <v>206.316946715891</v>
      </c>
      <c r="C63" s="3440" t="n">
        <f aca="false">C62/(1+O62)</f>
        <v>183.610411210361</v>
      </c>
      <c r="D63" s="3440" t="n">
        <f aca="false">C63</f>
        <v>183.610411210361</v>
      </c>
      <c r="E63" s="3440" t="n">
        <f aca="false">E62/(1+P62)</f>
        <v>276.668503017956</v>
      </c>
      <c r="F63" s="3440" t="n">
        <f aca="false">F62/(1+Q62)</f>
        <v>165.136093827861</v>
      </c>
      <c r="G63" s="3476" t="n">
        <v>2008</v>
      </c>
      <c r="H63" s="3466" t="n">
        <v>2</v>
      </c>
      <c r="I63" s="3466" t="n">
        <v>4.93</v>
      </c>
      <c r="J63" s="3466" t="n">
        <v>7.38</v>
      </c>
      <c r="K63" s="3466" t="n">
        <v>3.98</v>
      </c>
      <c r="L63" s="3467" t="n">
        <v>6.86</v>
      </c>
      <c r="N63" s="3445" t="n">
        <f aca="false">I63/100</f>
        <v>0.0493</v>
      </c>
      <c r="O63" s="3438" t="n">
        <f aca="false">J63/100</f>
        <v>0.0738</v>
      </c>
      <c r="P63" s="3438" t="n">
        <f aca="false">K63/100</f>
        <v>0.0398</v>
      </c>
      <c r="Q63" s="3438" t="n">
        <f aca="false">L63/100</f>
        <v>0.0686</v>
      </c>
      <c r="R63" s="3446"/>
      <c r="S63" s="3445"/>
      <c r="T63" s="3438"/>
      <c r="U63" s="3438"/>
      <c r="V63" s="3438"/>
    </row>
    <row r="64" s="3512" customFormat="true" ht="12.75" hidden="false" customHeight="false" outlineLevel="0" collapsed="false">
      <c r="A64" s="3439" t="s">
        <v>2477</v>
      </c>
      <c r="B64" s="3509" t="n">
        <f aca="false">B63/(1+N63)</f>
        <v>196.623412480598</v>
      </c>
      <c r="C64" s="3509" t="n">
        <f aca="false">C63/(1+O63)</f>
        <v>170.99125648199</v>
      </c>
      <c r="D64" s="3509" t="n">
        <f aca="false">C64</f>
        <v>170.99125648199</v>
      </c>
      <c r="E64" s="3509" t="n">
        <f aca="false">E63/(1+P63)</f>
        <v>266.0785757049</v>
      </c>
      <c r="F64" s="3509" t="n">
        <f aca="false">F63/(1+Q63)</f>
        <v>154.534993288285</v>
      </c>
      <c r="G64" s="3476" t="n">
        <v>2008</v>
      </c>
      <c r="H64" s="3510" t="n">
        <v>1</v>
      </c>
      <c r="I64" s="3510" t="n">
        <v>4.14</v>
      </c>
      <c r="J64" s="3510" t="n">
        <v>3.45</v>
      </c>
      <c r="K64" s="3510" t="n">
        <v>4.95</v>
      </c>
      <c r="L64" s="3511" t="n">
        <v>4.82</v>
      </c>
      <c r="N64" s="3513" t="n">
        <f aca="false">I64/100</f>
        <v>0.0414</v>
      </c>
      <c r="O64" s="3514" t="n">
        <f aca="false">J64/100</f>
        <v>0.0345</v>
      </c>
      <c r="P64" s="3514" t="n">
        <f aca="false">K64/100</f>
        <v>0.0495</v>
      </c>
      <c r="Q64" s="3514" t="n">
        <f aca="false">L64/100</f>
        <v>0.0482</v>
      </c>
      <c r="R64" s="3515"/>
      <c r="S64" s="3513" t="n">
        <f aca="false">B64/B65-1</f>
        <v>0.0458692153223284</v>
      </c>
      <c r="T64" s="3514" t="n">
        <f aca="false">C64/C65-1</f>
        <v>0.0363106453453947</v>
      </c>
      <c r="U64" s="3514" t="n">
        <f aca="false">E64/E65-1</f>
        <v>0.0475534476570887</v>
      </c>
      <c r="V64" s="3514" t="n">
        <f aca="false">F64/F65-1</f>
        <v>0.0441553600559801</v>
      </c>
      <c r="X64" s="3514"/>
      <c r="Y64" s="3514"/>
      <c r="Z64" s="3514"/>
    </row>
    <row r="65" customFormat="false" ht="12.75" hidden="false" customHeight="false" outlineLevel="0" collapsed="false">
      <c r="A65" s="3439" t="s">
        <v>2478</v>
      </c>
      <c r="B65" s="3468" t="n">
        <v>188</v>
      </c>
      <c r="C65" s="3468" t="n">
        <v>165</v>
      </c>
      <c r="D65" s="3468" t="n">
        <f aca="false">C65</f>
        <v>165</v>
      </c>
      <c r="E65" s="3468" t="n">
        <v>254</v>
      </c>
      <c r="F65" s="3469" t="n">
        <v>148</v>
      </c>
      <c r="G65" s="3476" t="n">
        <v>2007</v>
      </c>
      <c r="H65" s="3516" t="n">
        <v>4</v>
      </c>
      <c r="I65" s="3516" t="n">
        <v>5.51</v>
      </c>
      <c r="J65" s="3516" t="n">
        <v>4.89</v>
      </c>
      <c r="K65" s="3516" t="n">
        <v>6.43</v>
      </c>
      <c r="L65" s="3517" t="n">
        <v>5.36</v>
      </c>
      <c r="N65" s="3518" t="n">
        <f aca="false">B65/B66-1</f>
        <v>0.0413397183652455</v>
      </c>
      <c r="O65" s="3519" t="n">
        <f aca="false">C65/C66-1</f>
        <v>0.040324492593776</v>
      </c>
      <c r="P65" s="3519" t="n">
        <f aca="false">E65/E66-1</f>
        <v>0.061625555347991</v>
      </c>
      <c r="Q65" s="3519" t="n">
        <f aca="false">F65/F66-1</f>
        <v>0.0467575692505906</v>
      </c>
      <c r="R65" s="3446"/>
      <c r="S65" s="3471"/>
      <c r="T65" s="3472"/>
      <c r="U65" s="3472"/>
      <c r="V65" s="3472"/>
      <c r="X65" s="3472"/>
      <c r="Y65" s="3472"/>
      <c r="Z65" s="3472"/>
    </row>
    <row r="66" customFormat="false" ht="12.75" hidden="false" customHeight="false" outlineLevel="0" collapsed="false">
      <c r="A66" s="3439" t="s">
        <v>2479</v>
      </c>
      <c r="B66" s="3440" t="n">
        <f aca="false">B67+(B$65-B$69)*I66/SUM(I$65:I$68)</f>
        <v>180.536665109762</v>
      </c>
      <c r="C66" s="3440" t="n">
        <f aca="false">C67+(C$65-C$69)*J66/SUM(J$65:J$68)</f>
        <v>158.604359673025</v>
      </c>
      <c r="D66" s="3440" t="n">
        <f aca="false">C66</f>
        <v>158.604359673025</v>
      </c>
      <c r="E66" s="3440" t="n">
        <f aca="false">E67+(E$65-E$69)*K66/SUM(K$65:K$68)</f>
        <v>239.255732607851</v>
      </c>
      <c r="F66" s="3440" t="n">
        <f aca="false">F67+(F$65-F$69)*L66/SUM(L$65:L$68)</f>
        <v>141.3889943074</v>
      </c>
      <c r="G66" s="3476" t="n">
        <v>2007</v>
      </c>
      <c r="H66" s="3481" t="n">
        <v>3</v>
      </c>
      <c r="I66" s="3481" t="n">
        <v>8.65</v>
      </c>
      <c r="J66" s="3481" t="n">
        <v>8.06</v>
      </c>
      <c r="K66" s="3481" t="n">
        <v>9.94</v>
      </c>
      <c r="L66" s="3482" t="n">
        <v>5.8</v>
      </c>
      <c r="N66" s="3518" t="n">
        <f aca="false">B66/B67-1</f>
        <v>0.0694021757174002</v>
      </c>
      <c r="O66" s="3519" t="n">
        <f aca="false">C66/C67-1</f>
        <v>0.0711974824711534</v>
      </c>
      <c r="P66" s="3519" t="n">
        <f aca="false">E66/E67-1</f>
        <v>0.105296799225796</v>
      </c>
      <c r="Q66" s="3519" t="n">
        <f aca="false">F66/F67-1</f>
        <v>0.0532922450595121</v>
      </c>
      <c r="R66" s="3446"/>
      <c r="S66" s="3445"/>
      <c r="T66" s="3438"/>
      <c r="U66" s="3438"/>
      <c r="V66" s="3438"/>
      <c r="X66" s="3520"/>
      <c r="Y66" s="3520"/>
      <c r="Z66" s="3520"/>
    </row>
    <row r="67" customFormat="false" ht="12.75" hidden="false" customHeight="false" outlineLevel="0" collapsed="false">
      <c r="A67" s="3439" t="s">
        <v>2480</v>
      </c>
      <c r="B67" s="3440" t="n">
        <f aca="false">B68+(B$65-B$69)*I67/SUM(I$65:I$68)</f>
        <v>168.820177487156</v>
      </c>
      <c r="C67" s="3440" t="n">
        <f aca="false">C68+(C$65-C$69)*J67/SUM(J$65:J$68)</f>
        <v>148.062670299728</v>
      </c>
      <c r="D67" s="3440" t="n">
        <f aca="false">C67</f>
        <v>148.062670299728</v>
      </c>
      <c r="E67" s="3440" t="n">
        <f aca="false">E68+(E$65-E$69)*K67/SUM(K$65:K$68)</f>
        <v>216.462883793237</v>
      </c>
      <c r="F67" s="3440" t="n">
        <f aca="false">F68+(F$65-F$69)*L67/SUM(L$65:L$68)</f>
        <v>134.235294117647</v>
      </c>
      <c r="G67" s="3476" t="n">
        <v>2007</v>
      </c>
      <c r="H67" s="3466" t="n">
        <v>2</v>
      </c>
      <c r="I67" s="3466" t="n">
        <v>3.67</v>
      </c>
      <c r="J67" s="3466" t="n">
        <v>2.32</v>
      </c>
      <c r="K67" s="3466" t="n">
        <v>5.02</v>
      </c>
      <c r="L67" s="3467" t="n">
        <v>6.71</v>
      </c>
      <c r="N67" s="3518" t="n">
        <f aca="false">B67/B68-1</f>
        <v>0.030339138143848</v>
      </c>
      <c r="O67" s="3519" t="n">
        <f aca="false">C67/C68-1</f>
        <v>0.0209223415887905</v>
      </c>
      <c r="P67" s="3519" t="n">
        <f aca="false">E67/E68-1</f>
        <v>0.056164796592717</v>
      </c>
      <c r="Q67" s="3519" t="n">
        <f aca="false">F67/F68-1</f>
        <v>0.0657045367238873</v>
      </c>
      <c r="R67" s="3446"/>
      <c r="S67" s="3445"/>
      <c r="T67" s="3438"/>
      <c r="U67" s="3438"/>
      <c r="V67" s="3438"/>
      <c r="X67" s="3520"/>
      <c r="Y67" s="3520"/>
      <c r="Z67" s="3520"/>
    </row>
    <row r="68" customFormat="false" ht="12.75" hidden="false" customHeight="false" outlineLevel="0" collapsed="false">
      <c r="A68" s="3439" t="s">
        <v>2481</v>
      </c>
      <c r="B68" s="3440" t="n">
        <f aca="false">B69+(B$65-B$69)*I68/SUM(I$65:I$68)</f>
        <v>163.849135917795</v>
      </c>
      <c r="C68" s="3440" t="n">
        <f aca="false">C69+(C$65-C$69)*J68/SUM(J$65:J$68)</f>
        <v>145.028337874659</v>
      </c>
      <c r="D68" s="3440" t="n">
        <f aca="false">C68</f>
        <v>145.028337874659</v>
      </c>
      <c r="E68" s="3440" t="n">
        <f aca="false">E69+(E$65-E$69)*K68/SUM(K$65:K$68)</f>
        <v>204.951807228916</v>
      </c>
      <c r="F68" s="3440" t="n">
        <f aca="false">F69+(F$65-F$69)*L68/SUM(L$65:L$68)</f>
        <v>125.959203036053</v>
      </c>
      <c r="G68" s="3476" t="n">
        <v>2007</v>
      </c>
      <c r="H68" s="3442" t="n">
        <v>1</v>
      </c>
      <c r="I68" s="3442" t="n">
        <v>3.58</v>
      </c>
      <c r="J68" s="3442" t="n">
        <v>3.08</v>
      </c>
      <c r="K68" s="3442" t="n">
        <v>4.34</v>
      </c>
      <c r="L68" s="3460" t="n">
        <v>3.21</v>
      </c>
      <c r="N68" s="3521" t="n">
        <f aca="false">B68/B69-1</f>
        <v>0.0304977101748141</v>
      </c>
      <c r="O68" s="3522" t="n">
        <f aca="false">C68/C69-1</f>
        <v>0.028569772160705</v>
      </c>
      <c r="P68" s="3522" t="n">
        <f aca="false">E68/E69-1</f>
        <v>0.0510349088662343</v>
      </c>
      <c r="Q68" s="3522" t="n">
        <f aca="false">F68/F69-1</f>
        <v>0.0324524839020748</v>
      </c>
      <c r="R68" s="3446"/>
      <c r="S68" s="3474" t="n">
        <f aca="false">B68/B69-1</f>
        <v>0.0304977101748141</v>
      </c>
      <c r="T68" s="3475" t="n">
        <f aca="false">C68/C69-1</f>
        <v>0.028569772160705</v>
      </c>
      <c r="U68" s="3475" t="n">
        <f aca="false">E68/E69-1</f>
        <v>0.0510349088662343</v>
      </c>
      <c r="V68" s="3475" t="n">
        <f aca="false">F68/F69-1</f>
        <v>0.0324524839020748</v>
      </c>
      <c r="X68" s="3520"/>
      <c r="Y68" s="3520"/>
      <c r="Z68" s="3520"/>
    </row>
    <row r="69" customFormat="false" ht="12.75" hidden="false" customHeight="false" outlineLevel="0" collapsed="false">
      <c r="A69" s="3439" t="s">
        <v>2482</v>
      </c>
      <c r="B69" s="3484" t="n">
        <v>159</v>
      </c>
      <c r="C69" s="3484" t="n">
        <v>141</v>
      </c>
      <c r="D69" s="3484" t="n">
        <f aca="false">C69</f>
        <v>141</v>
      </c>
      <c r="E69" s="3484" t="n">
        <v>195</v>
      </c>
      <c r="F69" s="3485" t="n">
        <v>122</v>
      </c>
      <c r="G69" s="3476" t="n">
        <v>2006</v>
      </c>
      <c r="H69" s="3477" t="n">
        <v>4</v>
      </c>
      <c r="I69" s="3477" t="n">
        <v>3.79</v>
      </c>
      <c r="J69" s="3477" t="n">
        <v>2.21</v>
      </c>
      <c r="K69" s="3477" t="n">
        <v>5.65</v>
      </c>
      <c r="L69" s="3478" t="n">
        <v>5.41</v>
      </c>
      <c r="N69" s="3518" t="n">
        <f aca="false">I69/SUM(I$69:I$72)*(B$69/B$73-1)</f>
        <v>0.0724546646274853</v>
      </c>
      <c r="O69" s="3519" t="n">
        <f aca="false">J69/SUM(J$69:J$72)*(C$69/C$73-1)</f>
        <v>0.0232372300380628</v>
      </c>
      <c r="P69" s="3519" t="n">
        <f aca="false">K69/SUM(K$69:K$72)*(E$69/E$73-1)</f>
        <v>0.161468938663237</v>
      </c>
      <c r="Q69" s="3519" t="n">
        <f aca="false">L69/SUM(L$69:L$72)*(F$69/F$73-1)</f>
        <v>0.0507552303217938</v>
      </c>
      <c r="R69" s="3446"/>
      <c r="S69" s="3471"/>
      <c r="T69" s="3472"/>
      <c r="U69" s="3472"/>
      <c r="V69" s="3472"/>
      <c r="X69" s="3520"/>
      <c r="Y69" s="3520"/>
      <c r="Z69" s="3520"/>
    </row>
    <row r="70" customFormat="false" ht="12.75" hidden="false" customHeight="false" outlineLevel="0" collapsed="false">
      <c r="A70" s="3439" t="s">
        <v>2483</v>
      </c>
      <c r="B70" s="3440" t="n">
        <f aca="false">B71+(B$69-B$73)*I70/SUM(I$69:I$72)</f>
        <v>149.001256281407</v>
      </c>
      <c r="C70" s="3440" t="n">
        <f aca="false">C71+(C$69-C$73)*J70/SUM(J$69:J$72)</f>
        <v>137.955922865014</v>
      </c>
      <c r="D70" s="3440" t="n">
        <f aca="false">C70</f>
        <v>137.955922865014</v>
      </c>
      <c r="E70" s="3440" t="n">
        <f aca="false">E71+(E$69-E$73)*K70/SUM(K$69:K$72)</f>
        <v>169.972314507198</v>
      </c>
      <c r="F70" s="3440" t="n">
        <f aca="false">F71+(F$69-F$73)*L70/SUM(L$69:L$72)</f>
        <v>116.213903743316</v>
      </c>
      <c r="G70" s="3476" t="n">
        <v>2006</v>
      </c>
      <c r="H70" s="3481" t="n">
        <v>3</v>
      </c>
      <c r="I70" s="3481" t="n">
        <v>0.92</v>
      </c>
      <c r="J70" s="3481" t="n">
        <v>1.08</v>
      </c>
      <c r="K70" s="3481" t="n">
        <v>0.73</v>
      </c>
      <c r="L70" s="3482" t="n">
        <v>1.08</v>
      </c>
      <c r="N70" s="3518" t="n">
        <f aca="false">I70/SUM(I$69:I$72)*(B$69/B$73-1)</f>
        <v>0.0175879396984925</v>
      </c>
      <c r="O70" s="3519" t="n">
        <f aca="false">J70/SUM(J$69:J$72)*(C$69/C$73-1)</f>
        <v>0.0113557504258406</v>
      </c>
      <c r="P70" s="3519" t="n">
        <f aca="false">K70/SUM(K$69:K$72)*(E$69/E$73-1)</f>
        <v>0.0208623584467545</v>
      </c>
      <c r="Q70" s="3519" t="n">
        <f aca="false">L70/SUM(L$69:L$72)*(F$69/F$73-1)</f>
        <v>0.010132282578103</v>
      </c>
      <c r="R70" s="3446"/>
      <c r="S70" s="3445"/>
      <c r="T70" s="3438"/>
      <c r="U70" s="3438"/>
      <c r="V70" s="3438"/>
      <c r="X70" s="3520"/>
      <c r="Y70" s="3520"/>
      <c r="Z70" s="3520"/>
    </row>
    <row r="71" customFormat="false" ht="12.75" hidden="false" customHeight="false" outlineLevel="0" collapsed="false">
      <c r="A71" s="3439" t="s">
        <v>2484</v>
      </c>
      <c r="B71" s="3440" t="n">
        <f aca="false">B72+(B$69-B$73)*I71/SUM(I$69:I$72)</f>
        <v>146.574120603015</v>
      </c>
      <c r="C71" s="3440" t="n">
        <f aca="false">C72+(C$69-C$73)*J71/SUM(J$69:J$72)</f>
        <v>136.468319559229</v>
      </c>
      <c r="D71" s="3440" t="n">
        <f aca="false">C71</f>
        <v>136.468319559229</v>
      </c>
      <c r="E71" s="3440" t="n">
        <f aca="false">E72+(E$69-E$73)*K71/SUM(K$69:K$72)</f>
        <v>166.738648947951</v>
      </c>
      <c r="F71" s="3440" t="n">
        <f aca="false">F72+(F$69-F$73)*L71/SUM(L$69:L$72)</f>
        <v>115.058823529412</v>
      </c>
      <c r="G71" s="3476" t="n">
        <v>2006</v>
      </c>
      <c r="H71" s="3466" t="n">
        <v>2</v>
      </c>
      <c r="I71" s="3466" t="n">
        <v>0.96</v>
      </c>
      <c r="J71" s="3466" t="n">
        <v>0.25</v>
      </c>
      <c r="K71" s="3466" t="n">
        <v>1.9</v>
      </c>
      <c r="L71" s="3467" t="n">
        <v>0.95</v>
      </c>
      <c r="N71" s="3518" t="n">
        <f aca="false">I71/SUM(I$69:I$72)*(B$69/B$73-1)</f>
        <v>0.0183526327288617</v>
      </c>
      <c r="O71" s="3519" t="n">
        <f aca="false">J71/SUM(J$69:J$72)*(C$69/C$73-1)</f>
        <v>0.00262864593190755</v>
      </c>
      <c r="P71" s="3519" t="n">
        <f aca="false">K71/SUM(K$69:K$72)*(E$69/E$73-1)</f>
        <v>0.0542992891079913</v>
      </c>
      <c r="Q71" s="3519" t="n">
        <f aca="false">L71/SUM(L$69:L$72)*(F$69/F$73-1)</f>
        <v>0.0089126559714795</v>
      </c>
      <c r="R71" s="3446"/>
      <c r="S71" s="3445"/>
      <c r="T71" s="3438"/>
      <c r="U71" s="3438"/>
      <c r="V71" s="3438"/>
      <c r="X71" s="3520"/>
      <c r="Y71" s="3520"/>
      <c r="Z71" s="3520"/>
    </row>
    <row r="72" customFormat="false" ht="12.75" hidden="false" customHeight="false" outlineLevel="0" collapsed="false">
      <c r="A72" s="3439" t="s">
        <v>2485</v>
      </c>
      <c r="B72" s="3440" t="n">
        <f aca="false">B73+(B$69-B$73)*I72/SUM(I$69:I$72)</f>
        <v>144.041457286432</v>
      </c>
      <c r="C72" s="3440" t="n">
        <f aca="false">C73+(C$69-C$73)*J72/SUM(J$69:J$72)</f>
        <v>136.123966942149</v>
      </c>
      <c r="D72" s="3440" t="n">
        <f aca="false">C72</f>
        <v>136.123966942149</v>
      </c>
      <c r="E72" s="3440" t="n">
        <f aca="false">E73+(E$69-E$73)*K72/SUM(K$69:K$72)</f>
        <v>158.322259136213</v>
      </c>
      <c r="F72" s="3440" t="n">
        <f aca="false">F73+(F$69-F$73)*L72/SUM(L$69:L$72)</f>
        <v>114.042780748663</v>
      </c>
      <c r="G72" s="3476" t="n">
        <v>2006</v>
      </c>
      <c r="H72" s="3442" t="n">
        <v>1</v>
      </c>
      <c r="I72" s="3442" t="n">
        <v>2.29</v>
      </c>
      <c r="J72" s="3442" t="n">
        <v>3.72</v>
      </c>
      <c r="K72" s="3442" t="n">
        <v>0.75</v>
      </c>
      <c r="L72" s="3460" t="n">
        <v>0.04</v>
      </c>
      <c r="N72" s="3521" t="n">
        <f aca="false">I72/SUM(I$69:I$72)*(B$69/B$73-1)</f>
        <v>0.0437786759886389</v>
      </c>
      <c r="O72" s="3522" t="n">
        <f aca="false">J72/SUM(J$69:J$72)*(C$69/C$73-1)</f>
        <v>0.0391142514667844</v>
      </c>
      <c r="P72" s="3522" t="n">
        <f aca="false">K72/SUM(K$69:K$72)*(E$69/E$73-1)</f>
        <v>0.0214339299110492</v>
      </c>
      <c r="Q72" s="3522" t="n">
        <f aca="false">L72/SUM(L$69:L$72)*(F$69/F$73-1)</f>
        <v>0.000375269725114926</v>
      </c>
      <c r="R72" s="3446"/>
      <c r="S72" s="3474" t="n">
        <f aca="false">B72/B73-1</f>
        <v>0.0437786759886387</v>
      </c>
      <c r="T72" s="3475" t="n">
        <f aca="false">C72/C73-1</f>
        <v>0.0391142514667846</v>
      </c>
      <c r="U72" s="3475" t="n">
        <f aca="false">E72/E73-1</f>
        <v>0.0214339299110493</v>
      </c>
      <c r="V72" s="3475" t="n">
        <f aca="false">F72/F73-1</f>
        <v>0.000375269725114924</v>
      </c>
      <c r="X72" s="3520"/>
      <c r="Y72" s="3520"/>
      <c r="Z72" s="3520"/>
    </row>
    <row r="73" customFormat="false" ht="12.75" hidden="false" customHeight="false" outlineLevel="0" collapsed="false">
      <c r="A73" s="3439" t="s">
        <v>2486</v>
      </c>
      <c r="B73" s="3484" t="n">
        <v>138</v>
      </c>
      <c r="C73" s="3484" t="n">
        <v>131</v>
      </c>
      <c r="D73" s="3484" t="n">
        <f aca="false">C73</f>
        <v>131</v>
      </c>
      <c r="E73" s="3484" t="n">
        <v>155</v>
      </c>
      <c r="F73" s="3485" t="n">
        <v>114</v>
      </c>
      <c r="G73" s="3476" t="n">
        <v>2005</v>
      </c>
      <c r="H73" s="3477" t="n">
        <v>4</v>
      </c>
      <c r="I73" s="3477" t="n">
        <v>3.29</v>
      </c>
      <c r="J73" s="3477" t="n">
        <v>1.44</v>
      </c>
      <c r="K73" s="3477" t="n">
        <v>0.66</v>
      </c>
      <c r="L73" s="3478" t="n">
        <v>7.78</v>
      </c>
      <c r="N73" s="3518" t="n">
        <f aca="false">I73/SUM(I$73:I$76)*(B$73/B$77-1)</f>
        <v>0.0994046032169199</v>
      </c>
      <c r="O73" s="3519" t="n">
        <f aca="false">J73/SUM(J$73:J$76)*(C$73/C$77-1)</f>
        <v>0.0476365507608616</v>
      </c>
      <c r="P73" s="3519" t="n">
        <f aca="false">K73/SUM(K$73:K$76)*(E$73/E$77-1)</f>
        <v>0.083756345177665</v>
      </c>
      <c r="Q73" s="3519" t="n">
        <f aca="false">L73/SUM(L$73:L$76)*(F$73/F$77-1)</f>
        <v>0.0521487666615596</v>
      </c>
      <c r="R73" s="3446"/>
      <c r="S73" s="3471"/>
      <c r="T73" s="3472"/>
      <c r="U73" s="3472"/>
      <c r="V73" s="3472"/>
      <c r="X73" s="3520"/>
      <c r="Y73" s="3520"/>
      <c r="Z73" s="3520"/>
    </row>
    <row r="74" customFormat="false" ht="12.75" hidden="false" customHeight="false" outlineLevel="0" collapsed="false">
      <c r="A74" s="3439" t="s">
        <v>2487</v>
      </c>
      <c r="B74" s="3440" t="n">
        <f aca="false">B75+(B$73-B$77)*I74/SUM(I$73:I$76)</f>
        <v>125.972043010753</v>
      </c>
      <c r="C74" s="3440" t="n">
        <f aca="false">C75+(C$73-C$77)*J74/SUM(J$73:J$76)</f>
        <v>125.188340807175</v>
      </c>
      <c r="D74" s="3440" t="n">
        <f aca="false">C74</f>
        <v>125.188340807175</v>
      </c>
      <c r="E74" s="3440" t="n">
        <f aca="false">E75+(E$73-E$77)*K74/SUM(K$73:K$76)</f>
        <v>144.61421319797</v>
      </c>
      <c r="F74" s="3440" t="n">
        <f aca="false">F75+(F$73-F$77)*L74/SUM(L$73:L$76)</f>
        <v>108.420081967213</v>
      </c>
      <c r="G74" s="3476" t="n">
        <v>2005</v>
      </c>
      <c r="H74" s="3481" t="n">
        <v>3</v>
      </c>
      <c r="I74" s="3481" t="n">
        <v>0.46</v>
      </c>
      <c r="J74" s="3481" t="n">
        <v>0.32</v>
      </c>
      <c r="K74" s="3481" t="n">
        <v>0.42</v>
      </c>
      <c r="L74" s="3482" t="n">
        <v>0.64</v>
      </c>
      <c r="N74" s="3518" t="n">
        <f aca="false">I74/SUM(I$73:I$76)*(B$73/B$77-1)</f>
        <v>0.0138985159513019</v>
      </c>
      <c r="O74" s="3519" t="n">
        <f aca="false">J74/SUM(J$73:J$76)*(C$73/C$77-1)</f>
        <v>0.0105859001690803</v>
      </c>
      <c r="P74" s="3519" t="n">
        <f aca="false">K74/SUM(K$73:K$76)*(E$73/E$77-1)</f>
        <v>0.0532994923857868</v>
      </c>
      <c r="Q74" s="3519" t="n">
        <f aca="false">L74/SUM(L$73:L$76)*(F$73/F$77-1)</f>
        <v>0.00428987283591236</v>
      </c>
      <c r="R74" s="3446"/>
      <c r="S74" s="3445"/>
      <c r="T74" s="3438"/>
      <c r="U74" s="3438"/>
      <c r="V74" s="3438"/>
      <c r="X74" s="3520"/>
      <c r="Y74" s="3520"/>
      <c r="Z74" s="3520"/>
    </row>
    <row r="75" customFormat="false" ht="12.75" hidden="false" customHeight="false" outlineLevel="0" collapsed="false">
      <c r="A75" s="3439" t="s">
        <v>2488</v>
      </c>
      <c r="B75" s="3440" t="n">
        <f aca="false">B76+(B$73-B$77)*I75/SUM(I$73:I$76)</f>
        <v>124.290322580645</v>
      </c>
      <c r="C75" s="3440" t="n">
        <f aca="false">C76+(C$73-C$77)*J75/SUM(J$73:J$76)</f>
        <v>123.896860986547</v>
      </c>
      <c r="D75" s="3440" t="n">
        <f aca="false">C75</f>
        <v>123.896860986547</v>
      </c>
      <c r="E75" s="3440" t="n">
        <f aca="false">E76+(E$73-E$77)*K75/SUM(K$73:K$76)</f>
        <v>138.005076142132</v>
      </c>
      <c r="F75" s="3440" t="n">
        <f aca="false">F76+(F$73-F$77)*L75/SUM(L$73:L$76)</f>
        <v>107.96106557377</v>
      </c>
      <c r="G75" s="3476" t="n">
        <v>2005</v>
      </c>
      <c r="H75" s="3466" t="n">
        <v>2</v>
      </c>
      <c r="I75" s="3466" t="n">
        <v>0.47</v>
      </c>
      <c r="J75" s="3466" t="n">
        <v>0.1</v>
      </c>
      <c r="K75" s="3466" t="n">
        <v>0.52</v>
      </c>
      <c r="L75" s="3467" t="n">
        <v>0.79</v>
      </c>
      <c r="N75" s="3518" t="n">
        <f aca="false">I75/SUM(I$73:I$76)*(B$73/B$77-1)</f>
        <v>0.0142006576024171</v>
      </c>
      <c r="O75" s="3519" t="n">
        <f aca="false">J75/SUM(J$73:J$76)*(C$73/C$77-1)</f>
        <v>0.00330809380283761</v>
      </c>
      <c r="P75" s="3519" t="n">
        <f aca="false">K75/SUM(K$73:K$76)*(E$73/E$77-1)</f>
        <v>0.065989847715736</v>
      </c>
      <c r="Q75" s="3519" t="n">
        <f aca="false">L75/SUM(L$73:L$76)*(F$73/F$77-1)</f>
        <v>0.00529531178182932</v>
      </c>
      <c r="R75" s="3446"/>
      <c r="S75" s="3445"/>
      <c r="T75" s="3438"/>
      <c r="U75" s="3438"/>
      <c r="V75" s="3438"/>
      <c r="X75" s="3520"/>
      <c r="Y75" s="3520"/>
      <c r="Z75" s="3520"/>
    </row>
    <row r="76" customFormat="false" ht="12.75" hidden="false" customHeight="false" outlineLevel="0" collapsed="false">
      <c r="A76" s="3439" t="s">
        <v>2489</v>
      </c>
      <c r="B76" s="3440" t="n">
        <f aca="false">B77+(B$73-B$77)*I76/SUM(I$73:I$76)</f>
        <v>122.572043010753</v>
      </c>
      <c r="C76" s="3440" t="n">
        <f aca="false">C77+(C$73-C$77)*J76/SUM(J$73:J$76)</f>
        <v>123.493273542601</v>
      </c>
      <c r="D76" s="3440" t="n">
        <f aca="false">C76</f>
        <v>123.493273542601</v>
      </c>
      <c r="E76" s="3440" t="n">
        <f aca="false">E77+(E$73-E$77)*K76/SUM(K$73:K$76)</f>
        <v>129.822335025381</v>
      </c>
      <c r="F76" s="3440" t="n">
        <f aca="false">F77+(F$73-F$77)*L76/SUM(L$73:L$76)</f>
        <v>107.394467213115</v>
      </c>
      <c r="G76" s="3476" t="n">
        <v>2005</v>
      </c>
      <c r="H76" s="3442" t="n">
        <v>1</v>
      </c>
      <c r="I76" s="3442" t="n">
        <v>0.43</v>
      </c>
      <c r="J76" s="3442" t="n">
        <v>0.37</v>
      </c>
      <c r="K76" s="3442" t="n">
        <v>0.37</v>
      </c>
      <c r="L76" s="3460" t="n">
        <v>0.55</v>
      </c>
      <c r="N76" s="3521" t="n">
        <f aca="false">I76/SUM(I$73:I$76)*(B$73/B$77-1)</f>
        <v>0.0129920909979561</v>
      </c>
      <c r="O76" s="3522" t="n">
        <f aca="false">J76/SUM(J$73:J$76)*(C$73/C$77-1)</f>
        <v>0.0122399470704992</v>
      </c>
      <c r="P76" s="3522" t="n">
        <f aca="false">K76/SUM(K$73:K$76)*(E$73/E$77-1)</f>
        <v>0.0469543147208122</v>
      </c>
      <c r="Q76" s="3522" t="n">
        <f aca="false">L76/SUM(L$73:L$76)*(F$73/F$77-1)</f>
        <v>0.00368660946836218</v>
      </c>
      <c r="R76" s="3446"/>
      <c r="S76" s="3474" t="n">
        <f aca="false">B76/B77-1</f>
        <v>0.0129920909979562</v>
      </c>
      <c r="T76" s="3475" t="n">
        <f aca="false">C76/C77-1</f>
        <v>0.0122399470704992</v>
      </c>
      <c r="U76" s="3475" t="n">
        <f aca="false">E76/E77-1</f>
        <v>0.0469543147208122</v>
      </c>
      <c r="V76" s="3475" t="n">
        <f aca="false">F76/F77-1</f>
        <v>0.00368660946836208</v>
      </c>
      <c r="X76" s="3520"/>
      <c r="Y76" s="3520"/>
      <c r="Z76" s="3520"/>
    </row>
    <row r="77" customFormat="false" ht="12.75" hidden="false" customHeight="false" outlineLevel="0" collapsed="false">
      <c r="A77" s="3439" t="s">
        <v>2490</v>
      </c>
      <c r="B77" s="3506" t="n">
        <v>121</v>
      </c>
      <c r="C77" s="3506" t="n">
        <v>122</v>
      </c>
      <c r="D77" s="3506" t="n">
        <f aca="false">C77</f>
        <v>122</v>
      </c>
      <c r="E77" s="3506" t="n">
        <v>124</v>
      </c>
      <c r="F77" s="3507" t="n">
        <v>107</v>
      </c>
      <c r="G77" s="3476" t="n">
        <v>2004</v>
      </c>
      <c r="H77" s="3477" t="n">
        <v>4</v>
      </c>
      <c r="I77" s="3477" t="n">
        <v>0.33</v>
      </c>
      <c r="J77" s="3477" t="n">
        <v>0.5</v>
      </c>
      <c r="K77" s="3477" t="n">
        <v>0.5</v>
      </c>
      <c r="L77" s="3478" t="n">
        <v>0</v>
      </c>
      <c r="N77" s="3518" t="n">
        <f aca="false">I77/SUM(I$77:I$80)*(B$77/B$81-1)</f>
        <v>0.0133917701485269</v>
      </c>
      <c r="O77" s="3519" t="n">
        <f aca="false">J77/SUM(J$77:J$80)*(C$77/C$81-1)</f>
        <v>0.0106326422115896</v>
      </c>
      <c r="P77" s="3519" t="n">
        <f aca="false">K77/SUM(K$77:K$80)*(E$77/E$81-1)</f>
        <v>0.0222444666889111</v>
      </c>
      <c r="Q77" s="3519" t="n">
        <f aca="false">L77/SUM(L$77:L$80)*(F$77/F$81-1)</f>
        <v>0</v>
      </c>
      <c r="R77" s="3446"/>
      <c r="S77" s="3471"/>
      <c r="T77" s="3472"/>
      <c r="U77" s="3472"/>
      <c r="V77" s="3472"/>
      <c r="X77" s="3520"/>
      <c r="Y77" s="3520"/>
      <c r="Z77" s="3520"/>
    </row>
    <row r="78" customFormat="false" ht="12.75" hidden="false" customHeight="false" outlineLevel="0" collapsed="false">
      <c r="A78" s="3439" t="s">
        <v>2491</v>
      </c>
      <c r="B78" s="3440" t="n">
        <f aca="false">B79+(B$77-B$81)*I78/SUM(I$77:I$80)</f>
        <v>119.513513513514</v>
      </c>
      <c r="C78" s="3440" t="n">
        <f aca="false">C79+(C$77-C$81)*J78/SUM(J$77:J$80)</f>
        <v>120.787878787879</v>
      </c>
      <c r="D78" s="3440" t="n">
        <f aca="false">C78</f>
        <v>120.787878787879</v>
      </c>
      <c r="E78" s="3440" t="n">
        <f aca="false">E79+(E$77-E$81)*K78/SUM(K$77:K$80)</f>
        <v>121.597597597598</v>
      </c>
      <c r="F78" s="3440" t="n">
        <f aca="false">F79+(F$77-F$81)*L78/SUM(L$77:L$80)</f>
        <v>107</v>
      </c>
      <c r="G78" s="3476" t="n">
        <v>2004</v>
      </c>
      <c r="H78" s="3481" t="n">
        <v>3</v>
      </c>
      <c r="I78" s="3481" t="n">
        <v>0.56</v>
      </c>
      <c r="J78" s="3481" t="n">
        <v>0.8</v>
      </c>
      <c r="K78" s="3481" t="n">
        <v>0.83</v>
      </c>
      <c r="L78" s="3482" t="n">
        <v>0.06</v>
      </c>
      <c r="N78" s="3518" t="n">
        <f aca="false">I78/SUM(I$77:I$80)*(B$77/B$81-1)</f>
        <v>0.0227254281308335</v>
      </c>
      <c r="O78" s="3519" t="n">
        <f aca="false">J78/SUM(J$77:J$80)*(C$77/C$81-1)</f>
        <v>0.0170122275385433</v>
      </c>
      <c r="P78" s="3519" t="n">
        <f aca="false">K78/SUM(K$77:K$80)*(E$77/E$81-1)</f>
        <v>0.0369258147035925</v>
      </c>
      <c r="Q78" s="3519" t="n">
        <f aca="false">L78/SUM(L$77:L$80)*(F$77/F$81-1)</f>
        <v>0.0288461538461537</v>
      </c>
      <c r="R78" s="3446"/>
      <c r="S78" s="3445"/>
      <c r="T78" s="3438"/>
      <c r="U78" s="3438"/>
      <c r="V78" s="3438"/>
      <c r="X78" s="3520"/>
      <c r="Y78" s="3520"/>
      <c r="Z78" s="3520"/>
    </row>
    <row r="79" customFormat="false" ht="12.75" hidden="false" customHeight="false" outlineLevel="0" collapsed="false">
      <c r="A79" s="3439" t="s">
        <v>2492</v>
      </c>
      <c r="B79" s="3440" t="n">
        <f aca="false">B80+(B$77-B$81)*I79/SUM(I$77:I$80)</f>
        <v>116.990990990991</v>
      </c>
      <c r="C79" s="3440" t="n">
        <f aca="false">C80+(C$77-C$81)*J79/SUM(J$77:J$80)</f>
        <v>118.848484848485</v>
      </c>
      <c r="D79" s="3440" t="n">
        <f aca="false">C79</f>
        <v>118.848484848485</v>
      </c>
      <c r="E79" s="3440" t="n">
        <f aca="false">E80+(E$77-E$81)*K79/SUM(K$77:K$80)</f>
        <v>117.60960960961</v>
      </c>
      <c r="F79" s="3440" t="n">
        <f aca="false">F80+(F$77-F$81)*L79/SUM(L$77:L$80)</f>
        <v>104</v>
      </c>
      <c r="G79" s="3476" t="n">
        <v>2004</v>
      </c>
      <c r="H79" s="3466" t="n">
        <v>2</v>
      </c>
      <c r="I79" s="3466" t="n">
        <v>1</v>
      </c>
      <c r="J79" s="3466" t="n">
        <v>1.5</v>
      </c>
      <c r="K79" s="3466" t="n">
        <v>1.5</v>
      </c>
      <c r="L79" s="3467" t="n">
        <v>0</v>
      </c>
      <c r="N79" s="3518" t="n">
        <f aca="false">I79/SUM(I$77:I$80)*(B$77/B$81-1)</f>
        <v>0.0405811216622027</v>
      </c>
      <c r="O79" s="3519" t="n">
        <f aca="false">J79/SUM(J$77:J$80)*(C$77/C$81-1)</f>
        <v>0.0318979266347687</v>
      </c>
      <c r="P79" s="3519" t="n">
        <f aca="false">K79/SUM(K$77:K$80)*(E$77/E$81-1)</f>
        <v>0.0667334000667334</v>
      </c>
      <c r="Q79" s="3519" t="n">
        <f aca="false">L79/SUM(L$77:L$80)*(F$77/F$81-1)</f>
        <v>0</v>
      </c>
      <c r="R79" s="3446"/>
      <c r="S79" s="3445"/>
      <c r="T79" s="3438"/>
      <c r="U79" s="3438"/>
      <c r="V79" s="3438"/>
      <c r="X79" s="3520"/>
      <c r="Y79" s="3520"/>
      <c r="Z79" s="3520"/>
    </row>
    <row r="80" s="3512" customFormat="true" ht="12.75" hidden="false" customHeight="false" outlineLevel="0" collapsed="false">
      <c r="A80" s="3439" t="s">
        <v>2493</v>
      </c>
      <c r="B80" s="3509" t="n">
        <f aca="false">B81+(B$77-B$81)*I80/SUM(I$77:I$80)</f>
        <v>112.486486486487</v>
      </c>
      <c r="C80" s="3509" t="n">
        <f aca="false">C81+(C$77-C$81)*J80/SUM(J$77:J$80)</f>
        <v>115.212121212121</v>
      </c>
      <c r="D80" s="3509" t="n">
        <f aca="false">C80</f>
        <v>115.212121212121</v>
      </c>
      <c r="E80" s="3509" t="n">
        <f aca="false">E81+(E$77-E$81)*K80/SUM(K$77:K$80)</f>
        <v>110.402402402402</v>
      </c>
      <c r="F80" s="3509" t="n">
        <f aca="false">F81+(F$77-F$81)*L80/SUM(L$77:L$80)</f>
        <v>104</v>
      </c>
      <c r="G80" s="3476" t="n">
        <v>2004</v>
      </c>
      <c r="H80" s="3510" t="n">
        <v>1</v>
      </c>
      <c r="I80" s="3510" t="n">
        <v>0.33</v>
      </c>
      <c r="J80" s="3510" t="n">
        <v>0.5</v>
      </c>
      <c r="K80" s="3510" t="n">
        <v>0.5</v>
      </c>
      <c r="L80" s="3511" t="n">
        <v>0</v>
      </c>
      <c r="N80" s="3523" t="n">
        <f aca="false">I80/SUM(I$77:I$80)*(B$77/B$81-1)</f>
        <v>0.0133917701485269</v>
      </c>
      <c r="O80" s="3524" t="n">
        <f aca="false">J80/SUM(J$77:J$80)*(C$77/C$81-1)</f>
        <v>0.0106326422115896</v>
      </c>
      <c r="P80" s="3524" t="n">
        <f aca="false">K80/SUM(K$77:K$80)*(E$77/E$81-1)</f>
        <v>0.0222444666889111</v>
      </c>
      <c r="Q80" s="3524" t="n">
        <f aca="false">L80/SUM(L$77:L$80)*(F$77/F$81-1)</f>
        <v>0</v>
      </c>
      <c r="R80" s="3515"/>
      <c r="S80" s="3513" t="n">
        <f aca="false">B80/B81-1</f>
        <v>0.0133917701485269</v>
      </c>
      <c r="T80" s="3514" t="n">
        <f aca="false">C80/C81-1</f>
        <v>0.0106326422115897</v>
      </c>
      <c r="U80" s="3514" t="n">
        <f aca="false">E80/E81-1</f>
        <v>0.0222444666889112</v>
      </c>
      <c r="V80" s="3514" t="n">
        <f aca="false">F80/F81-1</f>
        <v>0</v>
      </c>
      <c r="X80" s="3525"/>
      <c r="Y80" s="3525"/>
      <c r="Z80" s="3525"/>
    </row>
    <row r="81" customFormat="false" ht="12.75" hidden="false" customHeight="false" outlineLevel="0" collapsed="false">
      <c r="A81" s="3439" t="s">
        <v>2494</v>
      </c>
      <c r="B81" s="3526" t="n">
        <v>111</v>
      </c>
      <c r="C81" s="3526" t="n">
        <v>114</v>
      </c>
      <c r="D81" s="3526" t="n">
        <f aca="false">C81</f>
        <v>114</v>
      </c>
      <c r="E81" s="3526" t="n">
        <v>108</v>
      </c>
      <c r="F81" s="3527" t="n">
        <v>104</v>
      </c>
      <c r="G81" s="3476" t="n">
        <v>2003</v>
      </c>
      <c r="H81" s="3516" t="n">
        <v>4</v>
      </c>
      <c r="I81" s="3528"/>
      <c r="J81" s="3528"/>
      <c r="K81" s="3528"/>
      <c r="L81" s="3528"/>
      <c r="N81" s="3529"/>
      <c r="O81" s="3528"/>
      <c r="P81" s="3528"/>
      <c r="Q81" s="3528"/>
      <c r="S81" s="3529"/>
      <c r="T81" s="3528"/>
      <c r="U81" s="3528"/>
      <c r="V81" s="3528"/>
      <c r="X81" s="3520"/>
      <c r="Y81" s="3520"/>
      <c r="Z81" s="3520"/>
    </row>
    <row r="82" customFormat="false" ht="12.75" hidden="false" customHeight="false" outlineLevel="0" collapsed="false">
      <c r="A82" s="3439" t="s">
        <v>2495</v>
      </c>
      <c r="B82" s="3530" t="n">
        <f aca="false">B83+(B$81-B$85)/4</f>
        <v>109.75</v>
      </c>
      <c r="C82" s="3530" t="n">
        <f aca="false">C83+(C$81-C$85)/4</f>
        <v>112.25</v>
      </c>
      <c r="D82" s="3530" t="n">
        <f aca="false">C82</f>
        <v>112.25</v>
      </c>
      <c r="E82" s="3530" t="n">
        <f aca="false">E83+(E$81-E$85)/4</f>
        <v>107.25</v>
      </c>
      <c r="F82" s="3530" t="n">
        <f aca="false">F83+(F$81-F$85)/4</f>
        <v>103.5</v>
      </c>
      <c r="G82" s="3476" t="n">
        <v>2003</v>
      </c>
      <c r="H82" s="3481" t="n">
        <v>3</v>
      </c>
      <c r="I82" s="3528"/>
      <c r="J82" s="3528"/>
      <c r="K82" s="3528"/>
      <c r="L82" s="3528"/>
      <c r="X82" s="3520"/>
      <c r="Y82" s="3520"/>
      <c r="Z82" s="3520"/>
    </row>
    <row r="83" customFormat="false" ht="12.75" hidden="false" customHeight="false" outlineLevel="0" collapsed="false">
      <c r="A83" s="3439" t="s">
        <v>2496</v>
      </c>
      <c r="B83" s="3530" t="n">
        <f aca="false">B84+(B$81-B$85)/4</f>
        <v>108.5</v>
      </c>
      <c r="C83" s="3530" t="n">
        <f aca="false">C84+(C$81-C$85)/4</f>
        <v>110.5</v>
      </c>
      <c r="D83" s="3530" t="n">
        <f aca="false">C83</f>
        <v>110.5</v>
      </c>
      <c r="E83" s="3530" t="n">
        <f aca="false">E84+(E$81-E$85)/4</f>
        <v>106.5</v>
      </c>
      <c r="F83" s="3530" t="n">
        <f aca="false">F84+(F$81-F$85)/4</f>
        <v>103</v>
      </c>
      <c r="G83" s="3476" t="n">
        <v>2003</v>
      </c>
      <c r="H83" s="3466" t="n">
        <v>2</v>
      </c>
      <c r="I83" s="3528"/>
      <c r="J83" s="3528"/>
      <c r="K83" s="3528"/>
      <c r="L83" s="3528"/>
      <c r="X83" s="3520"/>
      <c r="Y83" s="3520"/>
      <c r="Z83" s="3520"/>
    </row>
    <row r="84" customFormat="false" ht="12.75" hidden="false" customHeight="false" outlineLevel="0" collapsed="false">
      <c r="A84" s="3439" t="s">
        <v>2497</v>
      </c>
      <c r="B84" s="3530" t="n">
        <f aca="false">B85+(B$81-B$85)/4</f>
        <v>107.25</v>
      </c>
      <c r="C84" s="3530" t="n">
        <f aca="false">C85+(C$81-C$85)/4</f>
        <v>108.75</v>
      </c>
      <c r="D84" s="3530" t="n">
        <f aca="false">C84</f>
        <v>108.75</v>
      </c>
      <c r="E84" s="3530" t="n">
        <f aca="false">E85+(E$81-E$85)/4</f>
        <v>105.75</v>
      </c>
      <c r="F84" s="3530" t="n">
        <f aca="false">F85+(F$81-F$85)/4</f>
        <v>102.5</v>
      </c>
      <c r="G84" s="3476" t="n">
        <v>2003</v>
      </c>
      <c r="H84" s="3531" t="n">
        <v>1</v>
      </c>
      <c r="I84" s="3528"/>
      <c r="J84" s="3528"/>
      <c r="K84" s="3528"/>
      <c r="L84" s="3528"/>
      <c r="S84" s="3445"/>
      <c r="T84" s="3438"/>
      <c r="U84" s="3438"/>
      <c r="X84" s="3520"/>
      <c r="Y84" s="3520"/>
      <c r="Z84" s="3520"/>
    </row>
    <row r="85" customFormat="false" ht="12.75" hidden="false" customHeight="false" outlineLevel="0" collapsed="false">
      <c r="A85" s="3439" t="s">
        <v>2498</v>
      </c>
      <c r="B85" s="3532" t="n">
        <v>106</v>
      </c>
      <c r="C85" s="3532" t="n">
        <v>107</v>
      </c>
      <c r="D85" s="3532" t="n">
        <f aca="false">C85</f>
        <v>107</v>
      </c>
      <c r="E85" s="3532" t="n">
        <v>105</v>
      </c>
      <c r="F85" s="3533" t="n">
        <v>102</v>
      </c>
      <c r="G85" s="3476" t="n">
        <v>2002</v>
      </c>
      <c r="H85" s="3477" t="n">
        <v>4</v>
      </c>
      <c r="I85" s="3528"/>
      <c r="J85" s="3528"/>
      <c r="K85" s="3528"/>
      <c r="L85" s="3528"/>
      <c r="N85" s="3529"/>
      <c r="O85" s="3528"/>
      <c r="P85" s="3528"/>
      <c r="Q85" s="3528"/>
      <c r="S85" s="3529"/>
      <c r="T85" s="3528"/>
      <c r="U85" s="3528"/>
      <c r="V85" s="3528"/>
      <c r="X85" s="3520"/>
      <c r="Y85" s="3520"/>
      <c r="Z85" s="3520"/>
    </row>
    <row r="86" customFormat="false" ht="12.75" hidden="false" customHeight="false" outlineLevel="0" collapsed="false">
      <c r="A86" s="3439" t="s">
        <v>2499</v>
      </c>
      <c r="B86" s="3530" t="n">
        <f aca="false">B87+(B$85-B$89)/4</f>
        <v>105</v>
      </c>
      <c r="C86" s="3530" t="n">
        <f aca="false">C87+(C$85-C$89)/4</f>
        <v>106</v>
      </c>
      <c r="D86" s="3530" t="n">
        <f aca="false">C86</f>
        <v>106</v>
      </c>
      <c r="E86" s="3530" t="n">
        <f aca="false">E87+(E$85-E$89)/4</f>
        <v>104.5</v>
      </c>
      <c r="F86" s="3530" t="n">
        <f aca="false">F87+(F$85-F$89)/4</f>
        <v>101.5</v>
      </c>
      <c r="G86" s="3476" t="n">
        <v>2002</v>
      </c>
      <c r="H86" s="3481" t="n">
        <v>3</v>
      </c>
      <c r="I86" s="3528"/>
      <c r="J86" s="3528"/>
      <c r="K86" s="3528"/>
      <c r="L86" s="3528"/>
      <c r="X86" s="3520"/>
      <c r="Y86" s="3520"/>
      <c r="Z86" s="3520"/>
    </row>
    <row r="87" customFormat="false" ht="12.75" hidden="false" customHeight="false" outlineLevel="0" collapsed="false">
      <c r="A87" s="3439" t="s">
        <v>2500</v>
      </c>
      <c r="B87" s="3530" t="n">
        <f aca="false">B88+(B$85-B$89)/4</f>
        <v>104</v>
      </c>
      <c r="C87" s="3530" t="n">
        <f aca="false">C88+(C$85-C$89)/4</f>
        <v>105</v>
      </c>
      <c r="D87" s="3530" t="n">
        <f aca="false">C87</f>
        <v>105</v>
      </c>
      <c r="E87" s="3530" t="n">
        <f aca="false">E88+(E$85-E$89)/4</f>
        <v>104</v>
      </c>
      <c r="F87" s="3530" t="n">
        <f aca="false">F88+(F$85-F$89)/4</f>
        <v>101</v>
      </c>
      <c r="G87" s="3476" t="n">
        <v>2002</v>
      </c>
      <c r="H87" s="3466" t="n">
        <v>2</v>
      </c>
      <c r="I87" s="3528"/>
      <c r="J87" s="3528"/>
      <c r="K87" s="3528"/>
      <c r="L87" s="3528"/>
      <c r="X87" s="3520"/>
      <c r="Y87" s="3520"/>
      <c r="Z87" s="3520"/>
    </row>
    <row r="88" s="3492" customFormat="true" ht="12.75" hidden="false" customHeight="false" outlineLevel="0" collapsed="false">
      <c r="A88" s="3488" t="s">
        <v>2501</v>
      </c>
      <c r="B88" s="3495" t="n">
        <f aca="false">B89+(B$85-B$89)/4</f>
        <v>103</v>
      </c>
      <c r="C88" s="3495" t="n">
        <f aca="false">C89+(C$85-C$89)/4</f>
        <v>104</v>
      </c>
      <c r="D88" s="3495" t="n">
        <f aca="false">C88</f>
        <v>104</v>
      </c>
      <c r="E88" s="3495" t="n">
        <f aca="false">E89+(E$85-E$89)/4</f>
        <v>103.5</v>
      </c>
      <c r="F88" s="3495" t="n">
        <f aca="false">F89+(F$85-F$89)/4</f>
        <v>100.5</v>
      </c>
      <c r="G88" s="3476" t="n">
        <v>2002</v>
      </c>
      <c r="H88" s="3534" t="n">
        <v>1</v>
      </c>
      <c r="I88" s="3535"/>
      <c r="J88" s="3535"/>
      <c r="K88" s="3535"/>
      <c r="L88" s="3535"/>
      <c r="N88" s="3536"/>
      <c r="S88" s="3536"/>
      <c r="X88" s="3537"/>
      <c r="Y88" s="3537"/>
      <c r="Z88" s="3537"/>
    </row>
    <row r="89" customFormat="false" ht="12.75" hidden="false" customHeight="false" outlineLevel="0" collapsed="false">
      <c r="B89" s="3538" t="n">
        <v>102</v>
      </c>
      <c r="C89" s="3539" t="n">
        <v>103</v>
      </c>
      <c r="D89" s="3539" t="n">
        <f aca="false">C89</f>
        <v>103</v>
      </c>
      <c r="E89" s="3539" t="n">
        <v>103</v>
      </c>
      <c r="F89" s="3540" t="n">
        <v>100</v>
      </c>
      <c r="I89" s="3528"/>
      <c r="J89" s="3528"/>
      <c r="K89" s="3528"/>
      <c r="L89" s="3528"/>
      <c r="N89" s="3529"/>
      <c r="O89" s="3528"/>
      <c r="P89" s="3528"/>
      <c r="Q89" s="3528"/>
      <c r="S89" s="3529"/>
      <c r="T89" s="3528"/>
      <c r="U89" s="3528"/>
      <c r="V89" s="3528"/>
      <c r="X89" s="3472"/>
      <c r="Y89" s="3472"/>
      <c r="Z89" s="3472"/>
    </row>
    <row r="91" s="3542" customFormat="true" ht="12.75" hidden="false" customHeight="false" outlineLevel="0" collapsed="false">
      <c r="A91" s="3541" t="s">
        <v>1598</v>
      </c>
      <c r="G91" s="3543"/>
      <c r="N91" s="3543"/>
      <c r="S91" s="3543"/>
    </row>
    <row r="92" s="3542" customFormat="true" ht="12.75" hidden="false" customHeight="false" outlineLevel="0" collapsed="false">
      <c r="A92" s="3544" t="s">
        <v>2502</v>
      </c>
      <c r="G92" s="3543"/>
      <c r="N92" s="3543"/>
      <c r="S92" s="3543"/>
    </row>
    <row r="93" s="3542" customFormat="true" ht="12.75" hidden="false" customHeight="false" outlineLevel="0" collapsed="false">
      <c r="A93" s="3544" t="s">
        <v>2503</v>
      </c>
      <c r="G93" s="3543"/>
      <c r="I93" s="3545"/>
      <c r="J93" s="3545"/>
      <c r="K93" s="3545"/>
      <c r="L93" s="3545"/>
      <c r="N93" s="3546"/>
      <c r="O93" s="3545"/>
      <c r="P93" s="3545"/>
      <c r="Q93" s="3545"/>
      <c r="S93" s="3546"/>
      <c r="T93" s="3545"/>
      <c r="U93" s="3545"/>
      <c r="V93" s="3545"/>
    </row>
    <row r="94" s="3542" customFormat="true" ht="12.75" hidden="false" customHeight="false" outlineLevel="0" collapsed="false">
      <c r="A94" s="3544" t="s">
        <v>2504</v>
      </c>
      <c r="G94" s="3543"/>
      <c r="N94" s="3543"/>
      <c r="S94" s="3543"/>
    </row>
    <row r="102" customFormat="false" ht="12.75" hidden="false" customHeight="false" outlineLevel="0" collapsed="false">
      <c r="G102" s="3414"/>
      <c r="S102" s="3547" t="s">
        <v>2505</v>
      </c>
      <c r="T102" s="3548" t="s">
        <v>1689</v>
      </c>
      <c r="U102" s="3548" t="s">
        <v>1742</v>
      </c>
      <c r="V102" s="3548" t="s">
        <v>156</v>
      </c>
    </row>
    <row r="103" s="3414" customFormat="true" ht="12.75" hidden="false" customHeight="false" outlineLevel="0" collapsed="false">
      <c r="N103" s="3471"/>
      <c r="O103" s="3472"/>
      <c r="P103" s="3472"/>
      <c r="Q103" s="3472"/>
      <c r="S103" s="3549" t="n">
        <v>2006</v>
      </c>
      <c r="T103" s="3550" t="n">
        <v>15.1</v>
      </c>
      <c r="U103" s="3550" t="n">
        <v>7.43</v>
      </c>
      <c r="V103" s="3550" t="n">
        <v>26.26</v>
      </c>
    </row>
    <row r="104" s="3414" customFormat="true" ht="12.75" hidden="false" customHeight="false" outlineLevel="0" collapsed="false">
      <c r="N104" s="3471"/>
      <c r="O104" s="3472"/>
      <c r="P104" s="3472"/>
      <c r="Q104" s="3472"/>
      <c r="S104" s="3551" t="n">
        <v>2005</v>
      </c>
      <c r="T104" s="3552" t="n">
        <v>13.9</v>
      </c>
      <c r="U104" s="3552" t="n">
        <v>7.49</v>
      </c>
      <c r="V104" s="3552" t="n">
        <v>24.92</v>
      </c>
    </row>
    <row r="105" s="3414" customFormat="true" ht="12.75" hidden="false" customHeight="false" outlineLevel="0" collapsed="false">
      <c r="N105" s="3471"/>
      <c r="O105" s="3472"/>
      <c r="P105" s="3472"/>
      <c r="Q105" s="3472"/>
      <c r="S105" s="3549" t="n">
        <v>2004</v>
      </c>
      <c r="T105" s="3550" t="n">
        <v>9.48</v>
      </c>
      <c r="U105" s="3550" t="n">
        <v>7.2</v>
      </c>
      <c r="V105" s="3550" t="n">
        <v>14.68</v>
      </c>
    </row>
    <row r="106" s="3414" customFormat="true" ht="12.75" hidden="false" customHeight="false" outlineLevel="0" collapsed="false">
      <c r="N106" s="3471"/>
      <c r="O106" s="3472"/>
      <c r="P106" s="3472"/>
      <c r="Q106" s="3472"/>
      <c r="S106" s="3551" t="n">
        <v>2003</v>
      </c>
      <c r="T106" s="3552" t="n">
        <v>4.5</v>
      </c>
      <c r="U106" s="3552" t="n">
        <v>6.12</v>
      </c>
      <c r="V106" s="3552" t="n">
        <v>2.34</v>
      </c>
    </row>
    <row r="107" s="3414" customFormat="true" ht="12.75" hidden="false" customHeight="false" outlineLevel="0" collapsed="false">
      <c r="N107" s="3471"/>
      <c r="O107" s="3472"/>
      <c r="P107" s="3472"/>
      <c r="Q107" s="3472"/>
      <c r="S107" s="3553" t="n">
        <v>2002</v>
      </c>
      <c r="T107" s="3554" t="n">
        <v>3.59</v>
      </c>
      <c r="U107" s="3554" t="n">
        <v>4.54</v>
      </c>
      <c r="V107" s="3554" t="n">
        <v>2.55</v>
      </c>
    </row>
    <row r="108" customFormat="false" ht="12.75" hidden="false" customHeight="false" outlineLevel="0" collapsed="false">
      <c r="G108" s="3414"/>
      <c r="N108" s="3471"/>
      <c r="O108" s="3472"/>
      <c r="P108" s="3472"/>
      <c r="Q108" s="3472"/>
    </row>
    <row r="109" customFormat="false" ht="12.75" hidden="false" customHeight="false" outlineLevel="0" collapsed="false">
      <c r="G109" s="3414"/>
      <c r="N109" s="3471"/>
      <c r="O109" s="3472"/>
      <c r="P109" s="3472"/>
      <c r="Q109" s="3472"/>
    </row>
    <row r="110" customFormat="false" ht="12.75" hidden="false" customHeight="false" outlineLevel="0" collapsed="false">
      <c r="G110" s="3414"/>
      <c r="N110" s="3471"/>
      <c r="O110" s="3472"/>
      <c r="P110" s="3472"/>
      <c r="Q110" s="3472"/>
    </row>
    <row r="111" customFormat="false" ht="12.75" hidden="false" customHeight="false" outlineLevel="0" collapsed="false">
      <c r="G111" s="3414"/>
      <c r="N111" s="3471"/>
      <c r="O111" s="3472"/>
      <c r="P111" s="3472"/>
      <c r="Q111" s="3472"/>
    </row>
    <row r="112" customFormat="false" ht="12.75" hidden="false" customHeight="false" outlineLevel="0" collapsed="false">
      <c r="G112" s="3414"/>
      <c r="N112" s="3471"/>
      <c r="O112" s="3472"/>
      <c r="P112" s="3472"/>
      <c r="Q112" s="3472"/>
    </row>
    <row r="113" customFormat="false" ht="12.75" hidden="false" customHeight="false" outlineLevel="0" collapsed="false">
      <c r="G113" s="3414"/>
      <c r="N113" s="3471"/>
      <c r="O113" s="3472"/>
      <c r="P113" s="3472"/>
      <c r="Q113" s="3472"/>
    </row>
    <row r="114" customFormat="false" ht="12.75" hidden="false" customHeight="false" outlineLevel="0" collapsed="false">
      <c r="G114" s="3414"/>
      <c r="N114" s="3471"/>
      <c r="O114" s="3472"/>
      <c r="P114" s="3472"/>
      <c r="Q114" s="3472"/>
    </row>
    <row r="115" customFormat="false" ht="12.75" hidden="false" customHeight="false" outlineLevel="0" collapsed="false">
      <c r="G115" s="3414"/>
      <c r="N115" s="3471"/>
      <c r="O115" s="3472"/>
      <c r="P115" s="3472"/>
      <c r="Q115" s="3472"/>
    </row>
    <row r="116" customFormat="false" ht="12.75" hidden="false" customHeight="false" outlineLevel="0" collapsed="false">
      <c r="G116" s="3414"/>
      <c r="N116" s="3471"/>
      <c r="O116" s="3472"/>
      <c r="P116" s="3472"/>
      <c r="Q116" s="3472"/>
    </row>
    <row r="117" customFormat="false" ht="12.75" hidden="false" customHeight="false" outlineLevel="0" collapsed="false">
      <c r="G117" s="3414"/>
      <c r="N117" s="3471"/>
      <c r="O117" s="3472"/>
      <c r="P117" s="3472"/>
      <c r="Q117" s="3472"/>
    </row>
    <row r="118" s="3414" customFormat="true" ht="12.75" hidden="false" customHeight="false" outlineLevel="0" collapsed="false">
      <c r="N118" s="3471"/>
      <c r="O118" s="3472"/>
      <c r="P118" s="3472"/>
      <c r="Q118" s="3472"/>
    </row>
    <row r="119" s="3414" customFormat="true" ht="12.75" hidden="false" customHeight="false" outlineLevel="0" collapsed="false">
      <c r="N119" s="3471"/>
      <c r="O119" s="3472"/>
      <c r="P119" s="3472"/>
      <c r="Q119" s="3472"/>
    </row>
    <row r="120" s="3414" customFormat="true" ht="12.75" hidden="false" customHeight="false" outlineLevel="0" collapsed="false">
      <c r="N120" s="3471"/>
      <c r="O120" s="3472"/>
      <c r="P120" s="3472"/>
      <c r="Q120" s="3472"/>
    </row>
    <row r="121" s="3414" customFormat="true" ht="12.75" hidden="false" customHeight="false" outlineLevel="0" collapsed="false">
      <c r="N121" s="3471"/>
      <c r="O121" s="3472"/>
      <c r="P121" s="3472"/>
      <c r="Q121" s="3472"/>
    </row>
    <row r="122" s="3414" customFormat="true" ht="12.75" hidden="false" customHeight="false" outlineLevel="0" collapsed="false">
      <c r="N122" s="3471"/>
      <c r="O122" s="3472"/>
      <c r="P122" s="3472"/>
      <c r="Q122" s="3472"/>
    </row>
    <row r="123" s="3414" customFormat="true" ht="12.75" hidden="false" customHeight="false" outlineLevel="0" collapsed="false">
      <c r="N123" s="3471"/>
      <c r="O123" s="3472"/>
      <c r="P123" s="3472"/>
      <c r="Q123" s="3472"/>
    </row>
  </sheetData>
  <sheetProtection sheet="true" password="cee9" objects="true" scenarios="true" formatCells="false"/>
  <mergeCells count="23">
    <mergeCell ref="B1:F1"/>
    <mergeCell ref="G1:L1"/>
    <mergeCell ref="N1:Q1"/>
    <mergeCell ref="S1:V1"/>
    <mergeCell ref="X1:AB1"/>
    <mergeCell ref="AD1:AH1"/>
    <mergeCell ref="G21:G24"/>
    <mergeCell ref="G25:G28"/>
    <mergeCell ref="G29:G32"/>
    <mergeCell ref="G33:G36"/>
    <mergeCell ref="G37:G40"/>
    <mergeCell ref="G41:G44"/>
    <mergeCell ref="G45:G48"/>
    <mergeCell ref="G49:G52"/>
    <mergeCell ref="G53:G56"/>
    <mergeCell ref="G57:G60"/>
    <mergeCell ref="G61:G64"/>
    <mergeCell ref="G65:G68"/>
    <mergeCell ref="G69:G72"/>
    <mergeCell ref="G73:G76"/>
    <mergeCell ref="G77:G80"/>
    <mergeCell ref="G81:G84"/>
    <mergeCell ref="G85:G88"/>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46.xml><?xml version="1.0" encoding="utf-8"?>
<worksheet xmlns="http://schemas.openxmlformats.org/spreadsheetml/2006/main" xmlns:r="http://schemas.openxmlformats.org/officeDocument/2006/relationships">
  <sheetPr filterMode="false">
    <tabColor rgb="FF9BBB59"/>
    <pageSetUpPr fitToPage="false"/>
  </sheetPr>
  <dimension ref="A1:IQ2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3" activeCellId="0" sqref="A3"/>
    </sheetView>
  </sheetViews>
  <sheetFormatPr defaultRowHeight="13.5" zeroHeight="false" outlineLevelRow="0" outlineLevelCol="0"/>
  <cols>
    <col collapsed="false" customWidth="true" hidden="false" outlineLevel="0" max="1" min="1" style="3289" width="19.88"/>
    <col collapsed="false" customWidth="true" hidden="false" outlineLevel="0" max="4" min="2" style="3289" width="9"/>
    <col collapsed="false" customWidth="true" hidden="false" outlineLevel="0" max="5" min="5" style="3289" width="11.76"/>
    <col collapsed="false" customWidth="true" hidden="true" outlineLevel="0" max="6" min="6" style="3289" width="9"/>
    <col collapsed="false" customWidth="true" hidden="false" outlineLevel="0" max="8" min="7" style="3289" width="9"/>
    <col collapsed="false" customWidth="true" hidden="true" outlineLevel="0" max="12" min="9" style="3289" width="9"/>
    <col collapsed="false" customWidth="true" hidden="false" outlineLevel="0" max="13" min="13" style="3289" width="9"/>
    <col collapsed="false" customWidth="true" hidden="true" outlineLevel="0" max="14" min="14" style="3289" width="9"/>
    <col collapsed="false" customWidth="true" hidden="true" outlineLevel="0" max="15" min="15" style="3289" width="14.88"/>
    <col collapsed="false" customWidth="true" hidden="false" outlineLevel="0" max="18" min="16" style="3289" width="9"/>
    <col collapsed="false" customWidth="true" hidden="false" outlineLevel="0" max="19" min="19" style="3289" width="14.88"/>
    <col collapsed="false" customWidth="true" hidden="false" outlineLevel="0" max="24" min="20" style="3289" width="9"/>
    <col collapsed="false" customWidth="true" hidden="false" outlineLevel="0" max="25" min="25" style="3289" width="17.88"/>
    <col collapsed="false" customWidth="true" hidden="false" outlineLevel="0" max="30" min="26" style="3289" width="9"/>
    <col collapsed="false" customWidth="true" hidden="false" outlineLevel="0" max="31" min="31" style="3289" width="12.62"/>
    <col collapsed="false" customWidth="true" hidden="false" outlineLevel="0" max="48" min="32" style="3289" width="9"/>
    <col collapsed="false" customWidth="true" hidden="false" outlineLevel="0" max="49" min="49" style="3289" width="11.12"/>
    <col collapsed="false" customWidth="true" hidden="false" outlineLevel="0" max="51" min="50" style="3289" width="9"/>
    <col collapsed="false" customWidth="true" hidden="false" outlineLevel="0" max="52" min="52" style="3289" width="11.12"/>
    <col collapsed="false" customWidth="true" hidden="false" outlineLevel="0" max="53" min="53" style="3289" width="9"/>
    <col collapsed="false" customWidth="true" hidden="false" outlineLevel="0" max="54" min="54" style="3289" width="13.62"/>
    <col collapsed="false" customWidth="true" hidden="false" outlineLevel="0" max="56" min="55" style="3289" width="9"/>
    <col collapsed="false" customWidth="true" hidden="false" outlineLevel="0" max="57" min="57" style="3289" width="13.62"/>
    <col collapsed="false" customWidth="true" hidden="false" outlineLevel="0" max="1025" min="58" style="3289" width="9"/>
  </cols>
  <sheetData>
    <row r="1" customFormat="false" ht="13.5" hidden="false" customHeight="false" outlineLevel="0" collapsed="false">
      <c r="A1" s="3555" t="s">
        <v>1348</v>
      </c>
      <c r="B1" s="3555" t="s">
        <v>1349</v>
      </c>
      <c r="C1" s="3555" t="s">
        <v>1350</v>
      </c>
      <c r="D1" s="3555" t="s">
        <v>1351</v>
      </c>
      <c r="E1" s="3555" t="s">
        <v>1352</v>
      </c>
      <c r="F1" s="3556" t="s">
        <v>1353</v>
      </c>
      <c r="G1" s="3557" t="s">
        <v>1354</v>
      </c>
      <c r="H1" s="3556" t="s">
        <v>1355</v>
      </c>
      <c r="I1" s="3556" t="s">
        <v>1356</v>
      </c>
      <c r="J1" s="3556" t="s">
        <v>1357</v>
      </c>
      <c r="K1" s="3556" t="s">
        <v>1358</v>
      </c>
      <c r="L1" s="3558" t="s">
        <v>1359</v>
      </c>
      <c r="M1" s="3557" t="s">
        <v>2506</v>
      </c>
      <c r="N1" s="3557" t="s">
        <v>1361</v>
      </c>
      <c r="O1" s="3559" t="s">
        <v>1362</v>
      </c>
      <c r="P1" s="3558" t="s">
        <v>2507</v>
      </c>
      <c r="Q1" s="3556" t="s">
        <v>1364</v>
      </c>
      <c r="R1" s="3556" t="s">
        <v>1365</v>
      </c>
      <c r="S1" s="3559" t="s">
        <v>784</v>
      </c>
      <c r="T1" s="3556" t="s">
        <v>1366</v>
      </c>
      <c r="U1" s="3556" t="s">
        <v>1367</v>
      </c>
      <c r="V1" s="3556" t="s">
        <v>1368</v>
      </c>
      <c r="W1" s="3556" t="s">
        <v>1369</v>
      </c>
      <c r="X1" s="3556" t="s">
        <v>1370</v>
      </c>
      <c r="Y1" s="3556" t="s">
        <v>1371</v>
      </c>
      <c r="Z1" s="3556" t="s">
        <v>1372</v>
      </c>
      <c r="AA1" s="3556" t="s">
        <v>1373</v>
      </c>
      <c r="AB1" s="3556" t="s">
        <v>1374</v>
      </c>
      <c r="AC1" s="3556" t="s">
        <v>603</v>
      </c>
      <c r="AD1" s="3556" t="s">
        <v>1375</v>
      </c>
      <c r="AE1" s="3560" t="s">
        <v>1376</v>
      </c>
      <c r="AF1" s="3556" t="s">
        <v>1377</v>
      </c>
      <c r="AG1" s="3556" t="s">
        <v>1378</v>
      </c>
      <c r="AH1" s="3556" t="s">
        <v>1379</v>
      </c>
      <c r="AI1" s="3556" t="s">
        <v>1380</v>
      </c>
      <c r="AJ1" s="3556" t="s">
        <v>1381</v>
      </c>
      <c r="AK1" s="3556" t="s">
        <v>1382</v>
      </c>
      <c r="AL1" s="3556" t="s">
        <v>1383</v>
      </c>
      <c r="AM1" s="3561" t="s">
        <v>1366</v>
      </c>
      <c r="AN1" s="3561" t="s">
        <v>1367</v>
      </c>
      <c r="AO1" s="3561" t="s">
        <v>1368</v>
      </c>
      <c r="AP1" s="3561" t="s">
        <v>1384</v>
      </c>
      <c r="AQ1" s="3556" t="s">
        <v>1385</v>
      </c>
      <c r="AR1" s="3562" t="s">
        <v>1386</v>
      </c>
      <c r="AS1" s="3563" t="s">
        <v>1387</v>
      </c>
      <c r="AT1" s="3564" t="s">
        <v>1388</v>
      </c>
      <c r="AU1" s="3562" t="s">
        <v>1389</v>
      </c>
      <c r="AV1" s="3562" t="s">
        <v>1390</v>
      </c>
      <c r="AW1" s="3564" t="s">
        <v>1391</v>
      </c>
      <c r="AX1" s="3562" t="s">
        <v>1392</v>
      </c>
      <c r="AY1" s="3565" t="s">
        <v>1393</v>
      </c>
      <c r="AZ1" s="3562" t="s">
        <v>1394</v>
      </c>
      <c r="BA1" s="3566" t="s">
        <v>1395</v>
      </c>
      <c r="BB1" s="3567" t="s">
        <v>1396</v>
      </c>
      <c r="BC1" s="3567" t="s">
        <v>1397</v>
      </c>
      <c r="BD1" s="3567" t="s">
        <v>1398</v>
      </c>
      <c r="BE1" s="3568" t="s">
        <v>1399</v>
      </c>
      <c r="BF1" s="3568" t="s">
        <v>2508</v>
      </c>
      <c r="BG1" s="3561" t="s">
        <v>2509</v>
      </c>
      <c r="BH1" s="3569" t="s">
        <v>1278</v>
      </c>
      <c r="BI1" s="3569" t="s">
        <v>2510</v>
      </c>
      <c r="BJ1" s="3569" t="s">
        <v>2511</v>
      </c>
      <c r="BK1" s="3569"/>
      <c r="BL1" s="3561" t="s">
        <v>2512</v>
      </c>
      <c r="BM1" s="3561" t="s">
        <v>2513</v>
      </c>
      <c r="BN1" s="3570"/>
      <c r="BO1" s="3570"/>
      <c r="BP1" s="3570"/>
      <c r="BQ1" s="3570"/>
      <c r="BR1" s="3570"/>
      <c r="BS1" s="3570"/>
      <c r="BT1" s="3570"/>
      <c r="BU1" s="3570"/>
      <c r="BV1" s="3570"/>
      <c r="BW1" s="3570"/>
      <c r="BX1" s="3570"/>
      <c r="BY1" s="3570"/>
      <c r="BZ1" s="3570"/>
      <c r="CA1" s="3570"/>
      <c r="CB1" s="3570"/>
      <c r="CC1" s="3570"/>
      <c r="CD1" s="3570"/>
      <c r="CE1" s="3570"/>
      <c r="CF1" s="3570"/>
      <c r="CG1" s="3570"/>
      <c r="CH1" s="3570"/>
      <c r="CI1" s="3570"/>
      <c r="CJ1" s="3570"/>
      <c r="CK1" s="3570"/>
      <c r="CL1" s="3570"/>
      <c r="CM1" s="3570"/>
      <c r="CN1" s="3570"/>
      <c r="CO1" s="3570"/>
      <c r="CP1" s="3570"/>
      <c r="CQ1" s="3570"/>
      <c r="CR1" s="3570"/>
      <c r="CS1" s="3570"/>
      <c r="CT1" s="3570"/>
      <c r="CU1" s="3570"/>
      <c r="CV1" s="3570"/>
      <c r="CW1" s="3570"/>
      <c r="CX1" s="3570"/>
      <c r="CY1" s="3570"/>
      <c r="CZ1" s="3570"/>
      <c r="DA1" s="3570"/>
      <c r="DB1" s="3570"/>
      <c r="DC1" s="3570"/>
      <c r="DD1" s="3570"/>
      <c r="DE1" s="3570"/>
      <c r="DF1" s="3570"/>
      <c r="DG1" s="3570"/>
      <c r="DH1" s="3570"/>
      <c r="DI1" s="3570"/>
      <c r="DJ1" s="3570"/>
      <c r="DK1" s="3570"/>
      <c r="DL1" s="3570"/>
      <c r="DM1" s="3570"/>
      <c r="DN1" s="3570"/>
      <c r="DO1" s="3570"/>
      <c r="DP1" s="3570"/>
      <c r="DQ1" s="3570"/>
      <c r="DR1" s="3570"/>
      <c r="DS1" s="3570"/>
      <c r="DT1" s="3570"/>
      <c r="DU1" s="3570"/>
      <c r="DV1" s="3570"/>
      <c r="DW1" s="3570"/>
      <c r="DX1" s="3570"/>
      <c r="DY1" s="3570"/>
      <c r="DZ1" s="3570"/>
      <c r="EA1" s="3570"/>
      <c r="EB1" s="3570"/>
      <c r="EC1" s="3570"/>
      <c r="ED1" s="3570"/>
      <c r="EE1" s="3570"/>
      <c r="EF1" s="3570"/>
      <c r="EG1" s="3570"/>
      <c r="EH1" s="3570"/>
      <c r="EI1" s="3570"/>
      <c r="EJ1" s="3570"/>
      <c r="EK1" s="3570"/>
      <c r="EL1" s="3570"/>
      <c r="EM1" s="3570"/>
      <c r="EN1" s="3570"/>
      <c r="EO1" s="3570"/>
      <c r="EP1" s="3570"/>
      <c r="EQ1" s="3570"/>
      <c r="ER1" s="3570"/>
      <c r="ES1" s="3570"/>
      <c r="ET1" s="3570"/>
      <c r="EU1" s="3570"/>
      <c r="EV1" s="3570"/>
      <c r="EW1" s="3570"/>
      <c r="EX1" s="3570"/>
      <c r="EY1" s="3570"/>
      <c r="EZ1" s="3570"/>
      <c r="FA1" s="3570"/>
      <c r="FB1" s="3570"/>
      <c r="FC1" s="3570"/>
      <c r="FD1" s="3570"/>
      <c r="FE1" s="3570"/>
      <c r="FF1" s="3570"/>
      <c r="FG1" s="3570"/>
      <c r="FH1" s="3570"/>
      <c r="FI1" s="3570"/>
      <c r="FJ1" s="3570"/>
      <c r="FK1" s="3570"/>
      <c r="FL1" s="3570"/>
      <c r="FM1" s="3570"/>
      <c r="FN1" s="3570"/>
      <c r="FO1" s="3570"/>
      <c r="FP1" s="3570"/>
      <c r="FQ1" s="3570"/>
      <c r="FR1" s="3570"/>
      <c r="FS1" s="3570"/>
      <c r="FT1" s="3570"/>
      <c r="FU1" s="3570"/>
      <c r="FV1" s="3570"/>
      <c r="FW1" s="3570"/>
      <c r="FX1" s="3570"/>
      <c r="FY1" s="3570"/>
      <c r="FZ1" s="3570"/>
      <c r="GA1" s="3570"/>
      <c r="GB1" s="3570"/>
      <c r="GC1" s="3570"/>
      <c r="GD1" s="3570"/>
      <c r="GE1" s="3570"/>
      <c r="GF1" s="3570"/>
      <c r="GG1" s="3570"/>
      <c r="GH1" s="3570"/>
      <c r="GI1" s="3570"/>
      <c r="GJ1" s="3570"/>
      <c r="GK1" s="3570"/>
      <c r="GL1" s="3570"/>
      <c r="GM1" s="3570"/>
      <c r="GN1" s="3570"/>
      <c r="GO1" s="3570"/>
      <c r="GP1" s="3570"/>
      <c r="GQ1" s="3570"/>
      <c r="GR1" s="3570"/>
      <c r="GS1" s="3570"/>
      <c r="GT1" s="3570"/>
      <c r="GU1" s="3570"/>
      <c r="GV1" s="3570"/>
      <c r="GW1" s="3570"/>
      <c r="GX1" s="3570"/>
      <c r="GY1" s="3570"/>
      <c r="GZ1" s="3570"/>
      <c r="HA1" s="3570"/>
      <c r="HB1" s="3570"/>
      <c r="HC1" s="3570"/>
      <c r="HD1" s="3570"/>
      <c r="HE1" s="3570"/>
      <c r="HF1" s="3570"/>
      <c r="HG1" s="3570"/>
      <c r="HH1" s="3570"/>
      <c r="HI1" s="3570"/>
      <c r="HJ1" s="3570"/>
      <c r="HK1" s="3570"/>
      <c r="HL1" s="3570"/>
      <c r="HM1" s="3570"/>
      <c r="HN1" s="3570"/>
      <c r="HO1" s="3570"/>
      <c r="HP1" s="3570"/>
      <c r="HQ1" s="3570"/>
      <c r="HR1" s="3570"/>
      <c r="HS1" s="3570"/>
      <c r="HT1" s="3570"/>
      <c r="HU1" s="3570"/>
      <c r="HV1" s="3570"/>
      <c r="HW1" s="3570"/>
      <c r="HX1" s="3570"/>
      <c r="HY1" s="3570"/>
      <c r="HZ1" s="3570"/>
      <c r="IA1" s="3570"/>
      <c r="IB1" s="3570"/>
      <c r="IC1" s="3570"/>
      <c r="ID1" s="3570"/>
      <c r="IE1" s="3570"/>
      <c r="IF1" s="3570"/>
      <c r="IG1" s="3570"/>
      <c r="IH1" s="3570"/>
      <c r="II1" s="3570"/>
      <c r="IJ1" s="3570"/>
      <c r="IK1" s="3570"/>
      <c r="IL1" s="3570"/>
      <c r="IM1" s="3570"/>
      <c r="IN1" s="3570"/>
      <c r="IO1" s="3570"/>
      <c r="IP1" s="3570"/>
      <c r="IQ1" s="3570"/>
    </row>
    <row r="2" s="3584" customFormat="true" ht="13.5" hidden="false" customHeight="false" outlineLevel="0" collapsed="false">
      <c r="A2" s="3571" t="s">
        <v>2514</v>
      </c>
      <c r="B2" s="3571"/>
      <c r="C2" s="3571" t="s">
        <v>2515</v>
      </c>
      <c r="D2" s="3571"/>
      <c r="E2" s="3571" t="s">
        <v>2516</v>
      </c>
      <c r="F2" s="3571" t="s">
        <v>2517</v>
      </c>
      <c r="G2" s="3571" t="n">
        <v>36.9</v>
      </c>
      <c r="H2" s="3571" t="n">
        <v>13</v>
      </c>
      <c r="I2" s="3571" t="s">
        <v>2518</v>
      </c>
      <c r="J2" s="3571"/>
      <c r="K2" s="3571" t="s">
        <v>1544</v>
      </c>
      <c r="L2" s="3571" t="n">
        <v>180000</v>
      </c>
      <c r="M2" s="3571" t="n">
        <v>4878</v>
      </c>
      <c r="N2" s="3572" t="n">
        <v>18.56</v>
      </c>
      <c r="O2" s="3573" t="n">
        <v>185600</v>
      </c>
      <c r="P2" s="3571" t="n">
        <v>5031</v>
      </c>
      <c r="Q2" s="3574" t="n">
        <v>0.05</v>
      </c>
      <c r="R2" s="3572" t="n">
        <v>17.63</v>
      </c>
      <c r="S2" s="3573" t="n">
        <v>176300</v>
      </c>
      <c r="T2" s="3571" t="n">
        <v>2006</v>
      </c>
      <c r="U2" s="3571" t="n">
        <v>1</v>
      </c>
      <c r="V2" s="3571" t="n">
        <v>17</v>
      </c>
      <c r="W2" s="3571" t="n">
        <v>555</v>
      </c>
      <c r="X2" s="3571" t="s">
        <v>2519</v>
      </c>
      <c r="Y2" s="3571"/>
      <c r="Z2" s="3571" t="s">
        <v>188</v>
      </c>
      <c r="AA2" s="3571" t="s">
        <v>1484</v>
      </c>
      <c r="AB2" s="3571" t="s">
        <v>1485</v>
      </c>
      <c r="AC2" s="3571"/>
      <c r="AD2" s="3571" t="s">
        <v>2520</v>
      </c>
      <c r="AE2" s="3575"/>
      <c r="AF2" s="3571" t="s">
        <v>2521</v>
      </c>
      <c r="AG2" s="3571" t="n">
        <v>67641700</v>
      </c>
      <c r="AH2" s="3571"/>
      <c r="AI2" s="3571" t="s">
        <v>2522</v>
      </c>
      <c r="AJ2" s="3571"/>
      <c r="AK2" s="3571" t="s">
        <v>2523</v>
      </c>
      <c r="AL2" s="3576" t="s">
        <v>2524</v>
      </c>
      <c r="AM2" s="3571"/>
      <c r="AN2" s="3571"/>
      <c r="AO2" s="3571"/>
      <c r="AP2" s="3571"/>
      <c r="AQ2" s="3571"/>
      <c r="AR2" s="3571" t="s">
        <v>2525</v>
      </c>
      <c r="AS2" s="3571"/>
      <c r="AT2" s="3577"/>
      <c r="AU2" s="3571"/>
      <c r="AV2" s="3571"/>
      <c r="AW2" s="3577"/>
      <c r="AX2" s="3571"/>
      <c r="AY2" s="3578"/>
      <c r="AZ2" s="3571"/>
      <c r="BA2" s="3579"/>
      <c r="BB2" s="3580" t="n">
        <v>38694</v>
      </c>
      <c r="BC2" s="3571" t="s">
        <v>2526</v>
      </c>
      <c r="BD2" s="3571" t="s">
        <v>2527</v>
      </c>
      <c r="BE2" s="3575" t="n">
        <v>38730</v>
      </c>
      <c r="BF2" s="3575"/>
      <c r="BG2" s="3571" t="s">
        <v>2528</v>
      </c>
      <c r="BH2" s="3571" t="s">
        <v>1279</v>
      </c>
      <c r="BI2" s="3571" t="s">
        <v>2529</v>
      </c>
      <c r="BJ2" s="3571" t="s">
        <v>2530</v>
      </c>
      <c r="BK2" s="3581"/>
      <c r="BL2" s="3582"/>
      <c r="BM2" s="3582"/>
      <c r="BN2" s="3583"/>
      <c r="BO2" s="3583"/>
      <c r="BP2" s="3583"/>
      <c r="BQ2" s="3583"/>
      <c r="BR2" s="3583"/>
      <c r="BS2" s="3583"/>
      <c r="BT2" s="3583"/>
      <c r="BU2" s="3583"/>
      <c r="BV2" s="3583"/>
      <c r="BW2" s="3583"/>
      <c r="BX2" s="3583"/>
      <c r="BY2" s="3583"/>
      <c r="BZ2" s="3583"/>
      <c r="CA2" s="3583"/>
      <c r="CB2" s="3583"/>
      <c r="CC2" s="3583"/>
      <c r="CD2" s="3583"/>
      <c r="CE2" s="3583"/>
      <c r="CF2" s="3583"/>
      <c r="CG2" s="3583"/>
      <c r="CH2" s="3583"/>
      <c r="CI2" s="3583"/>
      <c r="CJ2" s="3583"/>
      <c r="CK2" s="3583"/>
      <c r="CL2" s="3583"/>
      <c r="CM2" s="3583"/>
      <c r="CN2" s="3583"/>
      <c r="CO2" s="3583"/>
      <c r="CP2" s="3583"/>
      <c r="CQ2" s="3583"/>
      <c r="CR2" s="3583"/>
      <c r="CS2" s="3583"/>
      <c r="CT2" s="3583"/>
      <c r="CU2" s="3583"/>
      <c r="CV2" s="3583"/>
      <c r="CW2" s="3583"/>
      <c r="CX2" s="3583"/>
      <c r="CY2" s="3583"/>
      <c r="CZ2" s="3583"/>
      <c r="DA2" s="3583"/>
      <c r="DB2" s="3583"/>
      <c r="DC2" s="3583"/>
      <c r="DD2" s="3583"/>
      <c r="DE2" s="3583"/>
      <c r="DF2" s="3583"/>
      <c r="DG2" s="3583"/>
      <c r="DH2" s="3583"/>
      <c r="DI2" s="3583"/>
      <c r="DJ2" s="3583"/>
      <c r="DK2" s="3583"/>
      <c r="DL2" s="3583"/>
      <c r="DM2" s="3583"/>
      <c r="DN2" s="3583"/>
      <c r="DO2" s="3583"/>
      <c r="DP2" s="3583"/>
      <c r="DQ2" s="3583"/>
      <c r="DR2" s="3583"/>
      <c r="DS2" s="3583"/>
      <c r="DT2" s="3583"/>
      <c r="DU2" s="3583"/>
      <c r="DV2" s="3583"/>
      <c r="DW2" s="3583"/>
      <c r="DX2" s="3583"/>
      <c r="DY2" s="3583"/>
      <c r="DZ2" s="3583"/>
      <c r="EA2" s="3583"/>
      <c r="EB2" s="3583"/>
      <c r="EC2" s="3583"/>
      <c r="ED2" s="3583"/>
      <c r="EE2" s="3583"/>
      <c r="EF2" s="3583"/>
      <c r="EG2" s="3583"/>
      <c r="EH2" s="3583"/>
      <c r="EI2" s="3583"/>
      <c r="EJ2" s="3583"/>
      <c r="EK2" s="3583"/>
      <c r="EL2" s="3583"/>
      <c r="EM2" s="3583"/>
      <c r="EN2" s="3583"/>
      <c r="EO2" s="3583"/>
      <c r="EP2" s="3583"/>
      <c r="EQ2" s="3583"/>
      <c r="ER2" s="3583"/>
      <c r="ES2" s="3583"/>
      <c r="ET2" s="3583"/>
      <c r="EU2" s="3583"/>
      <c r="EV2" s="3583"/>
      <c r="EW2" s="3583"/>
      <c r="EX2" s="3583"/>
      <c r="EY2" s="3583"/>
      <c r="EZ2" s="3583"/>
      <c r="FA2" s="3583"/>
      <c r="FB2" s="3583"/>
      <c r="FC2" s="3583"/>
      <c r="FD2" s="3583"/>
      <c r="FE2" s="3583"/>
      <c r="FF2" s="3583"/>
      <c r="FG2" s="3583"/>
      <c r="FH2" s="3583"/>
      <c r="FI2" s="3583"/>
      <c r="FJ2" s="3583"/>
      <c r="FK2" s="3583"/>
      <c r="FL2" s="3583"/>
      <c r="FM2" s="3583"/>
      <c r="FN2" s="3583"/>
      <c r="FO2" s="3583"/>
      <c r="FP2" s="3583"/>
      <c r="FQ2" s="3583"/>
      <c r="FR2" s="3583"/>
      <c r="FS2" s="3583"/>
      <c r="FT2" s="3583"/>
      <c r="FU2" s="3583"/>
      <c r="FV2" s="3583"/>
      <c r="FW2" s="3583"/>
      <c r="FX2" s="3583"/>
      <c r="FY2" s="3583"/>
      <c r="FZ2" s="3583"/>
      <c r="GA2" s="3583"/>
      <c r="GB2" s="3583"/>
      <c r="GC2" s="3583"/>
      <c r="GD2" s="3583"/>
      <c r="GE2" s="3583"/>
      <c r="GF2" s="3583"/>
      <c r="GG2" s="3583"/>
      <c r="GH2" s="3583"/>
      <c r="GI2" s="3583"/>
      <c r="GJ2" s="3583"/>
      <c r="GK2" s="3583"/>
      <c r="GL2" s="3583"/>
      <c r="GM2" s="3583"/>
      <c r="GN2" s="3583"/>
      <c r="GO2" s="3583"/>
      <c r="GP2" s="3583"/>
      <c r="GQ2" s="3583"/>
      <c r="GR2" s="3583"/>
      <c r="GS2" s="3583"/>
      <c r="GT2" s="3583"/>
      <c r="GU2" s="3583"/>
      <c r="GV2" s="3583"/>
      <c r="GW2" s="3583"/>
      <c r="GX2" s="3583"/>
      <c r="GY2" s="3583"/>
      <c r="GZ2" s="3583"/>
      <c r="HA2" s="3583"/>
      <c r="HB2" s="3583"/>
      <c r="HC2" s="3583"/>
      <c r="HD2" s="3583"/>
      <c r="HE2" s="3583"/>
      <c r="HF2" s="3583"/>
      <c r="HG2" s="3583"/>
      <c r="HH2" s="3583"/>
      <c r="HI2" s="3583"/>
      <c r="HJ2" s="3583"/>
      <c r="HK2" s="3583"/>
      <c r="HL2" s="3583"/>
      <c r="HM2" s="3583"/>
      <c r="HN2" s="3583"/>
      <c r="HO2" s="3583"/>
      <c r="HP2" s="3583"/>
      <c r="HQ2" s="3583"/>
      <c r="HR2" s="3583"/>
      <c r="HS2" s="3583"/>
      <c r="HT2" s="3583"/>
      <c r="HU2" s="3583"/>
      <c r="HV2" s="3583"/>
      <c r="HW2" s="3583"/>
      <c r="HX2" s="3583"/>
      <c r="HY2" s="3583"/>
      <c r="HZ2" s="3583"/>
      <c r="IA2" s="3583"/>
      <c r="IB2" s="3583"/>
      <c r="IC2" s="3583"/>
      <c r="ID2" s="3583"/>
      <c r="IE2" s="3583"/>
      <c r="IF2" s="3583"/>
      <c r="IG2" s="3583"/>
      <c r="IH2" s="3583"/>
      <c r="II2" s="3583"/>
      <c r="IJ2" s="3583"/>
      <c r="IK2" s="3583"/>
      <c r="IL2" s="3583"/>
      <c r="IM2" s="3583"/>
      <c r="IN2" s="3583"/>
      <c r="IO2" s="3583"/>
      <c r="IP2" s="3583"/>
      <c r="IQ2" s="3583"/>
    </row>
    <row r="3" s="3584" customFormat="true" ht="13.5" hidden="false" customHeight="false" outlineLevel="0" collapsed="false">
      <c r="A3" s="3571" t="s">
        <v>2531</v>
      </c>
      <c r="B3" s="3571"/>
      <c r="C3" s="3571" t="s">
        <v>2515</v>
      </c>
      <c r="D3" s="3571"/>
      <c r="E3" s="3571" t="s">
        <v>2532</v>
      </c>
      <c r="F3" s="3571" t="s">
        <v>2533</v>
      </c>
      <c r="G3" s="3571" t="n">
        <v>87.7</v>
      </c>
      <c r="H3" s="3571" t="n">
        <v>12</v>
      </c>
      <c r="I3" s="3571" t="s">
        <v>2534</v>
      </c>
      <c r="J3" s="3571"/>
      <c r="K3" s="3571" t="s">
        <v>1544</v>
      </c>
      <c r="L3" s="3585" t="n">
        <v>490000</v>
      </c>
      <c r="M3" s="3571" t="n">
        <v>5587</v>
      </c>
      <c r="N3" s="3572" t="n">
        <v>45.36</v>
      </c>
      <c r="O3" s="3573" t="n">
        <v>453600</v>
      </c>
      <c r="P3" s="3571" t="n">
        <v>5173</v>
      </c>
      <c r="Q3" s="3574" t="n">
        <v>0.05</v>
      </c>
      <c r="R3" s="3572" t="n">
        <v>43.09</v>
      </c>
      <c r="S3" s="3573" t="n">
        <v>430900</v>
      </c>
      <c r="T3" s="3576" t="n">
        <v>2006</v>
      </c>
      <c r="U3" s="3576" t="n">
        <v>5</v>
      </c>
      <c r="V3" s="3576" t="n">
        <v>16</v>
      </c>
      <c r="W3" s="3571" t="n">
        <v>1360</v>
      </c>
      <c r="X3" s="3571" t="s">
        <v>2519</v>
      </c>
      <c r="Y3" s="3571"/>
      <c r="Z3" s="3571" t="s">
        <v>2535</v>
      </c>
      <c r="AA3" s="3571" t="s">
        <v>1484</v>
      </c>
      <c r="AB3" s="3571" t="s">
        <v>1485</v>
      </c>
      <c r="AC3" s="3571"/>
      <c r="AD3" s="3571" t="s">
        <v>2536</v>
      </c>
      <c r="AE3" s="3580"/>
      <c r="AF3" s="3586" t="n">
        <v>5</v>
      </c>
      <c r="AG3" s="3576" t="n">
        <v>67641700</v>
      </c>
      <c r="AH3" s="3576"/>
      <c r="AI3" s="3571" t="s">
        <v>2537</v>
      </c>
      <c r="AJ3" s="3571"/>
      <c r="AK3" s="3571" t="s">
        <v>2523</v>
      </c>
      <c r="AL3" s="3576" t="s">
        <v>2538</v>
      </c>
      <c r="AM3" s="3576"/>
      <c r="AN3" s="3576"/>
      <c r="AO3" s="3576"/>
      <c r="AP3" s="3576"/>
      <c r="AQ3" s="3576"/>
      <c r="AR3" s="3576" t="s">
        <v>2525</v>
      </c>
      <c r="AS3" s="3576"/>
      <c r="AT3" s="3587"/>
      <c r="AU3" s="3571" t="s">
        <v>2533</v>
      </c>
      <c r="AV3" s="3576"/>
      <c r="AW3" s="3588"/>
      <c r="AX3" s="3576"/>
      <c r="AY3" s="3588"/>
      <c r="AZ3" s="3576"/>
      <c r="BA3" s="3589"/>
      <c r="BB3" s="3590" t="n">
        <v>38792</v>
      </c>
      <c r="BC3" s="3571" t="s">
        <v>2526</v>
      </c>
      <c r="BD3" s="3576" t="s">
        <v>2523</v>
      </c>
      <c r="BE3" s="3591" t="n">
        <v>38804</v>
      </c>
      <c r="BF3" s="3591"/>
      <c r="BG3" s="3571" t="s">
        <v>2528</v>
      </c>
      <c r="BH3" s="3576" t="s">
        <v>1279</v>
      </c>
      <c r="BI3" s="3576" t="s">
        <v>2539</v>
      </c>
      <c r="BJ3" s="3576" t="s">
        <v>2530</v>
      </c>
      <c r="BK3" s="3576"/>
      <c r="BL3" s="3576"/>
      <c r="BM3" s="3576"/>
      <c r="BN3" s="3592"/>
      <c r="BO3" s="3592"/>
      <c r="BP3" s="3592"/>
      <c r="BQ3" s="3593"/>
      <c r="BR3" s="3593"/>
      <c r="BS3" s="3593"/>
      <c r="BT3" s="3593"/>
      <c r="BU3" s="3593"/>
      <c r="BV3" s="3593"/>
      <c r="BW3" s="3593"/>
      <c r="BX3" s="3593"/>
      <c r="BY3" s="3593"/>
      <c r="BZ3" s="3593"/>
      <c r="CA3" s="3593"/>
      <c r="CB3" s="3593"/>
      <c r="CC3" s="3593"/>
      <c r="CD3" s="3593"/>
      <c r="CE3" s="3593"/>
      <c r="CF3" s="3593"/>
      <c r="CG3" s="3593"/>
      <c r="CH3" s="3593"/>
      <c r="CI3" s="3593"/>
      <c r="CJ3" s="3593"/>
      <c r="CK3" s="3593"/>
      <c r="CL3" s="3593"/>
      <c r="CM3" s="3593"/>
      <c r="CN3" s="3593"/>
      <c r="CO3" s="3593"/>
      <c r="CP3" s="3593"/>
      <c r="CQ3" s="3593"/>
      <c r="CR3" s="3593"/>
      <c r="CS3" s="3593"/>
      <c r="CT3" s="3593"/>
      <c r="CU3" s="3593"/>
      <c r="CV3" s="3593"/>
      <c r="CW3" s="3593"/>
      <c r="CX3" s="3593"/>
      <c r="CY3" s="3593"/>
      <c r="CZ3" s="3593"/>
      <c r="DA3" s="3593"/>
      <c r="DB3" s="3593"/>
      <c r="DC3" s="3593"/>
      <c r="DD3" s="3593"/>
      <c r="DE3" s="3593"/>
      <c r="DF3" s="3593"/>
      <c r="DG3" s="3593"/>
      <c r="DH3" s="3593"/>
      <c r="DI3" s="3593"/>
      <c r="DJ3" s="3593"/>
      <c r="DK3" s="3593"/>
      <c r="DL3" s="3593"/>
      <c r="DM3" s="3593"/>
      <c r="DN3" s="3593"/>
      <c r="DO3" s="3593"/>
      <c r="DP3" s="3593"/>
      <c r="DQ3" s="3593"/>
      <c r="DR3" s="3593"/>
      <c r="DS3" s="3593"/>
      <c r="DT3" s="3593"/>
      <c r="DU3" s="3593"/>
      <c r="DV3" s="3593"/>
      <c r="DW3" s="3593"/>
      <c r="DX3" s="3593"/>
      <c r="DY3" s="3593"/>
      <c r="DZ3" s="3593"/>
      <c r="EA3" s="3593"/>
      <c r="EB3" s="3593"/>
      <c r="EC3" s="3593"/>
      <c r="ED3" s="3593"/>
      <c r="EE3" s="3593"/>
      <c r="EF3" s="3593"/>
      <c r="EG3" s="3593"/>
      <c r="EH3" s="3593"/>
      <c r="EI3" s="3593"/>
      <c r="EJ3" s="3593"/>
      <c r="EK3" s="3593"/>
      <c r="EL3" s="3593"/>
      <c r="EM3" s="3593"/>
      <c r="EN3" s="3593"/>
      <c r="EO3" s="3593"/>
      <c r="EP3" s="3593"/>
      <c r="EQ3" s="3593"/>
      <c r="ER3" s="3593"/>
      <c r="ES3" s="3593"/>
      <c r="ET3" s="3593"/>
      <c r="EU3" s="3593"/>
      <c r="EV3" s="3593"/>
      <c r="EW3" s="3593"/>
      <c r="EX3" s="3593"/>
      <c r="EY3" s="3593"/>
      <c r="EZ3" s="3593"/>
      <c r="FA3" s="3593"/>
      <c r="FB3" s="3593"/>
      <c r="FC3" s="3593"/>
      <c r="FD3" s="3593"/>
      <c r="FE3" s="3593"/>
      <c r="FF3" s="3593"/>
      <c r="FG3" s="3593"/>
      <c r="FH3" s="3593"/>
      <c r="FI3" s="3593"/>
      <c r="FJ3" s="3593"/>
      <c r="FK3" s="3593"/>
      <c r="FL3" s="3593"/>
      <c r="FM3" s="3593"/>
      <c r="FN3" s="3593"/>
      <c r="FO3" s="3593"/>
      <c r="FP3" s="3593"/>
      <c r="FQ3" s="3593"/>
      <c r="FR3" s="3593"/>
      <c r="FS3" s="3593"/>
      <c r="FT3" s="3593"/>
      <c r="FU3" s="3593"/>
      <c r="FV3" s="3593"/>
      <c r="FW3" s="3593"/>
      <c r="FX3" s="3593"/>
      <c r="FY3" s="3593"/>
      <c r="FZ3" s="3593"/>
      <c r="GA3" s="3593"/>
      <c r="GB3" s="3593"/>
      <c r="GC3" s="3593"/>
      <c r="GD3" s="3593"/>
      <c r="GE3" s="3593"/>
      <c r="GF3" s="3593"/>
      <c r="GG3" s="3593"/>
      <c r="GH3" s="3593"/>
      <c r="GI3" s="3593"/>
      <c r="GJ3" s="3593"/>
      <c r="GK3" s="3593"/>
      <c r="GL3" s="3593"/>
      <c r="GM3" s="3593"/>
      <c r="GN3" s="3593"/>
      <c r="GO3" s="3593"/>
      <c r="GP3" s="3593"/>
      <c r="GQ3" s="3593"/>
      <c r="GR3" s="3593"/>
      <c r="GS3" s="3593"/>
      <c r="GT3" s="3593"/>
      <c r="GU3" s="3593"/>
      <c r="GV3" s="3593"/>
      <c r="GW3" s="3593"/>
      <c r="GX3" s="3593"/>
      <c r="GY3" s="3593"/>
      <c r="GZ3" s="3593"/>
      <c r="HA3" s="3593"/>
      <c r="HB3" s="3593"/>
      <c r="HC3" s="3593"/>
      <c r="HD3" s="3593"/>
      <c r="HE3" s="3593"/>
      <c r="HF3" s="3593"/>
      <c r="HG3" s="3593"/>
      <c r="HH3" s="3593"/>
      <c r="HI3" s="3593"/>
      <c r="HJ3" s="3593"/>
      <c r="HK3" s="3593"/>
      <c r="HL3" s="3593"/>
      <c r="HM3" s="3593"/>
      <c r="HN3" s="3593"/>
      <c r="HO3" s="3593"/>
      <c r="HP3" s="3593"/>
      <c r="HQ3" s="3593"/>
      <c r="HR3" s="3593"/>
      <c r="HS3" s="3593"/>
      <c r="HT3" s="3593"/>
      <c r="HU3" s="3593"/>
      <c r="HV3" s="3593"/>
      <c r="HW3" s="3593"/>
      <c r="HX3" s="3593"/>
      <c r="HY3" s="3593"/>
      <c r="HZ3" s="3593"/>
      <c r="IA3" s="3593"/>
      <c r="IB3" s="3593"/>
      <c r="IC3" s="3593"/>
      <c r="ID3" s="3593"/>
      <c r="IE3" s="3593"/>
      <c r="IF3" s="3593"/>
      <c r="IG3" s="3593"/>
      <c r="IH3" s="3593"/>
      <c r="II3" s="3593"/>
      <c r="IJ3" s="3593"/>
      <c r="IK3" s="3593"/>
      <c r="IL3" s="3593"/>
      <c r="IM3" s="3593"/>
      <c r="IN3" s="3593"/>
      <c r="IO3" s="3593"/>
      <c r="IP3" s="3593"/>
      <c r="IQ3" s="3593"/>
    </row>
    <row r="4" s="3584" customFormat="true" ht="13.5" hidden="false" customHeight="false" outlineLevel="0" collapsed="false">
      <c r="A4" s="3571" t="s">
        <v>2531</v>
      </c>
      <c r="B4" s="3571"/>
      <c r="C4" s="3571" t="s">
        <v>2540</v>
      </c>
      <c r="D4" s="3571"/>
      <c r="E4" s="3571" t="s">
        <v>2541</v>
      </c>
      <c r="F4" s="3571" t="s">
        <v>2542</v>
      </c>
      <c r="G4" s="3594" t="n">
        <v>67.1</v>
      </c>
      <c r="H4" s="3571" t="n">
        <v>16</v>
      </c>
      <c r="I4" s="3571" t="s">
        <v>2543</v>
      </c>
      <c r="J4" s="3571"/>
      <c r="K4" s="3571" t="s">
        <v>1544</v>
      </c>
      <c r="L4" s="3585" t="n">
        <v>385000</v>
      </c>
      <c r="M4" s="3571" t="n">
        <v>5738</v>
      </c>
      <c r="N4" s="3572" t="n">
        <v>35.05</v>
      </c>
      <c r="O4" s="3573" t="n">
        <v>350500</v>
      </c>
      <c r="P4" s="3571" t="n">
        <v>5225</v>
      </c>
      <c r="Q4" s="3574" t="n">
        <v>0.05</v>
      </c>
      <c r="R4" s="3572" t="n">
        <v>33.29</v>
      </c>
      <c r="S4" s="3573" t="n">
        <v>332900</v>
      </c>
      <c r="T4" s="3595" t="n">
        <v>2006</v>
      </c>
      <c r="U4" s="3595" t="n">
        <v>2</v>
      </c>
      <c r="V4" s="3595" t="n">
        <v>22</v>
      </c>
      <c r="W4" s="3571" t="n">
        <v>1050</v>
      </c>
      <c r="X4" s="3571" t="s">
        <v>2519</v>
      </c>
      <c r="Y4" s="3571"/>
      <c r="Z4" s="3571" t="s">
        <v>2544</v>
      </c>
      <c r="AA4" s="3571" t="s">
        <v>1484</v>
      </c>
      <c r="AB4" s="3571" t="s">
        <v>1485</v>
      </c>
      <c r="AC4" s="3571"/>
      <c r="AD4" s="3571" t="s">
        <v>2520</v>
      </c>
      <c r="AE4" s="3580"/>
      <c r="AF4" s="3596" t="s">
        <v>2537</v>
      </c>
      <c r="AG4" s="3571" t="n">
        <v>82253558</v>
      </c>
      <c r="AH4" s="3576"/>
      <c r="AI4" s="3571" t="s">
        <v>2545</v>
      </c>
      <c r="AJ4" s="3571"/>
      <c r="AK4" s="3571" t="s">
        <v>2546</v>
      </c>
      <c r="AL4" s="3576" t="s">
        <v>2538</v>
      </c>
      <c r="AM4" s="3571"/>
      <c r="AN4" s="3571"/>
      <c r="AO4" s="3571"/>
      <c r="AP4" s="3571"/>
      <c r="AQ4" s="3575"/>
      <c r="AR4" s="3576" t="s">
        <v>2525</v>
      </c>
      <c r="AS4" s="3576"/>
      <c r="AT4" s="3576"/>
      <c r="AU4" s="3571" t="s">
        <v>2542</v>
      </c>
      <c r="AV4" s="3576"/>
      <c r="AW4" s="3588"/>
      <c r="AX4" s="3576"/>
      <c r="AY4" s="3588"/>
      <c r="AZ4" s="3576" t="n">
        <v>13901352377</v>
      </c>
      <c r="BA4" s="3589"/>
      <c r="BB4" s="3590" t="n">
        <v>38741</v>
      </c>
      <c r="BC4" s="3571"/>
      <c r="BD4" s="3571" t="s">
        <v>2520</v>
      </c>
      <c r="BE4" s="3591" t="n">
        <v>38768</v>
      </c>
      <c r="BF4" s="3580"/>
      <c r="BG4" s="3571" t="s">
        <v>2526</v>
      </c>
      <c r="BH4" s="3571" t="s">
        <v>1279</v>
      </c>
      <c r="BI4" s="3571" t="s">
        <v>2539</v>
      </c>
      <c r="BJ4" s="3571" t="s">
        <v>2547</v>
      </c>
      <c r="BK4" s="3571"/>
      <c r="BL4" s="3576" t="n">
        <v>9116</v>
      </c>
      <c r="BM4" s="3576" t="n">
        <v>9234</v>
      </c>
      <c r="BN4" s="3592"/>
      <c r="BO4" s="3592"/>
      <c r="BP4" s="3592"/>
      <c r="BQ4" s="3593"/>
      <c r="BR4" s="3593"/>
      <c r="BS4" s="3593"/>
      <c r="BT4" s="3593"/>
      <c r="BU4" s="3593"/>
      <c r="BV4" s="3593"/>
      <c r="BW4" s="3593"/>
      <c r="BX4" s="3593"/>
      <c r="BY4" s="3593"/>
      <c r="BZ4" s="3593"/>
      <c r="CA4" s="3593"/>
      <c r="CB4" s="3593"/>
      <c r="CC4" s="3593"/>
      <c r="CD4" s="3593"/>
      <c r="CE4" s="3593"/>
      <c r="CF4" s="3593"/>
      <c r="CG4" s="3593"/>
      <c r="CH4" s="3593"/>
      <c r="CI4" s="3593"/>
      <c r="CJ4" s="3593"/>
      <c r="CK4" s="3593"/>
      <c r="CL4" s="3593"/>
      <c r="CM4" s="3593"/>
      <c r="CN4" s="3593"/>
      <c r="CO4" s="3593"/>
      <c r="CP4" s="3593"/>
      <c r="CQ4" s="3593"/>
      <c r="CR4" s="3593"/>
      <c r="CS4" s="3593"/>
      <c r="CT4" s="3593"/>
      <c r="CU4" s="3593"/>
      <c r="CV4" s="3593"/>
      <c r="CW4" s="3593"/>
      <c r="CX4" s="3593"/>
      <c r="CY4" s="3593"/>
      <c r="CZ4" s="3593"/>
      <c r="DA4" s="3593"/>
      <c r="DB4" s="3593"/>
      <c r="DC4" s="3593"/>
      <c r="DD4" s="3593"/>
      <c r="DE4" s="3593"/>
      <c r="DF4" s="3593"/>
      <c r="DG4" s="3593"/>
      <c r="DH4" s="3593"/>
      <c r="DI4" s="3593"/>
      <c r="DJ4" s="3593"/>
      <c r="DK4" s="3593"/>
      <c r="DL4" s="3593"/>
      <c r="DM4" s="3593"/>
      <c r="DN4" s="3593"/>
      <c r="DO4" s="3593"/>
      <c r="DP4" s="3593"/>
      <c r="DQ4" s="3593"/>
      <c r="DR4" s="3593"/>
      <c r="DS4" s="3593"/>
      <c r="DT4" s="3593"/>
      <c r="DU4" s="3593"/>
      <c r="DV4" s="3593"/>
      <c r="DW4" s="3593"/>
      <c r="DX4" s="3593"/>
      <c r="DY4" s="3593"/>
      <c r="DZ4" s="3593"/>
      <c r="EA4" s="3593"/>
      <c r="EB4" s="3593"/>
      <c r="EC4" s="3593"/>
      <c r="ED4" s="3593"/>
      <c r="EE4" s="3593"/>
      <c r="EF4" s="3593"/>
      <c r="EG4" s="3593"/>
      <c r="EH4" s="3593"/>
      <c r="EI4" s="3593"/>
      <c r="EJ4" s="3593"/>
      <c r="EK4" s="3593"/>
      <c r="EL4" s="3593"/>
      <c r="EM4" s="3593"/>
      <c r="EN4" s="3593"/>
      <c r="EO4" s="3593"/>
      <c r="EP4" s="3593"/>
      <c r="EQ4" s="3593"/>
      <c r="ER4" s="3593"/>
      <c r="ES4" s="3593"/>
      <c r="ET4" s="3593"/>
      <c r="EU4" s="3593"/>
      <c r="EV4" s="3593"/>
      <c r="EW4" s="3593"/>
      <c r="EX4" s="3593"/>
      <c r="EY4" s="3593"/>
      <c r="EZ4" s="3593"/>
      <c r="FA4" s="3593"/>
      <c r="FB4" s="3593"/>
      <c r="FC4" s="3593"/>
      <c r="FD4" s="3593"/>
      <c r="FE4" s="3593"/>
      <c r="FF4" s="3593"/>
      <c r="FG4" s="3593"/>
      <c r="FH4" s="3593"/>
      <c r="FI4" s="3593"/>
      <c r="FJ4" s="3593"/>
      <c r="FK4" s="3593"/>
      <c r="FL4" s="3593"/>
      <c r="FM4" s="3593"/>
      <c r="FN4" s="3593"/>
      <c r="FO4" s="3593"/>
      <c r="FP4" s="3593"/>
      <c r="FQ4" s="3593"/>
      <c r="FR4" s="3593"/>
      <c r="FS4" s="3593"/>
      <c r="FT4" s="3593"/>
      <c r="FU4" s="3593"/>
      <c r="FV4" s="3593"/>
      <c r="FW4" s="3593"/>
      <c r="FX4" s="3593"/>
      <c r="FY4" s="3593"/>
      <c r="FZ4" s="3593"/>
      <c r="GA4" s="3593"/>
      <c r="GB4" s="3593"/>
      <c r="GC4" s="3593"/>
      <c r="GD4" s="3593"/>
      <c r="GE4" s="3593"/>
      <c r="GF4" s="3593"/>
      <c r="GG4" s="3593"/>
      <c r="GH4" s="3593"/>
      <c r="GI4" s="3593"/>
      <c r="GJ4" s="3593"/>
      <c r="GK4" s="3593"/>
      <c r="GL4" s="3593"/>
      <c r="GM4" s="3593"/>
      <c r="GN4" s="3593"/>
      <c r="GO4" s="3593"/>
      <c r="GP4" s="3593"/>
      <c r="GQ4" s="3593"/>
      <c r="GR4" s="3593"/>
      <c r="GS4" s="3593"/>
      <c r="GT4" s="3593"/>
      <c r="GU4" s="3593"/>
      <c r="GV4" s="3593"/>
      <c r="GW4" s="3593"/>
      <c r="GX4" s="3593"/>
      <c r="GY4" s="3593"/>
      <c r="GZ4" s="3593"/>
      <c r="HA4" s="3593"/>
      <c r="HB4" s="3593"/>
      <c r="HC4" s="3593"/>
      <c r="HD4" s="3593"/>
      <c r="HE4" s="3593"/>
      <c r="HF4" s="3593"/>
      <c r="HG4" s="3593"/>
      <c r="HH4" s="3593"/>
      <c r="HI4" s="3593"/>
      <c r="HJ4" s="3593"/>
      <c r="HK4" s="3593"/>
      <c r="HL4" s="3593"/>
      <c r="HM4" s="3593"/>
      <c r="HN4" s="3593"/>
      <c r="HO4" s="3593"/>
      <c r="HP4" s="3593"/>
      <c r="HQ4" s="3593"/>
      <c r="HR4" s="3593"/>
      <c r="HS4" s="3593"/>
      <c r="HT4" s="3593"/>
      <c r="HU4" s="3593"/>
      <c r="HV4" s="3593"/>
      <c r="HW4" s="3593"/>
      <c r="HX4" s="3593"/>
      <c r="HY4" s="3593"/>
      <c r="HZ4" s="3593"/>
      <c r="IA4" s="3593"/>
      <c r="IB4" s="3593"/>
      <c r="IC4" s="3593"/>
      <c r="ID4" s="3593"/>
      <c r="IE4" s="3593"/>
      <c r="IF4" s="3593"/>
      <c r="IG4" s="3593"/>
      <c r="IH4" s="3593"/>
      <c r="II4" s="3593"/>
      <c r="IJ4" s="3593"/>
      <c r="IK4" s="3593"/>
      <c r="IL4" s="3593"/>
      <c r="IM4" s="3593"/>
      <c r="IN4" s="3593"/>
      <c r="IO4" s="3593"/>
      <c r="IP4" s="3593"/>
      <c r="IQ4" s="3593"/>
    </row>
    <row r="5" customFormat="false" ht="13.5" hidden="false" customHeight="false" outlineLevel="0" collapsed="false">
      <c r="A5" s="3597" t="s">
        <v>2548</v>
      </c>
      <c r="B5" s="3597"/>
      <c r="C5" s="3597" t="s">
        <v>2549</v>
      </c>
      <c r="D5" s="3597"/>
      <c r="E5" s="3597" t="s">
        <v>2550</v>
      </c>
      <c r="F5" s="3597"/>
      <c r="G5" s="3597" t="n">
        <v>60.6</v>
      </c>
      <c r="H5" s="3597" t="n">
        <v>2</v>
      </c>
      <c r="I5" s="3597" t="s">
        <v>1543</v>
      </c>
      <c r="J5" s="3597"/>
      <c r="K5" s="3597" t="s">
        <v>1544</v>
      </c>
      <c r="L5" s="3597" t="n">
        <v>375000</v>
      </c>
      <c r="M5" s="3597" t="n">
        <v>6188</v>
      </c>
      <c r="N5" s="3598" t="n">
        <v>31.91</v>
      </c>
      <c r="O5" s="3599" t="n">
        <v>319100</v>
      </c>
      <c r="P5" s="3597" t="n">
        <v>5267</v>
      </c>
      <c r="Q5" s="3600" t="n">
        <v>0.05</v>
      </c>
      <c r="R5" s="3597" t="n">
        <v>30.31</v>
      </c>
      <c r="S5" s="3599" t="n">
        <v>303100</v>
      </c>
      <c r="T5" s="3597" t="n">
        <v>2006</v>
      </c>
      <c r="U5" s="3597" t="n">
        <v>3</v>
      </c>
      <c r="V5" s="3597" t="n">
        <v>28</v>
      </c>
      <c r="W5" s="3597" t="n">
        <v>955</v>
      </c>
      <c r="X5" s="3597" t="s">
        <v>2519</v>
      </c>
      <c r="Y5" s="3597"/>
      <c r="Z5" s="3597" t="s">
        <v>188</v>
      </c>
      <c r="AA5" s="3597" t="s">
        <v>1484</v>
      </c>
      <c r="AB5" s="3597" t="s">
        <v>1485</v>
      </c>
      <c r="AC5" s="3597" t="s">
        <v>1250</v>
      </c>
      <c r="AD5" s="3597" t="s">
        <v>2520</v>
      </c>
      <c r="AE5" s="3597"/>
      <c r="AF5" s="3597" t="s">
        <v>2522</v>
      </c>
      <c r="AG5" s="3597" t="n">
        <v>67641700</v>
      </c>
      <c r="AH5" s="3597"/>
      <c r="AI5" s="3597" t="s">
        <v>2545</v>
      </c>
      <c r="AJ5" s="3597" t="s">
        <v>1250</v>
      </c>
      <c r="AK5" s="3597" t="s">
        <v>2523</v>
      </c>
      <c r="AL5" s="3597" t="s">
        <v>2538</v>
      </c>
      <c r="AM5" s="3597"/>
      <c r="AN5" s="3597"/>
      <c r="AO5" s="3597"/>
      <c r="AP5" s="3597"/>
      <c r="AQ5" s="3597" t="s">
        <v>1250</v>
      </c>
      <c r="AR5" s="3597" t="s">
        <v>2551</v>
      </c>
      <c r="AS5" s="3597"/>
      <c r="AT5" s="3601"/>
      <c r="AU5" s="3597"/>
      <c r="AV5" s="3597"/>
      <c r="AW5" s="3601"/>
      <c r="AX5" s="3597"/>
      <c r="AY5" s="3602"/>
      <c r="AZ5" s="3597"/>
      <c r="BA5" s="3603"/>
      <c r="BB5" s="3604" t="n">
        <v>38799</v>
      </c>
      <c r="BC5" s="3597"/>
      <c r="BD5" s="3597" t="s">
        <v>2552</v>
      </c>
      <c r="BE5" s="3605" t="n">
        <v>38800</v>
      </c>
      <c r="BF5" s="3605" t="s">
        <v>1250</v>
      </c>
      <c r="BG5" s="3597" t="s">
        <v>2526</v>
      </c>
      <c r="BH5" s="3597" t="s">
        <v>1279</v>
      </c>
      <c r="BI5" s="3597" t="s">
        <v>2529</v>
      </c>
      <c r="BJ5" s="3597" t="s">
        <v>2553</v>
      </c>
      <c r="BK5" s="3597"/>
      <c r="BL5" s="3597" t="e">
        <f aca="false">#DIV/0!</f>
        <v>#DIV/0!</v>
      </c>
      <c r="BM5" s="3597" t="e">
        <f aca="false">#DIV/0!</f>
        <v>#DIV/0!</v>
      </c>
      <c r="BN5" s="3606"/>
      <c r="BO5" s="3606"/>
      <c r="BP5" s="3606"/>
      <c r="BQ5" s="3607"/>
      <c r="BR5" s="3607"/>
      <c r="BS5" s="3607"/>
      <c r="BT5" s="3607"/>
      <c r="BU5" s="3607"/>
      <c r="BV5" s="3607"/>
      <c r="BW5" s="3607"/>
      <c r="BX5" s="3607"/>
      <c r="BY5" s="3607"/>
      <c r="BZ5" s="3607"/>
      <c r="CA5" s="3607"/>
      <c r="CB5" s="3607"/>
      <c r="CC5" s="3607"/>
      <c r="CD5" s="3607"/>
      <c r="CE5" s="3607"/>
      <c r="CF5" s="3607"/>
      <c r="CG5" s="3607"/>
      <c r="CH5" s="3607"/>
      <c r="CI5" s="3607"/>
      <c r="CJ5" s="3607"/>
      <c r="CK5" s="3607"/>
      <c r="CL5" s="3607"/>
      <c r="CM5" s="3607"/>
      <c r="CN5" s="3607"/>
      <c r="CO5" s="3607"/>
      <c r="CP5" s="3607"/>
      <c r="CQ5" s="3607"/>
      <c r="CR5" s="3607"/>
      <c r="CS5" s="3607"/>
      <c r="CT5" s="3607"/>
      <c r="CU5" s="3607"/>
      <c r="CV5" s="3607"/>
      <c r="CW5" s="3607"/>
      <c r="CX5" s="3607"/>
      <c r="CY5" s="3607"/>
      <c r="CZ5" s="3607"/>
      <c r="DA5" s="3607"/>
      <c r="DB5" s="3607"/>
      <c r="DC5" s="3607"/>
      <c r="DD5" s="3607"/>
      <c r="DE5" s="3607"/>
      <c r="DF5" s="3607"/>
      <c r="DG5" s="3607"/>
      <c r="DH5" s="3607"/>
      <c r="DI5" s="3607"/>
      <c r="DJ5" s="3607"/>
      <c r="DK5" s="3607"/>
      <c r="DL5" s="3607"/>
      <c r="DM5" s="3607"/>
      <c r="DN5" s="3607"/>
      <c r="DO5" s="3607"/>
      <c r="DP5" s="3607"/>
      <c r="DQ5" s="3607"/>
      <c r="DR5" s="3607"/>
      <c r="DS5" s="3607"/>
      <c r="DT5" s="3607"/>
      <c r="DU5" s="3607"/>
      <c r="DV5" s="3607"/>
      <c r="DW5" s="3607"/>
      <c r="DX5" s="3607"/>
      <c r="DY5" s="3607"/>
      <c r="DZ5" s="3607"/>
      <c r="EA5" s="3607"/>
      <c r="EB5" s="3607"/>
      <c r="EC5" s="3607"/>
      <c r="ED5" s="3607"/>
      <c r="EE5" s="3607"/>
      <c r="EF5" s="3607"/>
      <c r="EG5" s="3607"/>
      <c r="EH5" s="3607"/>
      <c r="EI5" s="3607"/>
      <c r="EJ5" s="3607"/>
      <c r="EK5" s="3607"/>
      <c r="EL5" s="3607"/>
      <c r="EM5" s="3607"/>
      <c r="EN5" s="3607"/>
      <c r="EO5" s="3607"/>
      <c r="EP5" s="3607"/>
      <c r="EQ5" s="3607"/>
      <c r="ER5" s="3607"/>
      <c r="ES5" s="3607"/>
      <c r="ET5" s="3607"/>
      <c r="EU5" s="3607"/>
      <c r="EV5" s="3607"/>
      <c r="EW5" s="3607"/>
      <c r="EX5" s="3607"/>
      <c r="EY5" s="3607"/>
      <c r="EZ5" s="3607"/>
      <c r="FA5" s="3607"/>
      <c r="FB5" s="3607"/>
      <c r="FC5" s="3607"/>
      <c r="FD5" s="3607"/>
      <c r="FE5" s="3607"/>
      <c r="FF5" s="3607"/>
      <c r="FG5" s="3607"/>
      <c r="FH5" s="3607"/>
      <c r="FI5" s="3607"/>
      <c r="FJ5" s="3607"/>
      <c r="FK5" s="3607"/>
      <c r="FL5" s="3607"/>
      <c r="FM5" s="3607"/>
      <c r="FN5" s="3607"/>
      <c r="FO5" s="3607"/>
      <c r="FP5" s="3607"/>
      <c r="FQ5" s="3607"/>
      <c r="FR5" s="3607"/>
      <c r="FS5" s="3607"/>
      <c r="FT5" s="3607"/>
      <c r="FU5" s="3607"/>
      <c r="FV5" s="3607"/>
      <c r="FW5" s="3607"/>
      <c r="FX5" s="3607"/>
      <c r="FY5" s="3607"/>
      <c r="FZ5" s="3607"/>
      <c r="GA5" s="3607"/>
      <c r="GB5" s="3607"/>
      <c r="GC5" s="3607"/>
      <c r="GD5" s="3607"/>
      <c r="GE5" s="3607"/>
      <c r="GF5" s="3607"/>
      <c r="GG5" s="3607"/>
      <c r="GH5" s="3607"/>
      <c r="GI5" s="3607"/>
      <c r="GJ5" s="3607"/>
      <c r="GK5" s="3607"/>
      <c r="GL5" s="3607"/>
      <c r="GM5" s="3607"/>
      <c r="GN5" s="3607"/>
      <c r="GO5" s="3607"/>
      <c r="GP5" s="3607"/>
      <c r="GQ5" s="3607"/>
      <c r="GR5" s="3607"/>
      <c r="GS5" s="3607"/>
      <c r="GT5" s="3607"/>
      <c r="GU5" s="3607"/>
      <c r="GV5" s="3607"/>
      <c r="GW5" s="3607"/>
      <c r="GX5" s="3607"/>
      <c r="GY5" s="3607"/>
      <c r="GZ5" s="3607"/>
      <c r="HA5" s="3607"/>
      <c r="HB5" s="3607"/>
      <c r="HC5" s="3607"/>
      <c r="HD5" s="3607"/>
      <c r="HE5" s="3607"/>
      <c r="HF5" s="3607"/>
      <c r="HG5" s="3607"/>
      <c r="HH5" s="3607"/>
      <c r="HI5" s="3607"/>
      <c r="HJ5" s="3607"/>
      <c r="HK5" s="3607"/>
      <c r="HL5" s="3607"/>
      <c r="HM5" s="3607"/>
      <c r="HN5" s="3607"/>
      <c r="HO5" s="3607"/>
      <c r="HP5" s="3607"/>
      <c r="HQ5" s="3607"/>
      <c r="HR5" s="3607"/>
      <c r="HS5" s="3607"/>
      <c r="HT5" s="3607"/>
      <c r="HU5" s="3607"/>
      <c r="HV5" s="3607"/>
      <c r="HW5" s="3607"/>
      <c r="HX5" s="3607"/>
      <c r="HY5" s="3607"/>
      <c r="HZ5" s="3607"/>
      <c r="IA5" s="3607"/>
      <c r="IB5" s="3607"/>
      <c r="IC5" s="3607"/>
      <c r="ID5" s="3607"/>
      <c r="IE5" s="3607"/>
      <c r="IF5" s="3607"/>
      <c r="IG5" s="3607"/>
      <c r="IH5" s="3607"/>
      <c r="II5" s="3607"/>
      <c r="IJ5" s="3607"/>
      <c r="IK5" s="3607"/>
      <c r="IL5" s="3607"/>
      <c r="IM5" s="3607"/>
      <c r="IN5" s="3607"/>
      <c r="IO5" s="3607"/>
      <c r="IP5" s="3607"/>
      <c r="IQ5" s="3607"/>
    </row>
    <row r="6" customFormat="false" ht="13.5" hidden="false" customHeight="false" outlineLevel="0" collapsed="false">
      <c r="A6" s="3597" t="s">
        <v>2554</v>
      </c>
      <c r="B6" s="3597"/>
      <c r="C6" s="3597" t="s">
        <v>1463</v>
      </c>
      <c r="D6" s="3597"/>
      <c r="E6" s="3601" t="s">
        <v>2555</v>
      </c>
      <c r="F6" s="3597"/>
      <c r="G6" s="3597" t="n">
        <v>101.31</v>
      </c>
      <c r="H6" s="3597" t="n">
        <v>16</v>
      </c>
      <c r="I6" s="3597" t="s">
        <v>2556</v>
      </c>
      <c r="J6" s="3597"/>
      <c r="K6" s="3597" t="s">
        <v>1544</v>
      </c>
      <c r="L6" s="3608" t="n">
        <v>760000</v>
      </c>
      <c r="M6" s="3597" t="n">
        <v>7502</v>
      </c>
      <c r="N6" s="3598" t="n">
        <v>56.12</v>
      </c>
      <c r="O6" s="3599" t="n">
        <v>561200</v>
      </c>
      <c r="P6" s="3597" t="n">
        <v>5540</v>
      </c>
      <c r="Q6" s="3600" t="n">
        <v>0.2</v>
      </c>
      <c r="R6" s="3598" t="n">
        <v>44.89</v>
      </c>
      <c r="S6" s="3599" t="n">
        <v>448900</v>
      </c>
      <c r="T6" s="3597" t="n">
        <v>2006</v>
      </c>
      <c r="U6" s="3609" t="n">
        <v>6</v>
      </c>
      <c r="V6" s="3609" t="n">
        <v>1</v>
      </c>
      <c r="W6" s="3597" t="n">
        <v>1500</v>
      </c>
      <c r="X6" s="3597" t="s">
        <v>2557</v>
      </c>
      <c r="Y6" s="3597"/>
      <c r="Z6" s="3597" t="s">
        <v>2552</v>
      </c>
      <c r="AA6" s="3597" t="s">
        <v>1484</v>
      </c>
      <c r="AB6" s="3597" t="s">
        <v>1485</v>
      </c>
      <c r="AC6" s="3597" t="s">
        <v>1250</v>
      </c>
      <c r="AD6" s="3597" t="s">
        <v>2536</v>
      </c>
      <c r="AE6" s="3604"/>
      <c r="AF6" s="3610" t="n">
        <v>6</v>
      </c>
      <c r="AG6" s="3609" t="n">
        <v>67641700</v>
      </c>
      <c r="AH6" s="3609"/>
      <c r="AI6" s="3597" t="s">
        <v>2537</v>
      </c>
      <c r="AJ6" s="3609" t="s">
        <v>1250</v>
      </c>
      <c r="AK6" s="3609" t="s">
        <v>2523</v>
      </c>
      <c r="AL6" s="3609" t="s">
        <v>2538</v>
      </c>
      <c r="AM6" s="3609"/>
      <c r="AN6" s="3609"/>
      <c r="AO6" s="3609"/>
      <c r="AP6" s="3609"/>
      <c r="AQ6" s="3609" t="s">
        <v>1250</v>
      </c>
      <c r="AR6" s="3609" t="s">
        <v>2551</v>
      </c>
      <c r="AS6" s="3609"/>
      <c r="AT6" s="3611"/>
      <c r="AU6" s="3597"/>
      <c r="AV6" s="3609"/>
      <c r="AW6" s="3611"/>
      <c r="AX6" s="3609"/>
      <c r="AY6" s="3612"/>
      <c r="AZ6" s="3609"/>
      <c r="BA6" s="3613"/>
      <c r="BB6" s="3604" t="n">
        <v>38859</v>
      </c>
      <c r="BC6" s="3609" t="s">
        <v>2526</v>
      </c>
      <c r="BD6" s="3597" t="s">
        <v>2552</v>
      </c>
      <c r="BE6" s="3604" t="n">
        <v>38859</v>
      </c>
      <c r="BF6" s="3614"/>
      <c r="BG6" s="3609" t="s">
        <v>2528</v>
      </c>
      <c r="BH6" s="3609"/>
      <c r="BI6" s="3609"/>
      <c r="BJ6" s="3609"/>
      <c r="BK6" s="3609"/>
      <c r="BL6" s="3615" t="n">
        <v>7945</v>
      </c>
      <c r="BM6" s="3609" t="n">
        <v>8009</v>
      </c>
      <c r="BN6" s="3606"/>
      <c r="BO6" s="3606"/>
      <c r="BP6" s="3606"/>
      <c r="BQ6" s="3607"/>
      <c r="BR6" s="3607"/>
      <c r="BS6" s="3607"/>
      <c r="BT6" s="3607"/>
      <c r="BU6" s="3607"/>
      <c r="BV6" s="3607"/>
      <c r="BW6" s="3607"/>
      <c r="BX6" s="3607"/>
      <c r="BY6" s="3607"/>
      <c r="BZ6" s="3607"/>
      <c r="CA6" s="3607"/>
      <c r="CB6" s="3607"/>
      <c r="CC6" s="3607"/>
      <c r="CD6" s="3607"/>
      <c r="CE6" s="3607"/>
      <c r="CF6" s="3607"/>
      <c r="CG6" s="3607"/>
      <c r="CH6" s="3607"/>
      <c r="CI6" s="3607"/>
      <c r="CJ6" s="3607"/>
      <c r="CK6" s="3607"/>
      <c r="CL6" s="3607"/>
      <c r="CM6" s="3607"/>
      <c r="CN6" s="3607"/>
      <c r="CO6" s="3607"/>
      <c r="CP6" s="3607"/>
      <c r="CQ6" s="3607"/>
      <c r="CR6" s="3607"/>
      <c r="CS6" s="3607"/>
      <c r="CT6" s="3607"/>
      <c r="CU6" s="3607"/>
      <c r="CV6" s="3607"/>
      <c r="CW6" s="3607"/>
      <c r="CX6" s="3607"/>
      <c r="CY6" s="3607"/>
      <c r="CZ6" s="3607"/>
      <c r="DA6" s="3607"/>
      <c r="DB6" s="3607"/>
      <c r="DC6" s="3607"/>
      <c r="DD6" s="3607"/>
      <c r="DE6" s="3607"/>
      <c r="DF6" s="3607"/>
      <c r="DG6" s="3607"/>
      <c r="DH6" s="3607"/>
      <c r="DI6" s="3607"/>
      <c r="DJ6" s="3607"/>
      <c r="DK6" s="3607"/>
      <c r="DL6" s="3607"/>
      <c r="DM6" s="3607"/>
      <c r="DN6" s="3607"/>
      <c r="DO6" s="3607"/>
      <c r="DP6" s="3607"/>
      <c r="DQ6" s="3607"/>
      <c r="DR6" s="3607"/>
      <c r="DS6" s="3607"/>
      <c r="DT6" s="3607"/>
      <c r="DU6" s="3607"/>
      <c r="DV6" s="3607"/>
      <c r="DW6" s="3607"/>
      <c r="DX6" s="3607"/>
      <c r="DY6" s="3607"/>
      <c r="DZ6" s="3607"/>
      <c r="EA6" s="3607"/>
      <c r="EB6" s="3607"/>
      <c r="EC6" s="3607"/>
      <c r="ED6" s="3607"/>
      <c r="EE6" s="3607"/>
      <c r="EF6" s="3607"/>
      <c r="EG6" s="3607"/>
      <c r="EH6" s="3607"/>
      <c r="EI6" s="3607"/>
      <c r="EJ6" s="3607"/>
      <c r="EK6" s="3607"/>
      <c r="EL6" s="3607"/>
      <c r="EM6" s="3607"/>
      <c r="EN6" s="3607"/>
      <c r="EO6" s="3607"/>
      <c r="EP6" s="3607"/>
      <c r="EQ6" s="3607"/>
      <c r="ER6" s="3607"/>
      <c r="ES6" s="3607"/>
      <c r="ET6" s="3607"/>
      <c r="EU6" s="3607"/>
      <c r="EV6" s="3607"/>
      <c r="EW6" s="3607"/>
      <c r="EX6" s="3607"/>
      <c r="EY6" s="3607"/>
      <c r="EZ6" s="3607"/>
      <c r="FA6" s="3607"/>
      <c r="FB6" s="3607"/>
      <c r="FC6" s="3607"/>
      <c r="FD6" s="3607"/>
      <c r="FE6" s="3607"/>
      <c r="FF6" s="3607"/>
      <c r="FG6" s="3607"/>
      <c r="FH6" s="3607"/>
      <c r="FI6" s="3607"/>
      <c r="FJ6" s="3607"/>
      <c r="FK6" s="3607"/>
      <c r="FL6" s="3607"/>
      <c r="FM6" s="3607"/>
      <c r="FN6" s="3607"/>
      <c r="FO6" s="3607"/>
      <c r="FP6" s="3607"/>
      <c r="FQ6" s="3607"/>
      <c r="FR6" s="3607"/>
      <c r="FS6" s="3607"/>
      <c r="FT6" s="3607"/>
      <c r="FU6" s="3607"/>
      <c r="FV6" s="3607"/>
      <c r="FW6" s="3607"/>
      <c r="FX6" s="3607"/>
      <c r="FY6" s="3607"/>
      <c r="FZ6" s="3607"/>
      <c r="GA6" s="3607"/>
      <c r="GB6" s="3607"/>
      <c r="GC6" s="3607"/>
      <c r="GD6" s="3607"/>
      <c r="GE6" s="3607"/>
      <c r="GF6" s="3607"/>
      <c r="GG6" s="3607"/>
      <c r="GH6" s="3607"/>
      <c r="GI6" s="3607"/>
      <c r="GJ6" s="3607"/>
      <c r="GK6" s="3607"/>
      <c r="GL6" s="3607"/>
      <c r="GM6" s="3607"/>
      <c r="GN6" s="3607"/>
      <c r="GO6" s="3607"/>
      <c r="GP6" s="3607"/>
      <c r="GQ6" s="3607"/>
      <c r="GR6" s="3607"/>
      <c r="GS6" s="3607"/>
      <c r="GT6" s="3607"/>
      <c r="GU6" s="3607"/>
      <c r="GV6" s="3607"/>
      <c r="GW6" s="3607"/>
      <c r="GX6" s="3607"/>
      <c r="GY6" s="3607"/>
      <c r="GZ6" s="3607"/>
      <c r="HA6" s="3607"/>
      <c r="HB6" s="3607"/>
      <c r="HC6" s="3607"/>
      <c r="HD6" s="3607"/>
      <c r="HE6" s="3607"/>
      <c r="HF6" s="3607"/>
      <c r="HG6" s="3607"/>
      <c r="HH6" s="3607"/>
      <c r="HI6" s="3607"/>
      <c r="HJ6" s="3607"/>
      <c r="HK6" s="3607"/>
      <c r="HL6" s="3607"/>
      <c r="HM6" s="3607"/>
      <c r="HN6" s="3607"/>
      <c r="HO6" s="3607"/>
      <c r="HP6" s="3607"/>
      <c r="HQ6" s="3607"/>
      <c r="HR6" s="3607"/>
      <c r="HS6" s="3607"/>
      <c r="HT6" s="3607"/>
      <c r="HU6" s="3607"/>
      <c r="HV6" s="3607"/>
      <c r="HW6" s="3607"/>
      <c r="HX6" s="3607"/>
      <c r="HY6" s="3607"/>
      <c r="HZ6" s="3607"/>
      <c r="IA6" s="3607"/>
      <c r="IB6" s="3607"/>
      <c r="IC6" s="3607"/>
      <c r="ID6" s="3607"/>
      <c r="IE6" s="3607"/>
      <c r="IF6" s="3607"/>
      <c r="IG6" s="3607"/>
      <c r="IH6" s="3607"/>
      <c r="II6" s="3607"/>
      <c r="IJ6" s="3607"/>
      <c r="IK6" s="3607"/>
      <c r="IL6" s="3607"/>
      <c r="IM6" s="3607"/>
      <c r="IN6" s="3607"/>
      <c r="IO6" s="3607"/>
      <c r="IP6" s="3607"/>
      <c r="IQ6" s="3607"/>
    </row>
    <row r="7" customFormat="false" ht="13.5" hidden="false" customHeight="false" outlineLevel="0" collapsed="false">
      <c r="A7" s="3597" t="s">
        <v>2558</v>
      </c>
      <c r="B7" s="3597"/>
      <c r="C7" s="3597" t="s">
        <v>1463</v>
      </c>
      <c r="D7" s="3597" t="s">
        <v>2559</v>
      </c>
      <c r="E7" s="3597" t="n">
        <v>402</v>
      </c>
      <c r="F7" s="3597" t="s">
        <v>2560</v>
      </c>
      <c r="G7" s="3597" t="n">
        <v>36.05</v>
      </c>
      <c r="H7" s="3597" t="n">
        <v>4</v>
      </c>
      <c r="I7" s="3597" t="s">
        <v>2518</v>
      </c>
      <c r="J7" s="3597"/>
      <c r="K7" s="3597" t="s">
        <v>1544</v>
      </c>
      <c r="L7" s="3597" t="n">
        <v>200000</v>
      </c>
      <c r="M7" s="3597" t="n">
        <v>5548</v>
      </c>
      <c r="N7" s="3598" t="n">
        <v>20.28</v>
      </c>
      <c r="O7" s="3599" t="n">
        <v>202800</v>
      </c>
      <c r="P7" s="3597" t="n">
        <v>5626</v>
      </c>
      <c r="Q7" s="3600" t="n">
        <v>0.2</v>
      </c>
      <c r="R7" s="3598" t="n">
        <v>16.22</v>
      </c>
      <c r="S7" s="3599" t="n">
        <v>162200</v>
      </c>
      <c r="T7" s="3597" t="n">
        <v>2006</v>
      </c>
      <c r="U7" s="3597" t="n">
        <v>9</v>
      </c>
      <c r="V7" s="3609" t="n">
        <v>30</v>
      </c>
      <c r="W7" s="3597" t="n">
        <v>605</v>
      </c>
      <c r="X7" s="3597" t="s">
        <v>2557</v>
      </c>
      <c r="Y7" s="3597" t="n">
        <v>91302006091943</v>
      </c>
      <c r="Z7" s="3609" t="s">
        <v>188</v>
      </c>
      <c r="AA7" s="3597" t="s">
        <v>1484</v>
      </c>
      <c r="AB7" s="3597" t="s">
        <v>1485</v>
      </c>
      <c r="AC7" s="3597"/>
      <c r="AD7" s="3597" t="s">
        <v>2536</v>
      </c>
      <c r="AE7" s="3604"/>
      <c r="AF7" s="3610" t="n">
        <v>9</v>
      </c>
      <c r="AG7" s="3609" t="n">
        <v>32</v>
      </c>
      <c r="AH7" s="3597"/>
      <c r="AI7" s="3597" t="s">
        <v>2545</v>
      </c>
      <c r="AJ7" s="3597" t="s">
        <v>1250</v>
      </c>
      <c r="AK7" s="3597" t="s">
        <v>2561</v>
      </c>
      <c r="AL7" s="3609" t="s">
        <v>2524</v>
      </c>
      <c r="AM7" s="3597"/>
      <c r="AN7" s="3597"/>
      <c r="AO7" s="3597"/>
      <c r="AP7" s="3597"/>
      <c r="AQ7" s="3597"/>
      <c r="AR7" s="3597" t="s">
        <v>2562</v>
      </c>
      <c r="AS7" s="3597"/>
      <c r="AT7" s="3601"/>
      <c r="AU7" s="3597" t="s">
        <v>2560</v>
      </c>
      <c r="AV7" s="3597"/>
      <c r="AW7" s="3597"/>
      <c r="AX7" s="3597"/>
      <c r="AY7" s="3597"/>
      <c r="AZ7" s="3597"/>
      <c r="BA7" s="3597"/>
      <c r="BB7" s="3604" t="n">
        <v>38989</v>
      </c>
      <c r="BC7" s="3597"/>
      <c r="BD7" s="3597" t="s">
        <v>2561</v>
      </c>
      <c r="BE7" s="3616" t="n">
        <v>38989</v>
      </c>
      <c r="BF7" s="3614"/>
      <c r="BG7" s="3597" t="s">
        <v>2526</v>
      </c>
      <c r="BH7" s="3597" t="s">
        <v>1279</v>
      </c>
      <c r="BI7" s="3597" t="s">
        <v>2529</v>
      </c>
      <c r="BJ7" s="3597" t="s">
        <v>2530</v>
      </c>
      <c r="BK7" s="3609"/>
      <c r="BL7" s="3615" t="n">
        <v>8654</v>
      </c>
      <c r="BM7" s="3609" t="n">
        <v>8721</v>
      </c>
      <c r="BN7" s="3606"/>
      <c r="BO7" s="3606"/>
      <c r="BP7" s="3606"/>
      <c r="BQ7" s="3607"/>
      <c r="BR7" s="3607"/>
      <c r="BS7" s="3607"/>
      <c r="BT7" s="3607"/>
      <c r="BU7" s="3607"/>
      <c r="BV7" s="3607"/>
      <c r="BW7" s="3607"/>
      <c r="BX7" s="3607"/>
      <c r="BY7" s="3607"/>
      <c r="BZ7" s="3607"/>
      <c r="CA7" s="3607"/>
      <c r="CB7" s="3607"/>
      <c r="CC7" s="3607"/>
      <c r="CD7" s="3607"/>
      <c r="CE7" s="3607"/>
      <c r="CF7" s="3607"/>
      <c r="CG7" s="3607"/>
      <c r="CH7" s="3607"/>
      <c r="CI7" s="3607"/>
      <c r="CJ7" s="3607"/>
      <c r="CK7" s="3607"/>
      <c r="CL7" s="3607"/>
      <c r="CM7" s="3607"/>
      <c r="CN7" s="3607"/>
      <c r="CO7" s="3607"/>
      <c r="CP7" s="3607"/>
      <c r="CQ7" s="3607"/>
      <c r="CR7" s="3607"/>
      <c r="CS7" s="3607"/>
      <c r="CT7" s="3607"/>
      <c r="CU7" s="3607"/>
      <c r="CV7" s="3607"/>
      <c r="CW7" s="3607"/>
      <c r="CX7" s="3607"/>
      <c r="CY7" s="3607"/>
      <c r="CZ7" s="3607"/>
      <c r="DA7" s="3607"/>
      <c r="DB7" s="3607"/>
      <c r="DC7" s="3607"/>
      <c r="DD7" s="3607"/>
      <c r="DE7" s="3607"/>
      <c r="DF7" s="3607"/>
      <c r="DG7" s="3607"/>
      <c r="DH7" s="3607"/>
      <c r="DI7" s="3607"/>
      <c r="DJ7" s="3607"/>
      <c r="DK7" s="3607"/>
      <c r="DL7" s="3607"/>
      <c r="DM7" s="3607"/>
      <c r="DN7" s="3607"/>
      <c r="DO7" s="3607"/>
      <c r="DP7" s="3607"/>
      <c r="DQ7" s="3607"/>
      <c r="DR7" s="3607"/>
      <c r="DS7" s="3607"/>
      <c r="DT7" s="3607"/>
      <c r="DU7" s="3607"/>
      <c r="DV7" s="3607"/>
      <c r="DW7" s="3607"/>
      <c r="DX7" s="3607"/>
      <c r="DY7" s="3607"/>
      <c r="DZ7" s="3607"/>
      <c r="EA7" s="3607"/>
      <c r="EB7" s="3607"/>
      <c r="EC7" s="3607"/>
      <c r="ED7" s="3607"/>
      <c r="EE7" s="3607"/>
      <c r="EF7" s="3607"/>
      <c r="EG7" s="3607"/>
      <c r="EH7" s="3607"/>
      <c r="EI7" s="3607"/>
      <c r="EJ7" s="3607"/>
      <c r="EK7" s="3607"/>
      <c r="EL7" s="3607"/>
      <c r="EM7" s="3607"/>
      <c r="EN7" s="3607"/>
      <c r="EO7" s="3607"/>
      <c r="EP7" s="3607"/>
      <c r="EQ7" s="3607"/>
      <c r="ER7" s="3607"/>
      <c r="ES7" s="3607"/>
      <c r="ET7" s="3607"/>
      <c r="EU7" s="3607"/>
      <c r="EV7" s="3607"/>
      <c r="EW7" s="3607"/>
      <c r="EX7" s="3607"/>
      <c r="EY7" s="3607"/>
      <c r="EZ7" s="3607"/>
      <c r="FA7" s="3607"/>
      <c r="FB7" s="3607"/>
      <c r="FC7" s="3607"/>
      <c r="FD7" s="3607"/>
      <c r="FE7" s="3607"/>
      <c r="FF7" s="3607"/>
      <c r="FG7" s="3607"/>
      <c r="FH7" s="3607"/>
      <c r="FI7" s="3607"/>
      <c r="FJ7" s="3607"/>
      <c r="FK7" s="3607"/>
      <c r="FL7" s="3607"/>
      <c r="FM7" s="3607"/>
      <c r="FN7" s="3607"/>
      <c r="FO7" s="3607"/>
      <c r="FP7" s="3607"/>
      <c r="FQ7" s="3607"/>
      <c r="FR7" s="3607"/>
      <c r="FS7" s="3607"/>
      <c r="FT7" s="3607"/>
      <c r="FU7" s="3607"/>
      <c r="FV7" s="3607"/>
      <c r="FW7" s="3607"/>
      <c r="FX7" s="3607"/>
      <c r="FY7" s="3607"/>
      <c r="FZ7" s="3607"/>
      <c r="GA7" s="3607"/>
      <c r="GB7" s="3607"/>
      <c r="GC7" s="3607"/>
      <c r="GD7" s="3607"/>
      <c r="GE7" s="3607"/>
      <c r="GF7" s="3607"/>
      <c r="GG7" s="3607"/>
      <c r="GH7" s="3607"/>
      <c r="GI7" s="3607"/>
      <c r="GJ7" s="3607"/>
      <c r="GK7" s="3607"/>
      <c r="GL7" s="3607"/>
      <c r="GM7" s="3607"/>
      <c r="GN7" s="3607"/>
      <c r="GO7" s="3607"/>
      <c r="GP7" s="3607"/>
      <c r="GQ7" s="3607"/>
      <c r="GR7" s="3607"/>
      <c r="GS7" s="3607"/>
      <c r="GT7" s="3607"/>
      <c r="GU7" s="3607"/>
      <c r="GV7" s="3607"/>
      <c r="GW7" s="3607"/>
      <c r="GX7" s="3607"/>
      <c r="GY7" s="3607"/>
      <c r="GZ7" s="3607"/>
      <c r="HA7" s="3607"/>
      <c r="HB7" s="3607"/>
      <c r="HC7" s="3607"/>
      <c r="HD7" s="3607"/>
      <c r="HE7" s="3607"/>
      <c r="HF7" s="3607"/>
      <c r="HG7" s="3607"/>
      <c r="HH7" s="3607"/>
      <c r="HI7" s="3607"/>
      <c r="HJ7" s="3607"/>
      <c r="HK7" s="3607"/>
      <c r="HL7" s="3607"/>
      <c r="HM7" s="3607"/>
      <c r="HN7" s="3607"/>
      <c r="HO7" s="3607"/>
      <c r="HP7" s="3607"/>
      <c r="HQ7" s="3607"/>
      <c r="HR7" s="3607"/>
      <c r="HS7" s="3607"/>
      <c r="HT7" s="3607"/>
      <c r="HU7" s="3607"/>
      <c r="HV7" s="3607"/>
      <c r="HW7" s="3607"/>
      <c r="HX7" s="3607"/>
      <c r="HY7" s="3607"/>
      <c r="HZ7" s="3607"/>
      <c r="IA7" s="3607"/>
      <c r="IB7" s="3607"/>
      <c r="IC7" s="3607"/>
      <c r="ID7" s="3607"/>
      <c r="IE7" s="3607"/>
      <c r="IF7" s="3607"/>
      <c r="IG7" s="3607"/>
      <c r="IH7" s="3607"/>
      <c r="II7" s="3607"/>
      <c r="IJ7" s="3607"/>
      <c r="IK7" s="3607"/>
      <c r="IL7" s="3607"/>
      <c r="IM7" s="3607"/>
      <c r="IN7" s="3607"/>
      <c r="IO7" s="3607"/>
      <c r="IP7" s="3607"/>
      <c r="IQ7" s="3607"/>
    </row>
    <row r="8" customFormat="false" ht="14.25" hidden="false" customHeight="false" outlineLevel="0" collapsed="false">
      <c r="A8" s="3597" t="s">
        <v>2548</v>
      </c>
      <c r="B8" s="3597"/>
      <c r="C8" s="3597" t="s">
        <v>2563</v>
      </c>
      <c r="D8" s="3597"/>
      <c r="E8" s="3597" t="s">
        <v>2564</v>
      </c>
      <c r="F8" s="3597"/>
      <c r="G8" s="3597" t="n">
        <v>77.22</v>
      </c>
      <c r="H8" s="3597" t="n">
        <v>6</v>
      </c>
      <c r="I8" s="3597" t="s">
        <v>2534</v>
      </c>
      <c r="J8" s="3597"/>
      <c r="K8" s="3597" t="s">
        <v>1544</v>
      </c>
      <c r="L8" s="3597" t="n">
        <v>448000</v>
      </c>
      <c r="M8" s="3597" t="n">
        <v>5802</v>
      </c>
      <c r="N8" s="3598" t="n">
        <v>43.91</v>
      </c>
      <c r="O8" s="3599" t="n">
        <v>439100</v>
      </c>
      <c r="P8" s="3597" t="n">
        <v>5687</v>
      </c>
      <c r="Q8" s="3600" t="n">
        <v>0.2</v>
      </c>
      <c r="R8" s="3598" t="n">
        <v>35.12</v>
      </c>
      <c r="S8" s="3599" t="n">
        <v>351200</v>
      </c>
      <c r="T8" s="3609" t="n">
        <v>2006</v>
      </c>
      <c r="U8" s="3609" t="n">
        <v>6</v>
      </c>
      <c r="V8" s="3597" t="n">
        <v>29</v>
      </c>
      <c r="W8" s="3597" t="n">
        <v>1315</v>
      </c>
      <c r="X8" s="3597" t="s">
        <v>2557</v>
      </c>
      <c r="Y8" s="3597"/>
      <c r="Z8" s="3597" t="s">
        <v>188</v>
      </c>
      <c r="AA8" s="3597" t="s">
        <v>1484</v>
      </c>
      <c r="AB8" s="3597" t="s">
        <v>1485</v>
      </c>
      <c r="AC8" s="3597" t="s">
        <v>1250</v>
      </c>
      <c r="AD8" s="3597" t="s">
        <v>2520</v>
      </c>
      <c r="AE8" s="3597"/>
      <c r="AF8" s="3597" t="s">
        <v>2565</v>
      </c>
      <c r="AG8" s="3597" t="n">
        <v>67641700</v>
      </c>
      <c r="AH8" s="3597"/>
      <c r="AI8" s="3597" t="s">
        <v>2566</v>
      </c>
      <c r="AJ8" s="3597" t="s">
        <v>1250</v>
      </c>
      <c r="AK8" s="3597" t="s">
        <v>2523</v>
      </c>
      <c r="AL8" s="3597" t="s">
        <v>2567</v>
      </c>
      <c r="AM8" s="3597" t="n">
        <v>2006</v>
      </c>
      <c r="AN8" s="3597" t="n">
        <v>6</v>
      </c>
      <c r="AO8" s="3597" t="n">
        <v>29</v>
      </c>
      <c r="AP8" s="3597"/>
      <c r="AQ8" s="3597" t="s">
        <v>1250</v>
      </c>
      <c r="AR8" s="3597" t="s">
        <v>2551</v>
      </c>
      <c r="AS8" s="3597"/>
      <c r="AT8" s="3601"/>
      <c r="AU8" s="3597"/>
      <c r="AV8" s="3597"/>
      <c r="AW8" s="3601"/>
      <c r="AX8" s="3597"/>
      <c r="AY8" s="3602"/>
      <c r="AZ8" s="3597"/>
      <c r="BA8" s="3603"/>
      <c r="BB8" s="3604" t="n">
        <v>38805</v>
      </c>
      <c r="BC8" s="3597"/>
      <c r="BD8" s="3597" t="s">
        <v>2561</v>
      </c>
      <c r="BE8" s="3616" t="n">
        <v>38877</v>
      </c>
      <c r="BF8" s="3605" t="s">
        <v>1250</v>
      </c>
      <c r="BG8" s="3597" t="s">
        <v>2526</v>
      </c>
      <c r="BH8" s="3597" t="s">
        <v>1279</v>
      </c>
      <c r="BI8" s="3609" t="s">
        <v>2539</v>
      </c>
      <c r="BJ8" s="3597" t="s">
        <v>2553</v>
      </c>
      <c r="BK8" s="3597"/>
      <c r="BL8" s="3615" t="e">
        <f aca="false">#DIV/0!</f>
        <v>#DIV/0!</v>
      </c>
      <c r="BM8" s="3609" t="e">
        <f aca="false">#DIV/0!</f>
        <v>#DIV/0!</v>
      </c>
      <c r="BN8" s="3606"/>
      <c r="BO8" s="3606"/>
      <c r="BP8" s="3606"/>
      <c r="BQ8" s="3617"/>
      <c r="BR8" s="3617"/>
      <c r="BS8" s="3617"/>
      <c r="BT8" s="3617"/>
      <c r="BU8" s="3617"/>
      <c r="BV8" s="3617"/>
      <c r="BW8" s="3617"/>
      <c r="BX8" s="3617"/>
      <c r="BY8" s="3617"/>
      <c r="BZ8" s="3617"/>
      <c r="CA8" s="3617"/>
      <c r="CB8" s="3617"/>
      <c r="CC8" s="3617"/>
      <c r="CD8" s="3617"/>
      <c r="CE8" s="3617"/>
      <c r="CF8" s="3617"/>
      <c r="CG8" s="3617"/>
      <c r="CH8" s="3617"/>
      <c r="CI8" s="3617"/>
      <c r="CJ8" s="3617"/>
      <c r="CK8" s="3617"/>
      <c r="CL8" s="3617"/>
      <c r="CM8" s="3617"/>
      <c r="CN8" s="3617"/>
      <c r="CO8" s="3617"/>
      <c r="CP8" s="3617"/>
      <c r="CQ8" s="3617"/>
      <c r="CR8" s="3617"/>
      <c r="CS8" s="3617"/>
      <c r="CT8" s="3617"/>
      <c r="CU8" s="3617"/>
      <c r="CV8" s="3617"/>
      <c r="CW8" s="3617"/>
      <c r="CX8" s="3617"/>
      <c r="CY8" s="3617"/>
      <c r="CZ8" s="3617"/>
      <c r="DA8" s="3617"/>
      <c r="DB8" s="3617"/>
      <c r="DC8" s="3617"/>
      <c r="DD8" s="3617"/>
      <c r="DE8" s="3617"/>
      <c r="DF8" s="3617"/>
      <c r="DG8" s="3617"/>
      <c r="DH8" s="3617"/>
      <c r="DI8" s="3617"/>
      <c r="DJ8" s="3617"/>
      <c r="DK8" s="3617"/>
      <c r="DL8" s="3617"/>
      <c r="DM8" s="3617"/>
      <c r="DN8" s="3617"/>
      <c r="DO8" s="3617"/>
      <c r="DP8" s="3617"/>
      <c r="DQ8" s="3617"/>
      <c r="DR8" s="3617"/>
      <c r="DS8" s="3617"/>
      <c r="DT8" s="3617"/>
      <c r="DU8" s="3617"/>
      <c r="DV8" s="3617"/>
      <c r="DW8" s="3617"/>
      <c r="DX8" s="3617"/>
      <c r="DY8" s="3617"/>
      <c r="DZ8" s="3617"/>
      <c r="EA8" s="3617"/>
      <c r="EB8" s="3617"/>
      <c r="EC8" s="3617"/>
      <c r="ED8" s="3617"/>
      <c r="EE8" s="3617"/>
      <c r="EF8" s="3617"/>
      <c r="EG8" s="3617"/>
      <c r="EH8" s="3617"/>
      <c r="EI8" s="3617"/>
      <c r="EJ8" s="3617"/>
      <c r="EK8" s="3617"/>
      <c r="EL8" s="3617"/>
      <c r="EM8" s="3617"/>
      <c r="EN8" s="3617"/>
      <c r="EO8" s="3617"/>
      <c r="EP8" s="3617"/>
      <c r="EQ8" s="3617"/>
      <c r="ER8" s="3617"/>
      <c r="ES8" s="3617"/>
      <c r="ET8" s="3617"/>
      <c r="EU8" s="3617"/>
      <c r="EV8" s="3617"/>
      <c r="EW8" s="3617"/>
      <c r="EX8" s="3617"/>
      <c r="EY8" s="3617"/>
      <c r="EZ8" s="3617"/>
      <c r="FA8" s="3617"/>
      <c r="FB8" s="3617"/>
      <c r="FC8" s="3617"/>
      <c r="FD8" s="3617"/>
      <c r="FE8" s="3617"/>
      <c r="FF8" s="3617"/>
      <c r="FG8" s="3617"/>
      <c r="FH8" s="3617"/>
      <c r="FI8" s="3617"/>
      <c r="FJ8" s="3617"/>
      <c r="FK8" s="3617"/>
      <c r="FL8" s="3617"/>
      <c r="FM8" s="3617"/>
      <c r="FN8" s="3617"/>
      <c r="FO8" s="3617"/>
      <c r="FP8" s="3617"/>
      <c r="FQ8" s="3617"/>
      <c r="FR8" s="3617"/>
      <c r="FS8" s="3617"/>
      <c r="FT8" s="3617"/>
      <c r="FU8" s="3617"/>
      <c r="FV8" s="3617"/>
      <c r="FW8" s="3617"/>
      <c r="FX8" s="3617"/>
      <c r="FY8" s="3617"/>
      <c r="FZ8" s="3617"/>
      <c r="GA8" s="3617"/>
      <c r="GB8" s="3617"/>
      <c r="GC8" s="3617"/>
      <c r="GD8" s="3617"/>
      <c r="GE8" s="3617"/>
      <c r="GF8" s="3617"/>
      <c r="GG8" s="3617"/>
      <c r="GH8" s="3617"/>
      <c r="GI8" s="3617"/>
      <c r="GJ8" s="3617"/>
      <c r="GK8" s="3617"/>
      <c r="GL8" s="3617"/>
      <c r="GM8" s="3617"/>
      <c r="GN8" s="3617"/>
      <c r="GO8" s="3617"/>
      <c r="GP8" s="3617"/>
      <c r="GQ8" s="3617"/>
      <c r="GR8" s="3617"/>
      <c r="GS8" s="3617"/>
      <c r="GT8" s="3617"/>
      <c r="GU8" s="3617"/>
      <c r="GV8" s="3617"/>
      <c r="GW8" s="3617"/>
      <c r="GX8" s="3617"/>
      <c r="GY8" s="3617"/>
      <c r="GZ8" s="3617"/>
      <c r="HA8" s="3617"/>
      <c r="HB8" s="3617"/>
      <c r="HC8" s="3617"/>
      <c r="HD8" s="3617"/>
      <c r="HE8" s="3617"/>
      <c r="HF8" s="3617"/>
      <c r="HG8" s="3617"/>
      <c r="HH8" s="3617"/>
      <c r="HI8" s="3617"/>
      <c r="HJ8" s="3617"/>
      <c r="HK8" s="3617"/>
      <c r="HL8" s="3617"/>
      <c r="HM8" s="3617"/>
      <c r="HN8" s="3617"/>
      <c r="HO8" s="3617"/>
      <c r="HP8" s="3617"/>
      <c r="HQ8" s="3617"/>
      <c r="HR8" s="3617"/>
      <c r="HS8" s="3617"/>
      <c r="HT8" s="3617"/>
      <c r="HU8" s="3617"/>
      <c r="HV8" s="3617"/>
      <c r="HW8" s="3617"/>
      <c r="HX8" s="3617"/>
      <c r="HY8" s="3617"/>
      <c r="HZ8" s="3617"/>
      <c r="IA8" s="3617"/>
      <c r="IB8" s="3617"/>
      <c r="IC8" s="3617"/>
      <c r="ID8" s="3617"/>
      <c r="IE8" s="3617"/>
      <c r="IF8" s="3617"/>
      <c r="IG8" s="3617"/>
      <c r="IH8" s="3617"/>
      <c r="II8" s="3617"/>
      <c r="IJ8" s="3617"/>
      <c r="IK8" s="3617"/>
      <c r="IL8" s="3617"/>
      <c r="IM8" s="3617"/>
      <c r="IN8" s="3617"/>
      <c r="IO8" s="3617"/>
      <c r="IP8" s="3617"/>
      <c r="IQ8" s="3617"/>
    </row>
    <row r="9" customFormat="false" ht="13.5" hidden="false" customHeight="false" outlineLevel="0" collapsed="false">
      <c r="A9" s="3597" t="s">
        <v>2558</v>
      </c>
      <c r="B9" s="3597"/>
      <c r="C9" s="3597" t="s">
        <v>2568</v>
      </c>
      <c r="D9" s="3597" t="s">
        <v>2559</v>
      </c>
      <c r="E9" s="3597" t="s">
        <v>2569</v>
      </c>
      <c r="F9" s="3597" t="s">
        <v>2570</v>
      </c>
      <c r="G9" s="3597" t="n">
        <v>68.37</v>
      </c>
      <c r="H9" s="3597" t="n">
        <v>10</v>
      </c>
      <c r="I9" s="3597" t="s">
        <v>2534</v>
      </c>
      <c r="J9" s="3597"/>
      <c r="K9" s="3597" t="s">
        <v>1544</v>
      </c>
      <c r="L9" s="3597" t="n">
        <v>400000</v>
      </c>
      <c r="M9" s="3597" t="n">
        <v>5851</v>
      </c>
      <c r="N9" s="3598" t="n">
        <v>39.24</v>
      </c>
      <c r="O9" s="3599" t="n">
        <v>392400</v>
      </c>
      <c r="P9" s="3597" t="n">
        <v>5740</v>
      </c>
      <c r="Q9" s="3600" t="n">
        <v>0.2</v>
      </c>
      <c r="R9" s="3598" t="n">
        <v>31.39</v>
      </c>
      <c r="S9" s="3599" t="n">
        <v>313900</v>
      </c>
      <c r="T9" s="3597" t="n">
        <v>2006</v>
      </c>
      <c r="U9" s="3597" t="n">
        <v>6</v>
      </c>
      <c r="V9" s="3609" t="n">
        <v>29</v>
      </c>
      <c r="W9" s="3597" t="n">
        <v>1175</v>
      </c>
      <c r="X9" s="3597" t="s">
        <v>2557</v>
      </c>
      <c r="Y9" s="3597"/>
      <c r="Z9" s="3609" t="s">
        <v>188</v>
      </c>
      <c r="AA9" s="3597" t="s">
        <v>1484</v>
      </c>
      <c r="AB9" s="3597" t="s">
        <v>1485</v>
      </c>
      <c r="AC9" s="3597"/>
      <c r="AD9" s="3597" t="s">
        <v>2536</v>
      </c>
      <c r="AE9" s="3604"/>
      <c r="AF9" s="3597" t="s">
        <v>2565</v>
      </c>
      <c r="AG9" s="3609" t="n">
        <v>67641700</v>
      </c>
      <c r="AH9" s="3597"/>
      <c r="AI9" s="3597" t="s">
        <v>2566</v>
      </c>
      <c r="AJ9" s="3597" t="s">
        <v>1250</v>
      </c>
      <c r="AK9" s="3597" t="s">
        <v>2535</v>
      </c>
      <c r="AL9" s="3597" t="s">
        <v>2567</v>
      </c>
      <c r="AM9" s="3597"/>
      <c r="AN9" s="3597"/>
      <c r="AO9" s="3597"/>
      <c r="AP9" s="3597"/>
      <c r="AQ9" s="3597"/>
      <c r="AR9" s="3597" t="s">
        <v>2562</v>
      </c>
      <c r="AS9" s="3597"/>
      <c r="AT9" s="3601"/>
      <c r="AU9" s="3597" t="s">
        <v>2571</v>
      </c>
      <c r="AV9" s="3597"/>
      <c r="AW9" s="3597"/>
      <c r="AX9" s="3597"/>
      <c r="AY9" s="3597"/>
      <c r="AZ9" s="3597"/>
      <c r="BA9" s="3597"/>
      <c r="BB9" s="3604" t="n">
        <v>38826</v>
      </c>
      <c r="BC9" s="3597"/>
      <c r="BD9" s="3597" t="s">
        <v>2535</v>
      </c>
      <c r="BE9" s="3616" t="n">
        <v>38867</v>
      </c>
      <c r="BF9" s="3614"/>
      <c r="BG9" s="3597" t="s">
        <v>2526</v>
      </c>
      <c r="BH9" s="3597" t="s">
        <v>1279</v>
      </c>
      <c r="BI9" s="3597" t="s">
        <v>2529</v>
      </c>
      <c r="BJ9" s="3597" t="s">
        <v>2530</v>
      </c>
      <c r="BK9" s="3609"/>
      <c r="BL9" s="3609" t="e">
        <f aca="false">#DIV/0!</f>
        <v>#DIV/0!</v>
      </c>
      <c r="BM9" s="3609" t="e">
        <f aca="false">#DIV/0!</f>
        <v>#DIV/0!</v>
      </c>
      <c r="BN9" s="3606"/>
      <c r="BO9" s="3606"/>
      <c r="BP9" s="3606"/>
      <c r="BQ9" s="3607"/>
      <c r="BR9" s="3607"/>
      <c r="BS9" s="3607"/>
      <c r="BT9" s="3607"/>
      <c r="BU9" s="3607"/>
      <c r="BV9" s="3607"/>
      <c r="BW9" s="3607"/>
      <c r="BX9" s="3607"/>
      <c r="BY9" s="3607"/>
      <c r="BZ9" s="3607"/>
      <c r="CA9" s="3607"/>
      <c r="CB9" s="3607"/>
      <c r="CC9" s="3607"/>
      <c r="CD9" s="3607"/>
      <c r="CE9" s="3607"/>
      <c r="CF9" s="3607"/>
      <c r="CG9" s="3607"/>
      <c r="CH9" s="3607"/>
      <c r="CI9" s="3607"/>
      <c r="CJ9" s="3607"/>
      <c r="CK9" s="3607"/>
      <c r="CL9" s="3607"/>
      <c r="CM9" s="3607"/>
      <c r="CN9" s="3607"/>
      <c r="CO9" s="3607"/>
      <c r="CP9" s="3607"/>
      <c r="CQ9" s="3607"/>
      <c r="CR9" s="3607"/>
      <c r="CS9" s="3607"/>
      <c r="CT9" s="3607"/>
      <c r="CU9" s="3607"/>
      <c r="CV9" s="3607"/>
      <c r="CW9" s="3607"/>
      <c r="CX9" s="3607"/>
      <c r="CY9" s="3607"/>
      <c r="CZ9" s="3607"/>
      <c r="DA9" s="3607"/>
      <c r="DB9" s="3607"/>
      <c r="DC9" s="3607"/>
      <c r="DD9" s="3607"/>
      <c r="DE9" s="3607"/>
      <c r="DF9" s="3607"/>
      <c r="DG9" s="3607"/>
      <c r="DH9" s="3607"/>
      <c r="DI9" s="3607"/>
      <c r="DJ9" s="3607"/>
      <c r="DK9" s="3607"/>
      <c r="DL9" s="3607"/>
      <c r="DM9" s="3607"/>
      <c r="DN9" s="3607"/>
      <c r="DO9" s="3607"/>
      <c r="DP9" s="3607"/>
      <c r="DQ9" s="3607"/>
      <c r="DR9" s="3607"/>
      <c r="DS9" s="3607"/>
      <c r="DT9" s="3607"/>
      <c r="DU9" s="3607"/>
      <c r="DV9" s="3607"/>
      <c r="DW9" s="3607"/>
      <c r="DX9" s="3607"/>
      <c r="DY9" s="3607"/>
      <c r="DZ9" s="3607"/>
      <c r="EA9" s="3607"/>
      <c r="EB9" s="3607"/>
      <c r="EC9" s="3607"/>
      <c r="ED9" s="3607"/>
      <c r="EE9" s="3607"/>
      <c r="EF9" s="3607"/>
      <c r="EG9" s="3607"/>
      <c r="EH9" s="3607"/>
      <c r="EI9" s="3607"/>
      <c r="EJ9" s="3607"/>
      <c r="EK9" s="3607"/>
      <c r="EL9" s="3607"/>
      <c r="EM9" s="3607"/>
      <c r="EN9" s="3607"/>
      <c r="EO9" s="3607"/>
      <c r="EP9" s="3607"/>
      <c r="EQ9" s="3607"/>
      <c r="ER9" s="3607"/>
      <c r="ES9" s="3607"/>
      <c r="ET9" s="3607"/>
      <c r="EU9" s="3607"/>
      <c r="EV9" s="3607"/>
      <c r="EW9" s="3607"/>
      <c r="EX9" s="3607"/>
      <c r="EY9" s="3607"/>
      <c r="EZ9" s="3607"/>
      <c r="FA9" s="3607"/>
      <c r="FB9" s="3607"/>
      <c r="FC9" s="3607"/>
      <c r="FD9" s="3607"/>
      <c r="FE9" s="3607"/>
      <c r="FF9" s="3607"/>
      <c r="FG9" s="3607"/>
      <c r="FH9" s="3607"/>
      <c r="FI9" s="3607"/>
      <c r="FJ9" s="3607"/>
      <c r="FK9" s="3607"/>
      <c r="FL9" s="3607"/>
      <c r="FM9" s="3607"/>
      <c r="FN9" s="3607"/>
      <c r="FO9" s="3607"/>
      <c r="FP9" s="3607"/>
      <c r="FQ9" s="3607"/>
      <c r="FR9" s="3607"/>
      <c r="FS9" s="3607"/>
      <c r="FT9" s="3607"/>
      <c r="FU9" s="3607"/>
      <c r="FV9" s="3607"/>
      <c r="FW9" s="3607"/>
      <c r="FX9" s="3607"/>
      <c r="FY9" s="3607"/>
      <c r="FZ9" s="3607"/>
      <c r="GA9" s="3607"/>
      <c r="GB9" s="3607"/>
      <c r="GC9" s="3607"/>
      <c r="GD9" s="3607"/>
      <c r="GE9" s="3607"/>
      <c r="GF9" s="3607"/>
      <c r="GG9" s="3607"/>
      <c r="GH9" s="3607"/>
      <c r="GI9" s="3607"/>
      <c r="GJ9" s="3607"/>
      <c r="GK9" s="3607"/>
      <c r="GL9" s="3607"/>
      <c r="GM9" s="3607"/>
      <c r="GN9" s="3607"/>
      <c r="GO9" s="3607"/>
      <c r="GP9" s="3607"/>
      <c r="GQ9" s="3607"/>
      <c r="GR9" s="3607"/>
      <c r="GS9" s="3607"/>
      <c r="GT9" s="3607"/>
      <c r="GU9" s="3607"/>
      <c r="GV9" s="3607"/>
      <c r="GW9" s="3607"/>
      <c r="GX9" s="3607"/>
      <c r="GY9" s="3607"/>
      <c r="GZ9" s="3607"/>
      <c r="HA9" s="3607"/>
      <c r="HB9" s="3607"/>
      <c r="HC9" s="3607"/>
      <c r="HD9" s="3607"/>
      <c r="HE9" s="3607"/>
      <c r="HF9" s="3607"/>
      <c r="HG9" s="3607"/>
      <c r="HH9" s="3607"/>
      <c r="HI9" s="3607"/>
      <c r="HJ9" s="3607"/>
      <c r="HK9" s="3607"/>
      <c r="HL9" s="3607"/>
      <c r="HM9" s="3607"/>
      <c r="HN9" s="3607"/>
      <c r="HO9" s="3607"/>
      <c r="HP9" s="3607"/>
      <c r="HQ9" s="3607"/>
      <c r="HR9" s="3607"/>
      <c r="HS9" s="3607"/>
      <c r="HT9" s="3607"/>
      <c r="HU9" s="3607"/>
      <c r="HV9" s="3607"/>
      <c r="HW9" s="3607"/>
      <c r="HX9" s="3607"/>
      <c r="HY9" s="3607"/>
      <c r="HZ9" s="3607"/>
      <c r="IA9" s="3607"/>
      <c r="IB9" s="3607"/>
      <c r="IC9" s="3607"/>
      <c r="ID9" s="3607"/>
      <c r="IE9" s="3607"/>
      <c r="IF9" s="3607"/>
      <c r="IG9" s="3607"/>
      <c r="IH9" s="3607"/>
      <c r="II9" s="3607"/>
      <c r="IJ9" s="3607"/>
      <c r="IK9" s="3607"/>
      <c r="IL9" s="3607"/>
      <c r="IM9" s="3607"/>
      <c r="IN9" s="3607"/>
      <c r="IO9" s="3607"/>
      <c r="IP9" s="3607"/>
      <c r="IQ9" s="3607"/>
    </row>
    <row r="10" customFormat="false" ht="13.5" hidden="false" customHeight="false" outlineLevel="0" collapsed="false">
      <c r="A10" s="3597" t="s">
        <v>2572</v>
      </c>
      <c r="B10" s="3597"/>
      <c r="C10" s="3597" t="s">
        <v>2540</v>
      </c>
      <c r="D10" s="3597" t="s">
        <v>2573</v>
      </c>
      <c r="E10" s="3597" t="s">
        <v>2574</v>
      </c>
      <c r="F10" s="3597" t="s">
        <v>2575</v>
      </c>
      <c r="G10" s="3597" t="n">
        <v>54.31</v>
      </c>
      <c r="H10" s="3597" t="n">
        <v>5</v>
      </c>
      <c r="I10" s="3597" t="s">
        <v>1543</v>
      </c>
      <c r="J10" s="3597"/>
      <c r="K10" s="3597" t="s">
        <v>1544</v>
      </c>
      <c r="L10" s="3608" t="n">
        <v>410000</v>
      </c>
      <c r="M10" s="3608" t="n">
        <v>7549</v>
      </c>
      <c r="N10" s="3598" t="n">
        <v>32</v>
      </c>
      <c r="O10" s="3599" t="n">
        <v>320000</v>
      </c>
      <c r="P10" s="3597" t="n">
        <v>5893</v>
      </c>
      <c r="Q10" s="3600" t="n">
        <v>0.2</v>
      </c>
      <c r="R10" s="3598" t="n">
        <v>25.6</v>
      </c>
      <c r="S10" s="3599" t="n">
        <v>256000</v>
      </c>
      <c r="T10" s="3597" t="n">
        <v>2006</v>
      </c>
      <c r="U10" s="3609" t="n">
        <v>8</v>
      </c>
      <c r="V10" s="3609" t="n">
        <v>24</v>
      </c>
      <c r="W10" s="3597" t="n">
        <v>960</v>
      </c>
      <c r="X10" s="3597" t="s">
        <v>2557</v>
      </c>
      <c r="Y10" s="3601" t="s">
        <v>2576</v>
      </c>
      <c r="Z10" s="3597" t="s">
        <v>2544</v>
      </c>
      <c r="AA10" s="3597" t="s">
        <v>1484</v>
      </c>
      <c r="AB10" s="3597" t="s">
        <v>1485</v>
      </c>
      <c r="AC10" s="3597"/>
      <c r="AD10" s="3597" t="s">
        <v>2536</v>
      </c>
      <c r="AE10" s="3604"/>
      <c r="AF10" s="3610" t="n">
        <v>8</v>
      </c>
      <c r="AG10" s="3609" t="n">
        <v>39</v>
      </c>
      <c r="AH10" s="3597"/>
      <c r="AI10" s="3597" t="s">
        <v>2545</v>
      </c>
      <c r="AJ10" s="3597"/>
      <c r="AK10" s="3597" t="s">
        <v>2523</v>
      </c>
      <c r="AL10" s="3597" t="s">
        <v>2567</v>
      </c>
      <c r="AM10" s="3609"/>
      <c r="AN10" s="3609"/>
      <c r="AO10" s="3609"/>
      <c r="AP10" s="3609"/>
      <c r="AQ10" s="3609"/>
      <c r="AR10" s="3609" t="s">
        <v>2562</v>
      </c>
      <c r="AS10" s="3609"/>
      <c r="AT10" s="3611"/>
      <c r="AU10" s="3597" t="s">
        <v>2575</v>
      </c>
      <c r="AV10" s="3609"/>
      <c r="AW10" s="3612"/>
      <c r="AX10" s="3609"/>
      <c r="AY10" s="3612"/>
      <c r="AZ10" s="3609"/>
      <c r="BA10" s="3613"/>
      <c r="BB10" s="3616" t="n">
        <v>38903</v>
      </c>
      <c r="BC10" s="3597" t="s">
        <v>2526</v>
      </c>
      <c r="BD10" s="3609" t="s">
        <v>2523</v>
      </c>
      <c r="BE10" s="3614" t="n">
        <v>38923</v>
      </c>
      <c r="BF10" s="3614"/>
      <c r="BG10" s="3597" t="s">
        <v>2528</v>
      </c>
      <c r="BH10" s="3609" t="s">
        <v>1279</v>
      </c>
      <c r="BI10" s="3609" t="s">
        <v>2529</v>
      </c>
      <c r="BJ10" s="3609" t="s">
        <v>2530</v>
      </c>
      <c r="BK10" s="3609"/>
      <c r="BL10" s="3609" t="e">
        <f aca="false">#DIV/0!</f>
        <v>#DIV/0!</v>
      </c>
      <c r="BM10" s="3609" t="e">
        <f aca="false">#DIV/0!</f>
        <v>#DIV/0!</v>
      </c>
      <c r="BN10" s="3606"/>
      <c r="BO10" s="3606"/>
      <c r="BP10" s="3606"/>
      <c r="BQ10" s="3618"/>
      <c r="BR10" s="3618"/>
      <c r="BS10" s="3618"/>
      <c r="BT10" s="3618"/>
      <c r="BU10" s="3618"/>
      <c r="BV10" s="3618"/>
      <c r="BW10" s="3618"/>
      <c r="BX10" s="3618"/>
      <c r="BY10" s="3618"/>
      <c r="BZ10" s="3618"/>
      <c r="CA10" s="3618"/>
      <c r="CB10" s="3618"/>
      <c r="CC10" s="3618"/>
      <c r="CD10" s="3618"/>
      <c r="CE10" s="3618"/>
      <c r="CF10" s="3618"/>
      <c r="CG10" s="3618"/>
      <c r="CH10" s="3618"/>
      <c r="CI10" s="3618"/>
      <c r="CJ10" s="3618"/>
      <c r="CK10" s="3618"/>
      <c r="CL10" s="3618"/>
      <c r="CM10" s="3618"/>
      <c r="CN10" s="3618"/>
      <c r="CO10" s="3618"/>
      <c r="CP10" s="3618"/>
      <c r="CQ10" s="3618"/>
      <c r="CR10" s="3618"/>
      <c r="CS10" s="3618"/>
      <c r="CT10" s="3618"/>
      <c r="CU10" s="3618"/>
      <c r="CV10" s="3618"/>
      <c r="CW10" s="3618"/>
      <c r="CX10" s="3618"/>
      <c r="CY10" s="3618"/>
      <c r="CZ10" s="3618"/>
      <c r="DA10" s="3618"/>
      <c r="DB10" s="3618"/>
      <c r="DC10" s="3618"/>
      <c r="DD10" s="3618"/>
      <c r="DE10" s="3618"/>
      <c r="DF10" s="3618"/>
      <c r="DG10" s="3618"/>
      <c r="DH10" s="3618"/>
      <c r="DI10" s="3618"/>
      <c r="DJ10" s="3618"/>
      <c r="DK10" s="3618"/>
      <c r="DL10" s="3618"/>
      <c r="DM10" s="3618"/>
      <c r="DN10" s="3618"/>
      <c r="DO10" s="3618"/>
      <c r="DP10" s="3618"/>
      <c r="DQ10" s="3618"/>
      <c r="DR10" s="3618"/>
      <c r="DS10" s="3618"/>
      <c r="DT10" s="3618"/>
      <c r="DU10" s="3618"/>
      <c r="DV10" s="3618"/>
      <c r="DW10" s="3618"/>
      <c r="DX10" s="3618"/>
      <c r="DY10" s="3618"/>
      <c r="DZ10" s="3618"/>
      <c r="EA10" s="3618"/>
      <c r="EB10" s="3618"/>
      <c r="EC10" s="3618"/>
      <c r="ED10" s="3618"/>
      <c r="EE10" s="3618"/>
      <c r="EF10" s="3618"/>
      <c r="EG10" s="3618"/>
      <c r="EH10" s="3618"/>
      <c r="EI10" s="3618"/>
      <c r="EJ10" s="3618"/>
      <c r="EK10" s="3618"/>
      <c r="EL10" s="3618"/>
      <c r="EM10" s="3618"/>
      <c r="EN10" s="3618"/>
      <c r="EO10" s="3618"/>
      <c r="EP10" s="3618"/>
      <c r="EQ10" s="3618"/>
      <c r="ER10" s="3618"/>
      <c r="ES10" s="3618"/>
      <c r="ET10" s="3618"/>
      <c r="EU10" s="3618"/>
      <c r="EV10" s="3618"/>
      <c r="EW10" s="3618"/>
      <c r="EX10" s="3618"/>
      <c r="EY10" s="3618"/>
      <c r="EZ10" s="3618"/>
      <c r="FA10" s="3618"/>
      <c r="FB10" s="3618"/>
      <c r="FC10" s="3618"/>
      <c r="FD10" s="3618"/>
      <c r="FE10" s="3618"/>
      <c r="FF10" s="3618"/>
      <c r="FG10" s="3618"/>
      <c r="FH10" s="3618"/>
      <c r="FI10" s="3618"/>
      <c r="FJ10" s="3618"/>
      <c r="FK10" s="3618"/>
      <c r="FL10" s="3618"/>
      <c r="FM10" s="3618"/>
      <c r="FN10" s="3618"/>
      <c r="FO10" s="3618"/>
      <c r="FP10" s="3618"/>
      <c r="FQ10" s="3618"/>
      <c r="FR10" s="3618"/>
      <c r="FS10" s="3618"/>
      <c r="FT10" s="3618"/>
      <c r="FU10" s="3618"/>
      <c r="FV10" s="3618"/>
      <c r="FW10" s="3618"/>
      <c r="FX10" s="3618"/>
      <c r="FY10" s="3618"/>
      <c r="FZ10" s="3618"/>
      <c r="GA10" s="3618"/>
      <c r="GB10" s="3618"/>
      <c r="GC10" s="3618"/>
      <c r="GD10" s="3618"/>
      <c r="GE10" s="3618"/>
      <c r="GF10" s="3618"/>
      <c r="GG10" s="3618"/>
      <c r="GH10" s="3618"/>
      <c r="GI10" s="3618"/>
      <c r="GJ10" s="3618"/>
      <c r="GK10" s="3618"/>
      <c r="GL10" s="3618"/>
      <c r="GM10" s="3618"/>
      <c r="GN10" s="3618"/>
      <c r="GO10" s="3618"/>
      <c r="GP10" s="3618"/>
      <c r="GQ10" s="3618"/>
      <c r="GR10" s="3618"/>
      <c r="GS10" s="3618"/>
      <c r="GT10" s="3618"/>
      <c r="GU10" s="3618"/>
      <c r="GV10" s="3618"/>
      <c r="GW10" s="3618"/>
      <c r="GX10" s="3618"/>
      <c r="GY10" s="3618"/>
      <c r="GZ10" s="3618"/>
      <c r="HA10" s="3618"/>
      <c r="HB10" s="3618"/>
      <c r="HC10" s="3618"/>
      <c r="HD10" s="3618"/>
      <c r="HE10" s="3618"/>
      <c r="HF10" s="3618"/>
      <c r="HG10" s="3618"/>
      <c r="HH10" s="3618"/>
      <c r="HI10" s="3618"/>
      <c r="HJ10" s="3618"/>
      <c r="HK10" s="3618"/>
      <c r="HL10" s="3618"/>
      <c r="HM10" s="3618"/>
      <c r="HN10" s="3618"/>
      <c r="HO10" s="3618"/>
      <c r="HP10" s="3618"/>
      <c r="HQ10" s="3618"/>
      <c r="HR10" s="3618"/>
      <c r="HS10" s="3618"/>
      <c r="HT10" s="3618"/>
      <c r="HU10" s="3618"/>
      <c r="HV10" s="3618"/>
      <c r="HW10" s="3618"/>
      <c r="HX10" s="3618"/>
      <c r="HY10" s="3618"/>
      <c r="HZ10" s="3618"/>
      <c r="IA10" s="3618"/>
      <c r="IB10" s="3618"/>
      <c r="IC10" s="3618"/>
      <c r="ID10" s="3618"/>
      <c r="IE10" s="3618"/>
      <c r="IF10" s="3618"/>
      <c r="IG10" s="3618"/>
      <c r="IH10" s="3618"/>
      <c r="II10" s="3618"/>
      <c r="IJ10" s="3618"/>
      <c r="IK10" s="3618"/>
      <c r="IL10" s="3618"/>
      <c r="IM10" s="3618"/>
      <c r="IN10" s="3618"/>
      <c r="IO10" s="3618"/>
      <c r="IP10" s="3618"/>
      <c r="IQ10" s="3618"/>
    </row>
    <row r="11" customFormat="false" ht="13.5" hidden="false" customHeight="false" outlineLevel="0" collapsed="false">
      <c r="A11" s="3597" t="s">
        <v>2531</v>
      </c>
      <c r="B11" s="3597"/>
      <c r="C11" s="3597" t="s">
        <v>1463</v>
      </c>
      <c r="D11" s="3597"/>
      <c r="E11" s="3597" t="s">
        <v>2577</v>
      </c>
      <c r="F11" s="3597" t="s">
        <v>2578</v>
      </c>
      <c r="G11" s="3597" t="n">
        <v>48.2</v>
      </c>
      <c r="H11" s="3597" t="n">
        <v>4</v>
      </c>
      <c r="I11" s="3597" t="s">
        <v>2579</v>
      </c>
      <c r="J11" s="3597"/>
      <c r="K11" s="3597" t="s">
        <v>1544</v>
      </c>
      <c r="L11" s="3608" t="n">
        <v>365000</v>
      </c>
      <c r="M11" s="3597" t="n">
        <v>7573</v>
      </c>
      <c r="N11" s="3598" t="n">
        <v>28.99</v>
      </c>
      <c r="O11" s="3599" t="n">
        <v>289900</v>
      </c>
      <c r="P11" s="3597" t="n">
        <v>6016</v>
      </c>
      <c r="Q11" s="3600" t="n">
        <v>0.2</v>
      </c>
      <c r="R11" s="3598" t="n">
        <v>23.19</v>
      </c>
      <c r="S11" s="3599" t="n">
        <v>231900</v>
      </c>
      <c r="T11" s="3609" t="n">
        <v>2006</v>
      </c>
      <c r="U11" s="3597" t="n">
        <v>12</v>
      </c>
      <c r="V11" s="3609" t="n">
        <v>28</v>
      </c>
      <c r="W11" s="3597" t="n">
        <v>865</v>
      </c>
      <c r="X11" s="3597" t="s">
        <v>2557</v>
      </c>
      <c r="Y11" s="3601" t="s">
        <v>2580</v>
      </c>
      <c r="Z11" s="3597" t="s">
        <v>2544</v>
      </c>
      <c r="AA11" s="3597" t="s">
        <v>1484</v>
      </c>
      <c r="AB11" s="3597" t="s">
        <v>1485</v>
      </c>
      <c r="AC11" s="3597"/>
      <c r="AD11" s="3597" t="s">
        <v>2520</v>
      </c>
      <c r="AE11" s="3604"/>
      <c r="AF11" s="3610" t="s">
        <v>2581</v>
      </c>
      <c r="AG11" s="3597" t="n">
        <v>48</v>
      </c>
      <c r="AH11" s="3609"/>
      <c r="AI11" s="3597" t="s">
        <v>2566</v>
      </c>
      <c r="AJ11" s="3597"/>
      <c r="AK11" s="3597" t="s">
        <v>2544</v>
      </c>
      <c r="AL11" s="3597" t="s">
        <v>2538</v>
      </c>
      <c r="AM11" s="3597"/>
      <c r="AN11" s="3597"/>
      <c r="AO11" s="3597"/>
      <c r="AP11" s="3597"/>
      <c r="AQ11" s="3605"/>
      <c r="AR11" s="3609" t="s">
        <v>2525</v>
      </c>
      <c r="AS11" s="3609"/>
      <c r="AT11" s="3609"/>
      <c r="AU11" s="3597" t="s">
        <v>2578</v>
      </c>
      <c r="AV11" s="3609"/>
      <c r="AW11" s="3612"/>
      <c r="AX11" s="3609"/>
      <c r="AY11" s="3612"/>
      <c r="AZ11" s="3609" t="n">
        <v>13801072677</v>
      </c>
      <c r="BA11" s="3613"/>
      <c r="BB11" s="3616" t="n">
        <v>39032</v>
      </c>
      <c r="BC11" s="3597"/>
      <c r="BD11" s="3609" t="s">
        <v>2544</v>
      </c>
      <c r="BE11" s="3614" t="n">
        <v>39063</v>
      </c>
      <c r="BF11" s="3604"/>
      <c r="BG11" s="3597" t="s">
        <v>2526</v>
      </c>
      <c r="BH11" s="3597" t="s">
        <v>1279</v>
      </c>
      <c r="BI11" s="3597" t="s">
        <v>2539</v>
      </c>
      <c r="BJ11" s="3609" t="s">
        <v>2530</v>
      </c>
      <c r="BK11" s="3609"/>
      <c r="BL11" s="3609" t="e">
        <f aca="false">#DIV/0!</f>
        <v>#DIV/0!</v>
      </c>
      <c r="BM11" s="3609" t="e">
        <f aca="false">#DIV/0!</f>
        <v>#DIV/0!</v>
      </c>
      <c r="BN11" s="3606"/>
      <c r="BO11" s="3606"/>
      <c r="BP11" s="3606"/>
      <c r="BQ11" s="3607"/>
      <c r="BR11" s="3607"/>
      <c r="BS11" s="3607"/>
      <c r="BT11" s="3607"/>
      <c r="BU11" s="3607"/>
      <c r="BV11" s="3607"/>
      <c r="BW11" s="3607"/>
      <c r="BX11" s="3607"/>
      <c r="BY11" s="3607"/>
      <c r="BZ11" s="3607"/>
      <c r="CA11" s="3607"/>
      <c r="CB11" s="3607"/>
      <c r="CC11" s="3607"/>
      <c r="CD11" s="3607"/>
      <c r="CE11" s="3607"/>
      <c r="CF11" s="3607"/>
      <c r="CG11" s="3607"/>
      <c r="CH11" s="3607"/>
      <c r="CI11" s="3607"/>
      <c r="CJ11" s="3607"/>
      <c r="CK11" s="3607"/>
      <c r="CL11" s="3607"/>
      <c r="CM11" s="3607"/>
      <c r="CN11" s="3607"/>
      <c r="CO11" s="3607"/>
      <c r="CP11" s="3607"/>
      <c r="CQ11" s="3607"/>
      <c r="CR11" s="3607"/>
      <c r="CS11" s="3607"/>
      <c r="CT11" s="3607"/>
      <c r="CU11" s="3607"/>
      <c r="CV11" s="3607"/>
      <c r="CW11" s="3607"/>
      <c r="CX11" s="3607"/>
      <c r="CY11" s="3607"/>
      <c r="CZ11" s="3607"/>
      <c r="DA11" s="3607"/>
      <c r="DB11" s="3607"/>
      <c r="DC11" s="3607"/>
      <c r="DD11" s="3607"/>
      <c r="DE11" s="3607"/>
      <c r="DF11" s="3607"/>
      <c r="DG11" s="3607"/>
      <c r="DH11" s="3607"/>
      <c r="DI11" s="3607"/>
      <c r="DJ11" s="3607"/>
      <c r="DK11" s="3607"/>
      <c r="DL11" s="3607"/>
      <c r="DM11" s="3607"/>
      <c r="DN11" s="3607"/>
      <c r="DO11" s="3607"/>
      <c r="DP11" s="3607"/>
      <c r="DQ11" s="3607"/>
      <c r="DR11" s="3607"/>
      <c r="DS11" s="3607"/>
      <c r="DT11" s="3607"/>
      <c r="DU11" s="3607"/>
      <c r="DV11" s="3607"/>
      <c r="DW11" s="3607"/>
      <c r="DX11" s="3607"/>
      <c r="DY11" s="3607"/>
      <c r="DZ11" s="3607"/>
      <c r="EA11" s="3607"/>
      <c r="EB11" s="3607"/>
      <c r="EC11" s="3607"/>
      <c r="ED11" s="3607"/>
      <c r="EE11" s="3607"/>
      <c r="EF11" s="3607"/>
      <c r="EG11" s="3607"/>
      <c r="EH11" s="3607"/>
      <c r="EI11" s="3607"/>
      <c r="EJ11" s="3607"/>
      <c r="EK11" s="3607"/>
      <c r="EL11" s="3607"/>
      <c r="EM11" s="3607"/>
      <c r="EN11" s="3607"/>
      <c r="EO11" s="3607"/>
      <c r="EP11" s="3607"/>
      <c r="EQ11" s="3607"/>
      <c r="ER11" s="3607"/>
      <c r="ES11" s="3607"/>
      <c r="ET11" s="3607"/>
      <c r="EU11" s="3607"/>
      <c r="EV11" s="3607"/>
      <c r="EW11" s="3607"/>
      <c r="EX11" s="3607"/>
      <c r="EY11" s="3607"/>
      <c r="EZ11" s="3607"/>
      <c r="FA11" s="3607"/>
      <c r="FB11" s="3607"/>
      <c r="FC11" s="3607"/>
      <c r="FD11" s="3607"/>
      <c r="FE11" s="3607"/>
      <c r="FF11" s="3607"/>
      <c r="FG11" s="3607"/>
      <c r="FH11" s="3607"/>
      <c r="FI11" s="3607"/>
      <c r="FJ11" s="3607"/>
      <c r="FK11" s="3607"/>
      <c r="FL11" s="3607"/>
      <c r="FM11" s="3607"/>
      <c r="FN11" s="3607"/>
      <c r="FO11" s="3607"/>
      <c r="FP11" s="3607"/>
      <c r="FQ11" s="3607"/>
      <c r="FR11" s="3607"/>
      <c r="FS11" s="3607"/>
      <c r="FT11" s="3607"/>
      <c r="FU11" s="3607"/>
      <c r="FV11" s="3607"/>
      <c r="FW11" s="3607"/>
      <c r="FX11" s="3607"/>
      <c r="FY11" s="3607"/>
      <c r="FZ11" s="3607"/>
      <c r="GA11" s="3607"/>
      <c r="GB11" s="3607"/>
      <c r="GC11" s="3607"/>
      <c r="GD11" s="3607"/>
      <c r="GE11" s="3607"/>
      <c r="GF11" s="3607"/>
      <c r="GG11" s="3607"/>
      <c r="GH11" s="3607"/>
      <c r="GI11" s="3607"/>
      <c r="GJ11" s="3607"/>
      <c r="GK11" s="3607"/>
      <c r="GL11" s="3607"/>
      <c r="GM11" s="3607"/>
      <c r="GN11" s="3607"/>
      <c r="GO11" s="3607"/>
      <c r="GP11" s="3607"/>
      <c r="GQ11" s="3607"/>
      <c r="GR11" s="3607"/>
      <c r="GS11" s="3607"/>
      <c r="GT11" s="3607"/>
      <c r="GU11" s="3607"/>
      <c r="GV11" s="3607"/>
      <c r="GW11" s="3607"/>
      <c r="GX11" s="3607"/>
      <c r="GY11" s="3607"/>
      <c r="GZ11" s="3607"/>
      <c r="HA11" s="3607"/>
      <c r="HB11" s="3607"/>
      <c r="HC11" s="3607"/>
      <c r="HD11" s="3607"/>
      <c r="HE11" s="3607"/>
      <c r="HF11" s="3607"/>
      <c r="HG11" s="3607"/>
      <c r="HH11" s="3607"/>
      <c r="HI11" s="3607"/>
      <c r="HJ11" s="3607"/>
      <c r="HK11" s="3607"/>
      <c r="HL11" s="3607"/>
      <c r="HM11" s="3607"/>
      <c r="HN11" s="3607"/>
      <c r="HO11" s="3607"/>
      <c r="HP11" s="3607"/>
      <c r="HQ11" s="3607"/>
      <c r="HR11" s="3607"/>
      <c r="HS11" s="3607"/>
      <c r="HT11" s="3607"/>
      <c r="HU11" s="3607"/>
      <c r="HV11" s="3607"/>
      <c r="HW11" s="3607"/>
      <c r="HX11" s="3607"/>
      <c r="HY11" s="3607"/>
      <c r="HZ11" s="3607"/>
      <c r="IA11" s="3607"/>
      <c r="IB11" s="3607"/>
      <c r="IC11" s="3607"/>
      <c r="ID11" s="3607"/>
      <c r="IE11" s="3607"/>
      <c r="IF11" s="3607"/>
      <c r="IG11" s="3607"/>
      <c r="IH11" s="3607"/>
      <c r="II11" s="3607"/>
      <c r="IJ11" s="3607"/>
      <c r="IK11" s="3607"/>
      <c r="IL11" s="3607"/>
      <c r="IM11" s="3607"/>
      <c r="IN11" s="3607"/>
      <c r="IO11" s="3607"/>
      <c r="IP11" s="3607"/>
      <c r="IQ11" s="3607"/>
    </row>
    <row r="12" customFormat="false" ht="13.5" hidden="false" customHeight="false" outlineLevel="0" collapsed="false">
      <c r="A12" s="3597" t="s">
        <v>2582</v>
      </c>
      <c r="B12" s="3597"/>
      <c r="C12" s="3597" t="s">
        <v>2583</v>
      </c>
      <c r="D12" s="3597"/>
      <c r="E12" s="3597" t="s">
        <v>2584</v>
      </c>
      <c r="F12" s="3597" t="s">
        <v>2585</v>
      </c>
      <c r="G12" s="3597" t="n">
        <v>84.16</v>
      </c>
      <c r="H12" s="3597" t="n">
        <v>16</v>
      </c>
      <c r="I12" s="3597" t="s">
        <v>2534</v>
      </c>
      <c r="J12" s="3597"/>
      <c r="K12" s="3597" t="s">
        <v>1544</v>
      </c>
      <c r="L12" s="3608" t="n">
        <v>670000</v>
      </c>
      <c r="M12" s="3597" t="n">
        <v>7961</v>
      </c>
      <c r="N12" s="3598" t="n">
        <v>51.43</v>
      </c>
      <c r="O12" s="3599" t="n">
        <v>514300</v>
      </c>
      <c r="P12" s="3597" t="n">
        <v>6111</v>
      </c>
      <c r="Q12" s="3600" t="n">
        <v>0.2</v>
      </c>
      <c r="R12" s="3598" t="n">
        <v>41.14</v>
      </c>
      <c r="S12" s="3599" t="n">
        <v>411400</v>
      </c>
      <c r="T12" s="3597" t="n">
        <v>2006</v>
      </c>
      <c r="U12" s="3609" t="n">
        <v>11</v>
      </c>
      <c r="V12" s="3609" t="n">
        <v>22</v>
      </c>
      <c r="W12" s="3597" t="n">
        <v>1500</v>
      </c>
      <c r="X12" s="3597" t="s">
        <v>2557</v>
      </c>
      <c r="Y12" s="3601" t="s">
        <v>2586</v>
      </c>
      <c r="Z12" s="3597" t="s">
        <v>188</v>
      </c>
      <c r="AA12" s="3597" t="s">
        <v>1484</v>
      </c>
      <c r="AB12" s="3597" t="s">
        <v>1485</v>
      </c>
      <c r="AC12" s="3597"/>
      <c r="AD12" s="3597" t="s">
        <v>2520</v>
      </c>
      <c r="AE12" s="3604"/>
      <c r="AF12" s="3610" t="s">
        <v>2587</v>
      </c>
      <c r="AG12" s="3597" t="n">
        <v>44</v>
      </c>
      <c r="AH12" s="3597"/>
      <c r="AI12" s="3597" t="s">
        <v>2545</v>
      </c>
      <c r="AJ12" s="3597"/>
      <c r="AK12" s="3597" t="s">
        <v>2544</v>
      </c>
      <c r="AL12" s="3597" t="s">
        <v>2538</v>
      </c>
      <c r="AM12" s="3597"/>
      <c r="AN12" s="3597"/>
      <c r="AO12" s="3597"/>
      <c r="AP12" s="3597"/>
      <c r="AQ12" s="3597" t="s">
        <v>1250</v>
      </c>
      <c r="AR12" s="3597" t="s">
        <v>2562</v>
      </c>
      <c r="AS12" s="3597"/>
      <c r="AT12" s="3601"/>
      <c r="AU12" s="3597" t="s">
        <v>2585</v>
      </c>
      <c r="AV12" s="3597"/>
      <c r="AW12" s="3601"/>
      <c r="AX12" s="3597"/>
      <c r="AY12" s="3602"/>
      <c r="AZ12" s="3597"/>
      <c r="BA12" s="3603"/>
      <c r="BB12" s="3616" t="n">
        <v>39041</v>
      </c>
      <c r="BC12" s="3597"/>
      <c r="BD12" s="3597" t="s">
        <v>2544</v>
      </c>
      <c r="BE12" s="3614" t="n">
        <v>39041</v>
      </c>
      <c r="BF12" s="3605"/>
      <c r="BG12" s="3597" t="s">
        <v>2528</v>
      </c>
      <c r="BH12" s="3597" t="s">
        <v>1279</v>
      </c>
      <c r="BI12" s="3597" t="s">
        <v>2529</v>
      </c>
      <c r="BJ12" s="3597" t="s">
        <v>2588</v>
      </c>
      <c r="BK12" s="3597"/>
      <c r="BL12" s="3609"/>
      <c r="BM12" s="3609"/>
      <c r="BN12" s="3606"/>
      <c r="BO12" s="3606"/>
      <c r="BP12" s="3606"/>
      <c r="BQ12" s="3607"/>
      <c r="BR12" s="3607"/>
      <c r="BS12" s="3607"/>
      <c r="BT12" s="3607"/>
      <c r="BU12" s="3607"/>
      <c r="BV12" s="3607"/>
      <c r="BW12" s="3607"/>
      <c r="BX12" s="3607"/>
      <c r="BY12" s="3607"/>
      <c r="BZ12" s="3607"/>
      <c r="CA12" s="3607"/>
      <c r="CB12" s="3607"/>
      <c r="CC12" s="3607"/>
      <c r="CD12" s="3607"/>
      <c r="CE12" s="3607"/>
      <c r="CF12" s="3607"/>
      <c r="CG12" s="3607"/>
      <c r="CH12" s="3607"/>
      <c r="CI12" s="3607"/>
      <c r="CJ12" s="3607"/>
      <c r="CK12" s="3607"/>
      <c r="CL12" s="3607"/>
      <c r="CM12" s="3607"/>
      <c r="CN12" s="3607"/>
      <c r="CO12" s="3607"/>
      <c r="CP12" s="3607"/>
      <c r="CQ12" s="3607"/>
      <c r="CR12" s="3607"/>
      <c r="CS12" s="3607"/>
      <c r="CT12" s="3607"/>
      <c r="CU12" s="3607"/>
      <c r="CV12" s="3607"/>
      <c r="CW12" s="3607"/>
      <c r="CX12" s="3607"/>
      <c r="CY12" s="3607"/>
      <c r="CZ12" s="3607"/>
      <c r="DA12" s="3607"/>
      <c r="DB12" s="3607"/>
      <c r="DC12" s="3607"/>
      <c r="DD12" s="3607"/>
      <c r="DE12" s="3607"/>
      <c r="DF12" s="3607"/>
      <c r="DG12" s="3607"/>
      <c r="DH12" s="3607"/>
      <c r="DI12" s="3607"/>
      <c r="DJ12" s="3607"/>
      <c r="DK12" s="3607"/>
      <c r="DL12" s="3607"/>
      <c r="DM12" s="3607"/>
      <c r="DN12" s="3607"/>
      <c r="DO12" s="3607"/>
      <c r="DP12" s="3607"/>
      <c r="DQ12" s="3607"/>
      <c r="DR12" s="3607"/>
      <c r="DS12" s="3607"/>
      <c r="DT12" s="3607"/>
      <c r="DU12" s="3607"/>
      <c r="DV12" s="3607"/>
      <c r="DW12" s="3607"/>
      <c r="DX12" s="3607"/>
      <c r="DY12" s="3607"/>
      <c r="DZ12" s="3607"/>
      <c r="EA12" s="3607"/>
      <c r="EB12" s="3607"/>
      <c r="EC12" s="3607"/>
      <c r="ED12" s="3607"/>
      <c r="EE12" s="3607"/>
      <c r="EF12" s="3607"/>
      <c r="EG12" s="3607"/>
      <c r="EH12" s="3607"/>
      <c r="EI12" s="3607"/>
      <c r="EJ12" s="3607"/>
      <c r="EK12" s="3607"/>
      <c r="EL12" s="3607"/>
      <c r="EM12" s="3607"/>
      <c r="EN12" s="3607"/>
      <c r="EO12" s="3607"/>
      <c r="EP12" s="3607"/>
      <c r="EQ12" s="3607"/>
      <c r="ER12" s="3607"/>
      <c r="ES12" s="3607"/>
      <c r="ET12" s="3607"/>
      <c r="EU12" s="3607"/>
      <c r="EV12" s="3607"/>
      <c r="EW12" s="3607"/>
      <c r="EX12" s="3607"/>
      <c r="EY12" s="3607"/>
      <c r="EZ12" s="3607"/>
      <c r="FA12" s="3607"/>
      <c r="FB12" s="3607"/>
      <c r="FC12" s="3607"/>
      <c r="FD12" s="3607"/>
      <c r="FE12" s="3607"/>
      <c r="FF12" s="3607"/>
      <c r="FG12" s="3607"/>
      <c r="FH12" s="3607"/>
      <c r="FI12" s="3607"/>
      <c r="FJ12" s="3607"/>
      <c r="FK12" s="3607"/>
      <c r="FL12" s="3607"/>
      <c r="FM12" s="3607"/>
      <c r="FN12" s="3607"/>
      <c r="FO12" s="3607"/>
      <c r="FP12" s="3607"/>
      <c r="FQ12" s="3607"/>
      <c r="FR12" s="3607"/>
      <c r="FS12" s="3607"/>
      <c r="FT12" s="3607"/>
      <c r="FU12" s="3607"/>
      <c r="FV12" s="3607"/>
      <c r="FW12" s="3607"/>
      <c r="FX12" s="3607"/>
      <c r="FY12" s="3607"/>
      <c r="FZ12" s="3607"/>
      <c r="GA12" s="3607"/>
      <c r="GB12" s="3607"/>
      <c r="GC12" s="3607"/>
      <c r="GD12" s="3607"/>
      <c r="GE12" s="3607"/>
      <c r="GF12" s="3607"/>
      <c r="GG12" s="3607"/>
      <c r="GH12" s="3607"/>
      <c r="GI12" s="3607"/>
      <c r="GJ12" s="3607"/>
      <c r="GK12" s="3607"/>
      <c r="GL12" s="3607"/>
      <c r="GM12" s="3607"/>
      <c r="GN12" s="3607"/>
      <c r="GO12" s="3607"/>
      <c r="GP12" s="3607"/>
      <c r="GQ12" s="3607"/>
      <c r="GR12" s="3607"/>
      <c r="GS12" s="3607"/>
      <c r="GT12" s="3607"/>
      <c r="GU12" s="3607"/>
      <c r="GV12" s="3607"/>
      <c r="GW12" s="3607"/>
      <c r="GX12" s="3607"/>
      <c r="GY12" s="3607"/>
      <c r="GZ12" s="3607"/>
      <c r="HA12" s="3607"/>
      <c r="HB12" s="3607"/>
      <c r="HC12" s="3607"/>
      <c r="HD12" s="3607"/>
      <c r="HE12" s="3607"/>
      <c r="HF12" s="3607"/>
      <c r="HG12" s="3607"/>
      <c r="HH12" s="3607"/>
      <c r="HI12" s="3607"/>
      <c r="HJ12" s="3607"/>
      <c r="HK12" s="3607"/>
      <c r="HL12" s="3607"/>
      <c r="HM12" s="3607"/>
      <c r="HN12" s="3607"/>
      <c r="HO12" s="3607"/>
      <c r="HP12" s="3607"/>
      <c r="HQ12" s="3607"/>
      <c r="HR12" s="3607"/>
      <c r="HS12" s="3607"/>
      <c r="HT12" s="3607"/>
      <c r="HU12" s="3607"/>
      <c r="HV12" s="3607"/>
      <c r="HW12" s="3607"/>
      <c r="HX12" s="3607"/>
      <c r="HY12" s="3607"/>
      <c r="HZ12" s="3607"/>
      <c r="IA12" s="3607"/>
      <c r="IB12" s="3607"/>
      <c r="IC12" s="3607"/>
      <c r="ID12" s="3607"/>
      <c r="IE12" s="3607"/>
      <c r="IF12" s="3607"/>
      <c r="IG12" s="3607"/>
      <c r="IH12" s="3607"/>
      <c r="II12" s="3607"/>
      <c r="IJ12" s="3607"/>
      <c r="IK12" s="3607"/>
      <c r="IL12" s="3607"/>
      <c r="IM12" s="3607"/>
      <c r="IN12" s="3607"/>
      <c r="IO12" s="3607"/>
      <c r="IP12" s="3607"/>
      <c r="IQ12" s="3607"/>
    </row>
    <row r="13" customFormat="false" ht="13.5" hidden="false" customHeight="false" outlineLevel="0" collapsed="false">
      <c r="A13" s="3597" t="s">
        <v>2589</v>
      </c>
      <c r="B13" s="3597"/>
      <c r="C13" s="3597" t="s">
        <v>2590</v>
      </c>
      <c r="D13" s="3597" t="s">
        <v>2591</v>
      </c>
      <c r="E13" s="3597" t="s">
        <v>2592</v>
      </c>
      <c r="F13" s="3597" t="s">
        <v>2593</v>
      </c>
      <c r="G13" s="3597" t="n">
        <v>111.16</v>
      </c>
      <c r="H13" s="3597" t="n">
        <v>4</v>
      </c>
      <c r="I13" s="3597" t="s">
        <v>1543</v>
      </c>
      <c r="J13" s="3597" t="n">
        <v>85.88</v>
      </c>
      <c r="K13" s="3597" t="s">
        <v>1544</v>
      </c>
      <c r="L13" s="3608" t="n">
        <v>687813</v>
      </c>
      <c r="M13" s="3597" t="n">
        <v>6188</v>
      </c>
      <c r="N13" s="3598" t="n">
        <v>68.23</v>
      </c>
      <c r="O13" s="3599" t="n">
        <v>682300</v>
      </c>
      <c r="P13" s="3597" t="n">
        <v>6138</v>
      </c>
      <c r="Q13" s="3600" t="n">
        <v>0.1</v>
      </c>
      <c r="R13" s="3598" t="n">
        <v>61.4</v>
      </c>
      <c r="S13" s="3599" t="n">
        <v>614000</v>
      </c>
      <c r="T13" s="3609" t="n">
        <v>2006</v>
      </c>
      <c r="U13" s="3609" t="n">
        <v>3</v>
      </c>
      <c r="V13" s="3609" t="n">
        <v>1</v>
      </c>
      <c r="W13" s="3597" t="n">
        <v>1500</v>
      </c>
      <c r="X13" s="3597" t="s">
        <v>2594</v>
      </c>
      <c r="Y13" s="3597"/>
      <c r="Z13" s="3597" t="s">
        <v>188</v>
      </c>
      <c r="AA13" s="3597" t="s">
        <v>2595</v>
      </c>
      <c r="AB13" s="3597" t="s">
        <v>1485</v>
      </c>
      <c r="AC13" s="3597"/>
      <c r="AD13" s="3597" t="s">
        <v>2536</v>
      </c>
      <c r="AE13" s="3604" t="n">
        <v>39355</v>
      </c>
      <c r="AF13" s="3610" t="s">
        <v>2522</v>
      </c>
      <c r="AG13" s="3609" t="n">
        <v>67641700</v>
      </c>
      <c r="AH13" s="3609"/>
      <c r="AI13" s="3597" t="s">
        <v>2521</v>
      </c>
      <c r="AJ13" s="3597" t="s">
        <v>1250</v>
      </c>
      <c r="AK13" s="3597" t="s">
        <v>2523</v>
      </c>
      <c r="AL13" s="3597" t="s">
        <v>2538</v>
      </c>
      <c r="AM13" s="3597"/>
      <c r="AN13" s="3597"/>
      <c r="AO13" s="3597"/>
      <c r="AP13" s="3597"/>
      <c r="AQ13" s="3605"/>
      <c r="AR13" s="3609" t="s">
        <v>2562</v>
      </c>
      <c r="AS13" s="3597" t="s">
        <v>2596</v>
      </c>
      <c r="AT13" s="3611" t="s">
        <v>2597</v>
      </c>
      <c r="AU13" s="3597"/>
      <c r="AV13" s="3609"/>
      <c r="AW13" s="3612"/>
      <c r="AX13" s="3609"/>
      <c r="AY13" s="3612"/>
      <c r="AZ13" s="3609"/>
      <c r="BA13" s="3613"/>
      <c r="BB13" s="3604" t="n">
        <v>38766</v>
      </c>
      <c r="BC13" s="3597"/>
      <c r="BD13" s="3609" t="s">
        <v>2598</v>
      </c>
      <c r="BE13" s="3616" t="n">
        <v>38775</v>
      </c>
      <c r="BF13" s="3604" t="s">
        <v>1250</v>
      </c>
      <c r="BG13" s="3597" t="s">
        <v>2599</v>
      </c>
      <c r="BH13" s="3609"/>
      <c r="BI13" s="3609"/>
      <c r="BJ13" s="3609"/>
      <c r="BK13" s="3597"/>
      <c r="BL13" s="3609" t="e">
        <f aca="false">#DIV/0!</f>
        <v>#DIV/0!</v>
      </c>
      <c r="BM13" s="3609" t="e">
        <f aca="false">#DIV/0!</f>
        <v>#DIV/0!</v>
      </c>
      <c r="BN13" s="3606"/>
      <c r="BO13" s="3606"/>
      <c r="BP13" s="3606"/>
      <c r="BQ13" s="3607"/>
      <c r="BR13" s="3607"/>
      <c r="BS13" s="3607"/>
      <c r="BT13" s="3607"/>
      <c r="BU13" s="3607"/>
      <c r="BV13" s="3607"/>
      <c r="BW13" s="3607"/>
      <c r="BX13" s="3607"/>
      <c r="BY13" s="3607"/>
      <c r="BZ13" s="3607"/>
      <c r="CA13" s="3607"/>
      <c r="CB13" s="3607"/>
      <c r="CC13" s="3607"/>
      <c r="CD13" s="3607"/>
      <c r="CE13" s="3607"/>
      <c r="CF13" s="3607"/>
      <c r="CG13" s="3607"/>
      <c r="CH13" s="3607"/>
      <c r="CI13" s="3607"/>
      <c r="CJ13" s="3607"/>
      <c r="CK13" s="3607"/>
      <c r="CL13" s="3607"/>
      <c r="CM13" s="3607"/>
      <c r="CN13" s="3607"/>
      <c r="CO13" s="3607"/>
      <c r="CP13" s="3607"/>
      <c r="CQ13" s="3607"/>
      <c r="CR13" s="3607"/>
      <c r="CS13" s="3607"/>
      <c r="CT13" s="3607"/>
      <c r="CU13" s="3607"/>
      <c r="CV13" s="3607"/>
      <c r="CW13" s="3607"/>
      <c r="CX13" s="3607"/>
      <c r="CY13" s="3607"/>
      <c r="CZ13" s="3607"/>
      <c r="DA13" s="3607"/>
      <c r="DB13" s="3607"/>
      <c r="DC13" s="3607"/>
      <c r="DD13" s="3607"/>
      <c r="DE13" s="3607"/>
      <c r="DF13" s="3607"/>
      <c r="DG13" s="3607"/>
      <c r="DH13" s="3607"/>
      <c r="DI13" s="3607"/>
      <c r="DJ13" s="3607"/>
      <c r="DK13" s="3607"/>
      <c r="DL13" s="3607"/>
      <c r="DM13" s="3607"/>
      <c r="DN13" s="3607"/>
      <c r="DO13" s="3607"/>
      <c r="DP13" s="3607"/>
      <c r="DQ13" s="3607"/>
      <c r="DR13" s="3607"/>
      <c r="DS13" s="3607"/>
      <c r="DT13" s="3607"/>
      <c r="DU13" s="3607"/>
      <c r="DV13" s="3607"/>
      <c r="DW13" s="3607"/>
      <c r="DX13" s="3607"/>
      <c r="DY13" s="3607"/>
      <c r="DZ13" s="3607"/>
      <c r="EA13" s="3607"/>
      <c r="EB13" s="3607"/>
      <c r="EC13" s="3607"/>
      <c r="ED13" s="3607"/>
      <c r="EE13" s="3607"/>
      <c r="EF13" s="3607"/>
      <c r="EG13" s="3607"/>
      <c r="EH13" s="3607"/>
      <c r="EI13" s="3607"/>
      <c r="EJ13" s="3607"/>
      <c r="EK13" s="3607"/>
      <c r="EL13" s="3607"/>
      <c r="EM13" s="3607"/>
      <c r="EN13" s="3607"/>
      <c r="EO13" s="3607"/>
      <c r="EP13" s="3607"/>
      <c r="EQ13" s="3607"/>
      <c r="ER13" s="3607"/>
      <c r="ES13" s="3607"/>
      <c r="ET13" s="3607"/>
      <c r="EU13" s="3607"/>
      <c r="EV13" s="3607"/>
      <c r="EW13" s="3607"/>
      <c r="EX13" s="3607"/>
      <c r="EY13" s="3607"/>
      <c r="EZ13" s="3607"/>
      <c r="FA13" s="3607"/>
      <c r="FB13" s="3607"/>
      <c r="FC13" s="3607"/>
      <c r="FD13" s="3607"/>
      <c r="FE13" s="3607"/>
      <c r="FF13" s="3607"/>
      <c r="FG13" s="3607"/>
      <c r="FH13" s="3607"/>
      <c r="FI13" s="3607"/>
      <c r="FJ13" s="3607"/>
      <c r="FK13" s="3607"/>
      <c r="FL13" s="3607"/>
      <c r="FM13" s="3607"/>
      <c r="FN13" s="3607"/>
      <c r="FO13" s="3607"/>
      <c r="FP13" s="3607"/>
      <c r="FQ13" s="3607"/>
      <c r="FR13" s="3607"/>
      <c r="FS13" s="3607"/>
      <c r="FT13" s="3607"/>
      <c r="FU13" s="3607"/>
      <c r="FV13" s="3607"/>
      <c r="FW13" s="3607"/>
      <c r="FX13" s="3607"/>
      <c r="FY13" s="3607"/>
      <c r="FZ13" s="3607"/>
      <c r="GA13" s="3607"/>
      <c r="GB13" s="3607"/>
      <c r="GC13" s="3607"/>
      <c r="GD13" s="3607"/>
      <c r="GE13" s="3607"/>
      <c r="GF13" s="3607"/>
      <c r="GG13" s="3607"/>
      <c r="GH13" s="3607"/>
      <c r="GI13" s="3607"/>
      <c r="GJ13" s="3607"/>
      <c r="GK13" s="3607"/>
      <c r="GL13" s="3607"/>
      <c r="GM13" s="3607"/>
      <c r="GN13" s="3607"/>
      <c r="GO13" s="3607"/>
      <c r="GP13" s="3607"/>
      <c r="GQ13" s="3607"/>
      <c r="GR13" s="3607"/>
      <c r="GS13" s="3607"/>
      <c r="GT13" s="3607"/>
      <c r="GU13" s="3607"/>
      <c r="GV13" s="3607"/>
      <c r="GW13" s="3607"/>
      <c r="GX13" s="3607"/>
      <c r="GY13" s="3607"/>
      <c r="GZ13" s="3607"/>
      <c r="HA13" s="3607"/>
      <c r="HB13" s="3607"/>
      <c r="HC13" s="3607"/>
      <c r="HD13" s="3607"/>
      <c r="HE13" s="3607"/>
      <c r="HF13" s="3607"/>
      <c r="HG13" s="3607"/>
      <c r="HH13" s="3607"/>
      <c r="HI13" s="3607"/>
      <c r="HJ13" s="3607"/>
      <c r="HK13" s="3607"/>
      <c r="HL13" s="3607"/>
      <c r="HM13" s="3607"/>
      <c r="HN13" s="3607"/>
      <c r="HO13" s="3607"/>
      <c r="HP13" s="3607"/>
      <c r="HQ13" s="3607"/>
      <c r="HR13" s="3607"/>
      <c r="HS13" s="3607"/>
      <c r="HT13" s="3607"/>
      <c r="HU13" s="3607"/>
      <c r="HV13" s="3607"/>
      <c r="HW13" s="3607"/>
      <c r="HX13" s="3607"/>
      <c r="HY13" s="3607"/>
      <c r="HZ13" s="3607"/>
      <c r="IA13" s="3607"/>
      <c r="IB13" s="3607"/>
      <c r="IC13" s="3607"/>
      <c r="ID13" s="3607"/>
      <c r="IE13" s="3607"/>
      <c r="IF13" s="3607"/>
      <c r="IG13" s="3607"/>
      <c r="IH13" s="3607"/>
      <c r="II13" s="3607"/>
      <c r="IJ13" s="3607"/>
      <c r="IK13" s="3607"/>
      <c r="IL13" s="3607"/>
      <c r="IM13" s="3607"/>
      <c r="IN13" s="3607"/>
      <c r="IO13" s="3607"/>
      <c r="IP13" s="3607"/>
      <c r="IQ13" s="3607"/>
    </row>
    <row r="14" customFormat="false" ht="13.5" hidden="false" customHeight="false" outlineLevel="0" collapsed="false">
      <c r="A14" s="3597" t="s">
        <v>2600</v>
      </c>
      <c r="B14" s="3597"/>
      <c r="C14" s="3597" t="s">
        <v>2540</v>
      </c>
      <c r="D14" s="3597" t="s">
        <v>2601</v>
      </c>
      <c r="E14" s="3597" t="n">
        <v>202</v>
      </c>
      <c r="F14" s="3597" t="s">
        <v>2602</v>
      </c>
      <c r="G14" s="3597" t="n">
        <v>57.9</v>
      </c>
      <c r="H14" s="3597" t="n">
        <v>2</v>
      </c>
      <c r="I14" s="3597" t="s">
        <v>1543</v>
      </c>
      <c r="J14" s="3597"/>
      <c r="K14" s="3597" t="s">
        <v>1544</v>
      </c>
      <c r="L14" s="3597" t="n">
        <v>360000</v>
      </c>
      <c r="M14" s="3608" t="n">
        <v>6218</v>
      </c>
      <c r="N14" s="3598" t="n">
        <v>35.89</v>
      </c>
      <c r="O14" s="3599" t="n">
        <v>358900</v>
      </c>
      <c r="P14" s="3597" t="n">
        <v>6199</v>
      </c>
      <c r="Q14" s="3600" t="n">
        <v>0.2</v>
      </c>
      <c r="R14" s="3598" t="n">
        <v>28.71</v>
      </c>
      <c r="S14" s="3599" t="n">
        <v>287100</v>
      </c>
      <c r="T14" s="3597" t="n">
        <v>2006</v>
      </c>
      <c r="U14" s="3597" t="n">
        <v>7</v>
      </c>
      <c r="V14" s="3597" t="n">
        <v>4</v>
      </c>
      <c r="W14" s="3609" t="n">
        <v>1075</v>
      </c>
      <c r="X14" s="3597" t="s">
        <v>2557</v>
      </c>
      <c r="Y14" s="3597"/>
      <c r="Z14" s="3597" t="s">
        <v>2603</v>
      </c>
      <c r="AA14" s="3597" t="s">
        <v>1484</v>
      </c>
      <c r="AB14" s="3597" t="s">
        <v>1485</v>
      </c>
      <c r="AC14" s="3597"/>
      <c r="AD14" s="3597" t="s">
        <v>2604</v>
      </c>
      <c r="AE14" s="3597"/>
      <c r="AF14" s="3597" t="s">
        <v>2605</v>
      </c>
      <c r="AG14" s="3609"/>
      <c r="AH14" s="3597"/>
      <c r="AI14" s="3597" t="s">
        <v>2521</v>
      </c>
      <c r="AJ14" s="3597" t="s">
        <v>2606</v>
      </c>
      <c r="AK14" s="3597" t="s">
        <v>2546</v>
      </c>
      <c r="AL14" s="3597" t="s">
        <v>2567</v>
      </c>
      <c r="AM14" s="3597" t="n">
        <v>2006</v>
      </c>
      <c r="AN14" s="3597" t="n">
        <v>7</v>
      </c>
      <c r="AO14" s="3597" t="n">
        <v>4</v>
      </c>
      <c r="AP14" s="3597"/>
      <c r="AQ14" s="3597"/>
      <c r="AR14" s="3597" t="s">
        <v>2525</v>
      </c>
      <c r="AS14" s="3597"/>
      <c r="AT14" s="3597"/>
      <c r="AU14" s="3597" t="s">
        <v>2602</v>
      </c>
      <c r="AV14" s="3597"/>
      <c r="AW14" s="3597"/>
      <c r="AX14" s="3597"/>
      <c r="AY14" s="3597"/>
      <c r="AZ14" s="3597"/>
      <c r="BA14" s="3597"/>
      <c r="BB14" s="3604" t="n">
        <v>38883</v>
      </c>
      <c r="BC14" s="3597"/>
      <c r="BD14" s="3597" t="s">
        <v>2603</v>
      </c>
      <c r="BE14" s="3604" t="n">
        <v>38889</v>
      </c>
      <c r="BF14" s="3597"/>
      <c r="BG14" s="3597" t="s">
        <v>2526</v>
      </c>
      <c r="BH14" s="3597" t="s">
        <v>2607</v>
      </c>
      <c r="BI14" s="3597" t="s">
        <v>2539</v>
      </c>
      <c r="BJ14" s="3597" t="s">
        <v>2530</v>
      </c>
      <c r="BK14" s="3597"/>
      <c r="BL14" s="3609" t="e">
        <f aca="false">#DIV/0!</f>
        <v>#DIV/0!</v>
      </c>
      <c r="BM14" s="3609" t="e">
        <f aca="false">#DIV/0!</f>
        <v>#DIV/0!</v>
      </c>
      <c r="BN14" s="3606"/>
      <c r="BO14" s="3606"/>
      <c r="BP14" s="3606"/>
      <c r="BQ14" s="3618"/>
      <c r="BR14" s="3618"/>
      <c r="BS14" s="3618"/>
      <c r="BT14" s="3618"/>
      <c r="BU14" s="3618"/>
      <c r="BV14" s="3618"/>
      <c r="BW14" s="3618"/>
      <c r="BX14" s="3618"/>
      <c r="BY14" s="3618"/>
      <c r="BZ14" s="3618"/>
      <c r="CA14" s="3618"/>
      <c r="CB14" s="3618"/>
      <c r="CC14" s="3618"/>
      <c r="CD14" s="3618"/>
      <c r="CE14" s="3618"/>
      <c r="CF14" s="3618"/>
      <c r="CG14" s="3618"/>
      <c r="CH14" s="3618"/>
      <c r="CI14" s="3618"/>
      <c r="CJ14" s="3618"/>
      <c r="CK14" s="3618"/>
      <c r="CL14" s="3618"/>
      <c r="CM14" s="3618"/>
      <c r="CN14" s="3618"/>
      <c r="CO14" s="3618"/>
      <c r="CP14" s="3618"/>
      <c r="CQ14" s="3618"/>
      <c r="CR14" s="3618"/>
      <c r="CS14" s="3618"/>
      <c r="CT14" s="3618"/>
      <c r="CU14" s="3618"/>
      <c r="CV14" s="3618"/>
      <c r="CW14" s="3618"/>
      <c r="CX14" s="3618"/>
      <c r="CY14" s="3618"/>
      <c r="CZ14" s="3618"/>
      <c r="DA14" s="3618"/>
      <c r="DB14" s="3618"/>
      <c r="DC14" s="3618"/>
      <c r="DD14" s="3618"/>
      <c r="DE14" s="3618"/>
      <c r="DF14" s="3618"/>
      <c r="DG14" s="3618"/>
      <c r="DH14" s="3618"/>
      <c r="DI14" s="3618"/>
      <c r="DJ14" s="3618"/>
      <c r="DK14" s="3618"/>
      <c r="DL14" s="3618"/>
      <c r="DM14" s="3618"/>
      <c r="DN14" s="3618"/>
      <c r="DO14" s="3618"/>
      <c r="DP14" s="3618"/>
      <c r="DQ14" s="3618"/>
      <c r="DR14" s="3618"/>
      <c r="DS14" s="3618"/>
      <c r="DT14" s="3618"/>
      <c r="DU14" s="3618"/>
      <c r="DV14" s="3618"/>
      <c r="DW14" s="3618"/>
      <c r="DX14" s="3618"/>
      <c r="DY14" s="3618"/>
      <c r="DZ14" s="3618"/>
      <c r="EA14" s="3618"/>
      <c r="EB14" s="3618"/>
      <c r="EC14" s="3618"/>
      <c r="ED14" s="3618"/>
      <c r="EE14" s="3618"/>
      <c r="EF14" s="3618"/>
      <c r="EG14" s="3618"/>
      <c r="EH14" s="3618"/>
      <c r="EI14" s="3618"/>
      <c r="EJ14" s="3618"/>
      <c r="EK14" s="3618"/>
      <c r="EL14" s="3618"/>
      <c r="EM14" s="3618"/>
      <c r="EN14" s="3618"/>
      <c r="EO14" s="3618"/>
      <c r="EP14" s="3618"/>
      <c r="EQ14" s="3618"/>
      <c r="ER14" s="3618"/>
      <c r="ES14" s="3618"/>
      <c r="ET14" s="3618"/>
      <c r="EU14" s="3618"/>
      <c r="EV14" s="3618"/>
      <c r="EW14" s="3618"/>
      <c r="EX14" s="3618"/>
      <c r="EY14" s="3618"/>
      <c r="EZ14" s="3618"/>
      <c r="FA14" s="3618"/>
      <c r="FB14" s="3618"/>
      <c r="FC14" s="3618"/>
      <c r="FD14" s="3618"/>
      <c r="FE14" s="3618"/>
      <c r="FF14" s="3618"/>
      <c r="FG14" s="3618"/>
      <c r="FH14" s="3618"/>
      <c r="FI14" s="3618"/>
      <c r="FJ14" s="3618"/>
      <c r="FK14" s="3618"/>
      <c r="FL14" s="3618"/>
      <c r="FM14" s="3618"/>
      <c r="FN14" s="3618"/>
      <c r="FO14" s="3618"/>
      <c r="FP14" s="3618"/>
      <c r="FQ14" s="3618"/>
      <c r="FR14" s="3618"/>
      <c r="FS14" s="3618"/>
      <c r="FT14" s="3618"/>
      <c r="FU14" s="3618"/>
      <c r="FV14" s="3618"/>
      <c r="FW14" s="3618"/>
      <c r="FX14" s="3618"/>
      <c r="FY14" s="3618"/>
      <c r="FZ14" s="3618"/>
      <c r="GA14" s="3618"/>
      <c r="GB14" s="3618"/>
      <c r="GC14" s="3618"/>
      <c r="GD14" s="3618"/>
      <c r="GE14" s="3618"/>
      <c r="GF14" s="3618"/>
      <c r="GG14" s="3618"/>
      <c r="GH14" s="3618"/>
      <c r="GI14" s="3618"/>
      <c r="GJ14" s="3618"/>
      <c r="GK14" s="3618"/>
      <c r="GL14" s="3618"/>
      <c r="GM14" s="3618"/>
      <c r="GN14" s="3618"/>
      <c r="GO14" s="3618"/>
      <c r="GP14" s="3618"/>
      <c r="GQ14" s="3618"/>
      <c r="GR14" s="3618"/>
      <c r="GS14" s="3618"/>
      <c r="GT14" s="3618"/>
      <c r="GU14" s="3618"/>
      <c r="GV14" s="3618"/>
      <c r="GW14" s="3618"/>
      <c r="GX14" s="3618"/>
      <c r="GY14" s="3618"/>
      <c r="GZ14" s="3618"/>
      <c r="HA14" s="3618"/>
      <c r="HB14" s="3618"/>
      <c r="HC14" s="3618"/>
      <c r="HD14" s="3618"/>
      <c r="HE14" s="3618"/>
      <c r="HF14" s="3618"/>
      <c r="HG14" s="3618"/>
      <c r="HH14" s="3618"/>
      <c r="HI14" s="3618"/>
      <c r="HJ14" s="3618"/>
      <c r="HK14" s="3618"/>
      <c r="HL14" s="3618"/>
      <c r="HM14" s="3618"/>
      <c r="HN14" s="3618"/>
      <c r="HO14" s="3618"/>
      <c r="HP14" s="3618"/>
      <c r="HQ14" s="3618"/>
      <c r="HR14" s="3618"/>
      <c r="HS14" s="3618"/>
      <c r="HT14" s="3618"/>
      <c r="HU14" s="3618"/>
      <c r="HV14" s="3618"/>
      <c r="HW14" s="3618"/>
      <c r="HX14" s="3618"/>
      <c r="HY14" s="3618"/>
      <c r="HZ14" s="3618"/>
      <c r="IA14" s="3618"/>
      <c r="IB14" s="3618"/>
      <c r="IC14" s="3618"/>
      <c r="ID14" s="3618"/>
      <c r="IE14" s="3618"/>
      <c r="IF14" s="3618"/>
      <c r="IG14" s="3618"/>
      <c r="IH14" s="3618"/>
      <c r="II14" s="3618"/>
      <c r="IJ14" s="3618"/>
      <c r="IK14" s="3618"/>
      <c r="IL14" s="3618"/>
      <c r="IM14" s="3618"/>
      <c r="IN14" s="3618"/>
      <c r="IO14" s="3618"/>
      <c r="IP14" s="3618"/>
      <c r="IQ14" s="3618"/>
    </row>
    <row r="15" customFormat="false" ht="13.5" hidden="false" customHeight="false" outlineLevel="0" collapsed="false">
      <c r="A15" s="3597" t="s">
        <v>2589</v>
      </c>
      <c r="B15" s="3597"/>
      <c r="C15" s="3597" t="s">
        <v>2608</v>
      </c>
      <c r="D15" s="3597" t="s">
        <v>2609</v>
      </c>
      <c r="E15" s="3597" t="s">
        <v>2592</v>
      </c>
      <c r="F15" s="3597" t="s">
        <v>2593</v>
      </c>
      <c r="G15" s="3597" t="n">
        <v>137.54</v>
      </c>
      <c r="H15" s="3597" t="n">
        <v>4</v>
      </c>
      <c r="I15" s="3619" t="s">
        <v>2610</v>
      </c>
      <c r="J15" s="3597" t="n">
        <v>103.52</v>
      </c>
      <c r="K15" s="3597" t="s">
        <v>1544</v>
      </c>
      <c r="L15" s="3608" t="n">
        <v>902798</v>
      </c>
      <c r="M15" s="3597" t="n">
        <v>6564</v>
      </c>
      <c r="N15" s="3598" t="n">
        <v>89.59</v>
      </c>
      <c r="O15" s="3599" t="n">
        <v>895900</v>
      </c>
      <c r="P15" s="3597" t="n">
        <v>6514</v>
      </c>
      <c r="Q15" s="3600" t="n">
        <v>0.1</v>
      </c>
      <c r="R15" s="3598" t="n">
        <v>80.63</v>
      </c>
      <c r="S15" s="3599" t="n">
        <v>806300</v>
      </c>
      <c r="T15" s="3609" t="n">
        <v>2006</v>
      </c>
      <c r="U15" s="3609" t="n">
        <v>3</v>
      </c>
      <c r="V15" s="3609" t="n">
        <v>7</v>
      </c>
      <c r="W15" s="3597" t="n">
        <v>1500</v>
      </c>
      <c r="X15" s="3597" t="s">
        <v>2594</v>
      </c>
      <c r="Y15" s="3597"/>
      <c r="Z15" s="3597" t="s">
        <v>188</v>
      </c>
      <c r="AA15" s="3597" t="s">
        <v>2595</v>
      </c>
      <c r="AB15" s="3597" t="s">
        <v>1485</v>
      </c>
      <c r="AC15" s="3597"/>
      <c r="AD15" s="3597" t="s">
        <v>2536</v>
      </c>
      <c r="AE15" s="3604" t="n">
        <v>39355</v>
      </c>
      <c r="AF15" s="3610" t="s">
        <v>2522</v>
      </c>
      <c r="AG15" s="3609" t="n">
        <v>67641700</v>
      </c>
      <c r="AH15" s="3609"/>
      <c r="AI15" s="3597" t="s">
        <v>2537</v>
      </c>
      <c r="AJ15" s="3597" t="s">
        <v>1250</v>
      </c>
      <c r="AK15" s="3597" t="s">
        <v>2523</v>
      </c>
      <c r="AL15" s="3597" t="s">
        <v>2538</v>
      </c>
      <c r="AM15" s="3597"/>
      <c r="AN15" s="3597"/>
      <c r="AO15" s="3597"/>
      <c r="AP15" s="3597"/>
      <c r="AQ15" s="3605"/>
      <c r="AR15" s="3609" t="s">
        <v>2562</v>
      </c>
      <c r="AS15" s="3597" t="s">
        <v>2596</v>
      </c>
      <c r="AT15" s="3611" t="s">
        <v>2611</v>
      </c>
      <c r="AU15" s="3597"/>
      <c r="AV15" s="3609"/>
      <c r="AW15" s="3612"/>
      <c r="AX15" s="3609"/>
      <c r="AY15" s="3612"/>
      <c r="AZ15" s="3609"/>
      <c r="BA15" s="3613"/>
      <c r="BB15" s="3604" t="n">
        <v>38774</v>
      </c>
      <c r="BC15" s="3597"/>
      <c r="BD15" s="3609" t="s">
        <v>2598</v>
      </c>
      <c r="BE15" s="3616" t="n">
        <v>38782</v>
      </c>
      <c r="BF15" s="3604" t="s">
        <v>1250</v>
      </c>
      <c r="BG15" s="3597" t="s">
        <v>2599</v>
      </c>
      <c r="BH15" s="3609"/>
      <c r="BI15" s="3609"/>
      <c r="BJ15" s="3609"/>
      <c r="BK15" s="3609"/>
      <c r="BL15" s="3609" t="e">
        <f aca="false">#DIV/0!</f>
        <v>#DIV/0!</v>
      </c>
      <c r="BM15" s="3609" t="e">
        <f aca="false">#DIV/0!</f>
        <v>#DIV/0!</v>
      </c>
      <c r="BN15" s="3606"/>
      <c r="BO15" s="3606"/>
      <c r="BP15" s="3606"/>
      <c r="BQ15" s="3618"/>
      <c r="BR15" s="3618"/>
      <c r="BS15" s="3618"/>
      <c r="BT15" s="3618"/>
      <c r="BU15" s="3618"/>
      <c r="BV15" s="3618"/>
      <c r="BW15" s="3618"/>
      <c r="BX15" s="3618"/>
      <c r="BY15" s="3618"/>
      <c r="BZ15" s="3618"/>
      <c r="CA15" s="3618"/>
      <c r="CB15" s="3618"/>
      <c r="CC15" s="3618"/>
      <c r="CD15" s="3618"/>
      <c r="CE15" s="3618"/>
      <c r="CF15" s="3618"/>
      <c r="CG15" s="3618"/>
      <c r="CH15" s="3618"/>
      <c r="CI15" s="3618"/>
      <c r="CJ15" s="3618"/>
      <c r="CK15" s="3618"/>
      <c r="CL15" s="3618"/>
      <c r="CM15" s="3618"/>
      <c r="CN15" s="3618"/>
      <c r="CO15" s="3618"/>
      <c r="CP15" s="3618"/>
      <c r="CQ15" s="3618"/>
      <c r="CR15" s="3618"/>
      <c r="CS15" s="3618"/>
      <c r="CT15" s="3618"/>
      <c r="CU15" s="3618"/>
      <c r="CV15" s="3618"/>
      <c r="CW15" s="3618"/>
      <c r="CX15" s="3618"/>
      <c r="CY15" s="3618"/>
      <c r="CZ15" s="3618"/>
      <c r="DA15" s="3618"/>
      <c r="DB15" s="3618"/>
      <c r="DC15" s="3618"/>
      <c r="DD15" s="3618"/>
      <c r="DE15" s="3618"/>
      <c r="DF15" s="3618"/>
      <c r="DG15" s="3618"/>
      <c r="DH15" s="3618"/>
      <c r="DI15" s="3618"/>
      <c r="DJ15" s="3618"/>
      <c r="DK15" s="3618"/>
      <c r="DL15" s="3618"/>
      <c r="DM15" s="3618"/>
      <c r="DN15" s="3618"/>
      <c r="DO15" s="3618"/>
      <c r="DP15" s="3618"/>
      <c r="DQ15" s="3618"/>
      <c r="DR15" s="3618"/>
      <c r="DS15" s="3618"/>
      <c r="DT15" s="3618"/>
      <c r="DU15" s="3618"/>
      <c r="DV15" s="3618"/>
      <c r="DW15" s="3618"/>
      <c r="DX15" s="3618"/>
      <c r="DY15" s="3618"/>
      <c r="DZ15" s="3618"/>
      <c r="EA15" s="3618"/>
      <c r="EB15" s="3618"/>
      <c r="EC15" s="3618"/>
      <c r="ED15" s="3618"/>
      <c r="EE15" s="3618"/>
      <c r="EF15" s="3618"/>
      <c r="EG15" s="3618"/>
      <c r="EH15" s="3618"/>
      <c r="EI15" s="3618"/>
      <c r="EJ15" s="3618"/>
      <c r="EK15" s="3618"/>
      <c r="EL15" s="3618"/>
      <c r="EM15" s="3618"/>
      <c r="EN15" s="3618"/>
      <c r="EO15" s="3618"/>
      <c r="EP15" s="3618"/>
      <c r="EQ15" s="3618"/>
      <c r="ER15" s="3618"/>
      <c r="ES15" s="3618"/>
      <c r="ET15" s="3618"/>
      <c r="EU15" s="3618"/>
      <c r="EV15" s="3618"/>
      <c r="EW15" s="3618"/>
      <c r="EX15" s="3618"/>
      <c r="EY15" s="3618"/>
      <c r="EZ15" s="3618"/>
      <c r="FA15" s="3618"/>
      <c r="FB15" s="3618"/>
      <c r="FC15" s="3618"/>
      <c r="FD15" s="3618"/>
      <c r="FE15" s="3618"/>
      <c r="FF15" s="3618"/>
      <c r="FG15" s="3618"/>
      <c r="FH15" s="3618"/>
      <c r="FI15" s="3618"/>
      <c r="FJ15" s="3618"/>
      <c r="FK15" s="3618"/>
      <c r="FL15" s="3618"/>
      <c r="FM15" s="3618"/>
      <c r="FN15" s="3618"/>
      <c r="FO15" s="3618"/>
      <c r="FP15" s="3618"/>
      <c r="FQ15" s="3618"/>
      <c r="FR15" s="3618"/>
      <c r="FS15" s="3618"/>
      <c r="FT15" s="3618"/>
      <c r="FU15" s="3618"/>
      <c r="FV15" s="3618"/>
      <c r="FW15" s="3618"/>
      <c r="FX15" s="3618"/>
      <c r="FY15" s="3618"/>
      <c r="FZ15" s="3618"/>
      <c r="GA15" s="3618"/>
      <c r="GB15" s="3618"/>
      <c r="GC15" s="3618"/>
      <c r="GD15" s="3618"/>
      <c r="GE15" s="3618"/>
      <c r="GF15" s="3618"/>
      <c r="GG15" s="3618"/>
      <c r="GH15" s="3618"/>
      <c r="GI15" s="3618"/>
      <c r="GJ15" s="3618"/>
      <c r="GK15" s="3618"/>
      <c r="GL15" s="3618"/>
      <c r="GM15" s="3618"/>
      <c r="GN15" s="3618"/>
      <c r="GO15" s="3618"/>
      <c r="GP15" s="3618"/>
      <c r="GQ15" s="3618"/>
      <c r="GR15" s="3618"/>
      <c r="GS15" s="3618"/>
      <c r="GT15" s="3618"/>
      <c r="GU15" s="3618"/>
      <c r="GV15" s="3618"/>
      <c r="GW15" s="3618"/>
      <c r="GX15" s="3618"/>
      <c r="GY15" s="3618"/>
      <c r="GZ15" s="3618"/>
      <c r="HA15" s="3618"/>
      <c r="HB15" s="3618"/>
      <c r="HC15" s="3618"/>
      <c r="HD15" s="3618"/>
      <c r="HE15" s="3618"/>
      <c r="HF15" s="3618"/>
      <c r="HG15" s="3618"/>
      <c r="HH15" s="3618"/>
      <c r="HI15" s="3618"/>
      <c r="HJ15" s="3618"/>
      <c r="HK15" s="3618"/>
      <c r="HL15" s="3618"/>
      <c r="HM15" s="3618"/>
      <c r="HN15" s="3618"/>
      <c r="HO15" s="3618"/>
      <c r="HP15" s="3618"/>
      <c r="HQ15" s="3618"/>
      <c r="HR15" s="3618"/>
      <c r="HS15" s="3618"/>
      <c r="HT15" s="3618"/>
      <c r="HU15" s="3618"/>
      <c r="HV15" s="3618"/>
      <c r="HW15" s="3618"/>
      <c r="HX15" s="3618"/>
      <c r="HY15" s="3618"/>
      <c r="HZ15" s="3618"/>
      <c r="IA15" s="3618"/>
      <c r="IB15" s="3618"/>
      <c r="IC15" s="3618"/>
      <c r="ID15" s="3618"/>
      <c r="IE15" s="3618"/>
      <c r="IF15" s="3618"/>
      <c r="IG15" s="3618"/>
      <c r="IH15" s="3618"/>
      <c r="II15" s="3618"/>
      <c r="IJ15" s="3618"/>
      <c r="IK15" s="3618"/>
      <c r="IL15" s="3618"/>
      <c r="IM15" s="3618"/>
      <c r="IN15" s="3618"/>
      <c r="IO15" s="3618"/>
      <c r="IP15" s="3618"/>
      <c r="IQ15" s="3618"/>
    </row>
    <row r="16" customFormat="false" ht="13.5" hidden="false" customHeight="false" outlineLevel="0" collapsed="false">
      <c r="A16" s="3597" t="s">
        <v>2612</v>
      </c>
      <c r="B16" s="3597"/>
      <c r="C16" s="3597" t="s">
        <v>2613</v>
      </c>
      <c r="D16" s="3597"/>
      <c r="E16" s="3597" t="s">
        <v>2614</v>
      </c>
      <c r="F16" s="3597" t="s">
        <v>2615</v>
      </c>
      <c r="G16" s="3597" t="n">
        <v>71.32</v>
      </c>
      <c r="H16" s="3597" t="n">
        <v>6</v>
      </c>
      <c r="I16" s="3597" t="s">
        <v>2534</v>
      </c>
      <c r="J16" s="3597"/>
      <c r="K16" s="3597" t="s">
        <v>1544</v>
      </c>
      <c r="L16" s="3608" t="n">
        <v>555000</v>
      </c>
      <c r="M16" s="3597" t="n">
        <v>7782</v>
      </c>
      <c r="N16" s="3598" t="n">
        <v>46.78</v>
      </c>
      <c r="O16" s="3599" t="n">
        <v>467800</v>
      </c>
      <c r="P16" s="3597" t="n">
        <v>6560</v>
      </c>
      <c r="Q16" s="3600" t="n">
        <v>0.2</v>
      </c>
      <c r="R16" s="3598" t="n">
        <v>37.42</v>
      </c>
      <c r="S16" s="3599" t="n">
        <v>374200</v>
      </c>
      <c r="T16" s="3609" t="n">
        <v>2006</v>
      </c>
      <c r="U16" s="3609" t="n">
        <v>12</v>
      </c>
      <c r="V16" s="3609" t="n">
        <v>19</v>
      </c>
      <c r="W16" s="3597" t="n">
        <v>1400</v>
      </c>
      <c r="X16" s="3597" t="s">
        <v>2557</v>
      </c>
      <c r="Y16" s="3620" t="n">
        <v>91302006120753</v>
      </c>
      <c r="Z16" s="3597" t="s">
        <v>2616</v>
      </c>
      <c r="AA16" s="3597"/>
      <c r="AB16" s="3597" t="s">
        <v>1485</v>
      </c>
      <c r="AC16" s="3597"/>
      <c r="AD16" s="3597" t="s">
        <v>2536</v>
      </c>
      <c r="AE16" s="3604"/>
      <c r="AF16" s="3610" t="s">
        <v>2581</v>
      </c>
      <c r="AG16" s="3609" t="n">
        <v>29</v>
      </c>
      <c r="AH16" s="3609"/>
      <c r="AI16" s="3597" t="s">
        <v>2545</v>
      </c>
      <c r="AJ16" s="3597"/>
      <c r="AK16" s="3597" t="s">
        <v>2616</v>
      </c>
      <c r="AL16" s="3609" t="s">
        <v>2524</v>
      </c>
      <c r="AM16" s="3609"/>
      <c r="AN16" s="3609"/>
      <c r="AO16" s="3609"/>
      <c r="AP16" s="3609"/>
      <c r="AQ16" s="3609"/>
      <c r="AR16" s="3609" t="s">
        <v>2562</v>
      </c>
      <c r="AS16" s="3609"/>
      <c r="AT16" s="3611"/>
      <c r="AU16" s="3597" t="s">
        <v>2615</v>
      </c>
      <c r="AV16" s="3609"/>
      <c r="AW16" s="3612"/>
      <c r="AX16" s="3609"/>
      <c r="AY16" s="3612"/>
      <c r="AZ16" s="3609"/>
      <c r="BA16" s="3613"/>
      <c r="BB16" s="3616" t="n">
        <v>39043</v>
      </c>
      <c r="BC16" s="3597"/>
      <c r="BD16" s="3597" t="s">
        <v>2616</v>
      </c>
      <c r="BE16" s="3616" t="n">
        <v>39066</v>
      </c>
      <c r="BF16" s="3614" t="s">
        <v>1250</v>
      </c>
      <c r="BG16" s="3597" t="s">
        <v>2526</v>
      </c>
      <c r="BH16" s="3609" t="s">
        <v>1279</v>
      </c>
      <c r="BI16" s="3609" t="s">
        <v>2539</v>
      </c>
      <c r="BJ16" s="3609" t="s">
        <v>2530</v>
      </c>
      <c r="BK16" s="3597"/>
      <c r="BL16" s="3609" t="e">
        <f aca="false">#DIV/0!</f>
        <v>#DIV/0!</v>
      </c>
      <c r="BM16" s="3609" t="e">
        <f aca="false">#DIV/0!</f>
        <v>#DIV/0!</v>
      </c>
      <c r="BN16" s="3606"/>
      <c r="BO16" s="3606"/>
      <c r="BP16" s="3606"/>
      <c r="BQ16" s="3607"/>
      <c r="BR16" s="3607"/>
      <c r="BS16" s="3607"/>
      <c r="BT16" s="3607"/>
      <c r="BU16" s="3607"/>
      <c r="BV16" s="3607"/>
      <c r="BW16" s="3607"/>
      <c r="BX16" s="3607"/>
      <c r="BY16" s="3607"/>
      <c r="BZ16" s="3607"/>
      <c r="CA16" s="3607"/>
      <c r="CB16" s="3607"/>
      <c r="CC16" s="3607"/>
      <c r="CD16" s="3607"/>
      <c r="CE16" s="3607"/>
      <c r="CF16" s="3607"/>
      <c r="CG16" s="3607"/>
      <c r="CH16" s="3607"/>
      <c r="CI16" s="3607"/>
      <c r="CJ16" s="3607"/>
      <c r="CK16" s="3607"/>
      <c r="CL16" s="3607"/>
      <c r="CM16" s="3607"/>
      <c r="CN16" s="3607"/>
      <c r="CO16" s="3607"/>
      <c r="CP16" s="3607"/>
      <c r="CQ16" s="3607"/>
      <c r="CR16" s="3607"/>
      <c r="CS16" s="3607"/>
      <c r="CT16" s="3607"/>
      <c r="CU16" s="3607"/>
      <c r="CV16" s="3607"/>
      <c r="CW16" s="3607"/>
      <c r="CX16" s="3607"/>
      <c r="CY16" s="3607"/>
      <c r="CZ16" s="3607"/>
      <c r="DA16" s="3607"/>
      <c r="DB16" s="3607"/>
      <c r="DC16" s="3607"/>
      <c r="DD16" s="3607"/>
      <c r="DE16" s="3607"/>
      <c r="DF16" s="3607"/>
      <c r="DG16" s="3607"/>
      <c r="DH16" s="3607"/>
      <c r="DI16" s="3607"/>
      <c r="DJ16" s="3607"/>
      <c r="DK16" s="3607"/>
      <c r="DL16" s="3607"/>
      <c r="DM16" s="3607"/>
      <c r="DN16" s="3607"/>
      <c r="DO16" s="3607"/>
      <c r="DP16" s="3607"/>
      <c r="DQ16" s="3607"/>
      <c r="DR16" s="3607"/>
      <c r="DS16" s="3607"/>
      <c r="DT16" s="3607"/>
      <c r="DU16" s="3607"/>
      <c r="DV16" s="3607"/>
      <c r="DW16" s="3607"/>
      <c r="DX16" s="3607"/>
      <c r="DY16" s="3607"/>
      <c r="DZ16" s="3607"/>
      <c r="EA16" s="3607"/>
      <c r="EB16" s="3607"/>
      <c r="EC16" s="3607"/>
      <c r="ED16" s="3607"/>
      <c r="EE16" s="3607"/>
      <c r="EF16" s="3607"/>
      <c r="EG16" s="3607"/>
      <c r="EH16" s="3607"/>
      <c r="EI16" s="3607"/>
      <c r="EJ16" s="3607"/>
      <c r="EK16" s="3607"/>
      <c r="EL16" s="3607"/>
      <c r="EM16" s="3607"/>
      <c r="EN16" s="3607"/>
      <c r="EO16" s="3607"/>
      <c r="EP16" s="3607"/>
      <c r="EQ16" s="3607"/>
      <c r="ER16" s="3607"/>
      <c r="ES16" s="3607"/>
      <c r="ET16" s="3607"/>
      <c r="EU16" s="3607"/>
      <c r="EV16" s="3607"/>
      <c r="EW16" s="3607"/>
      <c r="EX16" s="3607"/>
      <c r="EY16" s="3607"/>
      <c r="EZ16" s="3607"/>
      <c r="FA16" s="3607"/>
      <c r="FB16" s="3607"/>
      <c r="FC16" s="3607"/>
      <c r="FD16" s="3607"/>
      <c r="FE16" s="3607"/>
      <c r="FF16" s="3607"/>
      <c r="FG16" s="3607"/>
      <c r="FH16" s="3607"/>
      <c r="FI16" s="3607"/>
      <c r="FJ16" s="3607"/>
      <c r="FK16" s="3607"/>
      <c r="FL16" s="3607"/>
      <c r="FM16" s="3607"/>
      <c r="FN16" s="3607"/>
      <c r="FO16" s="3607"/>
      <c r="FP16" s="3607"/>
      <c r="FQ16" s="3607"/>
      <c r="FR16" s="3607"/>
      <c r="FS16" s="3607"/>
      <c r="FT16" s="3607"/>
      <c r="FU16" s="3607"/>
      <c r="FV16" s="3607"/>
      <c r="FW16" s="3607"/>
      <c r="FX16" s="3607"/>
      <c r="FY16" s="3607"/>
      <c r="FZ16" s="3607"/>
      <c r="GA16" s="3607"/>
      <c r="GB16" s="3607"/>
      <c r="GC16" s="3607"/>
      <c r="GD16" s="3607"/>
      <c r="GE16" s="3607"/>
      <c r="GF16" s="3607"/>
      <c r="GG16" s="3607"/>
      <c r="GH16" s="3607"/>
      <c r="GI16" s="3607"/>
      <c r="GJ16" s="3607"/>
      <c r="GK16" s="3607"/>
      <c r="GL16" s="3607"/>
      <c r="GM16" s="3607"/>
      <c r="GN16" s="3607"/>
      <c r="GO16" s="3607"/>
      <c r="GP16" s="3607"/>
      <c r="GQ16" s="3607"/>
      <c r="GR16" s="3607"/>
      <c r="GS16" s="3607"/>
      <c r="GT16" s="3607"/>
      <c r="GU16" s="3607"/>
      <c r="GV16" s="3607"/>
      <c r="GW16" s="3607"/>
      <c r="GX16" s="3607"/>
      <c r="GY16" s="3607"/>
      <c r="GZ16" s="3607"/>
      <c r="HA16" s="3607"/>
      <c r="HB16" s="3607"/>
      <c r="HC16" s="3607"/>
      <c r="HD16" s="3607"/>
      <c r="HE16" s="3607"/>
      <c r="HF16" s="3607"/>
      <c r="HG16" s="3607"/>
      <c r="HH16" s="3607"/>
      <c r="HI16" s="3607"/>
      <c r="HJ16" s="3607"/>
      <c r="HK16" s="3607"/>
      <c r="HL16" s="3607"/>
      <c r="HM16" s="3607"/>
      <c r="HN16" s="3607"/>
      <c r="HO16" s="3607"/>
      <c r="HP16" s="3607"/>
      <c r="HQ16" s="3607"/>
      <c r="HR16" s="3607"/>
      <c r="HS16" s="3607"/>
      <c r="HT16" s="3607"/>
      <c r="HU16" s="3607"/>
      <c r="HV16" s="3607"/>
      <c r="HW16" s="3607"/>
      <c r="HX16" s="3607"/>
      <c r="HY16" s="3607"/>
      <c r="HZ16" s="3607"/>
      <c r="IA16" s="3607"/>
      <c r="IB16" s="3607"/>
      <c r="IC16" s="3607"/>
      <c r="ID16" s="3607"/>
      <c r="IE16" s="3607"/>
      <c r="IF16" s="3607"/>
      <c r="IG16" s="3607"/>
      <c r="IH16" s="3607"/>
      <c r="II16" s="3607"/>
      <c r="IJ16" s="3607"/>
      <c r="IK16" s="3607"/>
      <c r="IL16" s="3607"/>
      <c r="IM16" s="3607"/>
      <c r="IN16" s="3607"/>
      <c r="IO16" s="3607"/>
      <c r="IP16" s="3607"/>
      <c r="IQ16" s="3607"/>
    </row>
    <row r="17" customFormat="false" ht="13.5" hidden="false" customHeight="false" outlineLevel="0" collapsed="false">
      <c r="A17" s="3597" t="s">
        <v>2617</v>
      </c>
      <c r="B17" s="3597"/>
      <c r="C17" s="3597" t="s">
        <v>2618</v>
      </c>
      <c r="D17" s="3597"/>
      <c r="E17" s="3597" t="s">
        <v>1464</v>
      </c>
      <c r="F17" s="3597" t="s">
        <v>2619</v>
      </c>
      <c r="G17" s="3597" t="n">
        <v>43.06</v>
      </c>
      <c r="H17" s="3597" t="n">
        <v>7</v>
      </c>
      <c r="I17" s="3597" t="s">
        <v>2518</v>
      </c>
      <c r="J17" s="3597"/>
      <c r="K17" s="3597" t="s">
        <v>1544</v>
      </c>
      <c r="L17" s="3608" t="n">
        <v>345000</v>
      </c>
      <c r="M17" s="3597" t="n">
        <v>8012</v>
      </c>
      <c r="N17" s="3598" t="n">
        <v>28.8</v>
      </c>
      <c r="O17" s="3599" t="n">
        <v>288000</v>
      </c>
      <c r="P17" s="3597" t="n">
        <v>6689</v>
      </c>
      <c r="Q17" s="3600" t="n">
        <v>0.2</v>
      </c>
      <c r="R17" s="3598" t="n">
        <v>23.04</v>
      </c>
      <c r="S17" s="3599" t="n">
        <v>230400</v>
      </c>
      <c r="T17" s="3609" t="n">
        <v>2006</v>
      </c>
      <c r="U17" s="3609" t="n">
        <v>12</v>
      </c>
      <c r="V17" s="3609" t="n">
        <v>22</v>
      </c>
      <c r="W17" s="3597" t="n">
        <v>860</v>
      </c>
      <c r="X17" s="3597" t="s">
        <v>2557</v>
      </c>
      <c r="Y17" s="3620" t="n">
        <v>91302006121108</v>
      </c>
      <c r="Z17" s="3597" t="s">
        <v>2616</v>
      </c>
      <c r="AA17" s="3597"/>
      <c r="AB17" s="3597" t="s">
        <v>1485</v>
      </c>
      <c r="AC17" s="3597"/>
      <c r="AD17" s="3597" t="s">
        <v>2536</v>
      </c>
      <c r="AE17" s="3604"/>
      <c r="AF17" s="3610" t="s">
        <v>2581</v>
      </c>
      <c r="AG17" s="3609" t="n">
        <v>42</v>
      </c>
      <c r="AH17" s="3609"/>
      <c r="AI17" s="3597" t="s">
        <v>2545</v>
      </c>
      <c r="AJ17" s="3597" t="s">
        <v>2620</v>
      </c>
      <c r="AK17" s="3597" t="s">
        <v>2616</v>
      </c>
      <c r="AL17" s="3609" t="s">
        <v>2524</v>
      </c>
      <c r="AM17" s="3609"/>
      <c r="AN17" s="3609"/>
      <c r="AO17" s="3609"/>
      <c r="AP17" s="3609"/>
      <c r="AQ17" s="3609"/>
      <c r="AR17" s="3609" t="s">
        <v>2562</v>
      </c>
      <c r="AS17" s="3609"/>
      <c r="AT17" s="3611"/>
      <c r="AU17" s="3597" t="s">
        <v>2619</v>
      </c>
      <c r="AV17" s="3609"/>
      <c r="AW17" s="3612"/>
      <c r="AX17" s="3609"/>
      <c r="AY17" s="3612"/>
      <c r="AZ17" s="3609"/>
      <c r="BA17" s="3613"/>
      <c r="BB17" s="3616" t="n">
        <v>39057</v>
      </c>
      <c r="BC17" s="3597"/>
      <c r="BD17" s="3597" t="s">
        <v>2616</v>
      </c>
      <c r="BE17" s="3616" t="n">
        <v>39072</v>
      </c>
      <c r="BF17" s="3614" t="s">
        <v>1250</v>
      </c>
      <c r="BG17" s="3597" t="s">
        <v>2526</v>
      </c>
      <c r="BH17" s="3609" t="s">
        <v>1279</v>
      </c>
      <c r="BI17" s="3609" t="s">
        <v>2539</v>
      </c>
      <c r="BJ17" s="3609" t="s">
        <v>2530</v>
      </c>
      <c r="BK17" s="3597"/>
      <c r="BL17" s="3609"/>
      <c r="BM17" s="3609"/>
      <c r="BN17" s="3606"/>
      <c r="BO17" s="3606"/>
      <c r="BP17" s="3606"/>
      <c r="BQ17" s="3607"/>
      <c r="BR17" s="3607"/>
      <c r="BS17" s="3607"/>
      <c r="BT17" s="3607"/>
      <c r="BU17" s="3607"/>
      <c r="BV17" s="3607"/>
      <c r="BW17" s="3607"/>
      <c r="BX17" s="3607"/>
      <c r="BY17" s="3607"/>
      <c r="BZ17" s="3607"/>
      <c r="CA17" s="3607"/>
      <c r="CB17" s="3607"/>
      <c r="CC17" s="3607"/>
      <c r="CD17" s="3607"/>
      <c r="CE17" s="3607"/>
      <c r="CF17" s="3607"/>
      <c r="CG17" s="3607"/>
      <c r="CH17" s="3607"/>
      <c r="CI17" s="3607"/>
      <c r="CJ17" s="3607"/>
      <c r="CK17" s="3607"/>
      <c r="CL17" s="3607"/>
      <c r="CM17" s="3607"/>
      <c r="CN17" s="3607"/>
      <c r="CO17" s="3607"/>
      <c r="CP17" s="3607"/>
      <c r="CQ17" s="3607"/>
      <c r="CR17" s="3607"/>
      <c r="CS17" s="3607"/>
      <c r="CT17" s="3607"/>
      <c r="CU17" s="3607"/>
      <c r="CV17" s="3607"/>
      <c r="CW17" s="3607"/>
      <c r="CX17" s="3607"/>
      <c r="CY17" s="3607"/>
      <c r="CZ17" s="3607"/>
      <c r="DA17" s="3607"/>
      <c r="DB17" s="3607"/>
      <c r="DC17" s="3607"/>
      <c r="DD17" s="3607"/>
      <c r="DE17" s="3607"/>
      <c r="DF17" s="3607"/>
      <c r="DG17" s="3607"/>
      <c r="DH17" s="3607"/>
      <c r="DI17" s="3607"/>
      <c r="DJ17" s="3607"/>
      <c r="DK17" s="3607"/>
      <c r="DL17" s="3607"/>
      <c r="DM17" s="3607"/>
      <c r="DN17" s="3607"/>
      <c r="DO17" s="3607"/>
      <c r="DP17" s="3607"/>
      <c r="DQ17" s="3607"/>
      <c r="DR17" s="3607"/>
      <c r="DS17" s="3607"/>
      <c r="DT17" s="3607"/>
      <c r="DU17" s="3607"/>
      <c r="DV17" s="3607"/>
      <c r="DW17" s="3607"/>
      <c r="DX17" s="3607"/>
      <c r="DY17" s="3607"/>
      <c r="DZ17" s="3607"/>
      <c r="EA17" s="3607"/>
      <c r="EB17" s="3607"/>
      <c r="EC17" s="3607"/>
      <c r="ED17" s="3607"/>
      <c r="EE17" s="3607"/>
      <c r="EF17" s="3607"/>
      <c r="EG17" s="3607"/>
      <c r="EH17" s="3607"/>
      <c r="EI17" s="3607"/>
      <c r="EJ17" s="3607"/>
      <c r="EK17" s="3607"/>
      <c r="EL17" s="3607"/>
      <c r="EM17" s="3607"/>
      <c r="EN17" s="3607"/>
      <c r="EO17" s="3607"/>
      <c r="EP17" s="3607"/>
      <c r="EQ17" s="3607"/>
      <c r="ER17" s="3607"/>
      <c r="ES17" s="3607"/>
      <c r="ET17" s="3607"/>
      <c r="EU17" s="3607"/>
      <c r="EV17" s="3607"/>
      <c r="EW17" s="3607"/>
      <c r="EX17" s="3607"/>
      <c r="EY17" s="3607"/>
      <c r="EZ17" s="3607"/>
      <c r="FA17" s="3607"/>
      <c r="FB17" s="3607"/>
      <c r="FC17" s="3607"/>
      <c r="FD17" s="3607"/>
      <c r="FE17" s="3607"/>
      <c r="FF17" s="3607"/>
      <c r="FG17" s="3607"/>
      <c r="FH17" s="3607"/>
      <c r="FI17" s="3607"/>
      <c r="FJ17" s="3607"/>
      <c r="FK17" s="3607"/>
      <c r="FL17" s="3607"/>
      <c r="FM17" s="3607"/>
      <c r="FN17" s="3607"/>
      <c r="FO17" s="3607"/>
      <c r="FP17" s="3607"/>
      <c r="FQ17" s="3607"/>
      <c r="FR17" s="3607"/>
      <c r="FS17" s="3607"/>
      <c r="FT17" s="3607"/>
      <c r="FU17" s="3607"/>
      <c r="FV17" s="3607"/>
      <c r="FW17" s="3607"/>
      <c r="FX17" s="3607"/>
      <c r="FY17" s="3607"/>
      <c r="FZ17" s="3607"/>
      <c r="GA17" s="3607"/>
      <c r="GB17" s="3607"/>
      <c r="GC17" s="3607"/>
      <c r="GD17" s="3607"/>
      <c r="GE17" s="3607"/>
      <c r="GF17" s="3607"/>
      <c r="GG17" s="3607"/>
      <c r="GH17" s="3607"/>
      <c r="GI17" s="3607"/>
      <c r="GJ17" s="3607"/>
      <c r="GK17" s="3607"/>
      <c r="GL17" s="3607"/>
      <c r="GM17" s="3607"/>
      <c r="GN17" s="3607"/>
      <c r="GO17" s="3607"/>
      <c r="GP17" s="3607"/>
      <c r="GQ17" s="3607"/>
      <c r="GR17" s="3607"/>
      <c r="GS17" s="3607"/>
      <c r="GT17" s="3607"/>
      <c r="GU17" s="3607"/>
      <c r="GV17" s="3607"/>
      <c r="GW17" s="3607"/>
      <c r="GX17" s="3607"/>
      <c r="GY17" s="3607"/>
      <c r="GZ17" s="3607"/>
      <c r="HA17" s="3607"/>
      <c r="HB17" s="3607"/>
      <c r="HC17" s="3607"/>
      <c r="HD17" s="3607"/>
      <c r="HE17" s="3607"/>
      <c r="HF17" s="3607"/>
      <c r="HG17" s="3607"/>
      <c r="HH17" s="3607"/>
      <c r="HI17" s="3607"/>
      <c r="HJ17" s="3607"/>
      <c r="HK17" s="3607"/>
      <c r="HL17" s="3607"/>
      <c r="HM17" s="3607"/>
      <c r="HN17" s="3607"/>
      <c r="HO17" s="3607"/>
      <c r="HP17" s="3607"/>
      <c r="HQ17" s="3607"/>
      <c r="HR17" s="3607"/>
      <c r="HS17" s="3607"/>
      <c r="HT17" s="3607"/>
      <c r="HU17" s="3607"/>
      <c r="HV17" s="3607"/>
      <c r="HW17" s="3607"/>
      <c r="HX17" s="3607"/>
      <c r="HY17" s="3607"/>
      <c r="HZ17" s="3607"/>
      <c r="IA17" s="3607"/>
      <c r="IB17" s="3607"/>
      <c r="IC17" s="3607"/>
      <c r="ID17" s="3607"/>
      <c r="IE17" s="3607"/>
      <c r="IF17" s="3607"/>
      <c r="IG17" s="3607"/>
      <c r="IH17" s="3607"/>
      <c r="II17" s="3607"/>
      <c r="IJ17" s="3607"/>
      <c r="IK17" s="3607"/>
      <c r="IL17" s="3607"/>
      <c r="IM17" s="3607"/>
      <c r="IN17" s="3607"/>
      <c r="IO17" s="3607"/>
      <c r="IP17" s="3607"/>
      <c r="IQ17" s="3607"/>
    </row>
    <row r="18" customFormat="false" ht="13.5" hidden="false" customHeight="false" outlineLevel="0" collapsed="false">
      <c r="A18" s="3597" t="s">
        <v>2589</v>
      </c>
      <c r="B18" s="3597"/>
      <c r="C18" s="3597" t="s">
        <v>2608</v>
      </c>
      <c r="D18" s="3597" t="s">
        <v>2621</v>
      </c>
      <c r="E18" s="3597" t="s">
        <v>2569</v>
      </c>
      <c r="F18" s="3597" t="s">
        <v>2593</v>
      </c>
      <c r="G18" s="3597" t="n">
        <v>108.39</v>
      </c>
      <c r="H18" s="3597" t="n">
        <v>10</v>
      </c>
      <c r="I18" s="3597" t="s">
        <v>2622</v>
      </c>
      <c r="J18" s="3597" t="n">
        <v>81.58</v>
      </c>
      <c r="K18" s="3597" t="s">
        <v>1544</v>
      </c>
      <c r="L18" s="3597" t="n">
        <v>753310</v>
      </c>
      <c r="M18" s="3597" t="n">
        <v>6950</v>
      </c>
      <c r="N18" s="3598" t="n">
        <v>74.37</v>
      </c>
      <c r="O18" s="3599" t="n">
        <v>743700</v>
      </c>
      <c r="P18" s="3597" t="n">
        <v>6862</v>
      </c>
      <c r="Q18" s="3600" t="n">
        <v>0.1</v>
      </c>
      <c r="R18" s="3598" t="n">
        <v>66.93</v>
      </c>
      <c r="S18" s="3599" t="n">
        <v>669300</v>
      </c>
      <c r="T18" s="3597" t="n">
        <v>2006</v>
      </c>
      <c r="U18" s="3597" t="n">
        <v>1</v>
      </c>
      <c r="V18" s="3597" t="n">
        <v>6</v>
      </c>
      <c r="W18" s="3597" t="n">
        <v>1500</v>
      </c>
      <c r="X18" s="3597" t="s">
        <v>2594</v>
      </c>
      <c r="Y18" s="3597"/>
      <c r="Z18" s="3597" t="s">
        <v>188</v>
      </c>
      <c r="AA18" s="3597" t="s">
        <v>2595</v>
      </c>
      <c r="AB18" s="3597" t="s">
        <v>1485</v>
      </c>
      <c r="AC18" s="3597"/>
      <c r="AD18" s="3597" t="s">
        <v>2536</v>
      </c>
      <c r="AE18" s="3605" t="n">
        <v>39355</v>
      </c>
      <c r="AF18" s="3597" t="s">
        <v>2521</v>
      </c>
      <c r="AG18" s="3597" t="n">
        <v>67641700</v>
      </c>
      <c r="AH18" s="3597"/>
      <c r="AI18" s="3597" t="s">
        <v>2521</v>
      </c>
      <c r="AJ18" s="3597"/>
      <c r="AK18" s="3597" t="s">
        <v>2523</v>
      </c>
      <c r="AL18" s="3597" t="s">
        <v>2538</v>
      </c>
      <c r="AM18" s="3597"/>
      <c r="AN18" s="3597"/>
      <c r="AO18" s="3597"/>
      <c r="AP18" s="3597"/>
      <c r="AQ18" s="3597"/>
      <c r="AR18" s="3597" t="s">
        <v>2562</v>
      </c>
      <c r="AS18" s="3597" t="s">
        <v>2596</v>
      </c>
      <c r="AT18" s="3601" t="s">
        <v>2623</v>
      </c>
      <c r="AU18" s="3597" t="s">
        <v>2593</v>
      </c>
      <c r="AV18" s="3597" t="s">
        <v>2624</v>
      </c>
      <c r="AW18" s="3601" t="n">
        <v>1102261335892</v>
      </c>
      <c r="AX18" s="3597" t="s">
        <v>2625</v>
      </c>
      <c r="AY18" s="3602" t="n">
        <v>100075</v>
      </c>
      <c r="AZ18" s="3597" t="n">
        <v>87812008</v>
      </c>
      <c r="BA18" s="3603" t="n">
        <v>2.8</v>
      </c>
      <c r="BB18" s="3604" t="n">
        <v>38712</v>
      </c>
      <c r="BC18" s="3597"/>
      <c r="BD18" s="3597" t="s">
        <v>2598</v>
      </c>
      <c r="BE18" s="3605" t="n">
        <v>38722</v>
      </c>
      <c r="BF18" s="3605"/>
      <c r="BG18" s="3597" t="s">
        <v>2599</v>
      </c>
      <c r="BH18" s="3597"/>
      <c r="BI18" s="3597"/>
      <c r="BJ18" s="3597"/>
      <c r="BK18" s="3597"/>
      <c r="BL18" s="3609" t="e">
        <f aca="false">#DIV/0!</f>
        <v>#DIV/0!</v>
      </c>
      <c r="BM18" s="3609" t="e">
        <f aca="false">#DIV/0!</f>
        <v>#DIV/0!</v>
      </c>
      <c r="BN18" s="3606"/>
      <c r="BO18" s="3606"/>
      <c r="BP18" s="3606"/>
      <c r="BQ18" s="3607"/>
      <c r="BR18" s="3607"/>
      <c r="BS18" s="3607"/>
      <c r="BT18" s="3607"/>
      <c r="BU18" s="3607"/>
      <c r="BV18" s="3607"/>
      <c r="BW18" s="3607"/>
      <c r="BX18" s="3607"/>
      <c r="BY18" s="3607"/>
      <c r="BZ18" s="3607"/>
      <c r="CA18" s="3607"/>
      <c r="CB18" s="3607"/>
      <c r="CC18" s="3607"/>
      <c r="CD18" s="3607"/>
      <c r="CE18" s="3607"/>
      <c r="CF18" s="3607"/>
      <c r="CG18" s="3607"/>
      <c r="CH18" s="3607"/>
      <c r="CI18" s="3607"/>
      <c r="CJ18" s="3607"/>
      <c r="CK18" s="3607"/>
      <c r="CL18" s="3607"/>
      <c r="CM18" s="3607"/>
      <c r="CN18" s="3607"/>
      <c r="CO18" s="3607"/>
      <c r="CP18" s="3607"/>
      <c r="CQ18" s="3607"/>
      <c r="CR18" s="3607"/>
      <c r="CS18" s="3607"/>
      <c r="CT18" s="3607"/>
      <c r="CU18" s="3607"/>
      <c r="CV18" s="3607"/>
      <c r="CW18" s="3607"/>
      <c r="CX18" s="3607"/>
      <c r="CY18" s="3607"/>
      <c r="CZ18" s="3607"/>
      <c r="DA18" s="3607"/>
      <c r="DB18" s="3607"/>
      <c r="DC18" s="3607"/>
      <c r="DD18" s="3607"/>
      <c r="DE18" s="3607"/>
      <c r="DF18" s="3607"/>
      <c r="DG18" s="3607"/>
      <c r="DH18" s="3607"/>
      <c r="DI18" s="3607"/>
      <c r="DJ18" s="3607"/>
      <c r="DK18" s="3607"/>
      <c r="DL18" s="3607"/>
      <c r="DM18" s="3607"/>
      <c r="DN18" s="3607"/>
      <c r="DO18" s="3607"/>
      <c r="DP18" s="3607"/>
      <c r="DQ18" s="3607"/>
      <c r="DR18" s="3607"/>
      <c r="DS18" s="3607"/>
      <c r="DT18" s="3607"/>
      <c r="DU18" s="3607"/>
      <c r="DV18" s="3607"/>
      <c r="DW18" s="3607"/>
      <c r="DX18" s="3607"/>
      <c r="DY18" s="3607"/>
      <c r="DZ18" s="3607"/>
      <c r="EA18" s="3607"/>
      <c r="EB18" s="3607"/>
      <c r="EC18" s="3607"/>
      <c r="ED18" s="3607"/>
      <c r="EE18" s="3607"/>
      <c r="EF18" s="3607"/>
      <c r="EG18" s="3607"/>
      <c r="EH18" s="3607"/>
      <c r="EI18" s="3607"/>
      <c r="EJ18" s="3607"/>
      <c r="EK18" s="3607"/>
      <c r="EL18" s="3607"/>
      <c r="EM18" s="3607"/>
      <c r="EN18" s="3607"/>
      <c r="EO18" s="3607"/>
      <c r="EP18" s="3607"/>
      <c r="EQ18" s="3607"/>
      <c r="ER18" s="3607"/>
      <c r="ES18" s="3607"/>
      <c r="ET18" s="3607"/>
      <c r="EU18" s="3607"/>
      <c r="EV18" s="3607"/>
      <c r="EW18" s="3607"/>
      <c r="EX18" s="3607"/>
      <c r="EY18" s="3607"/>
      <c r="EZ18" s="3607"/>
      <c r="FA18" s="3607"/>
      <c r="FB18" s="3607"/>
      <c r="FC18" s="3607"/>
      <c r="FD18" s="3607"/>
      <c r="FE18" s="3607"/>
      <c r="FF18" s="3607"/>
      <c r="FG18" s="3607"/>
      <c r="FH18" s="3607"/>
      <c r="FI18" s="3607"/>
      <c r="FJ18" s="3607"/>
      <c r="FK18" s="3607"/>
      <c r="FL18" s="3607"/>
      <c r="FM18" s="3607"/>
      <c r="FN18" s="3607"/>
      <c r="FO18" s="3607"/>
      <c r="FP18" s="3607"/>
      <c r="FQ18" s="3607"/>
      <c r="FR18" s="3607"/>
      <c r="FS18" s="3607"/>
      <c r="FT18" s="3607"/>
      <c r="FU18" s="3607"/>
      <c r="FV18" s="3607"/>
      <c r="FW18" s="3607"/>
      <c r="FX18" s="3607"/>
      <c r="FY18" s="3607"/>
      <c r="FZ18" s="3607"/>
      <c r="GA18" s="3607"/>
      <c r="GB18" s="3607"/>
      <c r="GC18" s="3607"/>
      <c r="GD18" s="3607"/>
      <c r="GE18" s="3607"/>
      <c r="GF18" s="3607"/>
      <c r="GG18" s="3607"/>
      <c r="GH18" s="3607"/>
      <c r="GI18" s="3607"/>
      <c r="GJ18" s="3607"/>
      <c r="GK18" s="3607"/>
      <c r="GL18" s="3607"/>
      <c r="GM18" s="3607"/>
      <c r="GN18" s="3607"/>
      <c r="GO18" s="3607"/>
      <c r="GP18" s="3607"/>
      <c r="GQ18" s="3607"/>
      <c r="GR18" s="3607"/>
      <c r="GS18" s="3607"/>
      <c r="GT18" s="3607"/>
      <c r="GU18" s="3607"/>
      <c r="GV18" s="3607"/>
      <c r="GW18" s="3607"/>
      <c r="GX18" s="3607"/>
      <c r="GY18" s="3607"/>
      <c r="GZ18" s="3607"/>
      <c r="HA18" s="3607"/>
      <c r="HB18" s="3607"/>
      <c r="HC18" s="3607"/>
      <c r="HD18" s="3607"/>
      <c r="HE18" s="3607"/>
      <c r="HF18" s="3607"/>
      <c r="HG18" s="3607"/>
      <c r="HH18" s="3607"/>
      <c r="HI18" s="3607"/>
      <c r="HJ18" s="3607"/>
      <c r="HK18" s="3607"/>
      <c r="HL18" s="3607"/>
      <c r="HM18" s="3607"/>
      <c r="HN18" s="3607"/>
      <c r="HO18" s="3607"/>
      <c r="HP18" s="3607"/>
      <c r="HQ18" s="3607"/>
      <c r="HR18" s="3607"/>
      <c r="HS18" s="3607"/>
      <c r="HT18" s="3607"/>
      <c r="HU18" s="3607"/>
      <c r="HV18" s="3607"/>
      <c r="HW18" s="3607"/>
      <c r="HX18" s="3607"/>
      <c r="HY18" s="3607"/>
      <c r="HZ18" s="3607"/>
      <c r="IA18" s="3607"/>
      <c r="IB18" s="3607"/>
      <c r="IC18" s="3607"/>
      <c r="ID18" s="3607"/>
      <c r="IE18" s="3607"/>
      <c r="IF18" s="3607"/>
      <c r="IG18" s="3607"/>
      <c r="IH18" s="3607"/>
      <c r="II18" s="3607"/>
      <c r="IJ18" s="3607"/>
      <c r="IK18" s="3607"/>
      <c r="IL18" s="3607"/>
      <c r="IM18" s="3607"/>
      <c r="IN18" s="3607"/>
      <c r="IO18" s="3607"/>
      <c r="IP18" s="3607"/>
      <c r="IQ18" s="3607"/>
    </row>
    <row r="19" customFormat="false" ht="13.5" hidden="false" customHeight="false" outlineLevel="0" collapsed="false">
      <c r="A19" s="3597" t="s">
        <v>2548</v>
      </c>
      <c r="B19" s="3597"/>
      <c r="C19" s="3597" t="s">
        <v>1463</v>
      </c>
      <c r="D19" s="3597"/>
      <c r="E19" s="3597" t="s">
        <v>2626</v>
      </c>
      <c r="F19" s="3597" t="s">
        <v>2627</v>
      </c>
      <c r="G19" s="3597" t="n">
        <v>65.5</v>
      </c>
      <c r="H19" s="3597" t="n">
        <v>6</v>
      </c>
      <c r="I19" s="3597" t="s">
        <v>1543</v>
      </c>
      <c r="J19" s="3597"/>
      <c r="K19" s="3597" t="s">
        <v>1544</v>
      </c>
      <c r="L19" s="3597" t="n">
        <v>500000</v>
      </c>
      <c r="M19" s="3597" t="n">
        <v>7634</v>
      </c>
      <c r="N19" s="3598" t="n">
        <v>45.22</v>
      </c>
      <c r="O19" s="3599" t="n">
        <v>452200</v>
      </c>
      <c r="P19" s="3597" t="n">
        <v>6904</v>
      </c>
      <c r="Q19" s="3600" t="n">
        <v>0.2</v>
      </c>
      <c r="R19" s="3598" t="n">
        <v>36.17</v>
      </c>
      <c r="S19" s="3599" t="n">
        <v>361700</v>
      </c>
      <c r="T19" s="3609" t="n">
        <v>2006</v>
      </c>
      <c r="U19" s="3597" t="n">
        <v>12</v>
      </c>
      <c r="V19" s="3597" t="n">
        <v>8</v>
      </c>
      <c r="W19" s="3597" t="n">
        <v>1355</v>
      </c>
      <c r="X19" s="3597" t="s">
        <v>2557</v>
      </c>
      <c r="Y19" s="3602" t="n">
        <v>91302006120271</v>
      </c>
      <c r="Z19" s="3597" t="s">
        <v>188</v>
      </c>
      <c r="AA19" s="3597" t="s">
        <v>1484</v>
      </c>
      <c r="AB19" s="3597" t="s">
        <v>1485</v>
      </c>
      <c r="AC19" s="3597" t="s">
        <v>1250</v>
      </c>
      <c r="AD19" s="3597" t="s">
        <v>2536</v>
      </c>
      <c r="AE19" s="3597"/>
      <c r="AF19" s="3610" t="s">
        <v>2581</v>
      </c>
      <c r="AG19" s="3597" t="n">
        <v>24</v>
      </c>
      <c r="AH19" s="3597"/>
      <c r="AI19" s="3597" t="s">
        <v>2521</v>
      </c>
      <c r="AJ19" s="3597"/>
      <c r="AK19" s="3609" t="s">
        <v>2628</v>
      </c>
      <c r="AL19" s="3609" t="s">
        <v>2524</v>
      </c>
      <c r="AM19" s="3597"/>
      <c r="AN19" s="3597"/>
      <c r="AO19" s="3597"/>
      <c r="AP19" s="3597"/>
      <c r="AQ19" s="3597" t="s">
        <v>1250</v>
      </c>
      <c r="AR19" s="3597" t="s">
        <v>2551</v>
      </c>
      <c r="AS19" s="3597"/>
      <c r="AT19" s="3601"/>
      <c r="AU19" s="3597" t="s">
        <v>2629</v>
      </c>
      <c r="AV19" s="3597"/>
      <c r="AW19" s="3601"/>
      <c r="AX19" s="3597"/>
      <c r="AY19" s="3602"/>
      <c r="AZ19" s="3597"/>
      <c r="BA19" s="3603"/>
      <c r="BB19" s="3604" t="n">
        <v>39033</v>
      </c>
      <c r="BC19" s="3597"/>
      <c r="BD19" s="3597" t="s">
        <v>2628</v>
      </c>
      <c r="BE19" s="3616" t="n">
        <v>39058</v>
      </c>
      <c r="BF19" s="3605" t="s">
        <v>1250</v>
      </c>
      <c r="BG19" s="3597" t="s">
        <v>2526</v>
      </c>
      <c r="BH19" s="3597" t="s">
        <v>1279</v>
      </c>
      <c r="BI19" s="3609" t="s">
        <v>2539</v>
      </c>
      <c r="BJ19" s="3597" t="s">
        <v>2553</v>
      </c>
      <c r="BK19" s="3609"/>
      <c r="BL19" s="3609" t="e">
        <f aca="false">#DIV/0!</f>
        <v>#DIV/0!</v>
      </c>
      <c r="BM19" s="3609" t="e">
        <f aca="false">#DIV/0!</f>
        <v>#DIV/0!</v>
      </c>
      <c r="BN19" s="3606"/>
      <c r="BO19" s="3606"/>
      <c r="BP19" s="3606"/>
      <c r="BQ19" s="3618"/>
      <c r="BR19" s="3618"/>
      <c r="BS19" s="3618"/>
      <c r="BT19" s="3618"/>
      <c r="BU19" s="3618"/>
      <c r="BV19" s="3618"/>
      <c r="BW19" s="3618"/>
      <c r="BX19" s="3618"/>
      <c r="BY19" s="3618"/>
      <c r="BZ19" s="3618"/>
      <c r="CA19" s="3618"/>
      <c r="CB19" s="3618"/>
      <c r="CC19" s="3618"/>
      <c r="CD19" s="3618"/>
      <c r="CE19" s="3618"/>
      <c r="CF19" s="3618"/>
      <c r="CG19" s="3618"/>
      <c r="CH19" s="3618"/>
      <c r="CI19" s="3618"/>
      <c r="CJ19" s="3618"/>
      <c r="CK19" s="3618"/>
      <c r="CL19" s="3618"/>
      <c r="CM19" s="3618"/>
      <c r="CN19" s="3618"/>
      <c r="CO19" s="3618"/>
      <c r="CP19" s="3618"/>
      <c r="CQ19" s="3618"/>
      <c r="CR19" s="3618"/>
      <c r="CS19" s="3618"/>
      <c r="CT19" s="3618"/>
      <c r="CU19" s="3618"/>
      <c r="CV19" s="3618"/>
      <c r="CW19" s="3618"/>
      <c r="CX19" s="3618"/>
      <c r="CY19" s="3618"/>
      <c r="CZ19" s="3618"/>
      <c r="DA19" s="3618"/>
      <c r="DB19" s="3618"/>
      <c r="DC19" s="3618"/>
      <c r="DD19" s="3618"/>
      <c r="DE19" s="3618"/>
      <c r="DF19" s="3618"/>
      <c r="DG19" s="3618"/>
      <c r="DH19" s="3618"/>
      <c r="DI19" s="3618"/>
      <c r="DJ19" s="3618"/>
      <c r="DK19" s="3618"/>
      <c r="DL19" s="3618"/>
      <c r="DM19" s="3618"/>
      <c r="DN19" s="3618"/>
      <c r="DO19" s="3618"/>
      <c r="DP19" s="3618"/>
      <c r="DQ19" s="3618"/>
      <c r="DR19" s="3618"/>
      <c r="DS19" s="3618"/>
      <c r="DT19" s="3618"/>
      <c r="DU19" s="3618"/>
      <c r="DV19" s="3618"/>
      <c r="DW19" s="3618"/>
      <c r="DX19" s="3618"/>
      <c r="DY19" s="3618"/>
      <c r="DZ19" s="3618"/>
      <c r="EA19" s="3618"/>
      <c r="EB19" s="3618"/>
      <c r="EC19" s="3618"/>
      <c r="ED19" s="3618"/>
      <c r="EE19" s="3618"/>
      <c r="EF19" s="3618"/>
      <c r="EG19" s="3618"/>
      <c r="EH19" s="3618"/>
      <c r="EI19" s="3618"/>
      <c r="EJ19" s="3618"/>
      <c r="EK19" s="3618"/>
      <c r="EL19" s="3618"/>
      <c r="EM19" s="3618"/>
      <c r="EN19" s="3618"/>
      <c r="EO19" s="3618"/>
      <c r="EP19" s="3618"/>
      <c r="EQ19" s="3618"/>
      <c r="ER19" s="3618"/>
      <c r="ES19" s="3618"/>
      <c r="ET19" s="3618"/>
      <c r="EU19" s="3618"/>
      <c r="EV19" s="3618"/>
      <c r="EW19" s="3618"/>
      <c r="EX19" s="3618"/>
      <c r="EY19" s="3618"/>
      <c r="EZ19" s="3618"/>
      <c r="FA19" s="3618"/>
      <c r="FB19" s="3618"/>
      <c r="FC19" s="3618"/>
      <c r="FD19" s="3618"/>
      <c r="FE19" s="3618"/>
      <c r="FF19" s="3618"/>
      <c r="FG19" s="3618"/>
      <c r="FH19" s="3618"/>
      <c r="FI19" s="3618"/>
      <c r="FJ19" s="3618"/>
      <c r="FK19" s="3618"/>
      <c r="FL19" s="3618"/>
      <c r="FM19" s="3618"/>
      <c r="FN19" s="3618"/>
      <c r="FO19" s="3618"/>
      <c r="FP19" s="3618"/>
      <c r="FQ19" s="3618"/>
      <c r="FR19" s="3618"/>
      <c r="FS19" s="3618"/>
      <c r="FT19" s="3618"/>
      <c r="FU19" s="3618"/>
      <c r="FV19" s="3618"/>
      <c r="FW19" s="3618"/>
      <c r="FX19" s="3618"/>
      <c r="FY19" s="3618"/>
      <c r="FZ19" s="3618"/>
      <c r="GA19" s="3618"/>
      <c r="GB19" s="3618"/>
      <c r="GC19" s="3618"/>
      <c r="GD19" s="3618"/>
      <c r="GE19" s="3618"/>
      <c r="GF19" s="3618"/>
      <c r="GG19" s="3618"/>
      <c r="GH19" s="3618"/>
      <c r="GI19" s="3618"/>
      <c r="GJ19" s="3618"/>
      <c r="GK19" s="3618"/>
      <c r="GL19" s="3618"/>
      <c r="GM19" s="3618"/>
      <c r="GN19" s="3618"/>
      <c r="GO19" s="3618"/>
      <c r="GP19" s="3618"/>
      <c r="GQ19" s="3618"/>
      <c r="GR19" s="3618"/>
      <c r="GS19" s="3618"/>
      <c r="GT19" s="3618"/>
      <c r="GU19" s="3618"/>
      <c r="GV19" s="3618"/>
      <c r="GW19" s="3618"/>
      <c r="GX19" s="3618"/>
      <c r="GY19" s="3618"/>
      <c r="GZ19" s="3618"/>
      <c r="HA19" s="3618"/>
      <c r="HB19" s="3618"/>
      <c r="HC19" s="3618"/>
      <c r="HD19" s="3618"/>
      <c r="HE19" s="3618"/>
      <c r="HF19" s="3618"/>
      <c r="HG19" s="3618"/>
      <c r="HH19" s="3618"/>
      <c r="HI19" s="3618"/>
      <c r="HJ19" s="3618"/>
      <c r="HK19" s="3618"/>
      <c r="HL19" s="3618"/>
      <c r="HM19" s="3618"/>
      <c r="HN19" s="3618"/>
      <c r="HO19" s="3618"/>
      <c r="HP19" s="3618"/>
      <c r="HQ19" s="3618"/>
      <c r="HR19" s="3618"/>
      <c r="HS19" s="3618"/>
      <c r="HT19" s="3618"/>
      <c r="HU19" s="3618"/>
      <c r="HV19" s="3618"/>
      <c r="HW19" s="3618"/>
      <c r="HX19" s="3618"/>
      <c r="HY19" s="3618"/>
      <c r="HZ19" s="3618"/>
      <c r="IA19" s="3618"/>
      <c r="IB19" s="3618"/>
      <c r="IC19" s="3618"/>
      <c r="ID19" s="3618"/>
      <c r="IE19" s="3618"/>
      <c r="IF19" s="3618"/>
      <c r="IG19" s="3618"/>
      <c r="IH19" s="3618"/>
      <c r="II19" s="3618"/>
      <c r="IJ19" s="3618"/>
      <c r="IK19" s="3618"/>
      <c r="IL19" s="3618"/>
      <c r="IM19" s="3618"/>
      <c r="IN19" s="3618"/>
      <c r="IO19" s="3618"/>
      <c r="IP19" s="3618"/>
      <c r="IQ19" s="3618"/>
    </row>
    <row r="20" customFormat="false" ht="13.5" hidden="false" customHeight="false" outlineLevel="0" collapsed="false">
      <c r="A20" s="3597" t="s">
        <v>2558</v>
      </c>
      <c r="B20" s="3597"/>
      <c r="C20" s="3597" t="s">
        <v>1536</v>
      </c>
      <c r="D20" s="3597"/>
      <c r="E20" s="3597" t="s">
        <v>2630</v>
      </c>
      <c r="F20" s="3597" t="s">
        <v>2631</v>
      </c>
      <c r="G20" s="3597" t="n">
        <v>54.1</v>
      </c>
      <c r="H20" s="3597" t="n">
        <v>4</v>
      </c>
      <c r="I20" s="3597" t="s">
        <v>1543</v>
      </c>
      <c r="J20" s="3597"/>
      <c r="K20" s="3597" t="s">
        <v>1544</v>
      </c>
      <c r="L20" s="3608" t="n">
        <v>440000</v>
      </c>
      <c r="M20" s="3597" t="n">
        <v>8133</v>
      </c>
      <c r="N20" s="3598" t="n">
        <v>37.43</v>
      </c>
      <c r="O20" s="3599" t="n">
        <v>374300</v>
      </c>
      <c r="P20" s="3597" t="n">
        <v>6919</v>
      </c>
      <c r="Q20" s="3600" t="n">
        <v>0.2</v>
      </c>
      <c r="R20" s="3598" t="n">
        <v>29.94</v>
      </c>
      <c r="S20" s="3599" t="n">
        <v>299400</v>
      </c>
      <c r="T20" s="3609" t="n">
        <v>2006</v>
      </c>
      <c r="U20" s="3609" t="n">
        <v>12</v>
      </c>
      <c r="V20" s="3609" t="n">
        <v>11</v>
      </c>
      <c r="W20" s="3597" t="n">
        <v>1120</v>
      </c>
      <c r="X20" s="3597" t="s">
        <v>2557</v>
      </c>
      <c r="Y20" s="3620" t="n">
        <v>91302006120205</v>
      </c>
      <c r="Z20" s="3597" t="s">
        <v>2616</v>
      </c>
      <c r="AA20" s="3597"/>
      <c r="AB20" s="3597" t="s">
        <v>1485</v>
      </c>
      <c r="AC20" s="3597"/>
      <c r="AD20" s="3597" t="s">
        <v>2536</v>
      </c>
      <c r="AE20" s="3604"/>
      <c r="AF20" s="3610" t="s">
        <v>2581</v>
      </c>
      <c r="AG20" s="3609" t="n">
        <v>29</v>
      </c>
      <c r="AH20" s="3609"/>
      <c r="AI20" s="3597" t="s">
        <v>2522</v>
      </c>
      <c r="AJ20" s="3597"/>
      <c r="AK20" s="3597" t="s">
        <v>2616</v>
      </c>
      <c r="AL20" s="3609" t="s">
        <v>2524</v>
      </c>
      <c r="AM20" s="3609"/>
      <c r="AN20" s="3609"/>
      <c r="AO20" s="3609"/>
      <c r="AP20" s="3609"/>
      <c r="AQ20" s="3609"/>
      <c r="AR20" s="3609" t="s">
        <v>2562</v>
      </c>
      <c r="AS20" s="3609"/>
      <c r="AT20" s="3611"/>
      <c r="AU20" s="3597" t="s">
        <v>2631</v>
      </c>
      <c r="AV20" s="3609"/>
      <c r="AW20" s="3612"/>
      <c r="AX20" s="3609"/>
      <c r="AY20" s="3612"/>
      <c r="AZ20" s="3609"/>
      <c r="BA20" s="3613"/>
      <c r="BB20" s="3616" t="n">
        <v>39049</v>
      </c>
      <c r="BC20" s="3597"/>
      <c r="BD20" s="3597" t="s">
        <v>2616</v>
      </c>
      <c r="BE20" s="3616" t="n">
        <v>39057</v>
      </c>
      <c r="BF20" s="3614" t="s">
        <v>1250</v>
      </c>
      <c r="BG20" s="3597" t="s">
        <v>2526</v>
      </c>
      <c r="BH20" s="3609" t="s">
        <v>1279</v>
      </c>
      <c r="BI20" s="3609" t="s">
        <v>2539</v>
      </c>
      <c r="BJ20" s="3609" t="s">
        <v>2530</v>
      </c>
      <c r="BK20" s="3597"/>
      <c r="BL20" s="3609" t="e">
        <f aca="false">#DIV/0!</f>
        <v>#DIV/0!</v>
      </c>
      <c r="BM20" s="3609" t="e">
        <f aca="false">#DIV/0!</f>
        <v>#DIV/0!</v>
      </c>
      <c r="BN20" s="3606"/>
      <c r="BO20" s="3606"/>
      <c r="BP20" s="3606"/>
      <c r="BQ20" s="3607"/>
      <c r="BR20" s="3607"/>
      <c r="BS20" s="3607"/>
      <c r="BT20" s="3607"/>
      <c r="BU20" s="3607"/>
      <c r="BV20" s="3607"/>
      <c r="BW20" s="3607"/>
      <c r="BX20" s="3607"/>
      <c r="BY20" s="3607"/>
      <c r="BZ20" s="3607"/>
      <c r="CA20" s="3607"/>
      <c r="CB20" s="3607"/>
      <c r="CC20" s="3607"/>
      <c r="CD20" s="3607"/>
      <c r="CE20" s="3607"/>
      <c r="CF20" s="3607"/>
      <c r="CG20" s="3607"/>
      <c r="CH20" s="3607"/>
      <c r="CI20" s="3607"/>
      <c r="CJ20" s="3607"/>
      <c r="CK20" s="3607"/>
      <c r="CL20" s="3607"/>
      <c r="CM20" s="3607"/>
      <c r="CN20" s="3607"/>
      <c r="CO20" s="3607"/>
      <c r="CP20" s="3607"/>
      <c r="CQ20" s="3607"/>
      <c r="CR20" s="3607"/>
      <c r="CS20" s="3607"/>
      <c r="CT20" s="3607"/>
      <c r="CU20" s="3607"/>
      <c r="CV20" s="3607"/>
      <c r="CW20" s="3607"/>
      <c r="CX20" s="3607"/>
      <c r="CY20" s="3607"/>
      <c r="CZ20" s="3607"/>
      <c r="DA20" s="3607"/>
      <c r="DB20" s="3607"/>
      <c r="DC20" s="3607"/>
      <c r="DD20" s="3607"/>
      <c r="DE20" s="3607"/>
      <c r="DF20" s="3607"/>
      <c r="DG20" s="3607"/>
      <c r="DH20" s="3607"/>
      <c r="DI20" s="3607"/>
      <c r="DJ20" s="3607"/>
      <c r="DK20" s="3607"/>
      <c r="DL20" s="3607"/>
      <c r="DM20" s="3607"/>
      <c r="DN20" s="3607"/>
      <c r="DO20" s="3607"/>
      <c r="DP20" s="3607"/>
      <c r="DQ20" s="3607"/>
      <c r="DR20" s="3607"/>
      <c r="DS20" s="3607"/>
      <c r="DT20" s="3607"/>
      <c r="DU20" s="3607"/>
      <c r="DV20" s="3607"/>
      <c r="DW20" s="3607"/>
      <c r="DX20" s="3607"/>
      <c r="DY20" s="3607"/>
      <c r="DZ20" s="3607"/>
      <c r="EA20" s="3607"/>
      <c r="EB20" s="3607"/>
      <c r="EC20" s="3607"/>
      <c r="ED20" s="3607"/>
      <c r="EE20" s="3607"/>
      <c r="EF20" s="3607"/>
      <c r="EG20" s="3607"/>
      <c r="EH20" s="3607"/>
      <c r="EI20" s="3607"/>
      <c r="EJ20" s="3607"/>
      <c r="EK20" s="3607"/>
      <c r="EL20" s="3607"/>
      <c r="EM20" s="3607"/>
      <c r="EN20" s="3607"/>
      <c r="EO20" s="3607"/>
      <c r="EP20" s="3607"/>
      <c r="EQ20" s="3607"/>
      <c r="ER20" s="3607"/>
      <c r="ES20" s="3607"/>
      <c r="ET20" s="3607"/>
      <c r="EU20" s="3607"/>
      <c r="EV20" s="3607"/>
      <c r="EW20" s="3607"/>
      <c r="EX20" s="3607"/>
      <c r="EY20" s="3607"/>
      <c r="EZ20" s="3607"/>
      <c r="FA20" s="3607"/>
      <c r="FB20" s="3607"/>
      <c r="FC20" s="3607"/>
      <c r="FD20" s="3607"/>
      <c r="FE20" s="3607"/>
      <c r="FF20" s="3607"/>
      <c r="FG20" s="3607"/>
      <c r="FH20" s="3607"/>
      <c r="FI20" s="3607"/>
      <c r="FJ20" s="3607"/>
      <c r="FK20" s="3607"/>
      <c r="FL20" s="3607"/>
      <c r="FM20" s="3607"/>
      <c r="FN20" s="3607"/>
      <c r="FO20" s="3607"/>
      <c r="FP20" s="3607"/>
      <c r="FQ20" s="3607"/>
      <c r="FR20" s="3607"/>
      <c r="FS20" s="3607"/>
      <c r="FT20" s="3607"/>
      <c r="FU20" s="3607"/>
      <c r="FV20" s="3607"/>
      <c r="FW20" s="3607"/>
      <c r="FX20" s="3607"/>
      <c r="FY20" s="3607"/>
      <c r="FZ20" s="3607"/>
      <c r="GA20" s="3607"/>
      <c r="GB20" s="3607"/>
      <c r="GC20" s="3607"/>
      <c r="GD20" s="3607"/>
      <c r="GE20" s="3607"/>
      <c r="GF20" s="3607"/>
      <c r="GG20" s="3607"/>
      <c r="GH20" s="3607"/>
      <c r="GI20" s="3607"/>
      <c r="GJ20" s="3607"/>
      <c r="GK20" s="3607"/>
      <c r="GL20" s="3607"/>
      <c r="GM20" s="3607"/>
      <c r="GN20" s="3607"/>
      <c r="GO20" s="3607"/>
      <c r="GP20" s="3607"/>
      <c r="GQ20" s="3607"/>
      <c r="GR20" s="3607"/>
      <c r="GS20" s="3607"/>
      <c r="GT20" s="3607"/>
      <c r="GU20" s="3607"/>
      <c r="GV20" s="3607"/>
      <c r="GW20" s="3607"/>
      <c r="GX20" s="3607"/>
      <c r="GY20" s="3607"/>
      <c r="GZ20" s="3607"/>
      <c r="HA20" s="3607"/>
      <c r="HB20" s="3607"/>
      <c r="HC20" s="3607"/>
      <c r="HD20" s="3607"/>
      <c r="HE20" s="3607"/>
      <c r="HF20" s="3607"/>
      <c r="HG20" s="3607"/>
      <c r="HH20" s="3607"/>
      <c r="HI20" s="3607"/>
      <c r="HJ20" s="3607"/>
      <c r="HK20" s="3607"/>
      <c r="HL20" s="3607"/>
      <c r="HM20" s="3607"/>
      <c r="HN20" s="3607"/>
      <c r="HO20" s="3607"/>
      <c r="HP20" s="3607"/>
      <c r="HQ20" s="3607"/>
      <c r="HR20" s="3607"/>
      <c r="HS20" s="3607"/>
      <c r="HT20" s="3607"/>
      <c r="HU20" s="3607"/>
      <c r="HV20" s="3607"/>
      <c r="HW20" s="3607"/>
      <c r="HX20" s="3607"/>
      <c r="HY20" s="3607"/>
      <c r="HZ20" s="3607"/>
      <c r="IA20" s="3607"/>
      <c r="IB20" s="3607"/>
      <c r="IC20" s="3607"/>
      <c r="ID20" s="3607"/>
      <c r="IE20" s="3607"/>
      <c r="IF20" s="3607"/>
      <c r="IG20" s="3607"/>
      <c r="IH20" s="3607"/>
      <c r="II20" s="3607"/>
      <c r="IJ20" s="3607"/>
      <c r="IK20" s="3607"/>
      <c r="IL20" s="3607"/>
      <c r="IM20" s="3607"/>
      <c r="IN20" s="3607"/>
      <c r="IO20" s="3607"/>
      <c r="IP20" s="3607"/>
      <c r="IQ20" s="3607"/>
    </row>
    <row r="21" customFormat="false" ht="13.5" hidden="false" customHeight="false" outlineLevel="0" collapsed="false">
      <c r="A21" s="3597" t="s">
        <v>2558</v>
      </c>
      <c r="B21" s="3597"/>
      <c r="C21" s="3597" t="s">
        <v>2632</v>
      </c>
      <c r="D21" s="3597"/>
      <c r="E21" s="3597" t="s">
        <v>2633</v>
      </c>
      <c r="F21" s="3597" t="s">
        <v>2634</v>
      </c>
      <c r="G21" s="3597" t="n">
        <v>64.12</v>
      </c>
      <c r="H21" s="3597" t="n">
        <v>4</v>
      </c>
      <c r="I21" s="3597" t="s">
        <v>1543</v>
      </c>
      <c r="J21" s="3597"/>
      <c r="K21" s="3597" t="s">
        <v>1544</v>
      </c>
      <c r="L21" s="3608" t="n">
        <v>470000</v>
      </c>
      <c r="M21" s="3597" t="n">
        <v>7330</v>
      </c>
      <c r="N21" s="3598" t="n">
        <v>44.78</v>
      </c>
      <c r="O21" s="3599" t="n">
        <v>447800</v>
      </c>
      <c r="P21" s="3597" t="n">
        <v>6985</v>
      </c>
      <c r="Q21" s="3600" t="n">
        <v>0.2</v>
      </c>
      <c r="R21" s="3598" t="n">
        <v>35.82</v>
      </c>
      <c r="S21" s="3599" t="n">
        <v>358200</v>
      </c>
      <c r="T21" s="3609" t="n">
        <v>2006</v>
      </c>
      <c r="U21" s="3609" t="n">
        <v>10</v>
      </c>
      <c r="V21" s="3597" t="n">
        <v>16</v>
      </c>
      <c r="W21" s="3597" t="n">
        <v>1340</v>
      </c>
      <c r="X21" s="3597" t="s">
        <v>2557</v>
      </c>
      <c r="Y21" s="3602" t="n">
        <v>91302006091515</v>
      </c>
      <c r="Z21" s="3597" t="s">
        <v>2616</v>
      </c>
      <c r="AA21" s="3597" t="s">
        <v>1484</v>
      </c>
      <c r="AB21" s="3597" t="s">
        <v>1485</v>
      </c>
      <c r="AC21" s="3597"/>
      <c r="AD21" s="3597" t="s">
        <v>2536</v>
      </c>
      <c r="AE21" s="3604"/>
      <c r="AF21" s="3610" t="s">
        <v>2635</v>
      </c>
      <c r="AG21" s="3597" t="n">
        <v>36</v>
      </c>
      <c r="AH21" s="3597"/>
      <c r="AI21" s="3597" t="s">
        <v>2522</v>
      </c>
      <c r="AJ21" s="3597"/>
      <c r="AK21" s="3597" t="s">
        <v>2616</v>
      </c>
      <c r="AL21" s="3597" t="s">
        <v>2567</v>
      </c>
      <c r="AM21" s="3609" t="n">
        <v>2006</v>
      </c>
      <c r="AN21" s="3609" t="n">
        <v>10</v>
      </c>
      <c r="AO21" s="3609" t="n">
        <v>16</v>
      </c>
      <c r="AP21" s="3597"/>
      <c r="AQ21" s="3597"/>
      <c r="AR21" s="3597" t="s">
        <v>2562</v>
      </c>
      <c r="AS21" s="3597"/>
      <c r="AT21" s="3601"/>
      <c r="AU21" s="3597" t="s">
        <v>2634</v>
      </c>
      <c r="AV21" s="3597"/>
      <c r="AW21" s="3601"/>
      <c r="AX21" s="3597"/>
      <c r="AY21" s="3602"/>
      <c r="AZ21" s="3597"/>
      <c r="BA21" s="3603"/>
      <c r="BB21" s="3604" t="n">
        <v>38967</v>
      </c>
      <c r="BC21" s="3597"/>
      <c r="BD21" s="3609" t="s">
        <v>2616</v>
      </c>
      <c r="BE21" s="3614" t="n">
        <v>38982</v>
      </c>
      <c r="BF21" s="3604"/>
      <c r="BG21" s="3609" t="s">
        <v>2636</v>
      </c>
      <c r="BH21" s="3609" t="s">
        <v>1279</v>
      </c>
      <c r="BI21" s="3609" t="s">
        <v>2539</v>
      </c>
      <c r="BJ21" s="3597" t="s">
        <v>2530</v>
      </c>
      <c r="BK21" s="3609"/>
      <c r="BL21" s="3609"/>
      <c r="BM21" s="3609"/>
      <c r="BN21" s="3606"/>
      <c r="BO21" s="3606"/>
      <c r="BP21" s="3606"/>
      <c r="BQ21" s="3607"/>
      <c r="BR21" s="3607"/>
      <c r="BS21" s="3607"/>
      <c r="BT21" s="3607"/>
      <c r="BU21" s="3607"/>
      <c r="BV21" s="3607"/>
      <c r="BW21" s="3607"/>
      <c r="BX21" s="3607"/>
      <c r="BY21" s="3607"/>
      <c r="BZ21" s="3607"/>
      <c r="CA21" s="3607"/>
      <c r="CB21" s="3607"/>
      <c r="CC21" s="3607"/>
      <c r="CD21" s="3607"/>
      <c r="CE21" s="3607"/>
      <c r="CF21" s="3607"/>
      <c r="CG21" s="3607"/>
      <c r="CH21" s="3607"/>
      <c r="CI21" s="3607"/>
      <c r="CJ21" s="3607"/>
      <c r="CK21" s="3607"/>
      <c r="CL21" s="3607"/>
      <c r="CM21" s="3607"/>
      <c r="CN21" s="3607"/>
      <c r="CO21" s="3607"/>
      <c r="CP21" s="3607"/>
      <c r="CQ21" s="3607"/>
      <c r="CR21" s="3607"/>
      <c r="CS21" s="3607"/>
      <c r="CT21" s="3607"/>
      <c r="CU21" s="3607"/>
      <c r="CV21" s="3607"/>
      <c r="CW21" s="3607"/>
      <c r="CX21" s="3607"/>
      <c r="CY21" s="3607"/>
      <c r="CZ21" s="3607"/>
      <c r="DA21" s="3607"/>
      <c r="DB21" s="3607"/>
      <c r="DC21" s="3607"/>
      <c r="DD21" s="3607"/>
      <c r="DE21" s="3607"/>
      <c r="DF21" s="3607"/>
      <c r="DG21" s="3607"/>
      <c r="DH21" s="3607"/>
      <c r="DI21" s="3607"/>
      <c r="DJ21" s="3607"/>
      <c r="DK21" s="3607"/>
      <c r="DL21" s="3607"/>
      <c r="DM21" s="3607"/>
      <c r="DN21" s="3607"/>
      <c r="DO21" s="3607"/>
      <c r="DP21" s="3607"/>
      <c r="DQ21" s="3607"/>
      <c r="DR21" s="3607"/>
      <c r="DS21" s="3607"/>
      <c r="DT21" s="3607"/>
      <c r="DU21" s="3607"/>
      <c r="DV21" s="3607"/>
      <c r="DW21" s="3607"/>
      <c r="DX21" s="3607"/>
      <c r="DY21" s="3607"/>
      <c r="DZ21" s="3607"/>
      <c r="EA21" s="3607"/>
      <c r="EB21" s="3607"/>
      <c r="EC21" s="3607"/>
      <c r="ED21" s="3607"/>
      <c r="EE21" s="3607"/>
      <c r="EF21" s="3607"/>
      <c r="EG21" s="3607"/>
      <c r="EH21" s="3607"/>
      <c r="EI21" s="3607"/>
      <c r="EJ21" s="3607"/>
      <c r="EK21" s="3607"/>
      <c r="EL21" s="3607"/>
      <c r="EM21" s="3607"/>
      <c r="EN21" s="3607"/>
      <c r="EO21" s="3607"/>
      <c r="EP21" s="3607"/>
      <c r="EQ21" s="3607"/>
      <c r="ER21" s="3607"/>
      <c r="ES21" s="3607"/>
      <c r="ET21" s="3607"/>
      <c r="EU21" s="3607"/>
      <c r="EV21" s="3607"/>
      <c r="EW21" s="3607"/>
      <c r="EX21" s="3607"/>
      <c r="EY21" s="3607"/>
      <c r="EZ21" s="3607"/>
      <c r="FA21" s="3607"/>
      <c r="FB21" s="3607"/>
      <c r="FC21" s="3607"/>
      <c r="FD21" s="3607"/>
      <c r="FE21" s="3607"/>
      <c r="FF21" s="3607"/>
      <c r="FG21" s="3607"/>
      <c r="FH21" s="3607"/>
      <c r="FI21" s="3607"/>
      <c r="FJ21" s="3607"/>
      <c r="FK21" s="3607"/>
      <c r="FL21" s="3607"/>
      <c r="FM21" s="3607"/>
      <c r="FN21" s="3607"/>
      <c r="FO21" s="3607"/>
      <c r="FP21" s="3607"/>
      <c r="FQ21" s="3607"/>
      <c r="FR21" s="3607"/>
      <c r="FS21" s="3607"/>
      <c r="FT21" s="3607"/>
      <c r="FU21" s="3607"/>
      <c r="FV21" s="3607"/>
      <c r="FW21" s="3607"/>
      <c r="FX21" s="3607"/>
      <c r="FY21" s="3607"/>
      <c r="FZ21" s="3607"/>
      <c r="GA21" s="3607"/>
      <c r="GB21" s="3607"/>
      <c r="GC21" s="3607"/>
      <c r="GD21" s="3607"/>
      <c r="GE21" s="3607"/>
      <c r="GF21" s="3607"/>
      <c r="GG21" s="3607"/>
      <c r="GH21" s="3607"/>
      <c r="GI21" s="3607"/>
      <c r="GJ21" s="3607"/>
      <c r="GK21" s="3607"/>
      <c r="GL21" s="3607"/>
      <c r="GM21" s="3607"/>
      <c r="GN21" s="3607"/>
      <c r="GO21" s="3607"/>
      <c r="GP21" s="3607"/>
      <c r="GQ21" s="3607"/>
      <c r="GR21" s="3607"/>
      <c r="GS21" s="3607"/>
      <c r="GT21" s="3607"/>
      <c r="GU21" s="3607"/>
      <c r="GV21" s="3607"/>
      <c r="GW21" s="3607"/>
      <c r="GX21" s="3607"/>
      <c r="GY21" s="3607"/>
      <c r="GZ21" s="3607"/>
      <c r="HA21" s="3607"/>
      <c r="HB21" s="3607"/>
      <c r="HC21" s="3607"/>
      <c r="HD21" s="3607"/>
      <c r="HE21" s="3607"/>
      <c r="HF21" s="3607"/>
      <c r="HG21" s="3607"/>
      <c r="HH21" s="3607"/>
      <c r="HI21" s="3607"/>
      <c r="HJ21" s="3607"/>
      <c r="HK21" s="3607"/>
      <c r="HL21" s="3607"/>
      <c r="HM21" s="3607"/>
      <c r="HN21" s="3607"/>
      <c r="HO21" s="3607"/>
      <c r="HP21" s="3607"/>
      <c r="HQ21" s="3607"/>
      <c r="HR21" s="3607"/>
      <c r="HS21" s="3607"/>
      <c r="HT21" s="3607"/>
      <c r="HU21" s="3607"/>
      <c r="HV21" s="3607"/>
      <c r="HW21" s="3607"/>
      <c r="HX21" s="3607"/>
      <c r="HY21" s="3607"/>
      <c r="HZ21" s="3607"/>
      <c r="IA21" s="3607"/>
      <c r="IB21" s="3607"/>
      <c r="IC21" s="3607"/>
      <c r="ID21" s="3607"/>
      <c r="IE21" s="3607"/>
      <c r="IF21" s="3607"/>
      <c r="IG21" s="3607"/>
      <c r="IH21" s="3607"/>
      <c r="II21" s="3607"/>
      <c r="IJ21" s="3607"/>
      <c r="IK21" s="3607"/>
      <c r="IL21" s="3607"/>
      <c r="IM21" s="3607"/>
      <c r="IN21" s="3607"/>
      <c r="IO21" s="3607"/>
      <c r="IP21" s="3607"/>
      <c r="IQ21" s="3607"/>
    </row>
    <row r="22" customFormat="false" ht="13.5" hidden="false" customHeight="false" outlineLevel="0" collapsed="false">
      <c r="A22" s="3621"/>
      <c r="B22" s="3621"/>
      <c r="C22" s="3621"/>
      <c r="D22" s="3621"/>
      <c r="E22" s="3621"/>
      <c r="F22" s="3622"/>
      <c r="G22" s="3622"/>
      <c r="H22" s="3622"/>
      <c r="I22" s="3622"/>
      <c r="J22" s="3622"/>
      <c r="K22" s="3622"/>
      <c r="L22" s="3622"/>
      <c r="M22" s="3622"/>
      <c r="N22" s="3622"/>
      <c r="O22" s="3623"/>
      <c r="P22" s="3622"/>
      <c r="Q22" s="3622" t="s">
        <v>2637</v>
      </c>
      <c r="R22" s="3622"/>
      <c r="S22" s="3623"/>
      <c r="T22" s="3622"/>
      <c r="U22" s="3622" t="s">
        <v>2638</v>
      </c>
      <c r="V22" s="3622"/>
      <c r="W22" s="3622"/>
      <c r="X22" s="3622"/>
      <c r="Y22" s="3622"/>
      <c r="Z22" s="3622"/>
      <c r="AA22" s="3622"/>
      <c r="AB22" s="3622"/>
      <c r="AC22" s="3622"/>
      <c r="AD22" s="3622"/>
      <c r="AE22" s="3624"/>
      <c r="AF22" s="3622"/>
      <c r="AG22" s="3625" t="s">
        <v>2639</v>
      </c>
      <c r="AH22" s="3625"/>
      <c r="AI22" s="3556" t="s">
        <v>2640</v>
      </c>
      <c r="AJ22" s="3556" t="s">
        <v>2641</v>
      </c>
      <c r="AK22" s="3556"/>
      <c r="AL22" s="3556"/>
      <c r="AM22" s="3561"/>
      <c r="AN22" s="3561" t="s">
        <v>2642</v>
      </c>
      <c r="AO22" s="3561"/>
      <c r="AP22" s="3561"/>
      <c r="AQ22" s="3556"/>
      <c r="AR22" s="3622"/>
      <c r="AS22" s="3622"/>
      <c r="AT22" s="3621"/>
      <c r="AU22" s="3622"/>
      <c r="AV22" s="3622"/>
      <c r="AW22" s="3621"/>
      <c r="AX22" s="3622"/>
      <c r="AY22" s="3626"/>
      <c r="AZ22" s="3622"/>
      <c r="BA22" s="3627"/>
      <c r="BB22" s="3628"/>
      <c r="BC22" s="3622"/>
      <c r="BD22" s="3622"/>
      <c r="BE22" s="3568" t="s">
        <v>2643</v>
      </c>
      <c r="BF22" s="3629" t="s">
        <v>2644</v>
      </c>
      <c r="BG22" s="3622"/>
      <c r="BH22" s="3556"/>
      <c r="BI22" s="3556"/>
      <c r="BJ22" s="3556"/>
      <c r="BK22" s="3609"/>
      <c r="BL22" s="3609" t="e">
        <f aca="false">#DIV/0!</f>
        <v>#DIV/0!</v>
      </c>
      <c r="BM22" s="3609" t="e">
        <f aca="false">#DIV/0!</f>
        <v>#DIV/0!</v>
      </c>
      <c r="BN22" s="3606"/>
      <c r="BO22" s="3606"/>
      <c r="BP22" s="3606"/>
      <c r="BQ22" s="3618"/>
      <c r="BR22" s="3618"/>
      <c r="BS22" s="3618"/>
      <c r="BT22" s="3618"/>
      <c r="BU22" s="3618"/>
      <c r="BV22" s="3618"/>
      <c r="BW22" s="3618"/>
      <c r="BX22" s="3618"/>
      <c r="BY22" s="3618"/>
      <c r="BZ22" s="3618"/>
      <c r="CA22" s="3618"/>
      <c r="CB22" s="3618"/>
      <c r="CC22" s="3618"/>
      <c r="CD22" s="3618"/>
      <c r="CE22" s="3618"/>
      <c r="CF22" s="3618"/>
      <c r="CG22" s="3618"/>
      <c r="CH22" s="3618"/>
      <c r="CI22" s="3618"/>
      <c r="CJ22" s="3618"/>
      <c r="CK22" s="3618"/>
      <c r="CL22" s="3618"/>
      <c r="CM22" s="3618"/>
      <c r="CN22" s="3618"/>
      <c r="CO22" s="3618"/>
      <c r="CP22" s="3618"/>
      <c r="CQ22" s="3618"/>
      <c r="CR22" s="3618"/>
      <c r="CS22" s="3618"/>
      <c r="CT22" s="3618"/>
      <c r="CU22" s="3618"/>
      <c r="CV22" s="3618"/>
      <c r="CW22" s="3618"/>
      <c r="CX22" s="3618"/>
      <c r="CY22" s="3618"/>
      <c r="CZ22" s="3618"/>
      <c r="DA22" s="3618"/>
      <c r="DB22" s="3618"/>
      <c r="DC22" s="3618"/>
      <c r="DD22" s="3618"/>
      <c r="DE22" s="3618"/>
      <c r="DF22" s="3618"/>
      <c r="DG22" s="3618"/>
      <c r="DH22" s="3618"/>
      <c r="DI22" s="3618"/>
      <c r="DJ22" s="3618"/>
      <c r="DK22" s="3618"/>
      <c r="DL22" s="3618"/>
      <c r="DM22" s="3618"/>
      <c r="DN22" s="3618"/>
      <c r="DO22" s="3618"/>
      <c r="DP22" s="3618"/>
      <c r="DQ22" s="3618"/>
      <c r="DR22" s="3618"/>
      <c r="DS22" s="3618"/>
      <c r="DT22" s="3618"/>
      <c r="DU22" s="3618"/>
      <c r="DV22" s="3618"/>
      <c r="DW22" s="3618"/>
      <c r="DX22" s="3618"/>
      <c r="DY22" s="3618"/>
      <c r="DZ22" s="3618"/>
      <c r="EA22" s="3618"/>
      <c r="EB22" s="3618"/>
      <c r="EC22" s="3618"/>
      <c r="ED22" s="3618"/>
      <c r="EE22" s="3618"/>
      <c r="EF22" s="3618"/>
      <c r="EG22" s="3618"/>
      <c r="EH22" s="3618"/>
      <c r="EI22" s="3618"/>
      <c r="EJ22" s="3618"/>
      <c r="EK22" s="3618"/>
      <c r="EL22" s="3618"/>
      <c r="EM22" s="3618"/>
      <c r="EN22" s="3618"/>
      <c r="EO22" s="3618"/>
      <c r="EP22" s="3618"/>
      <c r="EQ22" s="3618"/>
      <c r="ER22" s="3618"/>
      <c r="ES22" s="3618"/>
      <c r="ET22" s="3618"/>
      <c r="EU22" s="3618"/>
      <c r="EV22" s="3618"/>
      <c r="EW22" s="3618"/>
      <c r="EX22" s="3618"/>
      <c r="EY22" s="3618"/>
      <c r="EZ22" s="3618"/>
      <c r="FA22" s="3618"/>
      <c r="FB22" s="3618"/>
      <c r="FC22" s="3618"/>
      <c r="FD22" s="3618"/>
      <c r="FE22" s="3618"/>
      <c r="FF22" s="3618"/>
      <c r="FG22" s="3618"/>
      <c r="FH22" s="3618"/>
      <c r="FI22" s="3618"/>
      <c r="FJ22" s="3618"/>
      <c r="FK22" s="3618"/>
      <c r="FL22" s="3618"/>
      <c r="FM22" s="3618"/>
      <c r="FN22" s="3618"/>
      <c r="FO22" s="3618"/>
      <c r="FP22" s="3618"/>
      <c r="FQ22" s="3618"/>
      <c r="FR22" s="3618"/>
      <c r="FS22" s="3618"/>
      <c r="FT22" s="3618"/>
      <c r="FU22" s="3618"/>
      <c r="FV22" s="3618"/>
      <c r="FW22" s="3618"/>
      <c r="FX22" s="3618"/>
      <c r="FY22" s="3618"/>
      <c r="FZ22" s="3618"/>
      <c r="GA22" s="3618"/>
      <c r="GB22" s="3618"/>
      <c r="GC22" s="3618"/>
      <c r="GD22" s="3618"/>
      <c r="GE22" s="3618"/>
      <c r="GF22" s="3618"/>
      <c r="GG22" s="3618"/>
      <c r="GH22" s="3618"/>
      <c r="GI22" s="3618"/>
      <c r="GJ22" s="3618"/>
      <c r="GK22" s="3618"/>
      <c r="GL22" s="3618"/>
      <c r="GM22" s="3618"/>
      <c r="GN22" s="3618"/>
      <c r="GO22" s="3618"/>
      <c r="GP22" s="3618"/>
      <c r="GQ22" s="3618"/>
      <c r="GR22" s="3618"/>
      <c r="GS22" s="3618"/>
      <c r="GT22" s="3618"/>
      <c r="GU22" s="3618"/>
      <c r="GV22" s="3618"/>
      <c r="GW22" s="3618"/>
      <c r="GX22" s="3618"/>
      <c r="GY22" s="3618"/>
      <c r="GZ22" s="3618"/>
      <c r="HA22" s="3618"/>
      <c r="HB22" s="3618"/>
      <c r="HC22" s="3618"/>
      <c r="HD22" s="3618"/>
      <c r="HE22" s="3618"/>
      <c r="HF22" s="3618"/>
      <c r="HG22" s="3618"/>
      <c r="HH22" s="3618"/>
      <c r="HI22" s="3618"/>
      <c r="HJ22" s="3618"/>
      <c r="HK22" s="3618"/>
      <c r="HL22" s="3618"/>
      <c r="HM22" s="3618"/>
      <c r="HN22" s="3618"/>
      <c r="HO22" s="3618"/>
      <c r="HP22" s="3618"/>
      <c r="HQ22" s="3618"/>
      <c r="HR22" s="3618"/>
      <c r="HS22" s="3618"/>
      <c r="HT22" s="3618"/>
      <c r="HU22" s="3618"/>
      <c r="HV22" s="3618"/>
      <c r="HW22" s="3618"/>
      <c r="HX22" s="3618"/>
      <c r="HY22" s="3618"/>
      <c r="HZ22" s="3618"/>
      <c r="IA22" s="3618"/>
      <c r="IB22" s="3618"/>
      <c r="IC22" s="3618"/>
      <c r="ID22" s="3618"/>
      <c r="IE22" s="3618"/>
      <c r="IF22" s="3618"/>
      <c r="IG22" s="3618"/>
      <c r="IH22" s="3618"/>
      <c r="II22" s="3618"/>
      <c r="IJ22" s="3618"/>
      <c r="IK22" s="3618"/>
      <c r="IL22" s="3618"/>
      <c r="IM22" s="3618"/>
      <c r="IN22" s="3618"/>
      <c r="IO22" s="3618"/>
      <c r="IP22" s="3618"/>
      <c r="IQ22" s="3618"/>
    </row>
  </sheetData>
  <printOptions headings="false" gridLines="false" gridLinesSet="true" horizontalCentered="false" verticalCentered="false"/>
  <pageMargins left="0.75" right="0.75" top="1" bottom="1"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legacyDrawing r:id="rId2"/>
</worksheet>
</file>

<file path=xl/worksheets/sheet47.xml><?xml version="1.0" encoding="utf-8"?>
<worksheet xmlns="http://schemas.openxmlformats.org/spreadsheetml/2006/main" xmlns:r="http://schemas.openxmlformats.org/officeDocument/2006/relationships">
  <sheetPr filterMode="false">
    <pageSetUpPr fitToPage="false"/>
  </sheetPr>
  <dimension ref="A1:BR80"/>
  <sheetViews>
    <sheetView showFormulas="false" showGridLines="true" showRowColHeaders="true" showZeros="true" rightToLeft="false" tabSelected="false" showOutlineSymbols="true" defaultGridColor="true" view="pageBreakPreview" topLeftCell="A28" colorId="64" zoomScale="100" zoomScaleNormal="100" zoomScalePageLayoutView="100" workbookViewId="0">
      <selection pane="topLeft" activeCell="C9" activeCellId="0" sqref="C9"/>
    </sheetView>
  </sheetViews>
  <sheetFormatPr defaultRowHeight="13.5" zeroHeight="false" outlineLevelRow="0" outlineLevelCol="0"/>
  <cols>
    <col collapsed="false" customWidth="true" hidden="false" outlineLevel="0" max="1" min="1" style="0" width="22.88"/>
    <col collapsed="false" customWidth="true" hidden="false" outlineLevel="0" max="58" min="2" style="0" width="8.69"/>
    <col collapsed="false" customWidth="true" hidden="false" outlineLevel="0" max="59" min="59" style="0" width="15.88"/>
    <col collapsed="false" customWidth="true" hidden="false" outlineLevel="0" max="1025" min="60" style="0" width="8.69"/>
  </cols>
  <sheetData>
    <row r="1" s="3647" customFormat="true" ht="14.25" hidden="false" customHeight="true" outlineLevel="0" collapsed="false">
      <c r="A1" s="3630"/>
      <c r="B1" s="3631"/>
      <c r="C1" s="3632"/>
      <c r="D1" s="3632"/>
      <c r="E1" s="3632"/>
      <c r="F1" s="3632"/>
      <c r="G1" s="3632"/>
      <c r="H1" s="3632"/>
      <c r="I1" s="3632"/>
      <c r="J1" s="3632"/>
      <c r="K1" s="3633"/>
      <c r="L1" s="3634"/>
      <c r="M1" s="3635"/>
      <c r="N1" s="3634"/>
      <c r="O1" s="3635"/>
      <c r="P1" s="3634"/>
      <c r="Q1" s="3635"/>
      <c r="R1" s="3635"/>
      <c r="S1" s="3634"/>
      <c r="T1" s="3636"/>
      <c r="U1" s="3634"/>
      <c r="V1" s="3633" t="s">
        <v>2637</v>
      </c>
      <c r="W1" s="3633"/>
      <c r="X1" s="3637"/>
      <c r="Y1" s="3634"/>
      <c r="Z1" s="3635" t="s">
        <v>2638</v>
      </c>
      <c r="AA1" s="3634"/>
      <c r="AB1" s="3634"/>
      <c r="AC1" s="3634"/>
      <c r="AD1" s="3634"/>
      <c r="AE1" s="3634"/>
      <c r="AF1" s="3631"/>
      <c r="AG1" s="3631"/>
      <c r="AH1" s="3633"/>
      <c r="AI1" s="3631"/>
      <c r="AJ1" s="3638"/>
      <c r="AK1" s="3631"/>
      <c r="AL1" s="3639" t="s">
        <v>2639</v>
      </c>
      <c r="AM1" s="3639"/>
      <c r="AN1" s="3639" t="s">
        <v>2640</v>
      </c>
      <c r="AO1" s="3639" t="s">
        <v>2641</v>
      </c>
      <c r="AP1" s="3639"/>
      <c r="AQ1" s="3639"/>
      <c r="AR1" s="3640"/>
      <c r="AS1" s="3640" t="s">
        <v>2642</v>
      </c>
      <c r="AT1" s="3640"/>
      <c r="AU1" s="3640"/>
      <c r="AV1" s="3639"/>
      <c r="AW1" s="3633"/>
      <c r="AX1" s="3633"/>
      <c r="AY1" s="3641"/>
      <c r="AZ1" s="3633"/>
      <c r="BA1" s="3633"/>
      <c r="BB1" s="3641"/>
      <c r="BC1" s="3633"/>
      <c r="BD1" s="3642"/>
      <c r="BE1" s="3633"/>
      <c r="BF1" s="3643"/>
      <c r="BG1" s="3644"/>
      <c r="BH1" s="3633"/>
      <c r="BI1" s="3633"/>
      <c r="BJ1" s="3645" t="s">
        <v>2643</v>
      </c>
      <c r="BK1" s="3646" t="s">
        <v>2644</v>
      </c>
      <c r="BL1" s="3633"/>
      <c r="BM1" s="3639"/>
      <c r="BN1" s="3639"/>
      <c r="BO1" s="3639"/>
      <c r="BP1" s="3639"/>
      <c r="BQ1" s="3640"/>
      <c r="BR1" s="3640"/>
    </row>
    <row r="2" s="3655" customFormat="true" ht="15.75" hidden="false" customHeight="false" outlineLevel="0" collapsed="false">
      <c r="A2" s="3648" t="s">
        <v>765</v>
      </c>
      <c r="B2" s="3639" t="s">
        <v>114</v>
      </c>
      <c r="C2" s="3648" t="s">
        <v>2645</v>
      </c>
      <c r="D2" s="3648" t="s">
        <v>1394</v>
      </c>
      <c r="E2" s="3648" t="s">
        <v>1347</v>
      </c>
      <c r="F2" s="3648" t="s">
        <v>1348</v>
      </c>
      <c r="G2" s="3648" t="s">
        <v>1349</v>
      </c>
      <c r="H2" s="3648" t="s">
        <v>1350</v>
      </c>
      <c r="I2" s="3648" t="s">
        <v>1351</v>
      </c>
      <c r="J2" s="3648" t="s">
        <v>1352</v>
      </c>
      <c r="K2" s="3639" t="s">
        <v>1353</v>
      </c>
      <c r="L2" s="3639" t="s">
        <v>1354</v>
      </c>
      <c r="M2" s="3639" t="s">
        <v>1355</v>
      </c>
      <c r="N2" s="3639" t="s">
        <v>1356</v>
      </c>
      <c r="O2" s="3639" t="s">
        <v>1357</v>
      </c>
      <c r="P2" s="3639" t="s">
        <v>1358</v>
      </c>
      <c r="Q2" s="3639" t="s">
        <v>1359</v>
      </c>
      <c r="R2" s="3639" t="s">
        <v>2506</v>
      </c>
      <c r="S2" s="3639" t="s">
        <v>1361</v>
      </c>
      <c r="T2" s="3649" t="s">
        <v>1362</v>
      </c>
      <c r="U2" s="3639" t="s">
        <v>2507</v>
      </c>
      <c r="V2" s="3639" t="s">
        <v>1364</v>
      </c>
      <c r="W2" s="3639" t="s">
        <v>1365</v>
      </c>
      <c r="X2" s="3649" t="s">
        <v>784</v>
      </c>
      <c r="Y2" s="3639" t="s">
        <v>1366</v>
      </c>
      <c r="Z2" s="3639" t="s">
        <v>1367</v>
      </c>
      <c r="AA2" s="3639" t="s">
        <v>1368</v>
      </c>
      <c r="AB2" s="3639" t="s">
        <v>1369</v>
      </c>
      <c r="AC2" s="3639" t="s">
        <v>1370</v>
      </c>
      <c r="AD2" s="3639" t="s">
        <v>1371</v>
      </c>
      <c r="AE2" s="3639" t="s">
        <v>1372</v>
      </c>
      <c r="AF2" s="3639" t="s">
        <v>1373</v>
      </c>
      <c r="AG2" s="3639" t="s">
        <v>1374</v>
      </c>
      <c r="AH2" s="3639" t="s">
        <v>603</v>
      </c>
      <c r="AI2" s="3639" t="s">
        <v>1375</v>
      </c>
      <c r="AJ2" s="3650" t="s">
        <v>1376</v>
      </c>
      <c r="AK2" s="3639" t="s">
        <v>1377</v>
      </c>
      <c r="AL2" s="3639" t="s">
        <v>1378</v>
      </c>
      <c r="AM2" s="3639" t="s">
        <v>1379</v>
      </c>
      <c r="AN2" s="3639" t="s">
        <v>1380</v>
      </c>
      <c r="AO2" s="3639" t="s">
        <v>1381</v>
      </c>
      <c r="AP2" s="3639" t="s">
        <v>1382</v>
      </c>
      <c r="AQ2" s="3639" t="s">
        <v>1383</v>
      </c>
      <c r="AR2" s="3640" t="s">
        <v>1366</v>
      </c>
      <c r="AS2" s="3640" t="s">
        <v>1367</v>
      </c>
      <c r="AT2" s="3640" t="s">
        <v>1368</v>
      </c>
      <c r="AU2" s="3640" t="s">
        <v>1384</v>
      </c>
      <c r="AV2" s="2314" t="s">
        <v>1385</v>
      </c>
      <c r="AW2" s="3639" t="s">
        <v>1386</v>
      </c>
      <c r="AX2" s="3651" t="s">
        <v>1387</v>
      </c>
      <c r="AY2" s="3648" t="s">
        <v>1388</v>
      </c>
      <c r="AZ2" s="3639" t="s">
        <v>1389</v>
      </c>
      <c r="BA2" s="3639" t="s">
        <v>1390</v>
      </c>
      <c r="BB2" s="3648" t="s">
        <v>1391</v>
      </c>
      <c r="BC2" s="3639" t="s">
        <v>1392</v>
      </c>
      <c r="BD2" s="3652" t="s">
        <v>1393</v>
      </c>
      <c r="BE2" s="3639" t="s">
        <v>1394</v>
      </c>
      <c r="BF2" s="3653" t="s">
        <v>1395</v>
      </c>
      <c r="BG2" s="3645" t="s">
        <v>1396</v>
      </c>
      <c r="BH2" s="3654" t="s">
        <v>1397</v>
      </c>
      <c r="BI2" s="3654" t="s">
        <v>1398</v>
      </c>
      <c r="BJ2" s="3645" t="s">
        <v>1399</v>
      </c>
      <c r="BK2" s="3646" t="s">
        <v>2508</v>
      </c>
      <c r="BL2" s="3640" t="s">
        <v>2509</v>
      </c>
      <c r="BM2" s="3639" t="s">
        <v>1278</v>
      </c>
      <c r="BN2" s="3639" t="s">
        <v>2510</v>
      </c>
      <c r="BO2" s="3639" t="s">
        <v>2511</v>
      </c>
      <c r="BP2" s="3639"/>
      <c r="BQ2" s="3640" t="s">
        <v>2512</v>
      </c>
      <c r="BR2" s="3640" t="s">
        <v>2513</v>
      </c>
    </row>
    <row r="3" s="3656" customFormat="true" ht="13.5" hidden="false" customHeight="false" outlineLevel="0" collapsed="false">
      <c r="A3" s="3656" t="s">
        <v>2646</v>
      </c>
      <c r="B3" s="3656" t="s">
        <v>2647</v>
      </c>
      <c r="C3" s="3656" t="s">
        <v>2648</v>
      </c>
      <c r="D3" s="3656" t="s">
        <v>2649</v>
      </c>
      <c r="E3" s="3656" t="s">
        <v>1898</v>
      </c>
      <c r="F3" s="3656" t="s">
        <v>2650</v>
      </c>
      <c r="H3" s="3656" t="s">
        <v>2651</v>
      </c>
      <c r="I3" s="3656" t="s">
        <v>2652</v>
      </c>
      <c r="J3" s="3656" t="s">
        <v>2653</v>
      </c>
      <c r="K3" s="3656" t="s">
        <v>2654</v>
      </c>
      <c r="L3" s="3656" t="n">
        <v>42</v>
      </c>
      <c r="M3" s="3656" t="n">
        <v>4</v>
      </c>
      <c r="N3" s="3656" t="s">
        <v>2518</v>
      </c>
      <c r="P3" s="3656" t="s">
        <v>1544</v>
      </c>
      <c r="Q3" s="3656" t="n">
        <v>420000</v>
      </c>
      <c r="R3" s="3656" t="n">
        <v>10000</v>
      </c>
      <c r="S3" s="3656" t="n">
        <v>32.13</v>
      </c>
      <c r="T3" s="3656" t="n">
        <v>321300</v>
      </c>
      <c r="U3" s="3656" t="n">
        <v>7650</v>
      </c>
      <c r="V3" s="3656" t="n">
        <v>0.2</v>
      </c>
      <c r="W3" s="3656" t="n">
        <v>25.7</v>
      </c>
      <c r="X3" s="3656" t="n">
        <v>257000</v>
      </c>
      <c r="Y3" s="3656" t="n">
        <v>2006</v>
      </c>
      <c r="Z3" s="3656" t="n">
        <v>12</v>
      </c>
      <c r="AA3" s="3656" t="n">
        <v>26</v>
      </c>
      <c r="AB3" s="3656" t="n">
        <v>960</v>
      </c>
      <c r="AC3" s="3656" t="s">
        <v>2557</v>
      </c>
      <c r="AD3" s="3656" t="s">
        <v>2655</v>
      </c>
      <c r="AE3" s="3656" t="s">
        <v>2656</v>
      </c>
      <c r="AF3" s="3656" t="s">
        <v>1484</v>
      </c>
      <c r="AG3" s="3656" t="s">
        <v>1485</v>
      </c>
      <c r="AH3" s="3656" t="s">
        <v>2657</v>
      </c>
      <c r="AI3" s="3656" t="s">
        <v>2536</v>
      </c>
      <c r="AK3" s="3656" t="s">
        <v>2581</v>
      </c>
      <c r="AL3" s="3656" t="n">
        <v>38</v>
      </c>
      <c r="AN3" s="3656" t="s">
        <v>2566</v>
      </c>
      <c r="AP3" s="3656" t="s">
        <v>2523</v>
      </c>
      <c r="AQ3" s="3656" t="s">
        <v>2524</v>
      </c>
      <c r="AW3" s="3656" t="s">
        <v>2658</v>
      </c>
      <c r="AZ3" s="3656" t="s">
        <v>2654</v>
      </c>
      <c r="BE3" s="3656" t="n">
        <v>13126662579</v>
      </c>
      <c r="BG3" s="3657" t="n">
        <v>39073</v>
      </c>
      <c r="BH3" s="3656" t="s">
        <v>2526</v>
      </c>
      <c r="BI3" s="3656" t="s">
        <v>2523</v>
      </c>
      <c r="BJ3" s="3657" t="n">
        <v>39073</v>
      </c>
      <c r="BL3" s="3656" t="s">
        <v>2528</v>
      </c>
      <c r="BM3" s="3656" t="s">
        <v>1279</v>
      </c>
      <c r="BN3" s="3656" t="s">
        <v>2539</v>
      </c>
      <c r="BO3" s="3656" t="s">
        <v>2659</v>
      </c>
      <c r="BQ3" s="3658" t="e">
        <f aca="false">#DIV/0!</f>
        <v>#DIV/0!</v>
      </c>
      <c r="BR3" s="3658" t="e">
        <f aca="false">#DIV/0!</f>
        <v>#DIV/0!</v>
      </c>
    </row>
    <row r="4" customFormat="false" ht="13.5" hidden="false" customHeight="false" outlineLevel="0" collapsed="false">
      <c r="A4" s="0" t="s">
        <v>2660</v>
      </c>
      <c r="B4" s="0" t="s">
        <v>2661</v>
      </c>
      <c r="C4" s="0" t="s">
        <v>2662</v>
      </c>
      <c r="D4" s="0" t="n">
        <v>13521291060</v>
      </c>
      <c r="E4" s="0" t="s">
        <v>1898</v>
      </c>
      <c r="F4" s="0" t="s">
        <v>2663</v>
      </c>
      <c r="H4" s="0" t="s">
        <v>2664</v>
      </c>
      <c r="J4" s="0" t="s">
        <v>1422</v>
      </c>
      <c r="K4" s="0" t="s">
        <v>2661</v>
      </c>
      <c r="L4" s="0" t="n">
        <v>75.26</v>
      </c>
      <c r="M4" s="0" t="n">
        <v>17</v>
      </c>
      <c r="N4" s="0" t="s">
        <v>1543</v>
      </c>
      <c r="P4" s="0" t="s">
        <v>1544</v>
      </c>
      <c r="Q4" s="0" t="n">
        <v>680000</v>
      </c>
      <c r="R4" s="0" t="n">
        <v>9035</v>
      </c>
      <c r="S4" s="0" t="n">
        <v>48.82</v>
      </c>
      <c r="T4" s="0" t="n">
        <v>488200</v>
      </c>
      <c r="U4" s="0" t="n">
        <v>6488</v>
      </c>
      <c r="V4" s="0" t="n">
        <v>0.05</v>
      </c>
      <c r="W4" s="0" t="n">
        <v>46.37</v>
      </c>
      <c r="X4" s="0" t="n">
        <v>463700</v>
      </c>
      <c r="Y4" s="0" t="n">
        <v>2006</v>
      </c>
      <c r="Z4" s="0" t="n">
        <v>4</v>
      </c>
      <c r="AA4" s="0" t="n">
        <v>5</v>
      </c>
      <c r="AB4" s="0" t="n">
        <v>1460</v>
      </c>
      <c r="AC4" s="0" t="s">
        <v>2665</v>
      </c>
      <c r="AE4" s="0" t="s">
        <v>1504</v>
      </c>
      <c r="AF4" s="0" t="s">
        <v>1484</v>
      </c>
      <c r="AG4" s="0" t="s">
        <v>1485</v>
      </c>
      <c r="AI4" s="0" t="s">
        <v>2604</v>
      </c>
      <c r="AK4" s="0" t="n">
        <v>4</v>
      </c>
      <c r="AL4" s="0" t="n">
        <v>82253558</v>
      </c>
      <c r="AN4" s="0" t="s">
        <v>2521</v>
      </c>
      <c r="AO4" s="0" t="s">
        <v>2666</v>
      </c>
      <c r="AP4" s="0" t="s">
        <v>2546</v>
      </c>
      <c r="AQ4" s="0" t="s">
        <v>2567</v>
      </c>
      <c r="AR4" s="0" t="n">
        <v>2006</v>
      </c>
      <c r="AS4" s="0" t="n">
        <v>4</v>
      </c>
      <c r="AT4" s="0" t="n">
        <v>5</v>
      </c>
      <c r="AW4" s="0" t="s">
        <v>2525</v>
      </c>
      <c r="AZ4" s="0" t="s">
        <v>2667</v>
      </c>
      <c r="BE4" s="0" t="n">
        <v>13391880950</v>
      </c>
      <c r="BG4" s="3659" t="n">
        <v>38770</v>
      </c>
      <c r="BI4" s="0" t="s">
        <v>2668</v>
      </c>
      <c r="BJ4" s="3659" t="n">
        <v>38796</v>
      </c>
      <c r="BL4" s="0" t="s">
        <v>2526</v>
      </c>
      <c r="BM4" s="0" t="s">
        <v>1279</v>
      </c>
      <c r="BN4" s="0" t="s">
        <v>2529</v>
      </c>
      <c r="BO4" s="0" t="s">
        <v>2669</v>
      </c>
      <c r="BQ4" s="0" t="e">
        <f aca="false">#DIV/0!</f>
        <v>#DIV/0!</v>
      </c>
      <c r="BR4" s="0" t="e">
        <f aca="false">#DIV/0!</f>
        <v>#DIV/0!</v>
      </c>
    </row>
    <row r="5" customFormat="false" ht="13.5" hidden="false" customHeight="false" outlineLevel="0" collapsed="false">
      <c r="A5" s="0" t="s">
        <v>2670</v>
      </c>
      <c r="B5" s="0" t="s">
        <v>2671</v>
      </c>
      <c r="C5" s="0" t="s">
        <v>2672</v>
      </c>
      <c r="D5" s="0" t="s">
        <v>2673</v>
      </c>
      <c r="E5" s="0" t="s">
        <v>1898</v>
      </c>
      <c r="F5" s="0" t="s">
        <v>2674</v>
      </c>
      <c r="H5" s="0" t="s">
        <v>2675</v>
      </c>
      <c r="J5" s="0" t="s">
        <v>2676</v>
      </c>
      <c r="K5" s="0" t="s">
        <v>2671</v>
      </c>
      <c r="L5" s="0" t="n">
        <v>79.6</v>
      </c>
      <c r="M5" s="0" t="n">
        <v>7</v>
      </c>
      <c r="N5" s="0" t="s">
        <v>2534</v>
      </c>
      <c r="P5" s="0" t="s">
        <v>1544</v>
      </c>
      <c r="Q5" s="0" t="n">
        <v>530000</v>
      </c>
      <c r="R5" s="0" t="n">
        <v>6658</v>
      </c>
      <c r="S5" s="0" t="n">
        <v>47.36</v>
      </c>
      <c r="T5" s="0" t="n">
        <v>473600</v>
      </c>
      <c r="U5" s="0" t="n">
        <v>5950</v>
      </c>
      <c r="V5" s="0" t="n">
        <v>0.05</v>
      </c>
      <c r="W5" s="0" t="n">
        <v>44.99</v>
      </c>
      <c r="X5" s="0" t="n">
        <v>449900</v>
      </c>
      <c r="Y5" s="0" t="n">
        <v>2006</v>
      </c>
      <c r="Z5" s="0" t="n">
        <v>3</v>
      </c>
      <c r="AA5" s="0" t="n">
        <v>21</v>
      </c>
      <c r="AB5" s="0" t="n">
        <v>1420</v>
      </c>
      <c r="AC5" s="0" t="s">
        <v>2665</v>
      </c>
      <c r="AE5" s="0" t="s">
        <v>2604</v>
      </c>
      <c r="AF5" s="0" t="s">
        <v>1484</v>
      </c>
      <c r="AG5" s="0" t="s">
        <v>1485</v>
      </c>
      <c r="AI5" s="0" t="s">
        <v>2536</v>
      </c>
      <c r="AK5" s="0" t="n">
        <v>3</v>
      </c>
      <c r="AL5" s="0" t="n">
        <v>67641700</v>
      </c>
      <c r="AN5" s="0" t="s">
        <v>2545</v>
      </c>
      <c r="AP5" s="0" t="s">
        <v>2523</v>
      </c>
      <c r="AQ5" s="0" t="s">
        <v>2567</v>
      </c>
      <c r="AW5" s="0" t="s">
        <v>2658</v>
      </c>
      <c r="AZ5" s="0" t="s">
        <v>2677</v>
      </c>
      <c r="BG5" s="3659" t="n">
        <v>38734</v>
      </c>
      <c r="BH5" s="0" t="s">
        <v>2526</v>
      </c>
      <c r="BI5" s="0" t="s">
        <v>2523</v>
      </c>
      <c r="BJ5" s="3659" t="n">
        <v>38734</v>
      </c>
      <c r="BL5" s="0" t="s">
        <v>2528</v>
      </c>
      <c r="BM5" s="0" t="s">
        <v>1279</v>
      </c>
      <c r="BN5" s="0" t="s">
        <v>2539</v>
      </c>
      <c r="BO5" s="0" t="s">
        <v>2659</v>
      </c>
      <c r="BQ5" s="0" t="e">
        <f aca="false">#DIV/0!</f>
        <v>#DIV/0!</v>
      </c>
      <c r="BR5" s="0" t="e">
        <f aca="false">#DIV/0!</f>
        <v>#DIV/0!</v>
      </c>
    </row>
    <row r="6" customFormat="false" ht="13.5" hidden="false" customHeight="false" outlineLevel="0" collapsed="false">
      <c r="A6" s="0" t="s">
        <v>2678</v>
      </c>
      <c r="B6" s="0" t="s">
        <v>2679</v>
      </c>
      <c r="C6" s="0" t="s">
        <v>2680</v>
      </c>
      <c r="D6" s="0" t="s">
        <v>2681</v>
      </c>
      <c r="E6" s="0" t="s">
        <v>1898</v>
      </c>
      <c r="F6" s="3660" t="s">
        <v>2682</v>
      </c>
      <c r="H6" s="0" t="s">
        <v>2618</v>
      </c>
      <c r="J6" s="0" t="s">
        <v>2683</v>
      </c>
      <c r="K6" s="0" t="s">
        <v>2684</v>
      </c>
      <c r="L6" s="0" t="n">
        <v>83.7</v>
      </c>
      <c r="M6" s="0" t="n">
        <v>11</v>
      </c>
      <c r="N6" s="0" t="s">
        <v>2534</v>
      </c>
      <c r="P6" s="0" t="s">
        <v>1544</v>
      </c>
      <c r="Q6" s="0" t="n">
        <v>830000</v>
      </c>
      <c r="R6" s="0" t="n">
        <v>9916</v>
      </c>
      <c r="S6" s="0" t="n">
        <v>71.11</v>
      </c>
      <c r="T6" s="0" t="n">
        <v>711100</v>
      </c>
      <c r="U6" s="0" t="n">
        <v>8496</v>
      </c>
      <c r="V6" s="0" t="n">
        <v>0.2</v>
      </c>
      <c r="W6" s="0" t="n">
        <v>56.88</v>
      </c>
      <c r="X6" s="0" t="n">
        <v>568800</v>
      </c>
      <c r="Y6" s="0" t="n">
        <v>2006</v>
      </c>
      <c r="Z6" s="0" t="n">
        <v>11</v>
      </c>
      <c r="AA6" s="0" t="n">
        <v>29</v>
      </c>
      <c r="AB6" s="0" t="n">
        <v>1500</v>
      </c>
      <c r="AC6" s="0" t="s">
        <v>2557</v>
      </c>
      <c r="AD6" s="0" t="s">
        <v>2685</v>
      </c>
      <c r="AE6" s="0" t="s">
        <v>2520</v>
      </c>
      <c r="AF6" s="0" t="s">
        <v>1484</v>
      </c>
      <c r="AG6" s="0" t="s">
        <v>1485</v>
      </c>
      <c r="AH6" s="0" t="s">
        <v>2686</v>
      </c>
      <c r="AI6" s="0" t="s">
        <v>2536</v>
      </c>
      <c r="AK6" s="0" t="s">
        <v>2587</v>
      </c>
      <c r="AL6" s="0" t="n">
        <v>46</v>
      </c>
      <c r="AN6" s="0" t="s">
        <v>2566</v>
      </c>
      <c r="AP6" s="0" t="s">
        <v>2523</v>
      </c>
      <c r="AQ6" s="0" t="s">
        <v>2524</v>
      </c>
      <c r="AW6" s="0" t="s">
        <v>2525</v>
      </c>
      <c r="AZ6" s="0" t="s">
        <v>2684</v>
      </c>
      <c r="BE6" s="0" t="s">
        <v>2687</v>
      </c>
      <c r="BG6" s="3659" t="n">
        <v>38990</v>
      </c>
      <c r="BH6" s="0" t="s">
        <v>2526</v>
      </c>
      <c r="BI6" s="0" t="s">
        <v>2523</v>
      </c>
      <c r="BJ6" s="3659" t="n">
        <v>39048</v>
      </c>
      <c r="BL6" s="0" t="s">
        <v>2528</v>
      </c>
      <c r="BM6" s="0" t="s">
        <v>1279</v>
      </c>
      <c r="BN6" s="0" t="s">
        <v>2539</v>
      </c>
      <c r="BO6" s="0" t="s">
        <v>2688</v>
      </c>
      <c r="BQ6" s="0" t="e">
        <f aca="false">#DIV/0!</f>
        <v>#DIV/0!</v>
      </c>
      <c r="BR6" s="0" t="e">
        <f aca="false">#DIV/0!</f>
        <v>#DIV/0!</v>
      </c>
    </row>
    <row r="7" customFormat="false" ht="13.5" hidden="false" customHeight="false" outlineLevel="0" collapsed="false">
      <c r="A7" s="0" t="s">
        <v>2689</v>
      </c>
      <c r="B7" s="0" t="s">
        <v>2690</v>
      </c>
      <c r="C7" s="0" t="s">
        <v>2691</v>
      </c>
      <c r="D7" s="0" t="s">
        <v>2692</v>
      </c>
      <c r="E7" s="0" t="s">
        <v>1898</v>
      </c>
      <c r="F7" s="0" t="s">
        <v>2674</v>
      </c>
      <c r="H7" s="0" t="s">
        <v>2693</v>
      </c>
      <c r="J7" s="0" t="s">
        <v>2694</v>
      </c>
      <c r="K7" s="0" t="s">
        <v>2690</v>
      </c>
      <c r="L7" s="0" t="n">
        <v>69.9</v>
      </c>
      <c r="M7" s="0" t="s">
        <v>2695</v>
      </c>
      <c r="N7" s="0" t="s">
        <v>2622</v>
      </c>
      <c r="P7" s="0" t="s">
        <v>1544</v>
      </c>
      <c r="Q7" s="0" t="n">
        <v>650000</v>
      </c>
      <c r="R7" s="0" t="n">
        <v>9299</v>
      </c>
      <c r="S7" s="0" t="n">
        <v>50.53</v>
      </c>
      <c r="T7" s="0" t="n">
        <v>505300</v>
      </c>
      <c r="U7" s="0" t="n">
        <v>7229</v>
      </c>
      <c r="V7" s="0" t="n">
        <v>0.2</v>
      </c>
      <c r="W7" s="0" t="n">
        <v>40.42</v>
      </c>
      <c r="X7" s="0" t="n">
        <v>404200</v>
      </c>
      <c r="Y7" s="0" t="n">
        <v>2006</v>
      </c>
      <c r="Z7" s="0" t="n">
        <v>5</v>
      </c>
      <c r="AA7" s="0" t="n">
        <v>23</v>
      </c>
      <c r="AB7" s="0" t="n">
        <v>1500</v>
      </c>
      <c r="AC7" s="0" t="s">
        <v>2557</v>
      </c>
      <c r="AE7" s="0" t="s">
        <v>2520</v>
      </c>
      <c r="AF7" s="0" t="s">
        <v>1484</v>
      </c>
      <c r="AG7" s="0" t="s">
        <v>1485</v>
      </c>
      <c r="AH7" s="0" t="s">
        <v>2696</v>
      </c>
      <c r="AI7" s="0" t="s">
        <v>2536</v>
      </c>
      <c r="AK7" s="0" t="n">
        <v>5</v>
      </c>
      <c r="AL7" s="0" t="n">
        <v>67641700</v>
      </c>
      <c r="AN7" s="0" t="s">
        <v>2522</v>
      </c>
      <c r="AP7" s="0" t="s">
        <v>2523</v>
      </c>
      <c r="AQ7" s="0" t="s">
        <v>2538</v>
      </c>
      <c r="AW7" s="0" t="s">
        <v>2551</v>
      </c>
      <c r="AZ7" s="0" t="s">
        <v>2697</v>
      </c>
      <c r="BE7" s="0" t="n">
        <v>13522687447</v>
      </c>
      <c r="BG7" s="3659" t="n">
        <v>38851</v>
      </c>
      <c r="BH7" s="0" t="s">
        <v>2526</v>
      </c>
      <c r="BI7" s="0" t="s">
        <v>2523</v>
      </c>
      <c r="BJ7" s="3659" t="n">
        <v>38855</v>
      </c>
      <c r="BL7" s="0" t="s">
        <v>2528</v>
      </c>
      <c r="BM7" s="0" t="s">
        <v>1279</v>
      </c>
      <c r="BN7" s="0" t="s">
        <v>2529</v>
      </c>
      <c r="BO7" s="0" t="s">
        <v>2659</v>
      </c>
    </row>
    <row r="8" s="3662" customFormat="true" ht="13.5" hidden="false" customHeight="false" outlineLevel="0" collapsed="false">
      <c r="A8" s="3661" t="s">
        <v>2698</v>
      </c>
      <c r="B8" s="3662" t="s">
        <v>2699</v>
      </c>
      <c r="C8" s="3662" t="s">
        <v>2700</v>
      </c>
      <c r="D8" s="3662" t="s">
        <v>2701</v>
      </c>
      <c r="E8" s="3662" t="s">
        <v>1898</v>
      </c>
      <c r="F8" s="3661" t="s">
        <v>2674</v>
      </c>
      <c r="H8" s="3662" t="s">
        <v>1536</v>
      </c>
      <c r="I8" s="3662" t="s">
        <v>2559</v>
      </c>
      <c r="J8" s="3662" t="s">
        <v>2653</v>
      </c>
      <c r="K8" s="3662" t="s">
        <v>2702</v>
      </c>
      <c r="L8" s="3662" t="n">
        <v>53.1</v>
      </c>
      <c r="M8" s="3662" t="n">
        <v>4</v>
      </c>
      <c r="N8" s="3662" t="s">
        <v>1543</v>
      </c>
      <c r="P8" s="3662" t="s">
        <v>1544</v>
      </c>
      <c r="Q8" s="3662" t="n">
        <v>530000</v>
      </c>
      <c r="R8" s="3662" t="n">
        <v>9981</v>
      </c>
      <c r="S8" s="3662" t="n">
        <v>40.3</v>
      </c>
      <c r="T8" s="3662" t="n">
        <v>403000</v>
      </c>
      <c r="U8" s="3662" t="n">
        <v>7591</v>
      </c>
      <c r="V8" s="3662" t="n">
        <v>0.2</v>
      </c>
      <c r="W8" s="3662" t="n">
        <v>32.24</v>
      </c>
      <c r="X8" s="3662" t="n">
        <v>322400</v>
      </c>
      <c r="Y8" s="3662" t="n">
        <v>2006</v>
      </c>
      <c r="Z8" s="3662" t="n">
        <v>8</v>
      </c>
      <c r="AA8" s="3662" t="n">
        <v>22</v>
      </c>
      <c r="AB8" s="3662" t="n">
        <v>1205</v>
      </c>
      <c r="AC8" s="3662" t="s">
        <v>2557</v>
      </c>
      <c r="AD8" s="3662" t="s">
        <v>2703</v>
      </c>
      <c r="AE8" s="3662" t="s">
        <v>2520</v>
      </c>
      <c r="AF8" s="3662" t="s">
        <v>1484</v>
      </c>
      <c r="AG8" s="3662" t="s">
        <v>1485</v>
      </c>
      <c r="AI8" s="3662" t="s">
        <v>2536</v>
      </c>
      <c r="AK8" s="3662" t="n">
        <v>8</v>
      </c>
      <c r="AL8" s="3662" t="n">
        <v>26</v>
      </c>
      <c r="AM8" s="3662" t="s">
        <v>1250</v>
      </c>
      <c r="AN8" s="3662" t="s">
        <v>2545</v>
      </c>
      <c r="AP8" s="3662" t="s">
        <v>2523</v>
      </c>
      <c r="AQ8" s="3662" t="s">
        <v>2567</v>
      </c>
      <c r="AW8" s="3662" t="s">
        <v>2525</v>
      </c>
      <c r="AZ8" s="3662" t="s">
        <v>2702</v>
      </c>
      <c r="BE8" s="3662" t="n">
        <v>13901282943</v>
      </c>
      <c r="BG8" s="3663" t="n">
        <v>38936</v>
      </c>
      <c r="BH8" s="3662" t="s">
        <v>2526</v>
      </c>
      <c r="BI8" s="3662" t="s">
        <v>2523</v>
      </c>
      <c r="BJ8" s="3663" t="n">
        <v>38939</v>
      </c>
      <c r="BL8" s="3662" t="s">
        <v>2528</v>
      </c>
      <c r="BM8" s="3662" t="s">
        <v>1279</v>
      </c>
      <c r="BN8" s="3662" t="s">
        <v>2539</v>
      </c>
      <c r="BO8" s="3662" t="s">
        <v>2659</v>
      </c>
      <c r="BQ8" s="3662" t="e">
        <f aca="false">#DIV/0!</f>
        <v>#DIV/0!</v>
      </c>
      <c r="BR8" s="3662" t="e">
        <f aca="false">#DIV/0!</f>
        <v>#DIV/0!</v>
      </c>
    </row>
    <row r="9" s="1892" customFormat="true" ht="13.5" hidden="false" customHeight="false" outlineLevel="0" collapsed="false">
      <c r="A9" s="1892" t="s">
        <v>2704</v>
      </c>
      <c r="B9" s="1892" t="s">
        <v>2705</v>
      </c>
      <c r="C9" s="1892" t="s">
        <v>2706</v>
      </c>
      <c r="D9" s="1892" t="s">
        <v>2707</v>
      </c>
      <c r="E9" s="1892" t="s">
        <v>1898</v>
      </c>
      <c r="F9" s="1892" t="s">
        <v>2708</v>
      </c>
      <c r="H9" s="1892" t="s">
        <v>2651</v>
      </c>
      <c r="J9" s="1892" t="s">
        <v>2709</v>
      </c>
      <c r="K9" s="1892" t="s">
        <v>2710</v>
      </c>
      <c r="L9" s="1892" t="n">
        <v>55.22</v>
      </c>
      <c r="M9" s="1892" t="n">
        <v>11</v>
      </c>
      <c r="N9" s="1892" t="s">
        <v>1543</v>
      </c>
      <c r="P9" s="1892" t="s">
        <v>1544</v>
      </c>
      <c r="Q9" s="1892" t="n">
        <v>515000</v>
      </c>
      <c r="R9" s="1892" t="n">
        <v>9326</v>
      </c>
      <c r="S9" s="1892" t="n">
        <v>45.16</v>
      </c>
      <c r="T9" s="1892" t="n">
        <v>451600</v>
      </c>
      <c r="U9" s="1892" t="n">
        <v>8179</v>
      </c>
      <c r="V9" s="1892" t="n">
        <v>0.2</v>
      </c>
      <c r="W9" s="1892" t="n">
        <v>36.12</v>
      </c>
      <c r="X9" s="1892" t="n">
        <v>361200</v>
      </c>
      <c r="Y9" s="1892" t="n">
        <v>2006</v>
      </c>
      <c r="Z9" s="1892" t="n">
        <v>10</v>
      </c>
      <c r="AA9" s="1892" t="n">
        <v>24</v>
      </c>
      <c r="AB9" s="1892" t="n">
        <v>1350</v>
      </c>
      <c r="AC9" s="1892" t="s">
        <v>2557</v>
      </c>
      <c r="AD9" s="1892" t="s">
        <v>2711</v>
      </c>
      <c r="AE9" s="1892" t="s">
        <v>2604</v>
      </c>
      <c r="AF9" s="1892" t="s">
        <v>1484</v>
      </c>
      <c r="AG9" s="1892" t="s">
        <v>1485</v>
      </c>
      <c r="AI9" s="1892" t="s">
        <v>2536</v>
      </c>
      <c r="AK9" s="1892" t="s">
        <v>2635</v>
      </c>
      <c r="AL9" s="1892" t="n">
        <v>49</v>
      </c>
      <c r="AN9" s="1892" t="s">
        <v>2522</v>
      </c>
      <c r="AP9" s="1892" t="s">
        <v>2523</v>
      </c>
      <c r="AQ9" s="1892" t="s">
        <v>2567</v>
      </c>
      <c r="AW9" s="1892" t="s">
        <v>2658</v>
      </c>
      <c r="AZ9" s="1892" t="s">
        <v>2710</v>
      </c>
      <c r="BG9" s="3664" t="n">
        <v>38941</v>
      </c>
      <c r="BH9" s="1892" t="s">
        <v>2526</v>
      </c>
      <c r="BI9" s="1892" t="s">
        <v>2523</v>
      </c>
      <c r="BJ9" s="3664" t="n">
        <v>38952</v>
      </c>
      <c r="BL9" s="1892" t="s">
        <v>2528</v>
      </c>
      <c r="BM9" s="1892" t="s">
        <v>1279</v>
      </c>
      <c r="BN9" s="1892" t="s">
        <v>2529</v>
      </c>
      <c r="BO9" s="1892" t="s">
        <v>2712</v>
      </c>
      <c r="BQ9" s="1892" t="e">
        <f aca="false">#DIV/0!</f>
        <v>#DIV/0!</v>
      </c>
      <c r="BR9" s="1892" t="e">
        <f aca="false">#DIV/0!</f>
        <v>#DIV/0!</v>
      </c>
    </row>
    <row r="10" customFormat="false" ht="13.5" hidden="false" customHeight="false" outlineLevel="0" collapsed="false">
      <c r="A10" s="0" t="s">
        <v>2713</v>
      </c>
      <c r="B10" s="0" t="s">
        <v>2714</v>
      </c>
      <c r="C10" s="0" t="s">
        <v>2715</v>
      </c>
      <c r="D10" s="0" t="s">
        <v>2716</v>
      </c>
      <c r="E10" s="0" t="s">
        <v>1898</v>
      </c>
      <c r="F10" s="0" t="s">
        <v>2674</v>
      </c>
      <c r="H10" s="0" t="s">
        <v>2717</v>
      </c>
      <c r="I10" s="0" t="s">
        <v>2573</v>
      </c>
      <c r="J10" s="0" t="s">
        <v>2718</v>
      </c>
      <c r="K10" s="0" t="s">
        <v>2719</v>
      </c>
      <c r="L10" s="0" t="n">
        <v>40.8</v>
      </c>
      <c r="M10" s="0" t="n">
        <v>2</v>
      </c>
      <c r="N10" s="0" t="s">
        <v>2518</v>
      </c>
      <c r="P10" s="0" t="s">
        <v>1544</v>
      </c>
      <c r="Q10" s="0" t="n">
        <v>390000</v>
      </c>
      <c r="R10" s="0" t="n">
        <v>9559</v>
      </c>
      <c r="S10" s="0" t="n">
        <v>32.61</v>
      </c>
      <c r="T10" s="0" t="n">
        <v>326100</v>
      </c>
      <c r="U10" s="0" t="n">
        <v>7993</v>
      </c>
      <c r="V10" s="0" t="n">
        <v>0.2</v>
      </c>
      <c r="W10" s="0" t="n">
        <v>26.08</v>
      </c>
      <c r="X10" s="0" t="n">
        <v>260800</v>
      </c>
      <c r="Y10" s="0" t="n">
        <v>2006</v>
      </c>
      <c r="Z10" s="0" t="n">
        <v>10</v>
      </c>
      <c r="AA10" s="0" t="n">
        <v>19</v>
      </c>
      <c r="AB10" s="0" t="n">
        <v>975</v>
      </c>
      <c r="AC10" s="0" t="s">
        <v>2557</v>
      </c>
      <c r="AD10" s="0" t="s">
        <v>2720</v>
      </c>
      <c r="AE10" s="0" t="s">
        <v>2604</v>
      </c>
      <c r="AF10" s="0" t="s">
        <v>1484</v>
      </c>
      <c r="AG10" s="0" t="s">
        <v>1485</v>
      </c>
      <c r="AI10" s="0" t="s">
        <v>2536</v>
      </c>
      <c r="AK10" s="0" t="s">
        <v>2635</v>
      </c>
      <c r="AL10" s="0" t="n">
        <v>25</v>
      </c>
      <c r="AN10" s="0" t="s">
        <v>2537</v>
      </c>
      <c r="AP10" s="0" t="s">
        <v>2523</v>
      </c>
      <c r="AQ10" s="0" t="s">
        <v>2567</v>
      </c>
      <c r="AW10" s="0" t="s">
        <v>2658</v>
      </c>
      <c r="AZ10" s="0" t="s">
        <v>2719</v>
      </c>
      <c r="BG10" s="3659" t="n">
        <v>38967</v>
      </c>
      <c r="BH10" s="0" t="s">
        <v>2526</v>
      </c>
      <c r="BI10" s="0" t="s">
        <v>2523</v>
      </c>
      <c r="BJ10" s="3659" t="n">
        <v>38979</v>
      </c>
      <c r="BL10" s="0" t="s">
        <v>2528</v>
      </c>
      <c r="BM10" s="0" t="s">
        <v>1279</v>
      </c>
      <c r="BN10" s="0" t="s">
        <v>2529</v>
      </c>
      <c r="BO10" s="0" t="s">
        <v>2712</v>
      </c>
      <c r="BQ10" s="0" t="e">
        <f aca="false">#DIV/0!</f>
        <v>#DIV/0!</v>
      </c>
      <c r="BR10" s="0" t="e">
        <f aca="false">#DIV/0!</f>
        <v>#DIV/0!</v>
      </c>
    </row>
    <row r="11" s="1892" customFormat="true" ht="13.5" hidden="false" customHeight="false" outlineLevel="0" collapsed="false">
      <c r="A11" s="1892" t="s">
        <v>2721</v>
      </c>
      <c r="B11" s="1892" t="s">
        <v>2722</v>
      </c>
      <c r="C11" s="1892" t="s">
        <v>2723</v>
      </c>
      <c r="D11" s="1892" t="s">
        <v>2724</v>
      </c>
      <c r="E11" s="1892" t="s">
        <v>1898</v>
      </c>
      <c r="F11" s="1892" t="s">
        <v>2674</v>
      </c>
      <c r="H11" s="1892" t="s">
        <v>1402</v>
      </c>
      <c r="I11" s="1892" t="s">
        <v>2573</v>
      </c>
      <c r="J11" s="1892" t="s">
        <v>2725</v>
      </c>
      <c r="K11" s="1892" t="s">
        <v>2726</v>
      </c>
      <c r="L11" s="1892" t="n">
        <v>40.6</v>
      </c>
      <c r="M11" s="1892" t="n">
        <v>4</v>
      </c>
      <c r="N11" s="1892" t="s">
        <v>2518</v>
      </c>
      <c r="P11" s="1892" t="s">
        <v>1544</v>
      </c>
      <c r="Q11" s="1892" t="n">
        <v>450000</v>
      </c>
      <c r="R11" s="1892" t="n">
        <v>11084</v>
      </c>
      <c r="S11" s="1892" t="n">
        <v>35.29</v>
      </c>
      <c r="T11" s="1892" t="n">
        <v>352900</v>
      </c>
      <c r="U11" s="1892" t="n">
        <v>8693</v>
      </c>
      <c r="V11" s="1892" t="n">
        <v>0.2</v>
      </c>
      <c r="W11" s="1892" t="n">
        <v>28.23</v>
      </c>
      <c r="X11" s="1892" t="n">
        <v>282300</v>
      </c>
      <c r="Y11" s="1892" t="n">
        <v>2006</v>
      </c>
      <c r="Z11" s="1892" t="n">
        <v>10</v>
      </c>
      <c r="AA11" s="1892" t="n">
        <v>17</v>
      </c>
      <c r="AB11" s="1892" t="n">
        <v>1055</v>
      </c>
      <c r="AC11" s="1892" t="s">
        <v>2557</v>
      </c>
      <c r="AD11" s="1892" t="n">
        <v>91302006091712</v>
      </c>
      <c r="AE11" s="1892" t="s">
        <v>2604</v>
      </c>
      <c r="AF11" s="1892" t="s">
        <v>1484</v>
      </c>
      <c r="AG11" s="1892" t="s">
        <v>1485</v>
      </c>
      <c r="AI11" s="1892" t="s">
        <v>2536</v>
      </c>
      <c r="AK11" s="1892" t="s">
        <v>2635</v>
      </c>
      <c r="AL11" s="1892" t="n">
        <v>35</v>
      </c>
      <c r="AN11" s="1892" t="s">
        <v>2545</v>
      </c>
      <c r="AP11" s="1892" t="s">
        <v>2727</v>
      </c>
      <c r="AQ11" s="1892" t="s">
        <v>2567</v>
      </c>
      <c r="AW11" s="1892" t="s">
        <v>2658</v>
      </c>
      <c r="AZ11" s="1892" t="s">
        <v>2726</v>
      </c>
      <c r="BG11" s="3664" t="n">
        <v>38979</v>
      </c>
      <c r="BH11" s="1892" t="s">
        <v>2526</v>
      </c>
      <c r="BI11" s="1892" t="s">
        <v>2727</v>
      </c>
      <c r="BJ11" s="3664" t="n">
        <v>38986</v>
      </c>
      <c r="BL11" s="1892" t="s">
        <v>2528</v>
      </c>
      <c r="BM11" s="1892" t="s">
        <v>1279</v>
      </c>
      <c r="BN11" s="1892" t="s">
        <v>2529</v>
      </c>
      <c r="BO11" s="1892" t="s">
        <v>2712</v>
      </c>
      <c r="BQ11" s="1892" t="e">
        <f aca="false">#DIV/0!</f>
        <v>#DIV/0!</v>
      </c>
      <c r="BR11" s="1892" t="e">
        <f aca="false">#DIV/0!</f>
        <v>#DIV/0!</v>
      </c>
    </row>
    <row r="12" customFormat="false" ht="13.5" hidden="false" customHeight="false" outlineLevel="0" collapsed="false">
      <c r="A12" s="0" t="s">
        <v>2728</v>
      </c>
      <c r="B12" s="0" t="s">
        <v>2729</v>
      </c>
      <c r="C12" s="0" t="s">
        <v>2730</v>
      </c>
      <c r="D12" s="0" t="s">
        <v>2731</v>
      </c>
      <c r="E12" s="0" t="s">
        <v>1898</v>
      </c>
      <c r="F12" s="0" t="s">
        <v>2732</v>
      </c>
      <c r="H12" s="0" t="s">
        <v>2733</v>
      </c>
      <c r="I12" s="0" t="s">
        <v>2734</v>
      </c>
      <c r="J12" s="0" t="s">
        <v>2735</v>
      </c>
      <c r="K12" s="0" t="s">
        <v>2729</v>
      </c>
      <c r="L12" s="0" t="n">
        <v>53.18</v>
      </c>
      <c r="M12" s="0" t="n">
        <v>1</v>
      </c>
      <c r="N12" s="0" t="s">
        <v>1543</v>
      </c>
      <c r="P12" s="0" t="s">
        <v>1544</v>
      </c>
      <c r="Q12" s="0" t="n">
        <v>600000</v>
      </c>
      <c r="R12" s="0" t="n">
        <v>11282</v>
      </c>
      <c r="S12" s="0" t="n">
        <v>44.32</v>
      </c>
      <c r="T12" s="0" t="n">
        <v>443200</v>
      </c>
      <c r="U12" s="0" t="n">
        <v>8335</v>
      </c>
      <c r="V12" s="0" t="n">
        <v>0.2</v>
      </c>
      <c r="W12" s="0" t="n">
        <v>35.45</v>
      </c>
      <c r="X12" s="0" t="n">
        <v>354500</v>
      </c>
      <c r="Y12" s="0" t="n">
        <v>2006</v>
      </c>
      <c r="Z12" s="0" t="n">
        <v>12</v>
      </c>
      <c r="AA12" s="0" t="n">
        <v>13</v>
      </c>
      <c r="AB12" s="0" t="n">
        <v>1325</v>
      </c>
      <c r="AC12" s="0" t="s">
        <v>2557</v>
      </c>
      <c r="AD12" s="0" t="s">
        <v>2736</v>
      </c>
      <c r="AE12" s="0" t="s">
        <v>2520</v>
      </c>
      <c r="AF12" s="0" t="s">
        <v>1484</v>
      </c>
      <c r="AG12" s="0" t="s">
        <v>1485</v>
      </c>
      <c r="AH12" s="0" t="s">
        <v>2737</v>
      </c>
      <c r="AI12" s="0" t="s">
        <v>2536</v>
      </c>
      <c r="AK12" s="0" t="s">
        <v>2581</v>
      </c>
      <c r="AL12" s="0" t="n">
        <v>25</v>
      </c>
      <c r="AM12" s="0" t="s">
        <v>2738</v>
      </c>
      <c r="AN12" s="0" t="s">
        <v>2522</v>
      </c>
      <c r="AP12" s="0" t="s">
        <v>2523</v>
      </c>
      <c r="AQ12" s="0" t="s">
        <v>2567</v>
      </c>
      <c r="AW12" s="0" t="s">
        <v>2525</v>
      </c>
      <c r="AZ12" s="0" t="s">
        <v>2729</v>
      </c>
      <c r="BE12" s="0" t="n">
        <v>13501233308</v>
      </c>
      <c r="BG12" s="3659" t="n">
        <v>39002</v>
      </c>
      <c r="BH12" s="0" t="s">
        <v>2526</v>
      </c>
      <c r="BI12" s="0" t="s">
        <v>2523</v>
      </c>
      <c r="BJ12" s="3659" t="n">
        <v>39013</v>
      </c>
      <c r="BL12" s="0" t="s">
        <v>2528</v>
      </c>
      <c r="BM12" s="0" t="s">
        <v>1279</v>
      </c>
      <c r="BN12" s="0" t="s">
        <v>2539</v>
      </c>
      <c r="BO12" s="0" t="s">
        <v>2659</v>
      </c>
      <c r="BQ12" s="0" t="e">
        <f aca="false">#DIV/0!</f>
        <v>#DIV/0!</v>
      </c>
      <c r="BR12" s="0" t="e">
        <f aca="false">#DIV/0!</f>
        <v>#DIV/0!</v>
      </c>
    </row>
    <row r="13" s="3662" customFormat="true" ht="13.5" hidden="false" customHeight="false" outlineLevel="0" collapsed="false">
      <c r="A13" s="3661" t="s">
        <v>2739</v>
      </c>
      <c r="B13" s="3662" t="s">
        <v>2740</v>
      </c>
      <c r="C13" s="3662" t="s">
        <v>2741</v>
      </c>
      <c r="D13" s="3662" t="s">
        <v>2742</v>
      </c>
      <c r="E13" s="3662" t="s">
        <v>1898</v>
      </c>
      <c r="F13" s="3662" t="s">
        <v>2743</v>
      </c>
      <c r="H13" s="3662" t="s">
        <v>1402</v>
      </c>
      <c r="I13" s="3662" t="s">
        <v>2573</v>
      </c>
      <c r="J13" s="3662" t="s">
        <v>2744</v>
      </c>
      <c r="K13" s="3662" t="s">
        <v>2745</v>
      </c>
      <c r="L13" s="3662" t="n">
        <v>57.1</v>
      </c>
      <c r="M13" s="3662" t="n">
        <v>2</v>
      </c>
      <c r="N13" s="3662" t="s">
        <v>2746</v>
      </c>
      <c r="P13" s="3662" t="s">
        <v>1544</v>
      </c>
      <c r="Q13" s="3662" t="n">
        <v>570000</v>
      </c>
      <c r="R13" s="3662" t="n">
        <v>9982</v>
      </c>
      <c r="S13" s="3662" t="n">
        <v>47.91</v>
      </c>
      <c r="T13" s="3662" t="n">
        <v>479100</v>
      </c>
      <c r="U13" s="3662" t="n">
        <v>8391</v>
      </c>
      <c r="V13" s="3662" t="n">
        <v>0.2</v>
      </c>
      <c r="W13" s="3662" t="n">
        <v>38.32</v>
      </c>
      <c r="X13" s="3662" t="n">
        <v>383200</v>
      </c>
      <c r="Y13" s="3662" t="n">
        <v>2006</v>
      </c>
      <c r="Z13" s="3662" t="n">
        <v>12</v>
      </c>
      <c r="AA13" s="3662" t="n">
        <v>11</v>
      </c>
      <c r="AB13" s="3662" t="n">
        <v>1435</v>
      </c>
      <c r="AC13" s="3662" t="s">
        <v>2557</v>
      </c>
      <c r="AD13" s="3662" t="s">
        <v>2747</v>
      </c>
      <c r="AE13" s="3662" t="s">
        <v>2520</v>
      </c>
      <c r="AF13" s="3662" t="s">
        <v>1484</v>
      </c>
      <c r="AG13" s="3662" t="s">
        <v>1485</v>
      </c>
      <c r="AH13" s="3662" t="s">
        <v>2748</v>
      </c>
      <c r="AI13" s="3662" t="s">
        <v>2536</v>
      </c>
      <c r="AK13" s="3662" t="s">
        <v>2581</v>
      </c>
      <c r="AL13" s="3662" t="n">
        <v>32</v>
      </c>
      <c r="AN13" s="3662" t="s">
        <v>2522</v>
      </c>
      <c r="AP13" s="3662" t="s">
        <v>2523</v>
      </c>
      <c r="AQ13" s="3662" t="s">
        <v>2567</v>
      </c>
      <c r="AW13" s="3662" t="s">
        <v>2525</v>
      </c>
      <c r="AZ13" s="3662" t="s">
        <v>2745</v>
      </c>
      <c r="BG13" s="3663" t="n">
        <v>39006</v>
      </c>
      <c r="BH13" s="3662" t="s">
        <v>2526</v>
      </c>
      <c r="BI13" s="3662" t="s">
        <v>2523</v>
      </c>
      <c r="BJ13" s="3663" t="n">
        <v>39017</v>
      </c>
      <c r="BL13" s="3662" t="s">
        <v>2528</v>
      </c>
      <c r="BM13" s="3662" t="s">
        <v>1279</v>
      </c>
      <c r="BN13" s="3662" t="s">
        <v>2539</v>
      </c>
      <c r="BO13" s="3662" t="s">
        <v>2659</v>
      </c>
      <c r="BQ13" s="3662" t="e">
        <f aca="false">#DIV/0!</f>
        <v>#DIV/0!</v>
      </c>
      <c r="BR13" s="3662" t="e">
        <f aca="false">#DIV/0!</f>
        <v>#DIV/0!</v>
      </c>
    </row>
    <row r="14" s="3662" customFormat="true" ht="13.5" hidden="false" customHeight="false" outlineLevel="0" collapsed="false">
      <c r="A14" s="3661" t="s">
        <v>2749</v>
      </c>
      <c r="B14" s="3662" t="s">
        <v>2750</v>
      </c>
      <c r="C14" s="3662" t="s">
        <v>2751</v>
      </c>
      <c r="D14" s="3662" t="s">
        <v>2752</v>
      </c>
      <c r="E14" s="3662" t="s">
        <v>1898</v>
      </c>
      <c r="F14" s="3662" t="s">
        <v>2708</v>
      </c>
      <c r="H14" s="3662" t="s">
        <v>2753</v>
      </c>
      <c r="J14" s="3662" t="s">
        <v>2754</v>
      </c>
      <c r="K14" s="3662" t="s">
        <v>2755</v>
      </c>
      <c r="L14" s="3662" t="n">
        <v>70.23</v>
      </c>
      <c r="M14" s="3662" t="n">
        <v>3</v>
      </c>
      <c r="N14" s="3662" t="s">
        <v>2534</v>
      </c>
      <c r="P14" s="3662" t="s">
        <v>1544</v>
      </c>
      <c r="Q14" s="3662" t="n">
        <v>700000</v>
      </c>
      <c r="R14" s="3662" t="n">
        <v>9967</v>
      </c>
      <c r="S14" s="3662" t="n">
        <v>57.17</v>
      </c>
      <c r="T14" s="3662" t="n">
        <v>571700</v>
      </c>
      <c r="U14" s="3662" t="n">
        <v>8141</v>
      </c>
      <c r="V14" s="3662" t="n">
        <v>0.2</v>
      </c>
      <c r="W14" s="3662" t="n">
        <v>45.73</v>
      </c>
      <c r="X14" s="3662" t="n">
        <v>457300</v>
      </c>
      <c r="Y14" s="3662" t="n">
        <v>2006</v>
      </c>
      <c r="Z14" s="3662" t="n">
        <v>11</v>
      </c>
      <c r="AA14" s="3662" t="n">
        <v>17</v>
      </c>
      <c r="AB14" s="3662" t="n">
        <v>1500</v>
      </c>
      <c r="AC14" s="3662" t="s">
        <v>2557</v>
      </c>
      <c r="AD14" s="3662" t="s">
        <v>2756</v>
      </c>
      <c r="AE14" s="3662" t="s">
        <v>2520</v>
      </c>
      <c r="AF14" s="3662" t="s">
        <v>1484</v>
      </c>
      <c r="AG14" s="3662" t="s">
        <v>1485</v>
      </c>
      <c r="AI14" s="3662" t="s">
        <v>2536</v>
      </c>
      <c r="AK14" s="3662" t="s">
        <v>2587</v>
      </c>
      <c r="AL14" s="3662" t="n">
        <v>42</v>
      </c>
      <c r="AN14" s="3662" t="s">
        <v>2522</v>
      </c>
      <c r="AP14" s="3662" t="s">
        <v>2757</v>
      </c>
      <c r="AQ14" s="3662" t="s">
        <v>2538</v>
      </c>
      <c r="AW14" s="3662" t="s">
        <v>2525</v>
      </c>
      <c r="AZ14" s="3662" t="s">
        <v>2755</v>
      </c>
      <c r="BE14" s="3662" t="n">
        <v>62295695</v>
      </c>
      <c r="BG14" s="3663" t="n">
        <v>39001</v>
      </c>
      <c r="BH14" s="3662" t="s">
        <v>2526</v>
      </c>
      <c r="BI14" s="3662" t="s">
        <v>2757</v>
      </c>
      <c r="BJ14" s="3663" t="n">
        <v>39020</v>
      </c>
      <c r="BL14" s="3662" t="s">
        <v>2528</v>
      </c>
      <c r="BM14" s="3662" t="s">
        <v>1279</v>
      </c>
      <c r="BN14" s="3662" t="s">
        <v>2539</v>
      </c>
      <c r="BO14" s="3662" t="s">
        <v>2659</v>
      </c>
      <c r="BQ14" s="3662" t="e">
        <f aca="false">#DIV/0!</f>
        <v>#DIV/0!</v>
      </c>
      <c r="BR14" s="3662" t="e">
        <f aca="false">#DIV/0!</f>
        <v>#DIV/0!</v>
      </c>
    </row>
    <row r="15" customFormat="false" ht="13.5" hidden="false" customHeight="false" outlineLevel="0" collapsed="false">
      <c r="A15" s="0" t="s">
        <v>2758</v>
      </c>
      <c r="B15" s="0" t="s">
        <v>2679</v>
      </c>
      <c r="C15" s="0" t="s">
        <v>2680</v>
      </c>
      <c r="D15" s="0" t="s">
        <v>2681</v>
      </c>
      <c r="E15" s="0" t="s">
        <v>1898</v>
      </c>
      <c r="F15" s="0" t="s">
        <v>2682</v>
      </c>
      <c r="H15" s="0" t="s">
        <v>2618</v>
      </c>
      <c r="J15" s="0" t="s">
        <v>2683</v>
      </c>
      <c r="K15" s="0" t="s">
        <v>2684</v>
      </c>
      <c r="L15" s="0" t="n">
        <v>83.7</v>
      </c>
      <c r="M15" s="0" t="n">
        <v>11</v>
      </c>
      <c r="N15" s="0" t="s">
        <v>2534</v>
      </c>
      <c r="P15" s="0" t="s">
        <v>1544</v>
      </c>
      <c r="Q15" s="0" t="n">
        <v>830000</v>
      </c>
      <c r="R15" s="0" t="n">
        <v>9916</v>
      </c>
      <c r="S15" s="0" t="n">
        <v>71.11</v>
      </c>
      <c r="T15" s="0" t="n">
        <v>711100</v>
      </c>
      <c r="U15" s="0" t="n">
        <v>8496</v>
      </c>
      <c r="V15" s="0" t="n">
        <v>0.2</v>
      </c>
      <c r="W15" s="0" t="n">
        <v>56.88</v>
      </c>
      <c r="X15" s="0" t="n">
        <v>568800</v>
      </c>
      <c r="Y15" s="0" t="n">
        <v>2006</v>
      </c>
      <c r="Z15" s="0" t="n">
        <v>12</v>
      </c>
      <c r="AA15" s="0" t="n">
        <v>25</v>
      </c>
      <c r="AB15" s="0" t="n">
        <v>1500</v>
      </c>
      <c r="AC15" s="0" t="s">
        <v>2557</v>
      </c>
      <c r="AD15" s="0" t="s">
        <v>2685</v>
      </c>
      <c r="AE15" s="0" t="s">
        <v>2520</v>
      </c>
      <c r="AF15" s="0" t="s">
        <v>1484</v>
      </c>
      <c r="AG15" s="0" t="s">
        <v>1485</v>
      </c>
      <c r="AH15" s="0" t="s">
        <v>2686</v>
      </c>
      <c r="AI15" s="0" t="s">
        <v>2536</v>
      </c>
      <c r="AK15" s="0" t="s">
        <v>2581</v>
      </c>
      <c r="AL15" s="0" t="n">
        <v>46</v>
      </c>
      <c r="AN15" s="0" t="s">
        <v>2566</v>
      </c>
      <c r="AP15" s="0" t="s">
        <v>2523</v>
      </c>
      <c r="AQ15" s="0" t="s">
        <v>2567</v>
      </c>
      <c r="AW15" s="0" t="s">
        <v>2525</v>
      </c>
      <c r="AZ15" s="0" t="s">
        <v>2684</v>
      </c>
      <c r="BE15" s="0" t="s">
        <v>2687</v>
      </c>
      <c r="BG15" s="3659" t="n">
        <v>38990</v>
      </c>
      <c r="BH15" s="0" t="s">
        <v>2526</v>
      </c>
      <c r="BI15" s="0" t="s">
        <v>2523</v>
      </c>
      <c r="BJ15" s="3659" t="n">
        <v>39048</v>
      </c>
      <c r="BL15" s="0" t="s">
        <v>2528</v>
      </c>
      <c r="BM15" s="0" t="s">
        <v>1279</v>
      </c>
      <c r="BN15" s="0" t="s">
        <v>2539</v>
      </c>
      <c r="BO15" s="0" t="s">
        <v>2688</v>
      </c>
      <c r="BQ15" s="0" t="e">
        <f aca="false">#DIV/0!</f>
        <v>#DIV/0!</v>
      </c>
      <c r="BR15" s="0" t="e">
        <f aca="false">#DIV/0!</f>
        <v>#DIV/0!</v>
      </c>
    </row>
    <row r="16" customFormat="false" ht="13.5" hidden="false" customHeight="false" outlineLevel="0" collapsed="false">
      <c r="A16" s="0" t="s">
        <v>2759</v>
      </c>
      <c r="B16" s="0" t="s">
        <v>2760</v>
      </c>
      <c r="C16" s="0" t="s">
        <v>2761</v>
      </c>
      <c r="D16" s="0" t="s">
        <v>2762</v>
      </c>
      <c r="E16" s="0" t="s">
        <v>1898</v>
      </c>
      <c r="F16" s="0" t="s">
        <v>2763</v>
      </c>
      <c r="H16" s="0" t="s">
        <v>1250</v>
      </c>
      <c r="I16" s="0" t="s">
        <v>2764</v>
      </c>
      <c r="J16" s="0" t="s">
        <v>2765</v>
      </c>
      <c r="K16" s="0" t="s">
        <v>2766</v>
      </c>
      <c r="L16" s="0" t="n">
        <v>38.66</v>
      </c>
      <c r="M16" s="0" t="n">
        <v>7</v>
      </c>
      <c r="N16" s="0" t="s">
        <v>2579</v>
      </c>
      <c r="O16" s="0" t="n">
        <v>27.83</v>
      </c>
      <c r="P16" s="0" t="s">
        <v>1544</v>
      </c>
      <c r="Q16" s="0" t="n">
        <v>382579</v>
      </c>
      <c r="R16" s="0" t="n">
        <v>9896</v>
      </c>
      <c r="S16" s="0" t="n">
        <v>37.96</v>
      </c>
      <c r="T16" s="0" t="n">
        <v>379600</v>
      </c>
      <c r="U16" s="0" t="n">
        <v>9820</v>
      </c>
      <c r="V16" s="0" t="n">
        <v>0.1</v>
      </c>
      <c r="W16" s="0" t="n">
        <v>34.16</v>
      </c>
      <c r="X16" s="0" t="n">
        <v>341600</v>
      </c>
      <c r="Y16" s="0" t="n">
        <v>2006</v>
      </c>
      <c r="Z16" s="0" t="n">
        <v>2</v>
      </c>
      <c r="AA16" s="0" t="n">
        <v>9</v>
      </c>
      <c r="AB16" s="0" t="n">
        <v>1135</v>
      </c>
      <c r="AC16" s="0" t="s">
        <v>2767</v>
      </c>
      <c r="AE16" s="0" t="s">
        <v>1504</v>
      </c>
      <c r="AF16" s="0" t="s">
        <v>1408</v>
      </c>
      <c r="AG16" s="0" t="s">
        <v>1485</v>
      </c>
      <c r="AI16" s="0" t="s">
        <v>2604</v>
      </c>
      <c r="AJ16" s="0" t="n">
        <v>38898</v>
      </c>
      <c r="AK16" s="0" t="s">
        <v>2537</v>
      </c>
      <c r="AL16" s="0" t="n">
        <v>82253558</v>
      </c>
      <c r="AN16" s="0" t="s">
        <v>2521</v>
      </c>
      <c r="AP16" s="0" t="s">
        <v>2546</v>
      </c>
      <c r="AQ16" s="0" t="s">
        <v>2538</v>
      </c>
      <c r="AW16" s="0" t="s">
        <v>2562</v>
      </c>
      <c r="AX16" s="0" t="s">
        <v>2596</v>
      </c>
      <c r="AY16" s="0" t="s">
        <v>2768</v>
      </c>
      <c r="AZ16" s="0" t="s">
        <v>1250</v>
      </c>
      <c r="BA16" s="0" t="s">
        <v>1250</v>
      </c>
      <c r="BB16" s="0" t="s">
        <v>1250</v>
      </c>
      <c r="BC16" s="0" t="s">
        <v>1250</v>
      </c>
      <c r="BD16" s="0" t="s">
        <v>1250</v>
      </c>
      <c r="BE16" s="0" t="s">
        <v>1250</v>
      </c>
      <c r="BF16" s="0" t="s">
        <v>1250</v>
      </c>
      <c r="BG16" s="3659" t="n">
        <v>38713</v>
      </c>
      <c r="BI16" s="0" t="s">
        <v>2769</v>
      </c>
      <c r="BJ16" s="3659" t="n">
        <v>38757</v>
      </c>
      <c r="BK16" s="0" t="s">
        <v>1250</v>
      </c>
      <c r="BL16" s="0" t="s">
        <v>2599</v>
      </c>
      <c r="BQ16" s="0" t="n">
        <v>13640</v>
      </c>
      <c r="BR16" s="0" t="n">
        <v>13747</v>
      </c>
    </row>
    <row r="17" customFormat="false" ht="13.5" hidden="false" customHeight="false" outlineLevel="0" collapsed="false">
      <c r="A17" s="0" t="s">
        <v>2770</v>
      </c>
      <c r="B17" s="0" t="s">
        <v>2771</v>
      </c>
      <c r="C17" s="0" t="s">
        <v>2772</v>
      </c>
      <c r="D17" s="0" t="s">
        <v>2773</v>
      </c>
      <c r="E17" s="0" t="s">
        <v>1898</v>
      </c>
      <c r="F17" s="0" t="s">
        <v>2763</v>
      </c>
      <c r="H17" s="0" t="s">
        <v>1250</v>
      </c>
      <c r="J17" s="0" t="s">
        <v>2774</v>
      </c>
      <c r="K17" s="0" t="s">
        <v>2766</v>
      </c>
      <c r="L17" s="0" t="n">
        <v>53.04</v>
      </c>
      <c r="M17" s="0" t="n">
        <v>6</v>
      </c>
      <c r="N17" s="0" t="s">
        <v>2579</v>
      </c>
      <c r="O17" s="0" t="n">
        <v>38.18</v>
      </c>
      <c r="P17" s="0" t="s">
        <v>1544</v>
      </c>
      <c r="Q17" s="0" t="n">
        <v>509396</v>
      </c>
      <c r="R17" s="0" t="n">
        <v>9604</v>
      </c>
      <c r="S17" s="0" t="n">
        <v>50.6</v>
      </c>
      <c r="T17" s="0" t="n">
        <v>506000</v>
      </c>
      <c r="U17" s="0" t="n">
        <v>9540</v>
      </c>
      <c r="V17" s="0" t="n">
        <v>0.1</v>
      </c>
      <c r="W17" s="0" t="n">
        <v>45.54</v>
      </c>
      <c r="X17" s="0" t="n">
        <v>455400</v>
      </c>
      <c r="Y17" s="0" t="n">
        <v>2006</v>
      </c>
      <c r="Z17" s="0" t="n">
        <v>2</v>
      </c>
      <c r="AA17" s="0" t="n">
        <v>9</v>
      </c>
      <c r="AB17" s="0" t="n">
        <v>1500</v>
      </c>
      <c r="AC17" s="0" t="s">
        <v>2767</v>
      </c>
      <c r="AE17" s="0" t="s">
        <v>1504</v>
      </c>
      <c r="AF17" s="0" t="s">
        <v>1408</v>
      </c>
      <c r="AG17" s="0" t="s">
        <v>1485</v>
      </c>
      <c r="AI17" s="0" t="s">
        <v>2604</v>
      </c>
      <c r="AJ17" s="0" t="n">
        <v>38898</v>
      </c>
      <c r="AK17" s="0" t="s">
        <v>2537</v>
      </c>
      <c r="AL17" s="0" t="n">
        <v>82253558</v>
      </c>
      <c r="AN17" s="0" t="s">
        <v>2521</v>
      </c>
      <c r="AP17" s="0" t="s">
        <v>2546</v>
      </c>
      <c r="AQ17" s="0" t="s">
        <v>2538</v>
      </c>
      <c r="AW17" s="0" t="s">
        <v>2562</v>
      </c>
      <c r="AX17" s="0" t="s">
        <v>2596</v>
      </c>
      <c r="AY17" s="0" t="s">
        <v>2775</v>
      </c>
      <c r="AZ17" s="0" t="s">
        <v>1250</v>
      </c>
      <c r="BA17" s="0" t="s">
        <v>1250</v>
      </c>
      <c r="BB17" s="0" t="s">
        <v>1250</v>
      </c>
      <c r="BC17" s="0" t="s">
        <v>1250</v>
      </c>
      <c r="BD17" s="0" t="s">
        <v>1250</v>
      </c>
      <c r="BE17" s="0" t="s">
        <v>1250</v>
      </c>
      <c r="BF17" s="0" t="s">
        <v>1250</v>
      </c>
      <c r="BG17" s="3659" t="n">
        <v>38710</v>
      </c>
      <c r="BI17" s="0" t="s">
        <v>2769</v>
      </c>
      <c r="BJ17" s="3659" t="n">
        <v>38757</v>
      </c>
      <c r="BK17" s="0" t="s">
        <v>1250</v>
      </c>
      <c r="BL17" s="0" t="s">
        <v>2599</v>
      </c>
      <c r="BQ17" s="0" t="n">
        <v>13253</v>
      </c>
      <c r="BR17" s="0" t="n">
        <v>13342</v>
      </c>
    </row>
    <row r="18" customFormat="false" ht="13.5" hidden="false" customHeight="false" outlineLevel="0" collapsed="false">
      <c r="A18" s="0" t="s">
        <v>2776</v>
      </c>
      <c r="B18" s="0" t="s">
        <v>2777</v>
      </c>
      <c r="C18" s="0" t="s">
        <v>2778</v>
      </c>
      <c r="D18" s="0" t="s">
        <v>2779</v>
      </c>
      <c r="E18" s="0" t="s">
        <v>1898</v>
      </c>
      <c r="F18" s="0" t="s">
        <v>2763</v>
      </c>
      <c r="H18" s="0" t="s">
        <v>1250</v>
      </c>
      <c r="I18" s="0" t="s">
        <v>2764</v>
      </c>
      <c r="J18" s="0" t="s">
        <v>2780</v>
      </c>
      <c r="K18" s="0" t="s">
        <v>2766</v>
      </c>
      <c r="L18" s="0" t="n">
        <v>53.04</v>
      </c>
      <c r="M18" s="0" t="n">
        <v>7</v>
      </c>
      <c r="N18" s="0" t="s">
        <v>2579</v>
      </c>
      <c r="O18" s="0" t="n">
        <v>38.18</v>
      </c>
      <c r="P18" s="0" t="s">
        <v>1544</v>
      </c>
      <c r="Q18" s="0" t="n">
        <v>545838</v>
      </c>
      <c r="R18" s="0" t="n">
        <v>10291</v>
      </c>
      <c r="S18" s="0" t="n">
        <v>54.15</v>
      </c>
      <c r="T18" s="0" t="n">
        <v>541500</v>
      </c>
      <c r="U18" s="0" t="n">
        <v>10210</v>
      </c>
      <c r="V18" s="0" t="n">
        <v>0.2</v>
      </c>
      <c r="W18" s="0" t="n">
        <v>43.32</v>
      </c>
      <c r="X18" s="0" t="n">
        <v>433200</v>
      </c>
      <c r="Y18" s="0" t="n">
        <v>2006</v>
      </c>
      <c r="Z18" s="0" t="n">
        <v>5</v>
      </c>
      <c r="AA18" s="0" t="n">
        <v>12</v>
      </c>
      <c r="AB18" s="0" t="n">
        <v>1500</v>
      </c>
      <c r="AC18" s="0" t="s">
        <v>2665</v>
      </c>
      <c r="AE18" s="0" t="s">
        <v>1504</v>
      </c>
      <c r="AF18" s="0" t="s">
        <v>2781</v>
      </c>
      <c r="AG18" s="0" t="s">
        <v>1485</v>
      </c>
      <c r="AI18" s="0" t="s">
        <v>2604</v>
      </c>
      <c r="AJ18" s="0" t="n">
        <v>38898</v>
      </c>
      <c r="AK18" s="0" t="n">
        <v>5</v>
      </c>
      <c r="AL18" s="0" t="n">
        <v>82253558</v>
      </c>
      <c r="AN18" s="0" t="s">
        <v>2521</v>
      </c>
      <c r="AP18" s="0" t="s">
        <v>2546</v>
      </c>
      <c r="AQ18" s="0" t="s">
        <v>2538</v>
      </c>
      <c r="AW18" s="0" t="s">
        <v>2562</v>
      </c>
      <c r="AX18" s="0" t="s">
        <v>2596</v>
      </c>
      <c r="AY18" s="0" t="s">
        <v>2782</v>
      </c>
      <c r="AZ18" s="0" t="s">
        <v>1250</v>
      </c>
      <c r="BA18" s="0" t="s">
        <v>1250</v>
      </c>
      <c r="BB18" s="0" t="s">
        <v>1250</v>
      </c>
      <c r="BC18" s="0" t="s">
        <v>1250</v>
      </c>
      <c r="BD18" s="0" t="s">
        <v>1250</v>
      </c>
      <c r="BE18" s="0" t="s">
        <v>1250</v>
      </c>
      <c r="BF18" s="0" t="s">
        <v>1250</v>
      </c>
      <c r="BG18" s="3659" t="n">
        <v>38825</v>
      </c>
      <c r="BI18" s="0" t="s">
        <v>2520</v>
      </c>
      <c r="BJ18" s="3659" t="n">
        <v>38848</v>
      </c>
      <c r="BK18" s="0" t="s">
        <v>1250</v>
      </c>
      <c r="BL18" s="0" t="s">
        <v>2599</v>
      </c>
      <c r="BQ18" s="0" t="n">
        <v>14183</v>
      </c>
      <c r="BR18" s="0" t="n">
        <v>14296</v>
      </c>
    </row>
    <row r="19" customFormat="false" ht="13.5" hidden="false" customHeight="false" outlineLevel="0" collapsed="false">
      <c r="A19" s="0" t="s">
        <v>2783</v>
      </c>
      <c r="B19" s="0" t="s">
        <v>2784</v>
      </c>
      <c r="C19" s="0" t="s">
        <v>2785</v>
      </c>
      <c r="D19" s="0" t="n">
        <v>13611359476</v>
      </c>
      <c r="E19" s="0" t="s">
        <v>1898</v>
      </c>
      <c r="F19" s="0" t="s">
        <v>2763</v>
      </c>
      <c r="H19" s="0" t="s">
        <v>1250</v>
      </c>
      <c r="J19" s="0" t="s">
        <v>2786</v>
      </c>
      <c r="K19" s="0" t="s">
        <v>2766</v>
      </c>
      <c r="L19" s="0" t="n">
        <v>38.63</v>
      </c>
      <c r="M19" s="0" t="n">
        <v>9</v>
      </c>
      <c r="N19" s="0" t="s">
        <v>2579</v>
      </c>
      <c r="O19" s="0" t="n">
        <v>27.81</v>
      </c>
      <c r="P19" s="0" t="s">
        <v>1544</v>
      </c>
      <c r="Q19" s="0" t="n">
        <v>374556</v>
      </c>
      <c r="R19" s="0" t="n">
        <v>9696</v>
      </c>
      <c r="S19" s="0" t="n">
        <v>37.08</v>
      </c>
      <c r="T19" s="0" t="n">
        <v>370800</v>
      </c>
      <c r="U19" s="0" t="n">
        <v>9600</v>
      </c>
      <c r="V19" s="0" t="n">
        <v>0.1</v>
      </c>
      <c r="W19" s="0" t="n">
        <v>33.37</v>
      </c>
      <c r="X19" s="0" t="n">
        <v>333700</v>
      </c>
      <c r="Y19" s="0" t="n">
        <v>2006</v>
      </c>
      <c r="Z19" s="0" t="n">
        <v>1</v>
      </c>
      <c r="AA19" s="0" t="n">
        <v>9</v>
      </c>
      <c r="AB19" s="0" t="n">
        <v>1110</v>
      </c>
      <c r="AC19" s="0" t="s">
        <v>2594</v>
      </c>
      <c r="AE19" s="0" t="s">
        <v>188</v>
      </c>
      <c r="AF19" s="0" t="s">
        <v>1408</v>
      </c>
      <c r="AG19" s="0" t="s">
        <v>1485</v>
      </c>
      <c r="AI19" s="0" t="s">
        <v>2536</v>
      </c>
      <c r="AJ19" s="0" t="n">
        <v>38898</v>
      </c>
      <c r="AK19" s="0" t="s">
        <v>2521</v>
      </c>
      <c r="AL19" s="0" t="n">
        <v>67641700</v>
      </c>
      <c r="AN19" s="0" t="s">
        <v>2537</v>
      </c>
      <c r="AP19" s="0" t="s">
        <v>2523</v>
      </c>
      <c r="AQ19" s="0" t="s">
        <v>2538</v>
      </c>
      <c r="AW19" s="0" t="s">
        <v>2562</v>
      </c>
      <c r="AX19" s="0" t="s">
        <v>2596</v>
      </c>
      <c r="AY19" s="0" t="s">
        <v>2787</v>
      </c>
      <c r="AZ19" s="0" t="s">
        <v>2766</v>
      </c>
      <c r="BA19" s="0" t="s">
        <v>2788</v>
      </c>
      <c r="BB19" s="0" t="s">
        <v>2789</v>
      </c>
      <c r="BC19" s="0" t="s">
        <v>2790</v>
      </c>
      <c r="BD19" s="0" t="n">
        <v>100810</v>
      </c>
      <c r="BE19" s="0" t="n">
        <v>82058181</v>
      </c>
      <c r="BF19" s="0" t="n">
        <v>2.7</v>
      </c>
      <c r="BG19" s="3659" t="n">
        <v>38710</v>
      </c>
      <c r="BI19" s="0" t="s">
        <v>2598</v>
      </c>
      <c r="BJ19" s="3659" t="n">
        <v>38723</v>
      </c>
      <c r="BK19" s="0" t="s">
        <v>1250</v>
      </c>
      <c r="BL19" s="0" t="s">
        <v>2599</v>
      </c>
      <c r="BQ19" s="0" t="n">
        <v>13333</v>
      </c>
      <c r="BR19" s="0" t="n">
        <v>13468</v>
      </c>
    </row>
    <row r="20" customFormat="false" ht="13.5" hidden="false" customHeight="false" outlineLevel="0" collapsed="false">
      <c r="A20" s="0" t="s">
        <v>2791</v>
      </c>
      <c r="B20" s="0" t="s">
        <v>2792</v>
      </c>
      <c r="C20" s="0" t="s">
        <v>2793</v>
      </c>
      <c r="D20" s="0" t="n">
        <v>13552848876</v>
      </c>
      <c r="E20" s="0" t="s">
        <v>1898</v>
      </c>
      <c r="F20" s="0" t="s">
        <v>2763</v>
      </c>
      <c r="H20" s="0" t="s">
        <v>1250</v>
      </c>
      <c r="J20" s="0" t="s">
        <v>2794</v>
      </c>
      <c r="K20" s="0" t="s">
        <v>2766</v>
      </c>
      <c r="L20" s="0" t="n">
        <v>38.66</v>
      </c>
      <c r="M20" s="0" t="n">
        <v>5</v>
      </c>
      <c r="N20" s="0" t="s">
        <v>2579</v>
      </c>
      <c r="O20" s="0" t="n">
        <v>27.83</v>
      </c>
      <c r="P20" s="0" t="s">
        <v>1544</v>
      </c>
      <c r="Q20" s="0" t="n">
        <v>371139</v>
      </c>
      <c r="R20" s="0" t="n">
        <v>9600</v>
      </c>
      <c r="S20" s="0" t="n">
        <v>36.82</v>
      </c>
      <c r="T20" s="0" t="n">
        <v>368200</v>
      </c>
      <c r="U20" s="0" t="n">
        <v>9525</v>
      </c>
      <c r="V20" s="0" t="n">
        <v>0.1</v>
      </c>
      <c r="W20" s="0" t="n">
        <v>33.13</v>
      </c>
      <c r="X20" s="0" t="n">
        <v>331300</v>
      </c>
      <c r="Y20" s="0" t="n">
        <v>2006</v>
      </c>
      <c r="Z20" s="0" t="n">
        <v>1</v>
      </c>
      <c r="AA20" s="0" t="n">
        <v>10</v>
      </c>
      <c r="AB20" s="0" t="n">
        <v>1100</v>
      </c>
      <c r="AC20" s="0" t="s">
        <v>2795</v>
      </c>
      <c r="AE20" s="0" t="s">
        <v>188</v>
      </c>
      <c r="AF20" s="0" t="s">
        <v>2595</v>
      </c>
      <c r="AG20" s="0" t="s">
        <v>1485</v>
      </c>
      <c r="AI20" s="0" t="s">
        <v>2536</v>
      </c>
      <c r="AJ20" s="0" t="n">
        <v>38898</v>
      </c>
      <c r="AK20" s="0" t="s">
        <v>2521</v>
      </c>
      <c r="AL20" s="0" t="n">
        <v>67641700</v>
      </c>
      <c r="AN20" s="0" t="s">
        <v>2537</v>
      </c>
      <c r="AP20" s="0" t="s">
        <v>2523</v>
      </c>
      <c r="AQ20" s="0" t="s">
        <v>2538</v>
      </c>
      <c r="AW20" s="0" t="s">
        <v>2562</v>
      </c>
      <c r="AX20" s="0" t="s">
        <v>2596</v>
      </c>
      <c r="AY20" s="0" t="s">
        <v>2796</v>
      </c>
      <c r="BG20" s="3659" t="n">
        <v>38703</v>
      </c>
      <c r="BI20" s="0" t="s">
        <v>2552</v>
      </c>
      <c r="BJ20" s="3659" t="n">
        <v>38726</v>
      </c>
      <c r="BK20" s="0" t="s">
        <v>1250</v>
      </c>
      <c r="BQ20" s="0" t="n">
        <v>13232</v>
      </c>
      <c r="BR20" s="0" t="n">
        <v>13336</v>
      </c>
    </row>
    <row r="21" customFormat="false" ht="13.5" hidden="false" customHeight="false" outlineLevel="0" collapsed="false">
      <c r="A21" s="0" t="s">
        <v>2797</v>
      </c>
      <c r="B21" s="0" t="s">
        <v>2798</v>
      </c>
      <c r="C21" s="0" t="s">
        <v>2799</v>
      </c>
      <c r="D21" s="0" t="n">
        <v>13901251377</v>
      </c>
      <c r="E21" s="0" t="s">
        <v>1898</v>
      </c>
      <c r="F21" s="0" t="s">
        <v>2763</v>
      </c>
      <c r="H21" s="0" t="s">
        <v>1250</v>
      </c>
      <c r="J21" s="0" t="s">
        <v>2800</v>
      </c>
      <c r="K21" s="0" t="s">
        <v>2766</v>
      </c>
      <c r="L21" s="0" t="n">
        <v>40.53</v>
      </c>
      <c r="M21" s="0" t="n">
        <v>4</v>
      </c>
      <c r="N21" s="0" t="s">
        <v>2579</v>
      </c>
      <c r="O21" s="0" t="n">
        <v>29.18</v>
      </c>
      <c r="P21" s="0" t="s">
        <v>1544</v>
      </c>
      <c r="Q21" s="0" t="n">
        <v>377578</v>
      </c>
      <c r="R21" s="0" t="n">
        <v>9316</v>
      </c>
      <c r="S21" s="0" t="n">
        <v>37.49</v>
      </c>
      <c r="T21" s="0" t="n">
        <v>374900</v>
      </c>
      <c r="U21" s="0" t="n">
        <v>9250</v>
      </c>
      <c r="V21" s="0" t="n">
        <v>0.1</v>
      </c>
      <c r="W21" s="0" t="n">
        <v>33.74</v>
      </c>
      <c r="X21" s="0" t="n">
        <v>337400</v>
      </c>
      <c r="Y21" s="0" t="n">
        <v>2006</v>
      </c>
      <c r="Z21" s="0" t="n">
        <v>1</v>
      </c>
      <c r="AA21" s="0" t="n">
        <v>12</v>
      </c>
      <c r="AB21" s="0" t="n">
        <v>1120</v>
      </c>
      <c r="AC21" s="0" t="s">
        <v>2801</v>
      </c>
      <c r="AE21" s="0" t="s">
        <v>188</v>
      </c>
      <c r="AF21" s="0" t="s">
        <v>1408</v>
      </c>
      <c r="AG21" s="0" t="s">
        <v>1485</v>
      </c>
      <c r="AI21" s="0" t="s">
        <v>2536</v>
      </c>
      <c r="AJ21" s="0" t="n">
        <v>38898</v>
      </c>
      <c r="AK21" s="0" t="s">
        <v>2521</v>
      </c>
      <c r="AL21" s="0" t="n">
        <v>67641700</v>
      </c>
      <c r="AN21" s="0" t="s">
        <v>2537</v>
      </c>
      <c r="AP21" s="0" t="s">
        <v>2523</v>
      </c>
      <c r="AQ21" s="0" t="s">
        <v>2538</v>
      </c>
      <c r="AW21" s="0" t="s">
        <v>2562</v>
      </c>
      <c r="AX21" s="0" t="s">
        <v>2596</v>
      </c>
      <c r="AY21" s="0" t="s">
        <v>2802</v>
      </c>
      <c r="BG21" s="3659" t="n">
        <v>38709</v>
      </c>
      <c r="BI21" s="0" t="s">
        <v>2803</v>
      </c>
      <c r="BJ21" s="3659" t="n">
        <v>38726</v>
      </c>
      <c r="BK21" s="0" t="s">
        <v>1250</v>
      </c>
      <c r="BL21" s="0" t="s">
        <v>2599</v>
      </c>
      <c r="BQ21" s="0" t="n">
        <v>12848</v>
      </c>
      <c r="BR21" s="0" t="n">
        <v>12940</v>
      </c>
    </row>
    <row r="22" customFormat="false" ht="13.5" hidden="false" customHeight="false" outlineLevel="0" collapsed="false">
      <c r="A22" s="0" t="s">
        <v>2804</v>
      </c>
      <c r="B22" s="0" t="s">
        <v>2805</v>
      </c>
      <c r="C22" s="0" t="s">
        <v>2806</v>
      </c>
      <c r="D22" s="0" t="s">
        <v>2807</v>
      </c>
      <c r="E22" s="0" t="s">
        <v>1898</v>
      </c>
      <c r="F22" s="0" t="s">
        <v>2763</v>
      </c>
      <c r="H22" s="0" t="s">
        <v>1250</v>
      </c>
      <c r="J22" s="0" t="s">
        <v>2808</v>
      </c>
      <c r="K22" s="0" t="s">
        <v>2766</v>
      </c>
      <c r="L22" s="0" t="n">
        <v>40.53</v>
      </c>
      <c r="M22" s="0" t="n">
        <v>13</v>
      </c>
      <c r="N22" s="0" t="s">
        <v>2579</v>
      </c>
      <c r="O22" s="0" t="n">
        <v>29.18</v>
      </c>
      <c r="P22" s="0" t="s">
        <v>1544</v>
      </c>
      <c r="Q22" s="0" t="n">
        <v>404814</v>
      </c>
      <c r="R22" s="0" t="n">
        <v>9988</v>
      </c>
      <c r="S22" s="0" t="n">
        <v>40.2</v>
      </c>
      <c r="T22" s="0" t="n">
        <v>402000</v>
      </c>
      <c r="U22" s="0" t="n">
        <v>9920</v>
      </c>
      <c r="V22" s="0" t="n">
        <v>0.1</v>
      </c>
      <c r="W22" s="0" t="n">
        <v>36.18</v>
      </c>
      <c r="X22" s="0" t="n">
        <v>361800</v>
      </c>
      <c r="Y22" s="0" t="n">
        <v>2006</v>
      </c>
      <c r="Z22" s="0" t="n">
        <v>1</v>
      </c>
      <c r="AA22" s="0" t="n">
        <v>18</v>
      </c>
      <c r="AB22" s="0" t="n">
        <v>1205</v>
      </c>
      <c r="AC22" s="0" t="s">
        <v>2809</v>
      </c>
      <c r="AE22" s="0" t="s">
        <v>188</v>
      </c>
      <c r="AF22" s="0" t="s">
        <v>1408</v>
      </c>
      <c r="AG22" s="0" t="s">
        <v>1485</v>
      </c>
      <c r="AI22" s="0" t="s">
        <v>2536</v>
      </c>
      <c r="AJ22" s="0" t="n">
        <v>38898</v>
      </c>
      <c r="AK22" s="0" t="s">
        <v>2521</v>
      </c>
      <c r="AL22" s="0" t="n">
        <v>67641700</v>
      </c>
      <c r="AN22" s="0" t="s">
        <v>2522</v>
      </c>
      <c r="AP22" s="0" t="s">
        <v>2523</v>
      </c>
      <c r="AQ22" s="0" t="s">
        <v>2538</v>
      </c>
      <c r="AW22" s="0" t="s">
        <v>2562</v>
      </c>
      <c r="AX22" s="0" t="s">
        <v>2596</v>
      </c>
      <c r="AY22" s="0" t="s">
        <v>2810</v>
      </c>
      <c r="AZ22" s="0" t="s">
        <v>1250</v>
      </c>
      <c r="BA22" s="0" t="s">
        <v>1250</v>
      </c>
      <c r="BB22" s="0" t="s">
        <v>1250</v>
      </c>
      <c r="BC22" s="0" t="s">
        <v>1250</v>
      </c>
      <c r="BD22" s="0" t="s">
        <v>1250</v>
      </c>
      <c r="BE22" s="0" t="s">
        <v>1250</v>
      </c>
      <c r="BF22" s="0" t="s">
        <v>1250</v>
      </c>
      <c r="BG22" s="3659" t="n">
        <v>38711</v>
      </c>
      <c r="BI22" s="0" t="s">
        <v>2598</v>
      </c>
      <c r="BJ22" s="3659" t="n">
        <v>38733</v>
      </c>
      <c r="BK22" s="0" t="s">
        <v>1250</v>
      </c>
      <c r="BL22" s="0" t="s">
        <v>2599</v>
      </c>
      <c r="BQ22" s="0" t="n">
        <v>13777</v>
      </c>
      <c r="BR22" s="0" t="n">
        <v>13873</v>
      </c>
    </row>
    <row r="23" customFormat="false" ht="13.5" hidden="false" customHeight="false" outlineLevel="0" collapsed="false">
      <c r="A23" s="0" t="s">
        <v>2811</v>
      </c>
      <c r="B23" s="0" t="s">
        <v>2812</v>
      </c>
      <c r="C23" s="0" t="s">
        <v>2813</v>
      </c>
      <c r="D23" s="0" t="s">
        <v>2814</v>
      </c>
      <c r="E23" s="0" t="s">
        <v>1898</v>
      </c>
      <c r="F23" s="0" t="s">
        <v>2763</v>
      </c>
      <c r="H23" s="0" t="s">
        <v>1250</v>
      </c>
      <c r="J23" s="0" t="s">
        <v>2815</v>
      </c>
      <c r="K23" s="0" t="s">
        <v>2766</v>
      </c>
      <c r="L23" s="0" t="n">
        <v>69.95</v>
      </c>
      <c r="M23" s="0" t="n">
        <v>8</v>
      </c>
      <c r="N23" s="0" t="s">
        <v>2579</v>
      </c>
      <c r="O23" s="0" t="n">
        <v>50.35</v>
      </c>
      <c r="P23" s="0" t="s">
        <v>1544</v>
      </c>
      <c r="Q23" s="0" t="n">
        <v>646058</v>
      </c>
      <c r="R23" s="0" t="n">
        <v>9236</v>
      </c>
      <c r="S23" s="0" t="n">
        <v>64.14</v>
      </c>
      <c r="T23" s="0" t="n">
        <v>641400</v>
      </c>
      <c r="U23" s="0" t="n">
        <v>9170</v>
      </c>
      <c r="V23" s="0" t="n">
        <v>0.1</v>
      </c>
      <c r="W23" s="0" t="n">
        <v>57.72</v>
      </c>
      <c r="X23" s="0" t="n">
        <v>577200</v>
      </c>
      <c r="Y23" s="0" t="n">
        <v>2006</v>
      </c>
      <c r="Z23" s="0" t="n">
        <v>1</v>
      </c>
      <c r="AA23" s="0" t="n">
        <v>18</v>
      </c>
      <c r="AB23" s="0" t="n">
        <v>1500</v>
      </c>
      <c r="AC23" s="0" t="s">
        <v>2795</v>
      </c>
      <c r="AE23" s="0" t="s">
        <v>188</v>
      </c>
      <c r="AF23" s="0" t="s">
        <v>1408</v>
      </c>
      <c r="AG23" s="0" t="s">
        <v>1485</v>
      </c>
      <c r="AI23" s="0" t="s">
        <v>2536</v>
      </c>
      <c r="AJ23" s="0" t="n">
        <v>38898</v>
      </c>
      <c r="AK23" s="0" t="s">
        <v>2521</v>
      </c>
      <c r="AL23" s="0" t="n">
        <v>67641700</v>
      </c>
      <c r="AN23" s="0" t="s">
        <v>2522</v>
      </c>
      <c r="AP23" s="0" t="s">
        <v>2523</v>
      </c>
      <c r="AQ23" s="0" t="s">
        <v>2538</v>
      </c>
      <c r="AW23" s="0" t="s">
        <v>2562</v>
      </c>
      <c r="AX23" s="0" t="s">
        <v>2596</v>
      </c>
      <c r="AY23" s="0" t="s">
        <v>2816</v>
      </c>
      <c r="AZ23" s="0" t="s">
        <v>1250</v>
      </c>
      <c r="BA23" s="0" t="s">
        <v>1250</v>
      </c>
      <c r="BB23" s="0" t="s">
        <v>1250</v>
      </c>
      <c r="BC23" s="0" t="s">
        <v>1250</v>
      </c>
      <c r="BD23" s="0" t="s">
        <v>1250</v>
      </c>
      <c r="BE23" s="0" t="s">
        <v>1250</v>
      </c>
      <c r="BF23" s="0" t="s">
        <v>1250</v>
      </c>
      <c r="BG23" s="3659" t="n">
        <v>38674</v>
      </c>
      <c r="BI23" s="0" t="s">
        <v>2598</v>
      </c>
      <c r="BJ23" s="3659" t="n">
        <v>38734</v>
      </c>
      <c r="BK23" s="0" t="s">
        <v>1250</v>
      </c>
      <c r="BL23" s="0" t="s">
        <v>2599</v>
      </c>
      <c r="BQ23" s="0" t="n">
        <v>12739</v>
      </c>
      <c r="BR23" s="0" t="n">
        <v>12831</v>
      </c>
    </row>
    <row r="24" customFormat="false" ht="13.5" hidden="false" customHeight="false" outlineLevel="0" collapsed="false">
      <c r="A24" s="0" t="s">
        <v>2817</v>
      </c>
      <c r="B24" s="0" t="s">
        <v>2818</v>
      </c>
      <c r="C24" s="0" t="s">
        <v>2819</v>
      </c>
      <c r="D24" s="0" t="n">
        <v>13311362032</v>
      </c>
      <c r="E24" s="0" t="s">
        <v>1898</v>
      </c>
      <c r="F24" s="0" t="s">
        <v>2763</v>
      </c>
      <c r="H24" s="0" t="s">
        <v>1250</v>
      </c>
      <c r="J24" s="0" t="s">
        <v>2820</v>
      </c>
      <c r="K24" s="0" t="s">
        <v>2766</v>
      </c>
      <c r="L24" s="0" t="n">
        <v>40.08</v>
      </c>
      <c r="M24" s="0" t="n">
        <v>3</v>
      </c>
      <c r="N24" s="0" t="s">
        <v>2579</v>
      </c>
      <c r="O24" s="0" t="n">
        <v>28.85</v>
      </c>
      <c r="P24" s="0" t="s">
        <v>1544</v>
      </c>
      <c r="Q24" s="0" t="n">
        <v>355470</v>
      </c>
      <c r="R24" s="0" t="n">
        <v>8869</v>
      </c>
      <c r="S24" s="0" t="n">
        <v>35.27</v>
      </c>
      <c r="T24" s="0" t="n">
        <v>352700</v>
      </c>
      <c r="U24" s="0" t="n">
        <v>8800</v>
      </c>
      <c r="V24" s="0" t="n">
        <v>0.1</v>
      </c>
      <c r="W24" s="0" t="n">
        <v>31.74</v>
      </c>
      <c r="X24" s="0" t="n">
        <v>317400</v>
      </c>
      <c r="Y24" s="0" t="n">
        <v>2006</v>
      </c>
      <c r="Z24" s="0" t="n">
        <v>1</v>
      </c>
      <c r="AA24" s="0" t="n">
        <v>23</v>
      </c>
      <c r="AB24" s="0" t="n">
        <v>1055</v>
      </c>
      <c r="AC24" s="0" t="s">
        <v>2821</v>
      </c>
      <c r="AE24" s="0" t="s">
        <v>188</v>
      </c>
      <c r="AF24" s="0" t="s">
        <v>1408</v>
      </c>
      <c r="AG24" s="0" t="s">
        <v>1485</v>
      </c>
      <c r="AI24" s="0" t="s">
        <v>2536</v>
      </c>
      <c r="AJ24" s="0" t="n">
        <v>38898</v>
      </c>
      <c r="AK24" s="0" t="s">
        <v>2521</v>
      </c>
      <c r="AL24" s="0" t="n">
        <v>67641700</v>
      </c>
      <c r="AN24" s="0" t="s">
        <v>2545</v>
      </c>
      <c r="AP24" s="0" t="s">
        <v>2523</v>
      </c>
      <c r="AQ24" s="0" t="s">
        <v>2538</v>
      </c>
      <c r="AW24" s="0" t="s">
        <v>2562</v>
      </c>
      <c r="AX24" s="0" t="s">
        <v>2596</v>
      </c>
      <c r="AY24" s="0" t="s">
        <v>2822</v>
      </c>
      <c r="BG24" s="3659" t="n">
        <v>38711</v>
      </c>
      <c r="BI24" s="0" t="s">
        <v>2803</v>
      </c>
      <c r="BJ24" s="3659" t="n">
        <v>38734</v>
      </c>
      <c r="BK24" s="0" t="s">
        <v>1250</v>
      </c>
      <c r="BL24" s="0" t="s">
        <v>2599</v>
      </c>
      <c r="BQ24" s="0" t="n">
        <v>12225</v>
      </c>
      <c r="BR24" s="0" t="n">
        <v>12321</v>
      </c>
    </row>
    <row r="25" customFormat="false" ht="13.5" hidden="false" customHeight="false" outlineLevel="0" collapsed="false">
      <c r="A25" s="0" t="s">
        <v>2823</v>
      </c>
      <c r="B25" s="0" t="s">
        <v>2824</v>
      </c>
      <c r="C25" s="0" t="s">
        <v>2825</v>
      </c>
      <c r="D25" s="0" t="n">
        <v>13910621692</v>
      </c>
      <c r="E25" s="0" t="s">
        <v>1898</v>
      </c>
      <c r="F25" s="0" t="s">
        <v>2763</v>
      </c>
      <c r="H25" s="0" t="s">
        <v>1250</v>
      </c>
      <c r="J25" s="0" t="s">
        <v>2826</v>
      </c>
      <c r="K25" s="0" t="s">
        <v>2766</v>
      </c>
      <c r="L25" s="0" t="n">
        <v>38.66</v>
      </c>
      <c r="M25" s="0" t="n">
        <v>8</v>
      </c>
      <c r="N25" s="0" t="s">
        <v>2579</v>
      </c>
      <c r="O25" s="0" t="n">
        <v>27.83</v>
      </c>
      <c r="P25" s="0" t="s">
        <v>1544</v>
      </c>
      <c r="Q25" s="0" t="n">
        <v>382579</v>
      </c>
      <c r="R25" s="0" t="n">
        <v>9896</v>
      </c>
      <c r="S25" s="0" t="n">
        <v>37.96</v>
      </c>
      <c r="T25" s="0" t="n">
        <v>379600</v>
      </c>
      <c r="U25" s="0" t="n">
        <v>9820</v>
      </c>
      <c r="V25" s="0" t="n">
        <v>0.1</v>
      </c>
      <c r="W25" s="0" t="n">
        <v>34.16</v>
      </c>
      <c r="X25" s="0" t="n">
        <v>341600</v>
      </c>
      <c r="Y25" s="0" t="n">
        <v>2006</v>
      </c>
      <c r="Z25" s="0" t="n">
        <v>1</v>
      </c>
      <c r="AA25" s="0" t="n">
        <v>27</v>
      </c>
      <c r="AB25" s="0" t="n">
        <v>1135</v>
      </c>
      <c r="AC25" s="0" t="s">
        <v>2795</v>
      </c>
      <c r="AE25" s="0" t="s">
        <v>188</v>
      </c>
      <c r="AF25" s="0" t="s">
        <v>1408</v>
      </c>
      <c r="AG25" s="0" t="s">
        <v>1485</v>
      </c>
      <c r="AI25" s="0" t="s">
        <v>2536</v>
      </c>
      <c r="AJ25" s="0" t="n">
        <v>38898</v>
      </c>
      <c r="AK25" s="0" t="s">
        <v>2521</v>
      </c>
      <c r="AL25" s="0" t="n">
        <v>67641700</v>
      </c>
      <c r="AN25" s="0" t="s">
        <v>2545</v>
      </c>
      <c r="AP25" s="0" t="s">
        <v>2523</v>
      </c>
      <c r="AQ25" s="0" t="s">
        <v>2538</v>
      </c>
      <c r="AW25" s="0" t="s">
        <v>2562</v>
      </c>
      <c r="AX25" s="0" t="s">
        <v>2596</v>
      </c>
      <c r="AY25" s="0" t="n">
        <v>167229</v>
      </c>
      <c r="AZ25" s="0" t="s">
        <v>1250</v>
      </c>
      <c r="BA25" s="0" t="s">
        <v>1250</v>
      </c>
      <c r="BB25" s="0" t="s">
        <v>1250</v>
      </c>
      <c r="BC25" s="0" t="s">
        <v>1250</v>
      </c>
      <c r="BD25" s="0" t="s">
        <v>1250</v>
      </c>
      <c r="BE25" s="0" t="s">
        <v>1250</v>
      </c>
      <c r="BF25" s="0" t="s">
        <v>1250</v>
      </c>
      <c r="BG25" s="3659" t="n">
        <v>38700</v>
      </c>
      <c r="BI25" s="0" t="s">
        <v>2598</v>
      </c>
      <c r="BJ25" s="3659" t="n">
        <v>38743</v>
      </c>
      <c r="BK25" s="0" t="s">
        <v>1250</v>
      </c>
      <c r="BL25" s="0" t="s">
        <v>2599</v>
      </c>
      <c r="BQ25" s="0" t="n">
        <v>13640</v>
      </c>
      <c r="BR25" s="0" t="n">
        <v>13747</v>
      </c>
    </row>
    <row r="26" customFormat="false" ht="13.5" hidden="false" customHeight="false" outlineLevel="0" collapsed="false">
      <c r="A26" s="0" t="s">
        <v>2827</v>
      </c>
      <c r="B26" s="0" t="s">
        <v>2828</v>
      </c>
      <c r="C26" s="0" t="s">
        <v>2829</v>
      </c>
      <c r="D26" s="0" t="n">
        <v>13811817865</v>
      </c>
      <c r="E26" s="0" t="s">
        <v>1898</v>
      </c>
      <c r="F26" s="0" t="s">
        <v>2763</v>
      </c>
      <c r="H26" s="0" t="s">
        <v>1250</v>
      </c>
      <c r="J26" s="0" t="s">
        <v>2830</v>
      </c>
      <c r="K26" s="0" t="s">
        <v>2766</v>
      </c>
      <c r="L26" s="0" t="n">
        <v>40.53</v>
      </c>
      <c r="M26" s="0" t="n">
        <v>5</v>
      </c>
      <c r="N26" s="0" t="s">
        <v>2579</v>
      </c>
      <c r="O26" s="0" t="n">
        <v>29.18</v>
      </c>
      <c r="P26" s="0" t="s">
        <v>1544</v>
      </c>
      <c r="Q26" s="0" t="n">
        <v>381468</v>
      </c>
      <c r="R26" s="0" t="n">
        <v>9412</v>
      </c>
      <c r="S26" s="0" t="n">
        <v>37.85</v>
      </c>
      <c r="T26" s="0" t="n">
        <v>378500</v>
      </c>
      <c r="U26" s="0" t="n">
        <v>9340</v>
      </c>
      <c r="V26" s="0" t="n">
        <v>0.1</v>
      </c>
      <c r="W26" s="0" t="n">
        <v>34.06</v>
      </c>
      <c r="X26" s="0" t="n">
        <v>340600</v>
      </c>
      <c r="Y26" s="0" t="n">
        <v>2006</v>
      </c>
      <c r="Z26" s="0" t="n">
        <v>1</v>
      </c>
      <c r="AA26" s="0" t="n">
        <v>26</v>
      </c>
      <c r="AB26" s="0" t="n">
        <v>1135</v>
      </c>
      <c r="AC26" s="0" t="s">
        <v>2795</v>
      </c>
      <c r="AE26" s="0" t="s">
        <v>188</v>
      </c>
      <c r="AF26" s="0" t="s">
        <v>1408</v>
      </c>
      <c r="AG26" s="0" t="s">
        <v>1485</v>
      </c>
      <c r="AI26" s="0" t="s">
        <v>2536</v>
      </c>
      <c r="AJ26" s="0" t="n">
        <v>38898</v>
      </c>
      <c r="AK26" s="0" t="s">
        <v>2521</v>
      </c>
      <c r="AL26" s="0" t="n">
        <v>67641700</v>
      </c>
      <c r="AN26" s="0" t="s">
        <v>2545</v>
      </c>
      <c r="AP26" s="0" t="s">
        <v>2523</v>
      </c>
      <c r="AQ26" s="0" t="s">
        <v>2538</v>
      </c>
      <c r="AW26" s="0" t="s">
        <v>2562</v>
      </c>
      <c r="AX26" s="0" t="s">
        <v>2596</v>
      </c>
      <c r="AY26" s="0" t="s">
        <v>2831</v>
      </c>
      <c r="BG26" s="3659" t="n">
        <v>38704</v>
      </c>
      <c r="BI26" s="0" t="s">
        <v>2832</v>
      </c>
      <c r="BJ26" s="3659" t="n">
        <v>38741</v>
      </c>
      <c r="BK26" s="0" t="s">
        <v>1250</v>
      </c>
      <c r="BL26" s="0" t="s">
        <v>2599</v>
      </c>
      <c r="BQ26" s="0" t="n">
        <v>12973</v>
      </c>
      <c r="BR26" s="0" t="n">
        <v>13073</v>
      </c>
    </row>
    <row r="27" customFormat="false" ht="13.5" hidden="false" customHeight="false" outlineLevel="0" collapsed="false">
      <c r="A27" s="0" t="s">
        <v>2833</v>
      </c>
      <c r="B27" s="0" t="s">
        <v>2834</v>
      </c>
      <c r="C27" s="0" t="s">
        <v>2835</v>
      </c>
      <c r="D27" s="0" t="n">
        <v>13901394380</v>
      </c>
      <c r="E27" s="0" t="s">
        <v>1898</v>
      </c>
      <c r="F27" s="0" t="s">
        <v>2763</v>
      </c>
      <c r="H27" s="0" t="s">
        <v>1250</v>
      </c>
      <c r="I27" s="0" t="s">
        <v>2836</v>
      </c>
      <c r="J27" s="0" t="s">
        <v>2837</v>
      </c>
      <c r="K27" s="0" t="s">
        <v>2766</v>
      </c>
      <c r="L27" s="0" t="n">
        <v>52.59</v>
      </c>
      <c r="M27" s="0" t="n">
        <v>6</v>
      </c>
      <c r="N27" s="0" t="s">
        <v>2579</v>
      </c>
      <c r="O27" s="0" t="n">
        <v>37.86</v>
      </c>
      <c r="P27" s="0" t="s">
        <v>1544</v>
      </c>
      <c r="Q27" s="0" t="n">
        <v>494973</v>
      </c>
      <c r="R27" s="0" t="n">
        <v>9412</v>
      </c>
      <c r="S27" s="0" t="n">
        <v>49.06</v>
      </c>
      <c r="T27" s="0" t="n">
        <v>490600</v>
      </c>
      <c r="U27" s="0" t="n">
        <v>9330</v>
      </c>
      <c r="V27" s="0" t="n">
        <v>0.1</v>
      </c>
      <c r="W27" s="0" t="n">
        <v>44.15</v>
      </c>
      <c r="X27" s="0" t="n">
        <v>441500</v>
      </c>
      <c r="Y27" s="0" t="n">
        <v>2006</v>
      </c>
      <c r="Z27" s="0" t="n">
        <v>1</v>
      </c>
      <c r="AA27" s="0" t="n">
        <v>27</v>
      </c>
      <c r="AB27" s="0" t="n">
        <v>1470</v>
      </c>
      <c r="AC27" s="0" t="s">
        <v>2801</v>
      </c>
      <c r="AE27" s="0" t="s">
        <v>188</v>
      </c>
      <c r="AF27" s="0" t="s">
        <v>1408</v>
      </c>
      <c r="AG27" s="0" t="s">
        <v>1485</v>
      </c>
      <c r="AI27" s="0" t="s">
        <v>2536</v>
      </c>
      <c r="AJ27" s="0" t="n">
        <v>38898</v>
      </c>
      <c r="AK27" s="0" t="s">
        <v>2521</v>
      </c>
      <c r="AL27" s="0" t="n">
        <v>67641700</v>
      </c>
      <c r="AN27" s="0" t="s">
        <v>2545</v>
      </c>
      <c r="AP27" s="0" t="s">
        <v>2523</v>
      </c>
      <c r="AQ27" s="0" t="s">
        <v>2538</v>
      </c>
      <c r="AW27" s="0" t="s">
        <v>2562</v>
      </c>
      <c r="AX27" s="0" t="s">
        <v>2596</v>
      </c>
      <c r="AY27" s="0" t="n">
        <v>173871</v>
      </c>
      <c r="AZ27" s="0" t="s">
        <v>1250</v>
      </c>
      <c r="BA27" s="0" t="s">
        <v>1250</v>
      </c>
      <c r="BB27" s="0" t="s">
        <v>1250</v>
      </c>
      <c r="BC27" s="0" t="s">
        <v>1250</v>
      </c>
      <c r="BD27" s="0" t="s">
        <v>1250</v>
      </c>
      <c r="BE27" s="0" t="s">
        <v>1250</v>
      </c>
      <c r="BF27" s="0" t="s">
        <v>1250</v>
      </c>
      <c r="BG27" s="3659" t="n">
        <v>38717</v>
      </c>
      <c r="BI27" s="0" t="s">
        <v>2803</v>
      </c>
      <c r="BJ27" s="3659" t="n">
        <v>38743</v>
      </c>
      <c r="BK27" s="0" t="s">
        <v>1250</v>
      </c>
      <c r="BL27" s="0" t="s">
        <v>2599</v>
      </c>
      <c r="BQ27" s="0" t="n">
        <v>12958</v>
      </c>
      <c r="BR27" s="0" t="n">
        <v>13074</v>
      </c>
    </row>
    <row r="28" customFormat="false" ht="13.5" hidden="false" customHeight="false" outlineLevel="0" collapsed="false">
      <c r="A28" s="0" t="s">
        <v>2838</v>
      </c>
      <c r="B28" s="0" t="s">
        <v>2839</v>
      </c>
      <c r="C28" s="0" t="s">
        <v>2840</v>
      </c>
      <c r="D28" s="0" t="s">
        <v>2841</v>
      </c>
      <c r="E28" s="0" t="s">
        <v>1898</v>
      </c>
      <c r="F28" s="0" t="s">
        <v>2763</v>
      </c>
      <c r="H28" s="0" t="s">
        <v>1250</v>
      </c>
      <c r="J28" s="0" t="s">
        <v>2842</v>
      </c>
      <c r="K28" s="0" t="s">
        <v>2766</v>
      </c>
      <c r="L28" s="0" t="n">
        <v>69.95</v>
      </c>
      <c r="M28" s="0" t="n">
        <v>6</v>
      </c>
      <c r="N28" s="0" t="s">
        <v>2579</v>
      </c>
      <c r="O28" s="0" t="n">
        <v>50.35</v>
      </c>
      <c r="P28" s="0" t="s">
        <v>1544</v>
      </c>
      <c r="Q28" s="0" t="n">
        <v>626762</v>
      </c>
      <c r="R28" s="0" t="n">
        <v>8960</v>
      </c>
      <c r="S28" s="0" t="n">
        <v>62.04</v>
      </c>
      <c r="T28" s="0" t="n">
        <v>620400</v>
      </c>
      <c r="U28" s="0" t="n">
        <v>8870</v>
      </c>
      <c r="V28" s="0" t="n">
        <v>0.1</v>
      </c>
      <c r="W28" s="0" t="n">
        <v>55.83</v>
      </c>
      <c r="X28" s="0" t="n">
        <v>558300</v>
      </c>
      <c r="Y28" s="0" t="n">
        <v>2006</v>
      </c>
      <c r="Z28" s="0" t="n">
        <v>2</v>
      </c>
      <c r="AA28" s="0" t="n">
        <v>9</v>
      </c>
      <c r="AB28" s="0" t="n">
        <v>1500</v>
      </c>
      <c r="AC28" s="0" t="s">
        <v>2795</v>
      </c>
      <c r="AE28" s="0" t="s">
        <v>188</v>
      </c>
      <c r="AF28" s="0" t="s">
        <v>2781</v>
      </c>
      <c r="AG28" s="0" t="s">
        <v>1485</v>
      </c>
      <c r="AI28" s="0" t="s">
        <v>2536</v>
      </c>
      <c r="AJ28" s="0" t="n">
        <v>38898</v>
      </c>
      <c r="AK28" s="0" t="n">
        <v>2</v>
      </c>
      <c r="AL28" s="0" t="n">
        <v>67641700</v>
      </c>
      <c r="AN28" s="0" t="s">
        <v>2521</v>
      </c>
      <c r="AP28" s="0" t="s">
        <v>2523</v>
      </c>
      <c r="AQ28" s="0" t="s">
        <v>2538</v>
      </c>
      <c r="AW28" s="0" t="s">
        <v>2562</v>
      </c>
      <c r="AX28" s="0" t="s">
        <v>2596</v>
      </c>
      <c r="AY28" s="0" t="s">
        <v>2843</v>
      </c>
      <c r="BG28" s="3659" t="n">
        <v>38665</v>
      </c>
      <c r="BI28" s="0" t="s">
        <v>2523</v>
      </c>
      <c r="BJ28" s="3659" t="n">
        <v>38743</v>
      </c>
      <c r="BK28" s="0" t="s">
        <v>1250</v>
      </c>
      <c r="BL28" s="0" t="s">
        <v>2599</v>
      </c>
      <c r="BQ28" s="0" t="n">
        <v>12322</v>
      </c>
      <c r="BR28" s="0" t="n">
        <v>12448</v>
      </c>
    </row>
    <row r="29" customFormat="false" ht="13.5" hidden="false" customHeight="false" outlineLevel="0" collapsed="false">
      <c r="A29" s="0" t="s">
        <v>2844</v>
      </c>
      <c r="B29" s="0" t="s">
        <v>2845</v>
      </c>
      <c r="C29" s="0" t="s">
        <v>2846</v>
      </c>
      <c r="D29" s="0" t="s">
        <v>2847</v>
      </c>
      <c r="E29" s="0" t="s">
        <v>1898</v>
      </c>
      <c r="F29" s="0" t="s">
        <v>2763</v>
      </c>
      <c r="H29" s="0" t="s">
        <v>1250</v>
      </c>
      <c r="I29" s="0" t="s">
        <v>2848</v>
      </c>
      <c r="J29" s="0" t="s">
        <v>2849</v>
      </c>
      <c r="K29" s="0" t="s">
        <v>2766</v>
      </c>
      <c r="L29" s="0" t="n">
        <v>38.66</v>
      </c>
      <c r="M29" s="0" t="n">
        <v>14</v>
      </c>
      <c r="N29" s="0" t="s">
        <v>2579</v>
      </c>
      <c r="O29" s="0" t="n">
        <v>27.83</v>
      </c>
      <c r="P29" s="0" t="s">
        <v>1544</v>
      </c>
      <c r="Q29" s="0" t="n">
        <v>434770</v>
      </c>
      <c r="R29" s="0" t="n">
        <v>11246</v>
      </c>
      <c r="S29" s="0" t="n">
        <v>43.22</v>
      </c>
      <c r="T29" s="0" t="n">
        <v>432200</v>
      </c>
      <c r="U29" s="0" t="n">
        <v>11180</v>
      </c>
      <c r="V29" s="0" t="n">
        <v>0.1</v>
      </c>
      <c r="W29" s="0" t="n">
        <v>38.89</v>
      </c>
      <c r="X29" s="0" t="n">
        <v>388900</v>
      </c>
      <c r="Y29" s="0" t="n">
        <v>2006</v>
      </c>
      <c r="Z29" s="0" t="n">
        <v>2</v>
      </c>
      <c r="AA29" s="0" t="n">
        <v>13</v>
      </c>
      <c r="AB29" s="0" t="n">
        <v>1295</v>
      </c>
      <c r="AC29" s="0" t="s">
        <v>2801</v>
      </c>
      <c r="AE29" s="0" t="s">
        <v>188</v>
      </c>
      <c r="AF29" s="0" t="s">
        <v>2781</v>
      </c>
      <c r="AG29" s="0" t="s">
        <v>1485</v>
      </c>
      <c r="AI29" s="0" t="s">
        <v>2536</v>
      </c>
      <c r="AJ29" s="0" t="n">
        <v>38898</v>
      </c>
      <c r="AK29" s="0" t="n">
        <v>2</v>
      </c>
      <c r="AL29" s="0" t="n">
        <v>67641700</v>
      </c>
      <c r="AN29" s="0" t="s">
        <v>2537</v>
      </c>
      <c r="AP29" s="0" t="s">
        <v>2523</v>
      </c>
      <c r="AQ29" s="0" t="s">
        <v>2538</v>
      </c>
      <c r="AW29" s="0" t="s">
        <v>2562</v>
      </c>
      <c r="AX29" s="0" t="s">
        <v>2596</v>
      </c>
      <c r="AY29" s="0" t="s">
        <v>2843</v>
      </c>
      <c r="BG29" s="3659" t="n">
        <v>38665</v>
      </c>
      <c r="BI29" s="0" t="s">
        <v>2523</v>
      </c>
      <c r="BJ29" s="3659" t="n">
        <v>38758</v>
      </c>
      <c r="BK29" s="0" t="s">
        <v>1250</v>
      </c>
      <c r="BL29" s="0" t="s">
        <v>2599</v>
      </c>
      <c r="BQ29" s="0" t="n">
        <v>15530</v>
      </c>
      <c r="BR29" s="0" t="n">
        <v>15622</v>
      </c>
    </row>
    <row r="30" customFormat="false" ht="13.5" hidden="false" customHeight="false" outlineLevel="0" collapsed="false">
      <c r="A30" s="0" t="s">
        <v>2850</v>
      </c>
      <c r="B30" s="0" t="s">
        <v>2851</v>
      </c>
      <c r="C30" s="0" t="s">
        <v>2852</v>
      </c>
      <c r="D30" s="0" t="n">
        <v>13161555808</v>
      </c>
      <c r="E30" s="0" t="s">
        <v>1898</v>
      </c>
      <c r="F30" s="0" t="s">
        <v>2763</v>
      </c>
      <c r="H30" s="0" t="s">
        <v>1250</v>
      </c>
      <c r="J30" s="0" t="s">
        <v>2853</v>
      </c>
      <c r="K30" s="0" t="s">
        <v>2766</v>
      </c>
      <c r="L30" s="0" t="n">
        <v>69.95</v>
      </c>
      <c r="M30" s="0" t="n">
        <v>11</v>
      </c>
      <c r="N30" s="0" t="s">
        <v>2579</v>
      </c>
      <c r="O30" s="0" t="n">
        <v>50.35</v>
      </c>
      <c r="P30" s="0" t="s">
        <v>1544</v>
      </c>
      <c r="Q30" s="0" t="n">
        <v>601570</v>
      </c>
      <c r="R30" s="0" t="n">
        <v>8600</v>
      </c>
      <c r="S30" s="0" t="n">
        <v>60.05</v>
      </c>
      <c r="T30" s="0" t="n">
        <v>600500</v>
      </c>
      <c r="U30" s="0" t="n">
        <v>8585</v>
      </c>
      <c r="V30" s="0" t="n">
        <v>0.1</v>
      </c>
      <c r="W30" s="0" t="n">
        <v>54.04</v>
      </c>
      <c r="X30" s="0" t="n">
        <v>540400</v>
      </c>
      <c r="Y30" s="0" t="n">
        <v>2006</v>
      </c>
      <c r="Z30" s="0" t="n">
        <v>2</v>
      </c>
      <c r="AA30" s="0" t="n">
        <v>16</v>
      </c>
      <c r="AB30" s="0" t="n">
        <v>1500</v>
      </c>
      <c r="AC30" s="0" t="s">
        <v>2795</v>
      </c>
      <c r="AE30" s="0" t="s">
        <v>188</v>
      </c>
      <c r="AF30" s="0" t="s">
        <v>1408</v>
      </c>
      <c r="AG30" s="0" t="s">
        <v>1485</v>
      </c>
      <c r="AI30" s="0" t="s">
        <v>2536</v>
      </c>
      <c r="AJ30" s="0" t="n">
        <v>38898</v>
      </c>
      <c r="AK30" s="0" t="s">
        <v>2537</v>
      </c>
      <c r="AL30" s="0" t="n">
        <v>67641700</v>
      </c>
      <c r="AN30" s="0" t="s">
        <v>2537</v>
      </c>
      <c r="AP30" s="0" t="s">
        <v>2523</v>
      </c>
      <c r="AQ30" s="0" t="s">
        <v>2538</v>
      </c>
      <c r="AW30" s="0" t="s">
        <v>2562</v>
      </c>
      <c r="AX30" s="0" t="s">
        <v>2596</v>
      </c>
      <c r="AY30" s="0" t="n">
        <v>166213</v>
      </c>
      <c r="AZ30" s="0" t="s">
        <v>1250</v>
      </c>
      <c r="BA30" s="0" t="s">
        <v>1250</v>
      </c>
      <c r="BB30" s="0" t="s">
        <v>1250</v>
      </c>
      <c r="BC30" s="0" t="s">
        <v>1250</v>
      </c>
      <c r="BD30" s="0" t="s">
        <v>1250</v>
      </c>
      <c r="BE30" s="0" t="s">
        <v>1250</v>
      </c>
      <c r="BF30" s="0" t="s">
        <v>1250</v>
      </c>
      <c r="BG30" s="3659" t="n">
        <v>38698</v>
      </c>
      <c r="BI30" s="0" t="s">
        <v>2803</v>
      </c>
      <c r="BJ30" s="3659" t="n">
        <v>38761</v>
      </c>
      <c r="BK30" s="0" t="s">
        <v>1250</v>
      </c>
      <c r="BL30" s="0" t="s">
        <v>2599</v>
      </c>
      <c r="BQ30" s="0" t="n">
        <v>11927</v>
      </c>
      <c r="BR30" s="0" t="n">
        <v>11948</v>
      </c>
    </row>
    <row r="31" customFormat="false" ht="13.5" hidden="false" customHeight="false" outlineLevel="0" collapsed="false">
      <c r="A31" s="0" t="s">
        <v>2854</v>
      </c>
      <c r="B31" s="0" t="s">
        <v>2855</v>
      </c>
      <c r="C31" s="0" t="s">
        <v>2856</v>
      </c>
      <c r="D31" s="0" t="s">
        <v>2857</v>
      </c>
      <c r="E31" s="0" t="s">
        <v>1898</v>
      </c>
      <c r="F31" s="0" t="s">
        <v>2763</v>
      </c>
      <c r="H31" s="0" t="s">
        <v>1250</v>
      </c>
      <c r="I31" s="0" t="s">
        <v>2858</v>
      </c>
      <c r="J31" s="0" t="s">
        <v>2859</v>
      </c>
      <c r="K31" s="0" t="s">
        <v>2766</v>
      </c>
      <c r="L31" s="0" t="n">
        <v>38.66</v>
      </c>
      <c r="M31" s="0" t="n">
        <v>16</v>
      </c>
      <c r="N31" s="0" t="s">
        <v>2579</v>
      </c>
      <c r="O31" s="0" t="n">
        <v>27.83</v>
      </c>
      <c r="P31" s="0" t="s">
        <v>1544</v>
      </c>
      <c r="Q31" s="0" t="n">
        <v>405237</v>
      </c>
      <c r="R31" s="0" t="n">
        <v>10482</v>
      </c>
      <c r="S31" s="0" t="n">
        <v>40.2</v>
      </c>
      <c r="T31" s="0" t="n">
        <v>402000</v>
      </c>
      <c r="U31" s="0" t="n">
        <v>10400</v>
      </c>
      <c r="V31" s="0" t="n">
        <v>0.1</v>
      </c>
      <c r="W31" s="0" t="n">
        <v>36.18</v>
      </c>
      <c r="X31" s="0" t="n">
        <v>361800</v>
      </c>
      <c r="Y31" s="0" t="n">
        <v>2006</v>
      </c>
      <c r="Z31" s="0" t="n">
        <v>2</v>
      </c>
      <c r="AA31" s="0" t="n">
        <v>23</v>
      </c>
      <c r="AB31" s="0" t="n">
        <v>1205</v>
      </c>
      <c r="AC31" s="0" t="s">
        <v>2801</v>
      </c>
      <c r="AE31" s="0" t="s">
        <v>188</v>
      </c>
      <c r="AF31" s="0" t="s">
        <v>2781</v>
      </c>
      <c r="AG31" s="0" t="s">
        <v>1485</v>
      </c>
      <c r="AI31" s="0" t="s">
        <v>2536</v>
      </c>
      <c r="AJ31" s="0" t="n">
        <v>38898</v>
      </c>
      <c r="AK31" s="0" t="n">
        <v>2</v>
      </c>
      <c r="AL31" s="0" t="n">
        <v>67641700</v>
      </c>
      <c r="AN31" s="0" t="s">
        <v>2522</v>
      </c>
      <c r="AP31" s="0" t="s">
        <v>2523</v>
      </c>
      <c r="AQ31" s="0" t="s">
        <v>2538</v>
      </c>
      <c r="AW31" s="0" t="s">
        <v>2562</v>
      </c>
      <c r="AX31" s="0" t="s">
        <v>2596</v>
      </c>
      <c r="AY31" s="0" t="s">
        <v>2860</v>
      </c>
      <c r="BG31" s="3659" t="n">
        <v>38724</v>
      </c>
      <c r="BI31" s="0" t="s">
        <v>2523</v>
      </c>
      <c r="BJ31" s="3659" t="n">
        <v>38770</v>
      </c>
      <c r="BK31" s="0" t="s">
        <v>1250</v>
      </c>
      <c r="BL31" s="0" t="s">
        <v>2599</v>
      </c>
      <c r="BQ31" s="0" t="n">
        <v>14445</v>
      </c>
      <c r="BR31" s="0" t="n">
        <v>14561</v>
      </c>
    </row>
    <row r="32" customFormat="false" ht="13.5" hidden="false" customHeight="false" outlineLevel="0" collapsed="false">
      <c r="A32" s="0" t="s">
        <v>2861</v>
      </c>
      <c r="B32" s="0" t="s">
        <v>2862</v>
      </c>
      <c r="C32" s="0" t="s">
        <v>2863</v>
      </c>
      <c r="D32" s="0" t="s">
        <v>2864</v>
      </c>
      <c r="E32" s="0" t="s">
        <v>1898</v>
      </c>
      <c r="F32" s="0" t="s">
        <v>2763</v>
      </c>
      <c r="H32" s="0" t="s">
        <v>1250</v>
      </c>
      <c r="I32" s="0" t="s">
        <v>2836</v>
      </c>
      <c r="J32" s="0" t="s">
        <v>2865</v>
      </c>
      <c r="K32" s="0" t="s">
        <v>2766</v>
      </c>
      <c r="L32" s="0" t="n">
        <v>38.66</v>
      </c>
      <c r="M32" s="0" t="n">
        <v>6</v>
      </c>
      <c r="N32" s="0" t="s">
        <v>2579</v>
      </c>
      <c r="O32" s="0" t="n">
        <v>27.83</v>
      </c>
      <c r="P32" s="0" t="s">
        <v>1544</v>
      </c>
      <c r="Q32" s="0" t="n">
        <v>405775</v>
      </c>
      <c r="R32" s="0" t="n">
        <v>10496</v>
      </c>
      <c r="S32" s="0" t="n">
        <v>40.24</v>
      </c>
      <c r="T32" s="0" t="n">
        <v>402400</v>
      </c>
      <c r="U32" s="0" t="n">
        <v>10410</v>
      </c>
      <c r="V32" s="0" t="n">
        <v>0.1</v>
      </c>
      <c r="W32" s="0" t="n">
        <v>36.21</v>
      </c>
      <c r="X32" s="0" t="n">
        <v>362100</v>
      </c>
      <c r="Y32" s="0" t="n">
        <v>2006</v>
      </c>
      <c r="Z32" s="0" t="n">
        <v>3</v>
      </c>
      <c r="AA32" s="0" t="n">
        <v>9</v>
      </c>
      <c r="AB32" s="0" t="n">
        <v>1205</v>
      </c>
      <c r="AC32" s="0" t="s">
        <v>2795</v>
      </c>
      <c r="AE32" s="0" t="s">
        <v>188</v>
      </c>
      <c r="AF32" s="0" t="s">
        <v>2781</v>
      </c>
      <c r="AG32" s="0" t="s">
        <v>1485</v>
      </c>
      <c r="AI32" s="0" t="s">
        <v>2536</v>
      </c>
      <c r="AJ32" s="0" t="n">
        <v>38898</v>
      </c>
      <c r="AK32" s="0" t="n">
        <v>3</v>
      </c>
      <c r="AL32" s="0" t="n">
        <v>67641700</v>
      </c>
      <c r="AN32" s="0" t="s">
        <v>2537</v>
      </c>
      <c r="AP32" s="0" t="s">
        <v>2523</v>
      </c>
      <c r="AQ32" s="0" t="s">
        <v>2538</v>
      </c>
      <c r="AW32" s="0" t="s">
        <v>2562</v>
      </c>
      <c r="AX32" s="0" t="s">
        <v>2596</v>
      </c>
      <c r="AY32" s="0" t="s">
        <v>2866</v>
      </c>
      <c r="BG32" s="3659" t="n">
        <v>38739</v>
      </c>
      <c r="BI32" s="0" t="s">
        <v>2803</v>
      </c>
      <c r="BJ32" s="3659" t="n">
        <v>38784</v>
      </c>
      <c r="BK32" s="0" t="s">
        <v>1250</v>
      </c>
      <c r="BL32" s="0" t="s">
        <v>2599</v>
      </c>
      <c r="BQ32" s="0" t="n">
        <v>14459</v>
      </c>
      <c r="BR32" s="0" t="n">
        <v>14580</v>
      </c>
    </row>
    <row r="33" customFormat="false" ht="13.5" hidden="false" customHeight="false" outlineLevel="0" collapsed="false">
      <c r="A33" s="0" t="s">
        <v>2867</v>
      </c>
      <c r="B33" s="0" t="s">
        <v>2868</v>
      </c>
      <c r="C33" s="0" t="s">
        <v>2869</v>
      </c>
      <c r="D33" s="0" t="s">
        <v>2870</v>
      </c>
      <c r="E33" s="0" t="s">
        <v>1898</v>
      </c>
      <c r="F33" s="0" t="s">
        <v>2763</v>
      </c>
      <c r="H33" s="0" t="s">
        <v>1250</v>
      </c>
      <c r="I33" s="0" t="s">
        <v>2871</v>
      </c>
      <c r="J33" s="0" t="s">
        <v>2872</v>
      </c>
      <c r="K33" s="0" t="s">
        <v>2766</v>
      </c>
      <c r="L33" s="0" t="n">
        <v>43.97</v>
      </c>
      <c r="M33" s="0" t="n">
        <v>17</v>
      </c>
      <c r="N33" s="0" t="s">
        <v>2579</v>
      </c>
      <c r="O33" s="0" t="n">
        <v>31.65</v>
      </c>
      <c r="P33" s="0" t="s">
        <v>1544</v>
      </c>
      <c r="Q33" s="0" t="n">
        <v>474700</v>
      </c>
      <c r="R33" s="0" t="n">
        <v>10796</v>
      </c>
      <c r="S33" s="0" t="n">
        <v>47.09</v>
      </c>
      <c r="T33" s="0" t="n">
        <v>470900</v>
      </c>
      <c r="U33" s="0" t="n">
        <v>10710</v>
      </c>
      <c r="V33" s="0" t="n">
        <v>0.1</v>
      </c>
      <c r="W33" s="0" t="n">
        <v>42.38</v>
      </c>
      <c r="X33" s="0" t="n">
        <v>423800</v>
      </c>
      <c r="Y33" s="0" t="n">
        <v>2006</v>
      </c>
      <c r="Z33" s="0" t="n">
        <v>3</v>
      </c>
      <c r="AA33" s="0" t="n">
        <v>17</v>
      </c>
      <c r="AB33" s="0" t="n">
        <v>1410</v>
      </c>
      <c r="AC33" s="0" t="s">
        <v>2809</v>
      </c>
      <c r="AE33" s="0" t="s">
        <v>188</v>
      </c>
      <c r="AF33" s="0" t="s">
        <v>2873</v>
      </c>
      <c r="AG33" s="0" t="s">
        <v>1485</v>
      </c>
      <c r="AI33" s="0" t="s">
        <v>2536</v>
      </c>
      <c r="AJ33" s="0" t="n">
        <v>38898</v>
      </c>
      <c r="AK33" s="0" t="n">
        <v>3</v>
      </c>
      <c r="AL33" s="0" t="n">
        <v>67641700</v>
      </c>
      <c r="AN33" s="0" t="s">
        <v>2522</v>
      </c>
      <c r="AP33" s="0" t="s">
        <v>2523</v>
      </c>
      <c r="AQ33" s="0" t="s">
        <v>2538</v>
      </c>
      <c r="AW33" s="0" t="s">
        <v>2562</v>
      </c>
      <c r="AX33" s="0" t="s">
        <v>2596</v>
      </c>
      <c r="AY33" s="0" t="s">
        <v>2874</v>
      </c>
      <c r="BG33" s="3659" t="n">
        <v>38768</v>
      </c>
      <c r="BI33" s="0" t="s">
        <v>2523</v>
      </c>
      <c r="BJ33" s="3659" t="n">
        <v>38792</v>
      </c>
      <c r="BK33" s="0" t="s">
        <v>1250</v>
      </c>
      <c r="BL33" s="0" t="s">
        <v>2599</v>
      </c>
      <c r="BQ33" s="0" t="n">
        <v>14878</v>
      </c>
      <c r="BR33" s="0" t="n">
        <v>14998</v>
      </c>
    </row>
    <row r="34" customFormat="false" ht="13.5" hidden="false" customHeight="false" outlineLevel="0" collapsed="false">
      <c r="A34" s="0" t="s">
        <v>2875</v>
      </c>
      <c r="B34" s="0" t="s">
        <v>2876</v>
      </c>
      <c r="C34" s="0" t="s">
        <v>2877</v>
      </c>
      <c r="D34" s="0" t="s">
        <v>2878</v>
      </c>
      <c r="E34" s="0" t="s">
        <v>1898</v>
      </c>
      <c r="F34" s="0" t="s">
        <v>2763</v>
      </c>
      <c r="H34" s="0" t="s">
        <v>1250</v>
      </c>
      <c r="I34" s="0" t="s">
        <v>2836</v>
      </c>
      <c r="J34" s="0" t="s">
        <v>2879</v>
      </c>
      <c r="K34" s="0" t="s">
        <v>2766</v>
      </c>
      <c r="L34" s="0" t="n">
        <v>52.25</v>
      </c>
      <c r="M34" s="0" t="n">
        <v>6</v>
      </c>
      <c r="N34" s="0" t="s">
        <v>2579</v>
      </c>
      <c r="O34" s="0" t="n">
        <v>37.61</v>
      </c>
      <c r="P34" s="0" t="s">
        <v>1544</v>
      </c>
      <c r="Q34" s="0" t="n">
        <v>516351</v>
      </c>
      <c r="R34" s="0" t="n">
        <v>9882</v>
      </c>
      <c r="S34" s="0" t="n">
        <v>51.2</v>
      </c>
      <c r="T34" s="0" t="n">
        <v>512000</v>
      </c>
      <c r="U34" s="0" t="n">
        <v>9800</v>
      </c>
      <c r="V34" s="0" t="n">
        <v>0.1</v>
      </c>
      <c r="W34" s="0" t="n">
        <v>46.08</v>
      </c>
      <c r="X34" s="0" t="n">
        <v>460800</v>
      </c>
      <c r="Y34" s="0" t="n">
        <v>2006</v>
      </c>
      <c r="Z34" s="0" t="n">
        <v>3</v>
      </c>
      <c r="AA34" s="0" t="n">
        <v>24</v>
      </c>
      <c r="AB34" s="0" t="n">
        <v>1500</v>
      </c>
      <c r="AC34" s="0" t="s">
        <v>2809</v>
      </c>
      <c r="AE34" s="0" t="s">
        <v>188</v>
      </c>
      <c r="AF34" s="0" t="s">
        <v>2781</v>
      </c>
      <c r="AG34" s="0" t="s">
        <v>1485</v>
      </c>
      <c r="AI34" s="0" t="s">
        <v>2536</v>
      </c>
      <c r="AJ34" s="0" t="n">
        <v>38898</v>
      </c>
      <c r="AK34" s="0" t="s">
        <v>2522</v>
      </c>
      <c r="AL34" s="0" t="n">
        <v>67641700</v>
      </c>
      <c r="AN34" s="0" t="s">
        <v>2545</v>
      </c>
      <c r="AP34" s="0" t="s">
        <v>2523</v>
      </c>
      <c r="AQ34" s="0" t="s">
        <v>2538</v>
      </c>
      <c r="AW34" s="0" t="s">
        <v>2562</v>
      </c>
      <c r="AX34" s="0" t="s">
        <v>2596</v>
      </c>
      <c r="AY34" s="0" t="s">
        <v>2880</v>
      </c>
      <c r="AZ34" s="0" t="s">
        <v>1250</v>
      </c>
      <c r="BA34" s="0" t="s">
        <v>1250</v>
      </c>
      <c r="BB34" s="0" t="s">
        <v>1250</v>
      </c>
      <c r="BC34" s="0" t="s">
        <v>1250</v>
      </c>
      <c r="BD34" s="0" t="s">
        <v>1250</v>
      </c>
      <c r="BE34" s="0" t="s">
        <v>1250</v>
      </c>
      <c r="BF34" s="0" t="s">
        <v>1250</v>
      </c>
      <c r="BG34" s="3659" t="n">
        <v>38787</v>
      </c>
      <c r="BI34" s="0" t="s">
        <v>2803</v>
      </c>
      <c r="BJ34" s="3659" t="n">
        <v>38799</v>
      </c>
      <c r="BK34" s="0" t="s">
        <v>1250</v>
      </c>
      <c r="BL34" s="0" t="s">
        <v>2599</v>
      </c>
      <c r="BQ34" s="0" t="n">
        <v>13613</v>
      </c>
      <c r="BR34" s="0" t="n">
        <v>13729</v>
      </c>
    </row>
    <row r="35" customFormat="false" ht="13.5" hidden="false" customHeight="false" outlineLevel="0" collapsed="false">
      <c r="A35" s="0" t="s">
        <v>2881</v>
      </c>
      <c r="B35" s="0" t="s">
        <v>2882</v>
      </c>
      <c r="C35" s="0" t="s">
        <v>2883</v>
      </c>
      <c r="D35" s="0" t="n">
        <v>13381160222</v>
      </c>
      <c r="E35" s="0" t="s">
        <v>1898</v>
      </c>
      <c r="F35" s="0" t="s">
        <v>2763</v>
      </c>
      <c r="H35" s="0" t="s">
        <v>1250</v>
      </c>
      <c r="I35" s="0" t="s">
        <v>2764</v>
      </c>
      <c r="J35" s="0" t="s">
        <v>2884</v>
      </c>
      <c r="K35" s="0" t="s">
        <v>2766</v>
      </c>
      <c r="L35" s="0" t="n">
        <v>40.08</v>
      </c>
      <c r="M35" s="0" t="n">
        <v>7</v>
      </c>
      <c r="N35" s="0" t="s">
        <v>2579</v>
      </c>
      <c r="O35" s="0" t="n">
        <v>28.85</v>
      </c>
      <c r="P35" s="0" t="s">
        <v>1544</v>
      </c>
      <c r="Q35" s="0" t="n">
        <v>396632</v>
      </c>
      <c r="R35" s="0" t="n">
        <v>9896</v>
      </c>
      <c r="S35" s="0" t="n">
        <v>39.35</v>
      </c>
      <c r="T35" s="0" t="n">
        <v>393500</v>
      </c>
      <c r="U35" s="0" t="n">
        <v>9820</v>
      </c>
      <c r="V35" s="0" t="n">
        <v>0.1</v>
      </c>
      <c r="W35" s="0" t="n">
        <v>35.41</v>
      </c>
      <c r="X35" s="0" t="n">
        <v>354100</v>
      </c>
      <c r="Y35" s="0" t="n">
        <v>2006</v>
      </c>
      <c r="Z35" s="0" t="n">
        <v>3</v>
      </c>
      <c r="AA35" s="0" t="n">
        <v>28</v>
      </c>
      <c r="AB35" s="0" t="n">
        <v>1180</v>
      </c>
      <c r="AC35" s="0" t="s">
        <v>2885</v>
      </c>
      <c r="AE35" s="0" t="s">
        <v>188</v>
      </c>
      <c r="AF35" s="0" t="s">
        <v>2781</v>
      </c>
      <c r="AG35" s="0" t="s">
        <v>1485</v>
      </c>
      <c r="AI35" s="0" t="s">
        <v>2536</v>
      </c>
      <c r="AJ35" s="0" t="n">
        <v>38898</v>
      </c>
      <c r="AK35" s="0" t="s">
        <v>2522</v>
      </c>
      <c r="AL35" s="0" t="n">
        <v>67641700</v>
      </c>
      <c r="AN35" s="0" t="s">
        <v>2566</v>
      </c>
      <c r="AP35" s="0" t="s">
        <v>2523</v>
      </c>
      <c r="AQ35" s="0" t="s">
        <v>2538</v>
      </c>
      <c r="AW35" s="0" t="s">
        <v>2562</v>
      </c>
      <c r="AX35" s="0" t="s">
        <v>2596</v>
      </c>
      <c r="AY35" s="0" t="s">
        <v>2886</v>
      </c>
      <c r="BG35" s="3659" t="n">
        <v>38780</v>
      </c>
      <c r="BI35" s="0" t="s">
        <v>2803</v>
      </c>
      <c r="BJ35" s="3659" t="n">
        <v>38800</v>
      </c>
      <c r="BK35" s="0" t="s">
        <v>1250</v>
      </c>
      <c r="BL35" s="0" t="s">
        <v>2599</v>
      </c>
      <c r="BQ35" s="0" t="n">
        <v>13642</v>
      </c>
      <c r="BR35" s="0" t="n">
        <v>13748</v>
      </c>
    </row>
    <row r="36" customFormat="false" ht="13.5" hidden="false" customHeight="false" outlineLevel="0" collapsed="false">
      <c r="A36" s="0" t="s">
        <v>2887</v>
      </c>
      <c r="B36" s="0" t="s">
        <v>2888</v>
      </c>
      <c r="C36" s="0" t="s">
        <v>2889</v>
      </c>
      <c r="D36" s="0" t="s">
        <v>2890</v>
      </c>
      <c r="E36" s="0" t="s">
        <v>1898</v>
      </c>
      <c r="F36" s="0" t="s">
        <v>2763</v>
      </c>
      <c r="I36" s="0" t="s">
        <v>2891</v>
      </c>
      <c r="J36" s="0" t="s">
        <v>2892</v>
      </c>
      <c r="K36" s="0" t="s">
        <v>2766</v>
      </c>
      <c r="L36" s="0" t="n">
        <v>40.08</v>
      </c>
      <c r="M36" s="0" t="n">
        <v>5</v>
      </c>
      <c r="N36" s="0" t="s">
        <v>2579</v>
      </c>
      <c r="O36" s="0" t="n">
        <v>28.85</v>
      </c>
      <c r="P36" s="0" t="s">
        <v>1544</v>
      </c>
      <c r="Q36" s="0" t="n">
        <v>392624</v>
      </c>
      <c r="R36" s="0" t="n">
        <v>9796</v>
      </c>
      <c r="S36" s="0" t="n">
        <v>38.99</v>
      </c>
      <c r="T36" s="0" t="n">
        <v>389900</v>
      </c>
      <c r="U36" s="0" t="n">
        <v>9730</v>
      </c>
      <c r="V36" s="0" t="n">
        <v>0.1</v>
      </c>
      <c r="W36" s="0" t="n">
        <v>35.09</v>
      </c>
      <c r="X36" s="0" t="n">
        <v>350900</v>
      </c>
      <c r="Y36" s="0" t="n">
        <v>2006</v>
      </c>
      <c r="Z36" s="0" t="n">
        <v>3</v>
      </c>
      <c r="AA36" s="0" t="n">
        <v>31</v>
      </c>
      <c r="AB36" s="0" t="n">
        <v>1165</v>
      </c>
      <c r="AC36" s="0" t="s">
        <v>2809</v>
      </c>
      <c r="AE36" s="0" t="s">
        <v>188</v>
      </c>
      <c r="AF36" s="0" t="s">
        <v>2873</v>
      </c>
      <c r="AG36" s="0" t="s">
        <v>1485</v>
      </c>
      <c r="AI36" s="0" t="s">
        <v>2536</v>
      </c>
      <c r="AJ36" s="0" t="n">
        <v>38898</v>
      </c>
      <c r="AK36" s="0" t="n">
        <v>3</v>
      </c>
      <c r="AL36" s="0" t="n">
        <v>67641700</v>
      </c>
      <c r="AN36" s="0" t="s">
        <v>2566</v>
      </c>
      <c r="AP36" s="0" t="s">
        <v>2523</v>
      </c>
      <c r="AQ36" s="0" t="s">
        <v>2538</v>
      </c>
      <c r="AW36" s="0" t="s">
        <v>2562</v>
      </c>
      <c r="AX36" s="0" t="s">
        <v>2596</v>
      </c>
      <c r="AY36" s="0" t="s">
        <v>2893</v>
      </c>
      <c r="BG36" s="3659" t="n">
        <v>38794</v>
      </c>
      <c r="BI36" s="0" t="s">
        <v>2598</v>
      </c>
      <c r="BJ36" s="3659" t="n">
        <v>38805</v>
      </c>
      <c r="BK36" s="0" t="s">
        <v>1250</v>
      </c>
      <c r="BL36" s="0" t="s">
        <v>2599</v>
      </c>
      <c r="BQ36" s="0" t="n">
        <v>13515</v>
      </c>
      <c r="BR36" s="0" t="n">
        <v>13609</v>
      </c>
    </row>
    <row r="37" customFormat="false" ht="13.5" hidden="false" customHeight="false" outlineLevel="0" collapsed="false">
      <c r="A37" s="0" t="s">
        <v>2894</v>
      </c>
      <c r="B37" s="0" t="s">
        <v>2895</v>
      </c>
      <c r="C37" s="0" t="s">
        <v>2896</v>
      </c>
      <c r="D37" s="0" t="s">
        <v>2897</v>
      </c>
      <c r="E37" s="0" t="s">
        <v>1898</v>
      </c>
      <c r="F37" s="0" t="s">
        <v>2763</v>
      </c>
      <c r="H37" s="0" t="s">
        <v>1250</v>
      </c>
      <c r="I37" s="0" t="s">
        <v>2898</v>
      </c>
      <c r="J37" s="0" t="s">
        <v>2899</v>
      </c>
      <c r="K37" s="0" t="s">
        <v>2766</v>
      </c>
      <c r="L37" s="0" t="n">
        <v>62.96</v>
      </c>
      <c r="M37" s="0" t="n">
        <v>3</v>
      </c>
      <c r="N37" s="0" t="s">
        <v>2579</v>
      </c>
      <c r="O37" s="0" t="n">
        <v>45.32</v>
      </c>
      <c r="P37" s="0" t="s">
        <v>1544</v>
      </c>
      <c r="Q37" s="0" t="n">
        <v>628404</v>
      </c>
      <c r="R37" s="0" t="n">
        <v>9981</v>
      </c>
      <c r="S37" s="0" t="n">
        <v>62.52</v>
      </c>
      <c r="T37" s="0" t="n">
        <v>625200</v>
      </c>
      <c r="U37" s="0" t="n">
        <v>9931</v>
      </c>
      <c r="V37" s="0" t="n">
        <v>0.2</v>
      </c>
      <c r="W37" s="0" t="n">
        <v>50.01</v>
      </c>
      <c r="X37" s="0" t="n">
        <v>500100</v>
      </c>
      <c r="Y37" s="0" t="n">
        <v>2006</v>
      </c>
      <c r="Z37" s="0" t="n">
        <v>4</v>
      </c>
      <c r="AA37" s="0" t="n">
        <v>21</v>
      </c>
      <c r="AB37" s="0" t="n">
        <v>1500</v>
      </c>
      <c r="AC37" s="0" t="s">
        <v>2557</v>
      </c>
      <c r="AE37" s="0" t="s">
        <v>188</v>
      </c>
      <c r="AF37" s="0" t="s">
        <v>2781</v>
      </c>
      <c r="AG37" s="0" t="s">
        <v>1485</v>
      </c>
      <c r="AI37" s="0" t="s">
        <v>2536</v>
      </c>
      <c r="AJ37" s="0" t="n">
        <v>38898</v>
      </c>
      <c r="AK37" s="0" t="n">
        <v>4</v>
      </c>
      <c r="AL37" s="0" t="n">
        <v>67641700</v>
      </c>
      <c r="AN37" s="0" t="s">
        <v>2522</v>
      </c>
      <c r="AP37" s="0" t="s">
        <v>2523</v>
      </c>
      <c r="AQ37" s="0" t="s">
        <v>2538</v>
      </c>
      <c r="AW37" s="0" t="s">
        <v>2562</v>
      </c>
      <c r="AX37" s="0" t="s">
        <v>2596</v>
      </c>
      <c r="AY37" s="0" t="s">
        <v>2900</v>
      </c>
      <c r="BG37" s="3659" t="n">
        <v>38812</v>
      </c>
      <c r="BI37" s="0" t="s">
        <v>2598</v>
      </c>
      <c r="BJ37" s="3659" t="n">
        <v>38827</v>
      </c>
      <c r="BK37" s="0" t="s">
        <v>1250</v>
      </c>
      <c r="BL37" s="0" t="s">
        <v>2599</v>
      </c>
      <c r="BQ37" s="0" t="n">
        <v>13795</v>
      </c>
      <c r="BR37" s="0" t="n">
        <v>13866</v>
      </c>
    </row>
    <row r="38" customFormat="false" ht="13.5" hidden="false" customHeight="false" outlineLevel="0" collapsed="false">
      <c r="A38" s="0" t="s">
        <v>2901</v>
      </c>
      <c r="B38" s="0" t="s">
        <v>2902</v>
      </c>
      <c r="C38" s="0" t="s">
        <v>2903</v>
      </c>
      <c r="D38" s="0" t="s">
        <v>2904</v>
      </c>
      <c r="E38" s="0" t="s">
        <v>1898</v>
      </c>
      <c r="F38" s="0" t="s">
        <v>2763</v>
      </c>
      <c r="H38" s="0" t="s">
        <v>1250</v>
      </c>
      <c r="I38" s="0" t="s">
        <v>2836</v>
      </c>
      <c r="J38" s="0" t="s">
        <v>2905</v>
      </c>
      <c r="K38" s="0" t="s">
        <v>2766</v>
      </c>
      <c r="L38" s="0" t="n">
        <v>62.96</v>
      </c>
      <c r="M38" s="0" t="n">
        <v>6</v>
      </c>
      <c r="N38" s="0" t="s">
        <v>2579</v>
      </c>
      <c r="O38" s="0" t="n">
        <v>45.32</v>
      </c>
      <c r="P38" s="0" t="s">
        <v>1544</v>
      </c>
      <c r="Q38" s="0" t="n">
        <v>622191</v>
      </c>
      <c r="R38" s="0" t="n">
        <v>9882</v>
      </c>
      <c r="S38" s="0" t="n">
        <v>61.82</v>
      </c>
      <c r="T38" s="0" t="n">
        <v>618200</v>
      </c>
      <c r="U38" s="0" t="n">
        <v>9820</v>
      </c>
      <c r="V38" s="0" t="n">
        <v>0.2</v>
      </c>
      <c r="W38" s="0" t="n">
        <v>49.45</v>
      </c>
      <c r="X38" s="0" t="n">
        <v>494500</v>
      </c>
      <c r="Y38" s="0" t="n">
        <v>2006</v>
      </c>
      <c r="Z38" s="0" t="n">
        <v>4</v>
      </c>
      <c r="AA38" s="0" t="n">
        <v>28</v>
      </c>
      <c r="AB38" s="0" t="n">
        <v>1500</v>
      </c>
      <c r="AC38" s="0" t="s">
        <v>2557</v>
      </c>
      <c r="AE38" s="0" t="s">
        <v>188</v>
      </c>
      <c r="AF38" s="0" t="s">
        <v>2781</v>
      </c>
      <c r="AG38" s="0" t="s">
        <v>1485</v>
      </c>
      <c r="AI38" s="0" t="s">
        <v>2536</v>
      </c>
      <c r="AJ38" s="0" t="n">
        <v>38898</v>
      </c>
      <c r="AK38" s="0" t="n">
        <v>4</v>
      </c>
      <c r="AL38" s="0" t="n">
        <v>67641700</v>
      </c>
      <c r="AN38" s="0" t="s">
        <v>2545</v>
      </c>
      <c r="AP38" s="0" t="s">
        <v>2523</v>
      </c>
      <c r="AQ38" s="0" t="s">
        <v>2538</v>
      </c>
      <c r="AW38" s="0" t="s">
        <v>2562</v>
      </c>
      <c r="AX38" s="0" t="s">
        <v>2596</v>
      </c>
      <c r="AY38" s="0" t="s">
        <v>2906</v>
      </c>
      <c r="BG38" s="3659" t="n">
        <v>38802</v>
      </c>
      <c r="BI38" s="0" t="s">
        <v>2598</v>
      </c>
      <c r="BJ38" s="3659" t="n">
        <v>38834</v>
      </c>
      <c r="BK38" s="0" t="s">
        <v>1250</v>
      </c>
      <c r="BL38" s="0" t="s">
        <v>2599</v>
      </c>
      <c r="BQ38" s="0" t="n">
        <v>13641</v>
      </c>
      <c r="BR38" s="0" t="n">
        <v>13729</v>
      </c>
    </row>
    <row r="39" customFormat="false" ht="13.5" hidden="false" customHeight="false" outlineLevel="0" collapsed="false">
      <c r="A39" s="0" t="s">
        <v>2907</v>
      </c>
      <c r="B39" s="0" t="s">
        <v>2908</v>
      </c>
      <c r="C39" s="0" t="s">
        <v>2909</v>
      </c>
      <c r="D39" s="0" t="s">
        <v>2910</v>
      </c>
      <c r="E39" s="0" t="s">
        <v>1898</v>
      </c>
      <c r="F39" s="0" t="s">
        <v>2763</v>
      </c>
      <c r="H39" s="0" t="s">
        <v>1250</v>
      </c>
      <c r="I39" s="0" t="s">
        <v>2911</v>
      </c>
      <c r="J39" s="0" t="s">
        <v>2912</v>
      </c>
      <c r="K39" s="0" t="s">
        <v>2766</v>
      </c>
      <c r="L39" s="0" t="n">
        <v>52.82</v>
      </c>
      <c r="M39" s="0" t="n">
        <v>10</v>
      </c>
      <c r="N39" s="0" t="s">
        <v>2579</v>
      </c>
      <c r="O39" s="0" t="n">
        <v>38.02</v>
      </c>
      <c r="P39" s="0" t="s">
        <v>1544</v>
      </c>
      <c r="Q39" s="0" t="n">
        <v>560156</v>
      </c>
      <c r="R39" s="0" t="n">
        <v>10605</v>
      </c>
      <c r="S39" s="0" t="n">
        <v>55.46</v>
      </c>
      <c r="T39" s="0" t="n">
        <v>554600</v>
      </c>
      <c r="U39" s="0" t="n">
        <v>10500</v>
      </c>
      <c r="V39" s="0" t="n">
        <v>0.2</v>
      </c>
      <c r="W39" s="0" t="n">
        <v>44.36</v>
      </c>
      <c r="X39" s="0" t="n">
        <v>443600</v>
      </c>
      <c r="Y39" s="0" t="n">
        <v>2006</v>
      </c>
      <c r="Z39" s="0" t="n">
        <v>5</v>
      </c>
      <c r="AA39" s="0" t="n">
        <v>10</v>
      </c>
      <c r="AB39" s="0" t="n">
        <v>1500</v>
      </c>
      <c r="AC39" s="0" t="s">
        <v>2557</v>
      </c>
      <c r="AE39" s="0" t="s">
        <v>188</v>
      </c>
      <c r="AF39" s="0" t="s">
        <v>2873</v>
      </c>
      <c r="AG39" s="0" t="s">
        <v>1485</v>
      </c>
      <c r="AI39" s="0" t="s">
        <v>2536</v>
      </c>
      <c r="AJ39" s="0" t="n">
        <v>38898</v>
      </c>
      <c r="AK39" s="0" t="n">
        <v>5</v>
      </c>
      <c r="AL39" s="0" t="n">
        <v>67641700</v>
      </c>
      <c r="AN39" s="0" t="s">
        <v>2537</v>
      </c>
      <c r="AP39" s="0" t="s">
        <v>2523</v>
      </c>
      <c r="AQ39" s="0" t="s">
        <v>2538</v>
      </c>
      <c r="AW39" s="0" t="s">
        <v>2562</v>
      </c>
      <c r="AX39" s="0" t="s">
        <v>2596</v>
      </c>
      <c r="AY39" s="0" t="s">
        <v>2913</v>
      </c>
      <c r="BG39" s="3659" t="n">
        <v>38822</v>
      </c>
      <c r="BI39" s="0" t="s">
        <v>2803</v>
      </c>
      <c r="BJ39" s="3659" t="n">
        <v>38846</v>
      </c>
      <c r="BK39" s="0" t="s">
        <v>1250</v>
      </c>
      <c r="BL39" s="0" t="s">
        <v>2599</v>
      </c>
      <c r="BQ39" s="0" t="n">
        <v>14587</v>
      </c>
      <c r="BR39" s="0" t="n">
        <v>14733</v>
      </c>
    </row>
    <row r="40" customFormat="false" ht="13.5" hidden="false" customHeight="false" outlineLevel="0" collapsed="false">
      <c r="A40" s="0" t="s">
        <v>2914</v>
      </c>
      <c r="B40" s="0" t="s">
        <v>2915</v>
      </c>
      <c r="C40" s="0" t="s">
        <v>2916</v>
      </c>
      <c r="D40" s="0" t="s">
        <v>2917</v>
      </c>
      <c r="E40" s="0" t="s">
        <v>1898</v>
      </c>
      <c r="F40" s="0" t="s">
        <v>2763</v>
      </c>
      <c r="H40" s="0" t="s">
        <v>1250</v>
      </c>
      <c r="I40" s="0" t="s">
        <v>2918</v>
      </c>
      <c r="J40" s="0" t="s">
        <v>2919</v>
      </c>
      <c r="K40" s="0" t="s">
        <v>2766</v>
      </c>
      <c r="L40" s="0" t="n">
        <v>52.25</v>
      </c>
      <c r="M40" s="0" t="n">
        <v>9</v>
      </c>
      <c r="N40" s="0" t="s">
        <v>2579</v>
      </c>
      <c r="O40" s="0" t="n">
        <v>37.61</v>
      </c>
      <c r="P40" s="0" t="s">
        <v>1544</v>
      </c>
      <c r="Q40" s="0" t="n">
        <v>537653</v>
      </c>
      <c r="R40" s="0" t="n">
        <v>10290</v>
      </c>
      <c r="S40" s="0" t="n">
        <v>53.34</v>
      </c>
      <c r="T40" s="0" t="n">
        <v>533400</v>
      </c>
      <c r="U40" s="0" t="n">
        <v>10210</v>
      </c>
      <c r="V40" s="0" t="n">
        <v>0.2</v>
      </c>
      <c r="W40" s="0" t="n">
        <v>42.67</v>
      </c>
      <c r="X40" s="0" t="n">
        <v>426700</v>
      </c>
      <c r="Y40" s="0" t="n">
        <v>2006</v>
      </c>
      <c r="Z40" s="0" t="n">
        <v>5</v>
      </c>
      <c r="AA40" s="0" t="n">
        <v>12</v>
      </c>
      <c r="AB40" s="0" t="n">
        <v>1500</v>
      </c>
      <c r="AC40" s="0" t="s">
        <v>2557</v>
      </c>
      <c r="AE40" s="0" t="s">
        <v>188</v>
      </c>
      <c r="AF40" s="0" t="s">
        <v>2873</v>
      </c>
      <c r="AG40" s="0" t="s">
        <v>1485</v>
      </c>
      <c r="AI40" s="0" t="s">
        <v>2536</v>
      </c>
      <c r="AJ40" s="0" t="n">
        <v>38898</v>
      </c>
      <c r="AK40" s="0" t="s">
        <v>2566</v>
      </c>
      <c r="AL40" s="0" t="n">
        <v>67641700</v>
      </c>
      <c r="AN40" s="0" t="s">
        <v>2537</v>
      </c>
      <c r="AP40" s="0" t="s">
        <v>2523</v>
      </c>
      <c r="AQ40" s="0" t="s">
        <v>2538</v>
      </c>
      <c r="AW40" s="0" t="s">
        <v>2562</v>
      </c>
      <c r="AX40" s="0" t="s">
        <v>2596</v>
      </c>
      <c r="AY40" s="0" t="s">
        <v>2920</v>
      </c>
      <c r="AZ40" s="0" t="s">
        <v>1250</v>
      </c>
      <c r="BA40" s="0" t="s">
        <v>1250</v>
      </c>
      <c r="BB40" s="0" t="s">
        <v>1250</v>
      </c>
      <c r="BC40" s="0" t="s">
        <v>1250</v>
      </c>
      <c r="BD40" s="0" t="s">
        <v>1250</v>
      </c>
      <c r="BE40" s="0" t="s">
        <v>1250</v>
      </c>
      <c r="BF40" s="0" t="s">
        <v>1250</v>
      </c>
      <c r="BG40" s="3659" t="n">
        <v>38830</v>
      </c>
      <c r="BI40" s="0" t="s">
        <v>2803</v>
      </c>
      <c r="BJ40" s="3659" t="n">
        <v>38848</v>
      </c>
      <c r="BK40" s="0" t="s">
        <v>1250</v>
      </c>
      <c r="BL40" s="0" t="s">
        <v>2599</v>
      </c>
      <c r="BQ40" s="0" t="n">
        <v>14182</v>
      </c>
      <c r="BR40" s="0" t="n">
        <v>14295</v>
      </c>
    </row>
    <row r="41" customFormat="false" ht="13.5" hidden="false" customHeight="false" outlineLevel="0" collapsed="false">
      <c r="A41" s="0" t="s">
        <v>2921</v>
      </c>
      <c r="B41" s="0" t="s">
        <v>2922</v>
      </c>
      <c r="C41" s="0" t="s">
        <v>2923</v>
      </c>
      <c r="D41" s="0" t="s">
        <v>2924</v>
      </c>
      <c r="E41" s="0" t="s">
        <v>1898</v>
      </c>
      <c r="F41" s="0" t="s">
        <v>2763</v>
      </c>
      <c r="H41" s="0" t="s">
        <v>1250</v>
      </c>
      <c r="I41" s="0" t="s">
        <v>2925</v>
      </c>
      <c r="J41" s="0" t="s">
        <v>2926</v>
      </c>
      <c r="K41" s="0" t="s">
        <v>2766</v>
      </c>
      <c r="L41" s="0" t="n">
        <v>53.04</v>
      </c>
      <c r="M41" s="0" t="n">
        <v>11</v>
      </c>
      <c r="N41" s="0" t="s">
        <v>2579</v>
      </c>
      <c r="O41" s="0" t="n">
        <v>38.18</v>
      </c>
      <c r="P41" s="0" t="s">
        <v>1544</v>
      </c>
      <c r="Q41" s="0" t="n">
        <v>568058</v>
      </c>
      <c r="R41" s="0" t="n">
        <v>10710</v>
      </c>
      <c r="S41" s="0" t="n">
        <v>56.43</v>
      </c>
      <c r="T41" s="0" t="n">
        <v>564300</v>
      </c>
      <c r="U41" s="0" t="n">
        <v>10640</v>
      </c>
      <c r="V41" s="0" t="n">
        <v>0.2</v>
      </c>
      <c r="W41" s="0" t="n">
        <v>45.14</v>
      </c>
      <c r="X41" s="0" t="n">
        <v>451400</v>
      </c>
      <c r="Y41" s="0" t="n">
        <v>2006</v>
      </c>
      <c r="Z41" s="0" t="n">
        <v>5</v>
      </c>
      <c r="AA41" s="0" t="n">
        <v>16</v>
      </c>
      <c r="AB41" s="0" t="n">
        <v>1500</v>
      </c>
      <c r="AC41" s="0" t="s">
        <v>2557</v>
      </c>
      <c r="AE41" s="0" t="s">
        <v>188</v>
      </c>
      <c r="AF41" s="0" t="s">
        <v>2873</v>
      </c>
      <c r="AG41" s="0" t="s">
        <v>1485</v>
      </c>
      <c r="AI41" s="0" t="s">
        <v>2536</v>
      </c>
      <c r="AJ41" s="0" t="n">
        <v>38898</v>
      </c>
      <c r="AK41" s="0" t="n">
        <v>5</v>
      </c>
      <c r="AL41" s="0" t="n">
        <v>67641700</v>
      </c>
      <c r="AN41" s="0" t="s">
        <v>2537</v>
      </c>
      <c r="AP41" s="0" t="s">
        <v>2523</v>
      </c>
      <c r="AQ41" s="0" t="s">
        <v>2538</v>
      </c>
      <c r="AW41" s="0" t="s">
        <v>2562</v>
      </c>
      <c r="AX41" s="0" t="s">
        <v>2596</v>
      </c>
      <c r="AY41" s="0" t="s">
        <v>2927</v>
      </c>
      <c r="BG41" s="3659" t="n">
        <v>38829</v>
      </c>
      <c r="BI41" s="0" t="s">
        <v>2598</v>
      </c>
      <c r="BJ41" s="3659" t="n">
        <v>38852</v>
      </c>
      <c r="BK41" s="0" t="s">
        <v>1250</v>
      </c>
      <c r="BL41" s="0" t="s">
        <v>2599</v>
      </c>
      <c r="BQ41" s="0" t="n">
        <v>14780</v>
      </c>
      <c r="BR41" s="0" t="n">
        <v>14878</v>
      </c>
    </row>
    <row r="42" customFormat="false" ht="13.5" hidden="false" customHeight="false" outlineLevel="0" collapsed="false">
      <c r="A42" s="0" t="s">
        <v>2928</v>
      </c>
      <c r="B42" s="0" t="s">
        <v>2929</v>
      </c>
      <c r="C42" s="0" t="s">
        <v>2930</v>
      </c>
      <c r="D42" s="0" t="n">
        <v>13910160218</v>
      </c>
      <c r="E42" s="0" t="s">
        <v>1898</v>
      </c>
      <c r="F42" s="0" t="s">
        <v>2931</v>
      </c>
      <c r="H42" s="0" t="s">
        <v>2932</v>
      </c>
      <c r="I42" s="0" t="s">
        <v>2911</v>
      </c>
      <c r="J42" s="0" t="s">
        <v>2933</v>
      </c>
      <c r="K42" s="0" t="s">
        <v>2766</v>
      </c>
      <c r="L42" s="0" t="n">
        <v>40.99</v>
      </c>
      <c r="M42" s="0" t="n">
        <v>10</v>
      </c>
      <c r="N42" s="0" t="s">
        <v>2579</v>
      </c>
      <c r="O42" s="0" t="n">
        <v>29.51</v>
      </c>
      <c r="P42" s="0" t="s">
        <v>1544</v>
      </c>
      <c r="Q42" s="0" t="n">
        <v>434699</v>
      </c>
      <c r="R42" s="0" t="n">
        <v>10605</v>
      </c>
      <c r="S42" s="0" t="n">
        <v>43.16</v>
      </c>
      <c r="T42" s="0" t="n">
        <v>431600</v>
      </c>
      <c r="U42" s="0" t="n">
        <v>10530</v>
      </c>
      <c r="V42" s="0" t="n">
        <v>0.2</v>
      </c>
      <c r="W42" s="0" t="n">
        <v>34.52</v>
      </c>
      <c r="X42" s="0" t="n">
        <v>345200</v>
      </c>
      <c r="Y42" s="0" t="n">
        <v>2006</v>
      </c>
      <c r="Z42" s="0" t="n">
        <v>5</v>
      </c>
      <c r="AA42" s="0" t="n">
        <v>23</v>
      </c>
      <c r="AB42" s="0" t="n">
        <v>1290</v>
      </c>
      <c r="AC42" s="0" t="s">
        <v>2557</v>
      </c>
      <c r="AE42" s="0" t="s">
        <v>188</v>
      </c>
      <c r="AF42" s="0" t="s">
        <v>2873</v>
      </c>
      <c r="AG42" s="0" t="s">
        <v>1485</v>
      </c>
      <c r="AI42" s="0" t="s">
        <v>2536</v>
      </c>
      <c r="AJ42" s="0" t="n">
        <v>38898</v>
      </c>
      <c r="AK42" s="0" t="n">
        <v>5</v>
      </c>
      <c r="AL42" s="0" t="n">
        <v>67641700</v>
      </c>
      <c r="AN42" s="0" t="s">
        <v>2522</v>
      </c>
      <c r="AP42" s="0" t="s">
        <v>2523</v>
      </c>
      <c r="AQ42" s="0" t="s">
        <v>2538</v>
      </c>
      <c r="AW42" s="0" t="s">
        <v>2562</v>
      </c>
      <c r="AX42" s="0" t="s">
        <v>2596</v>
      </c>
      <c r="AY42" s="0" t="s">
        <v>2934</v>
      </c>
      <c r="BG42" s="3659" t="n">
        <v>38787</v>
      </c>
      <c r="BI42" s="0" t="s">
        <v>2727</v>
      </c>
      <c r="BJ42" s="3659" t="n">
        <v>38859</v>
      </c>
      <c r="BL42" s="0" t="s">
        <v>2599</v>
      </c>
      <c r="BQ42" s="0" t="n">
        <v>14626</v>
      </c>
      <c r="BR42" s="0" t="n">
        <v>14731</v>
      </c>
    </row>
    <row r="43" customFormat="false" ht="13.5" hidden="false" customHeight="false" outlineLevel="0" collapsed="false">
      <c r="A43" s="0" t="s">
        <v>2935</v>
      </c>
      <c r="B43" s="0" t="s">
        <v>2936</v>
      </c>
      <c r="C43" s="0" t="s">
        <v>2937</v>
      </c>
      <c r="D43" s="0" t="s">
        <v>2938</v>
      </c>
      <c r="E43" s="0" t="s">
        <v>1898</v>
      </c>
      <c r="F43" s="0" t="s">
        <v>2763</v>
      </c>
      <c r="H43" s="0" t="s">
        <v>1250</v>
      </c>
      <c r="I43" s="0" t="s">
        <v>2591</v>
      </c>
      <c r="J43" s="0" t="s">
        <v>2939</v>
      </c>
      <c r="K43" s="0" t="s">
        <v>2766</v>
      </c>
      <c r="L43" s="0" t="n">
        <v>53.15</v>
      </c>
      <c r="M43" s="0" t="n">
        <v>4</v>
      </c>
      <c r="N43" s="0" t="s">
        <v>2579</v>
      </c>
      <c r="O43" s="0" t="n">
        <v>38.26</v>
      </c>
      <c r="P43" s="0" t="s">
        <v>1544</v>
      </c>
      <c r="Q43" s="0" t="n">
        <v>552175</v>
      </c>
      <c r="R43" s="0" t="n">
        <v>10389</v>
      </c>
      <c r="S43" s="0" t="n">
        <v>54.74</v>
      </c>
      <c r="T43" s="0" t="n">
        <v>547400</v>
      </c>
      <c r="U43" s="0" t="n">
        <v>10300</v>
      </c>
      <c r="V43" s="0" t="n">
        <v>0.2</v>
      </c>
      <c r="W43" s="0" t="n">
        <v>43.79</v>
      </c>
      <c r="X43" s="0" t="n">
        <v>437900</v>
      </c>
      <c r="Y43" s="0" t="n">
        <v>2006</v>
      </c>
      <c r="Z43" s="0" t="n">
        <v>5</v>
      </c>
      <c r="AA43" s="0" t="n">
        <v>30</v>
      </c>
      <c r="AB43" s="0" t="n">
        <v>1500</v>
      </c>
      <c r="AC43" s="0" t="s">
        <v>2557</v>
      </c>
      <c r="AE43" s="0" t="s">
        <v>188</v>
      </c>
      <c r="AF43" s="0" t="s">
        <v>2873</v>
      </c>
      <c r="AG43" s="0" t="s">
        <v>1485</v>
      </c>
      <c r="AI43" s="0" t="s">
        <v>2536</v>
      </c>
      <c r="AJ43" s="0" t="n">
        <v>38898</v>
      </c>
      <c r="AK43" s="0" t="n">
        <v>5</v>
      </c>
      <c r="AL43" s="0" t="n">
        <v>67641700</v>
      </c>
      <c r="AN43" s="0" t="s">
        <v>2566</v>
      </c>
      <c r="AP43" s="0" t="s">
        <v>2523</v>
      </c>
      <c r="AQ43" s="0" t="s">
        <v>2538</v>
      </c>
      <c r="AW43" s="0" t="s">
        <v>2562</v>
      </c>
      <c r="AX43" s="0" t="s">
        <v>2596</v>
      </c>
      <c r="AY43" s="0" t="s">
        <v>2940</v>
      </c>
      <c r="BG43" s="3659" t="n">
        <v>38828</v>
      </c>
      <c r="BI43" s="0" t="s">
        <v>2803</v>
      </c>
      <c r="BJ43" s="3659" t="n">
        <v>38866</v>
      </c>
      <c r="BK43" s="0" t="s">
        <v>1250</v>
      </c>
      <c r="BL43" s="0" t="s">
        <v>2599</v>
      </c>
      <c r="BQ43" s="0" t="n">
        <v>14307</v>
      </c>
      <c r="BR43" s="0" t="n">
        <v>14432</v>
      </c>
    </row>
    <row r="44" customFormat="false" ht="13.5" hidden="false" customHeight="false" outlineLevel="0" collapsed="false">
      <c r="A44" s="0" t="s">
        <v>2941</v>
      </c>
      <c r="B44" s="0" t="s">
        <v>2942</v>
      </c>
      <c r="C44" s="0" t="s">
        <v>2943</v>
      </c>
      <c r="D44" s="0" t="s">
        <v>2944</v>
      </c>
      <c r="E44" s="0" t="s">
        <v>1898</v>
      </c>
      <c r="F44" s="0" t="s">
        <v>2945</v>
      </c>
      <c r="H44" s="0" t="s">
        <v>1250</v>
      </c>
      <c r="J44" s="0" t="s">
        <v>2946</v>
      </c>
      <c r="K44" s="0" t="s">
        <v>2766</v>
      </c>
      <c r="L44" s="0" t="n">
        <v>52.82</v>
      </c>
      <c r="M44" s="0" t="n">
        <v>7</v>
      </c>
      <c r="N44" s="0" t="s">
        <v>2518</v>
      </c>
      <c r="O44" s="0" t="n">
        <v>38.02</v>
      </c>
      <c r="P44" s="0" t="s">
        <v>1544</v>
      </c>
      <c r="Q44" s="0" t="n">
        <v>549064</v>
      </c>
      <c r="R44" s="0" t="n">
        <v>10395</v>
      </c>
      <c r="S44" s="0" t="n">
        <v>54.51</v>
      </c>
      <c r="T44" s="0" t="n">
        <v>545100</v>
      </c>
      <c r="U44" s="0" t="n">
        <v>10320</v>
      </c>
      <c r="V44" s="0" t="n">
        <v>0.2</v>
      </c>
      <c r="W44" s="0" t="n">
        <v>43.6</v>
      </c>
      <c r="X44" s="0" t="n">
        <v>436000</v>
      </c>
      <c r="Y44" s="0" t="n">
        <v>2006</v>
      </c>
      <c r="Z44" s="0" t="n">
        <v>6</v>
      </c>
      <c r="AA44" s="0" t="n">
        <v>2</v>
      </c>
      <c r="AB44" s="0" t="n">
        <v>1500</v>
      </c>
      <c r="AC44" s="0" t="s">
        <v>2557</v>
      </c>
      <c r="AE44" s="0" t="s">
        <v>2603</v>
      </c>
      <c r="AF44" s="0" t="s">
        <v>1408</v>
      </c>
      <c r="AG44" s="0" t="s">
        <v>1485</v>
      </c>
      <c r="AI44" s="0" t="s">
        <v>2536</v>
      </c>
      <c r="AJ44" s="0" t="n">
        <v>38898</v>
      </c>
      <c r="AK44" s="0" t="s">
        <v>2565</v>
      </c>
      <c r="AL44" s="0" t="n">
        <v>67641700</v>
      </c>
      <c r="AN44" s="0" t="s">
        <v>2521</v>
      </c>
      <c r="AP44" s="0" t="s">
        <v>2523</v>
      </c>
      <c r="AQ44" s="0" t="s">
        <v>2538</v>
      </c>
      <c r="AW44" s="0" t="s">
        <v>2562</v>
      </c>
      <c r="AX44" s="0" t="s">
        <v>2596</v>
      </c>
      <c r="AY44" s="0" t="s">
        <v>2947</v>
      </c>
      <c r="AZ44" s="0" t="s">
        <v>2766</v>
      </c>
      <c r="BA44" s="0" t="s">
        <v>2788</v>
      </c>
      <c r="BB44" s="0" t="s">
        <v>2789</v>
      </c>
      <c r="BC44" s="0" t="s">
        <v>2790</v>
      </c>
      <c r="BD44" s="0" t="n">
        <v>100810</v>
      </c>
      <c r="BE44" s="0" t="n">
        <v>82058181</v>
      </c>
      <c r="BF44" s="0" t="n">
        <v>2.7</v>
      </c>
      <c r="BG44" s="3659" t="n">
        <v>38822</v>
      </c>
      <c r="BI44" s="0" t="s">
        <v>2603</v>
      </c>
      <c r="BJ44" s="3659" t="n">
        <v>38869</v>
      </c>
      <c r="BK44" s="0" t="s">
        <v>1250</v>
      </c>
      <c r="BL44" s="0" t="s">
        <v>2599</v>
      </c>
      <c r="BQ44" s="0" t="n">
        <v>14337</v>
      </c>
      <c r="BR44" s="0" t="n">
        <v>14441</v>
      </c>
    </row>
    <row r="45" customFormat="false" ht="13.5" hidden="false" customHeight="false" outlineLevel="0" collapsed="false">
      <c r="A45" s="0" t="s">
        <v>2948</v>
      </c>
      <c r="B45" s="0" t="s">
        <v>2949</v>
      </c>
      <c r="C45" s="0" t="s">
        <v>2950</v>
      </c>
      <c r="D45" s="0" t="s">
        <v>2951</v>
      </c>
      <c r="E45" s="0" t="s">
        <v>1898</v>
      </c>
      <c r="F45" s="0" t="s">
        <v>2931</v>
      </c>
      <c r="H45" s="0" t="s">
        <v>2932</v>
      </c>
      <c r="I45" s="0" t="s">
        <v>2952</v>
      </c>
      <c r="J45" s="0" t="s">
        <v>2953</v>
      </c>
      <c r="K45" s="0" t="s">
        <v>2766</v>
      </c>
      <c r="L45" s="0" t="s">
        <v>2954</v>
      </c>
      <c r="M45" s="0" t="s">
        <v>2955</v>
      </c>
      <c r="N45" s="0" t="s">
        <v>2579</v>
      </c>
      <c r="O45" s="0" t="s">
        <v>2956</v>
      </c>
      <c r="P45" s="0" t="s">
        <v>1544</v>
      </c>
      <c r="Q45" s="0" t="s">
        <v>2957</v>
      </c>
      <c r="R45" s="0" t="n">
        <v>11145</v>
      </c>
      <c r="S45" s="0" t="n">
        <v>47.11</v>
      </c>
      <c r="T45" s="0" t="n">
        <v>471100</v>
      </c>
      <c r="U45" s="0" t="s">
        <v>2958</v>
      </c>
      <c r="V45" s="0" t="n">
        <v>0.2</v>
      </c>
      <c r="W45" s="0" t="n">
        <v>37.68</v>
      </c>
      <c r="X45" s="0" t="n">
        <v>376800</v>
      </c>
      <c r="Y45" s="0" t="n">
        <v>2006</v>
      </c>
      <c r="Z45" s="0" t="s">
        <v>1073</v>
      </c>
      <c r="AA45" s="0" t="s">
        <v>2959</v>
      </c>
      <c r="AB45" s="0" t="n">
        <v>1410</v>
      </c>
      <c r="AC45" s="0" t="s">
        <v>2557</v>
      </c>
      <c r="AE45" s="0" t="s">
        <v>188</v>
      </c>
      <c r="AF45" s="0" t="s">
        <v>2873</v>
      </c>
      <c r="AG45" s="0" t="s">
        <v>1485</v>
      </c>
      <c r="AI45" s="0" t="s">
        <v>2536</v>
      </c>
      <c r="AJ45" s="0" t="n">
        <v>38898</v>
      </c>
      <c r="AK45" s="0" t="s">
        <v>2565</v>
      </c>
      <c r="AL45" s="0" t="n">
        <v>67641700</v>
      </c>
      <c r="AN45" s="0" t="s">
        <v>2537</v>
      </c>
      <c r="AP45" s="0" t="s">
        <v>2523</v>
      </c>
      <c r="AQ45" s="0" t="s">
        <v>2538</v>
      </c>
      <c r="AW45" s="0" t="s">
        <v>2562</v>
      </c>
      <c r="AX45" s="0" t="s">
        <v>2596</v>
      </c>
      <c r="AY45" s="0" t="s">
        <v>2960</v>
      </c>
      <c r="AZ45" s="0" t="s">
        <v>2766</v>
      </c>
      <c r="BG45" s="3659" t="n">
        <v>38844</v>
      </c>
      <c r="BI45" s="0" t="s">
        <v>2727</v>
      </c>
      <c r="BJ45" s="3659" t="n">
        <v>38876</v>
      </c>
      <c r="BL45" s="0" t="s">
        <v>2599</v>
      </c>
      <c r="BQ45" s="0" t="n">
        <v>15362</v>
      </c>
      <c r="BR45" s="0" t="n">
        <v>15480</v>
      </c>
    </row>
    <row r="46" customFormat="false" ht="13.5" hidden="false" customHeight="false" outlineLevel="0" collapsed="false">
      <c r="A46" s="0" t="s">
        <v>2961</v>
      </c>
      <c r="B46" s="0" t="s">
        <v>2962</v>
      </c>
      <c r="C46" s="0" t="s">
        <v>2963</v>
      </c>
      <c r="D46" s="0" t="s">
        <v>2964</v>
      </c>
      <c r="E46" s="0" t="s">
        <v>1898</v>
      </c>
      <c r="F46" s="0" t="s">
        <v>2931</v>
      </c>
      <c r="H46" s="0" t="s">
        <v>2932</v>
      </c>
      <c r="I46" s="0" t="s">
        <v>2965</v>
      </c>
      <c r="J46" s="0" t="s">
        <v>2966</v>
      </c>
      <c r="K46" s="0" t="s">
        <v>2766</v>
      </c>
      <c r="L46" s="0" t="s">
        <v>2967</v>
      </c>
      <c r="M46" s="0" t="s">
        <v>2695</v>
      </c>
      <c r="N46" s="0" t="s">
        <v>2579</v>
      </c>
      <c r="O46" s="0" t="s">
        <v>2968</v>
      </c>
      <c r="P46" s="0" t="s">
        <v>1544</v>
      </c>
      <c r="Q46" s="0" t="s">
        <v>2969</v>
      </c>
      <c r="R46" s="0" t="n">
        <v>10395</v>
      </c>
      <c r="S46" s="0" t="n">
        <v>42.5</v>
      </c>
      <c r="T46" s="0" t="n">
        <v>425000</v>
      </c>
      <c r="U46" s="0" t="s">
        <v>2970</v>
      </c>
      <c r="V46" s="0" t="n">
        <v>0.2</v>
      </c>
      <c r="W46" s="0" t="n">
        <v>34</v>
      </c>
      <c r="X46" s="0" t="n">
        <v>340000</v>
      </c>
      <c r="Y46" s="0" t="n">
        <v>2006</v>
      </c>
      <c r="Z46" s="0" t="s">
        <v>1073</v>
      </c>
      <c r="AA46" s="0" t="s">
        <v>2971</v>
      </c>
      <c r="AB46" s="0" t="n">
        <v>1275</v>
      </c>
      <c r="AC46" s="0" t="s">
        <v>2557</v>
      </c>
      <c r="AE46" s="0" t="s">
        <v>188</v>
      </c>
      <c r="AF46" s="0" t="s">
        <v>2873</v>
      </c>
      <c r="AG46" s="0" t="s">
        <v>1485</v>
      </c>
      <c r="AI46" s="0" t="s">
        <v>2536</v>
      </c>
      <c r="AJ46" s="0" t="n">
        <v>38898</v>
      </c>
      <c r="AK46" s="0" t="s">
        <v>2565</v>
      </c>
      <c r="AL46" s="0" t="n">
        <v>67641700</v>
      </c>
      <c r="AN46" s="0" t="s">
        <v>2522</v>
      </c>
      <c r="AP46" s="0" t="s">
        <v>2523</v>
      </c>
      <c r="AQ46" s="0" t="s">
        <v>2538</v>
      </c>
      <c r="AW46" s="0" t="s">
        <v>2562</v>
      </c>
      <c r="AX46" s="0" t="s">
        <v>2596</v>
      </c>
      <c r="AY46" s="0" t="s">
        <v>2972</v>
      </c>
      <c r="AZ46" s="0" t="s">
        <v>2766</v>
      </c>
      <c r="BG46" s="3659" t="n">
        <v>38852</v>
      </c>
      <c r="BI46" s="0" t="s">
        <v>2598</v>
      </c>
      <c r="BJ46" s="3659" t="n">
        <v>38881</v>
      </c>
      <c r="BL46" s="0" t="s">
        <v>2599</v>
      </c>
      <c r="BQ46" s="0" t="n">
        <v>14402</v>
      </c>
      <c r="BR46" s="0" t="n">
        <v>14439</v>
      </c>
    </row>
    <row r="47" customFormat="false" ht="13.5" hidden="false" customHeight="false" outlineLevel="0" collapsed="false">
      <c r="A47" s="0" t="s">
        <v>2973</v>
      </c>
      <c r="B47" s="0" t="s">
        <v>2974</v>
      </c>
      <c r="C47" s="0" t="s">
        <v>2975</v>
      </c>
      <c r="D47" s="0" t="s">
        <v>2976</v>
      </c>
      <c r="E47" s="0" t="s">
        <v>1898</v>
      </c>
      <c r="F47" s="0" t="s">
        <v>2931</v>
      </c>
      <c r="H47" s="0" t="s">
        <v>2932</v>
      </c>
      <c r="I47" s="0" t="s">
        <v>2898</v>
      </c>
      <c r="J47" s="0" t="s">
        <v>2977</v>
      </c>
      <c r="K47" s="0" t="s">
        <v>2766</v>
      </c>
      <c r="L47" s="0" t="s">
        <v>2978</v>
      </c>
      <c r="M47" s="0" t="s">
        <v>1023</v>
      </c>
      <c r="N47" s="0" t="s">
        <v>2579</v>
      </c>
      <c r="O47" s="0" t="s">
        <v>2979</v>
      </c>
      <c r="P47" s="0" t="s">
        <v>1544</v>
      </c>
      <c r="Q47" s="0" t="s">
        <v>2980</v>
      </c>
      <c r="R47" s="0" t="n">
        <v>9981</v>
      </c>
      <c r="S47" s="0" t="n">
        <v>51.72</v>
      </c>
      <c r="T47" s="0" t="n">
        <v>517200</v>
      </c>
      <c r="U47" s="0" t="s">
        <v>2981</v>
      </c>
      <c r="V47" s="0" t="n">
        <v>0.2</v>
      </c>
      <c r="W47" s="0" t="n">
        <v>41.37</v>
      </c>
      <c r="X47" s="0" t="n">
        <v>413700</v>
      </c>
      <c r="Y47" s="0" t="n">
        <v>2006</v>
      </c>
      <c r="Z47" s="0" t="s">
        <v>1073</v>
      </c>
      <c r="AA47" s="0" t="s">
        <v>2971</v>
      </c>
      <c r="AB47" s="0" t="n">
        <v>1500</v>
      </c>
      <c r="AC47" s="0" t="s">
        <v>2557</v>
      </c>
      <c r="AE47" s="0" t="s">
        <v>188</v>
      </c>
      <c r="AF47" s="0" t="s">
        <v>2873</v>
      </c>
      <c r="AG47" s="0" t="s">
        <v>1485</v>
      </c>
      <c r="AI47" s="0" t="s">
        <v>2536</v>
      </c>
      <c r="AJ47" s="0" t="n">
        <v>38898</v>
      </c>
      <c r="AK47" s="0" t="s">
        <v>2565</v>
      </c>
      <c r="AL47" s="0" t="n">
        <v>67641700</v>
      </c>
      <c r="AN47" s="0" t="s">
        <v>2522</v>
      </c>
      <c r="AP47" s="0" t="s">
        <v>2523</v>
      </c>
      <c r="AQ47" s="0" t="s">
        <v>2538</v>
      </c>
      <c r="AW47" s="0" t="s">
        <v>2562</v>
      </c>
      <c r="AX47" s="0" t="s">
        <v>2596</v>
      </c>
      <c r="AY47" s="0" t="s">
        <v>2982</v>
      </c>
      <c r="AZ47" s="0" t="s">
        <v>2766</v>
      </c>
      <c r="BG47" s="3659" t="n">
        <v>38819</v>
      </c>
      <c r="BI47" s="0" t="s">
        <v>2598</v>
      </c>
      <c r="BJ47" s="3659" t="n">
        <v>38881</v>
      </c>
      <c r="BL47" s="0" t="s">
        <v>2599</v>
      </c>
      <c r="BQ47" s="0" t="n">
        <v>13752</v>
      </c>
      <c r="BR47" s="0" t="n">
        <v>13866</v>
      </c>
    </row>
    <row r="48" customFormat="false" ht="13.5" hidden="false" customHeight="false" outlineLevel="0" collapsed="false">
      <c r="A48" s="0" t="s">
        <v>2983</v>
      </c>
      <c r="B48" s="0" t="s">
        <v>2984</v>
      </c>
      <c r="C48" s="0" t="s">
        <v>2985</v>
      </c>
      <c r="D48" s="0" t="s">
        <v>2986</v>
      </c>
      <c r="E48" s="0" t="s">
        <v>1898</v>
      </c>
      <c r="F48" s="0" t="s">
        <v>2931</v>
      </c>
      <c r="H48" s="0" t="s">
        <v>2932</v>
      </c>
      <c r="I48" s="0" t="s">
        <v>2898</v>
      </c>
      <c r="J48" s="0" t="s">
        <v>2987</v>
      </c>
      <c r="K48" s="0" t="s">
        <v>2766</v>
      </c>
      <c r="L48" s="0" t="s">
        <v>2988</v>
      </c>
      <c r="M48" s="0" t="s">
        <v>1023</v>
      </c>
      <c r="N48" s="0" t="s">
        <v>2579</v>
      </c>
      <c r="O48" s="0" t="s">
        <v>2989</v>
      </c>
      <c r="P48" s="0" t="s">
        <v>1544</v>
      </c>
      <c r="Q48" s="0" t="s">
        <v>2990</v>
      </c>
      <c r="R48" s="0" t="n">
        <v>10369</v>
      </c>
      <c r="S48" s="0" t="n">
        <v>54.23</v>
      </c>
      <c r="T48" s="0" t="n">
        <v>542300</v>
      </c>
      <c r="U48" s="0" t="s">
        <v>2991</v>
      </c>
      <c r="V48" s="0" t="n">
        <v>0.2</v>
      </c>
      <c r="W48" s="0" t="n">
        <v>43.38</v>
      </c>
      <c r="X48" s="0" t="n">
        <v>433800</v>
      </c>
      <c r="Y48" s="0" t="n">
        <v>2006</v>
      </c>
      <c r="Z48" s="0" t="s">
        <v>1073</v>
      </c>
      <c r="AA48" s="0" t="s">
        <v>2992</v>
      </c>
      <c r="AB48" s="0" t="n">
        <v>1500</v>
      </c>
      <c r="AC48" s="0" t="s">
        <v>2557</v>
      </c>
      <c r="AE48" s="0" t="s">
        <v>188</v>
      </c>
      <c r="AF48" s="0" t="s">
        <v>2873</v>
      </c>
      <c r="AG48" s="0" t="s">
        <v>1485</v>
      </c>
      <c r="AI48" s="0" t="s">
        <v>2536</v>
      </c>
      <c r="AJ48" s="0" t="n">
        <v>38898</v>
      </c>
      <c r="AK48" s="0" t="s">
        <v>2565</v>
      </c>
      <c r="AL48" s="0" t="n">
        <v>67641700</v>
      </c>
      <c r="AN48" s="0" t="s">
        <v>2545</v>
      </c>
      <c r="AP48" s="0" t="s">
        <v>2523</v>
      </c>
      <c r="AQ48" s="0" t="s">
        <v>2538</v>
      </c>
      <c r="AW48" s="0" t="s">
        <v>2562</v>
      </c>
      <c r="AX48" s="0" t="s">
        <v>2596</v>
      </c>
      <c r="AY48" s="0" t="s">
        <v>2993</v>
      </c>
      <c r="BG48" s="3659" t="n">
        <v>38871</v>
      </c>
      <c r="BI48" s="0" t="s">
        <v>2803</v>
      </c>
      <c r="BJ48" s="3659" t="n">
        <v>38887</v>
      </c>
      <c r="BL48" s="0" t="s">
        <v>2599</v>
      </c>
      <c r="BQ48" s="0" t="n">
        <v>14279</v>
      </c>
      <c r="BR48" s="0" t="n">
        <v>14405</v>
      </c>
    </row>
    <row r="49" customFormat="false" ht="13.5" hidden="false" customHeight="false" outlineLevel="0" collapsed="false">
      <c r="A49" s="0" t="s">
        <v>2994</v>
      </c>
      <c r="B49" s="0" t="s">
        <v>2995</v>
      </c>
      <c r="C49" s="0" t="s">
        <v>2996</v>
      </c>
      <c r="D49" s="0" t="s">
        <v>2997</v>
      </c>
      <c r="E49" s="0" t="s">
        <v>1898</v>
      </c>
      <c r="F49" s="0" t="s">
        <v>2931</v>
      </c>
      <c r="H49" s="0" t="s">
        <v>2932</v>
      </c>
      <c r="I49" s="0" t="s">
        <v>2764</v>
      </c>
      <c r="J49" s="0" t="s">
        <v>2998</v>
      </c>
      <c r="K49" s="0" t="s">
        <v>2766</v>
      </c>
      <c r="L49" s="0" t="s">
        <v>2999</v>
      </c>
      <c r="M49" s="0" t="s">
        <v>3000</v>
      </c>
      <c r="N49" s="0" t="s">
        <v>2579</v>
      </c>
      <c r="O49" s="0" t="s">
        <v>3001</v>
      </c>
      <c r="P49" s="0" t="s">
        <v>1544</v>
      </c>
      <c r="Q49" s="0" t="s">
        <v>3002</v>
      </c>
      <c r="R49" s="0" t="n">
        <v>10187</v>
      </c>
      <c r="S49" s="0" t="n">
        <v>53.11</v>
      </c>
      <c r="T49" s="0" t="n">
        <v>531100</v>
      </c>
      <c r="U49" s="0" t="s">
        <v>3003</v>
      </c>
      <c r="V49" s="0" t="n">
        <v>0.2</v>
      </c>
      <c r="W49" s="0" t="n">
        <v>42.48</v>
      </c>
      <c r="X49" s="0" t="n">
        <v>424800</v>
      </c>
      <c r="Y49" s="0" t="n">
        <v>2006</v>
      </c>
      <c r="Z49" s="0" t="s">
        <v>1073</v>
      </c>
      <c r="AA49" s="0" t="s">
        <v>3004</v>
      </c>
      <c r="AB49" s="0" t="n">
        <v>1500</v>
      </c>
      <c r="AC49" s="0" t="s">
        <v>2557</v>
      </c>
      <c r="AE49" s="0" t="s">
        <v>188</v>
      </c>
      <c r="AF49" s="0" t="s">
        <v>2873</v>
      </c>
      <c r="AG49" s="0" t="s">
        <v>1485</v>
      </c>
      <c r="AI49" s="0" t="s">
        <v>2536</v>
      </c>
      <c r="AJ49" s="0" t="n">
        <v>38898</v>
      </c>
      <c r="AK49" s="0" t="s">
        <v>2565</v>
      </c>
      <c r="AL49" s="0" t="n">
        <v>67641700</v>
      </c>
      <c r="AN49" s="0" t="s">
        <v>2545</v>
      </c>
      <c r="AP49" s="0" t="s">
        <v>2523</v>
      </c>
      <c r="AQ49" s="0" t="s">
        <v>2538</v>
      </c>
      <c r="AW49" s="0" t="s">
        <v>2562</v>
      </c>
      <c r="AX49" s="0" t="s">
        <v>2596</v>
      </c>
      <c r="AY49" s="0" t="s">
        <v>3005</v>
      </c>
      <c r="AZ49" s="0" t="s">
        <v>2766</v>
      </c>
      <c r="BG49" s="3659" t="n">
        <v>38859</v>
      </c>
      <c r="BI49" s="0" t="s">
        <v>2598</v>
      </c>
      <c r="BJ49" s="3659" t="n">
        <v>38888</v>
      </c>
      <c r="BL49" s="0" t="s">
        <v>2599</v>
      </c>
      <c r="BQ49" s="0" t="n">
        <v>14028</v>
      </c>
      <c r="BR49" s="0" t="n">
        <v>14151</v>
      </c>
    </row>
    <row r="50" customFormat="false" ht="13.5" hidden="false" customHeight="false" outlineLevel="0" collapsed="false">
      <c r="A50" s="0" t="s">
        <v>3006</v>
      </c>
      <c r="B50" s="0" t="s">
        <v>3007</v>
      </c>
      <c r="C50" s="0" t="s">
        <v>3008</v>
      </c>
      <c r="D50" s="0" t="s">
        <v>3009</v>
      </c>
      <c r="E50" s="0" t="s">
        <v>1898</v>
      </c>
      <c r="F50" s="0" t="s">
        <v>2931</v>
      </c>
      <c r="H50" s="0" t="s">
        <v>2932</v>
      </c>
      <c r="I50" s="0" t="s">
        <v>2891</v>
      </c>
      <c r="J50" s="0" t="s">
        <v>3010</v>
      </c>
      <c r="K50" s="0" t="s">
        <v>2766</v>
      </c>
      <c r="L50" s="0" t="s">
        <v>3011</v>
      </c>
      <c r="M50" s="0" t="s">
        <v>1062</v>
      </c>
      <c r="N50" s="0" t="s">
        <v>2579</v>
      </c>
      <c r="O50" s="0" t="s">
        <v>3012</v>
      </c>
      <c r="P50" s="0" t="s">
        <v>1544</v>
      </c>
      <c r="Q50" s="0" t="s">
        <v>3013</v>
      </c>
      <c r="R50" s="0" t="n">
        <v>8600</v>
      </c>
      <c r="S50" s="0" t="n">
        <v>59</v>
      </c>
      <c r="T50" s="0" t="n">
        <v>590000</v>
      </c>
      <c r="U50" s="0" t="s">
        <v>3014</v>
      </c>
      <c r="V50" s="0" t="n">
        <v>0.2</v>
      </c>
      <c r="W50" s="0" t="n">
        <v>47.2</v>
      </c>
      <c r="X50" s="0" t="n">
        <v>472000</v>
      </c>
      <c r="Y50" s="0" t="n">
        <v>2006</v>
      </c>
      <c r="Z50" s="0" t="s">
        <v>1073</v>
      </c>
      <c r="AA50" s="0" t="s">
        <v>3015</v>
      </c>
      <c r="AB50" s="0" t="n">
        <v>1500</v>
      </c>
      <c r="AC50" s="0" t="s">
        <v>2557</v>
      </c>
      <c r="AE50" s="0" t="s">
        <v>188</v>
      </c>
      <c r="AF50" s="0" t="s">
        <v>2873</v>
      </c>
      <c r="AG50" s="0" t="s">
        <v>1485</v>
      </c>
      <c r="AI50" s="0" t="s">
        <v>2536</v>
      </c>
      <c r="AJ50" s="0" t="n">
        <v>38898</v>
      </c>
      <c r="AK50" s="0" t="s">
        <v>2565</v>
      </c>
      <c r="AL50" s="0" t="n">
        <v>67641700</v>
      </c>
      <c r="AN50" s="0" t="s">
        <v>2545</v>
      </c>
      <c r="AP50" s="0" t="s">
        <v>2523</v>
      </c>
      <c r="AQ50" s="0" t="s">
        <v>2538</v>
      </c>
      <c r="AW50" s="0" t="s">
        <v>2562</v>
      </c>
      <c r="AX50" s="0" t="s">
        <v>2596</v>
      </c>
      <c r="AY50" s="0" t="s">
        <v>3016</v>
      </c>
      <c r="AZ50" s="0" t="s">
        <v>2766</v>
      </c>
      <c r="BG50" s="3659" t="n">
        <v>38872</v>
      </c>
      <c r="BI50" s="0" t="s">
        <v>2598</v>
      </c>
      <c r="BJ50" s="3659" t="n">
        <v>38890</v>
      </c>
      <c r="BL50" s="0" t="s">
        <v>2599</v>
      </c>
      <c r="BQ50" s="0" t="n">
        <v>11718</v>
      </c>
      <c r="BR50" s="0" t="n">
        <v>11948</v>
      </c>
    </row>
    <row r="51" customFormat="false" ht="13.5" hidden="false" customHeight="false" outlineLevel="0" collapsed="false">
      <c r="A51" s="0" t="s">
        <v>3017</v>
      </c>
      <c r="B51" s="0" t="s">
        <v>3018</v>
      </c>
      <c r="C51" s="0" t="s">
        <v>3019</v>
      </c>
      <c r="D51" s="0" t="s">
        <v>3020</v>
      </c>
      <c r="E51" s="0" t="s">
        <v>1898</v>
      </c>
      <c r="F51" s="0" t="s">
        <v>2931</v>
      </c>
      <c r="H51" s="0" t="s">
        <v>2932</v>
      </c>
      <c r="I51" s="0" t="s">
        <v>2952</v>
      </c>
      <c r="J51" s="0" t="s">
        <v>3021</v>
      </c>
      <c r="K51" s="0" t="s">
        <v>2766</v>
      </c>
      <c r="L51" s="0" t="s">
        <v>3022</v>
      </c>
      <c r="M51" s="0" t="s">
        <v>2955</v>
      </c>
      <c r="N51" s="0" t="s">
        <v>2579</v>
      </c>
      <c r="O51" s="0" t="s">
        <v>3023</v>
      </c>
      <c r="P51" s="0" t="s">
        <v>1544</v>
      </c>
      <c r="Q51" s="0" t="s">
        <v>3024</v>
      </c>
      <c r="R51" s="0" t="n">
        <v>11411</v>
      </c>
      <c r="S51" s="0" t="n">
        <v>50.79</v>
      </c>
      <c r="T51" s="0" t="n">
        <v>507900</v>
      </c>
      <c r="U51" s="0" t="s">
        <v>3025</v>
      </c>
      <c r="V51" s="0" t="n">
        <v>0.2</v>
      </c>
      <c r="W51" s="0" t="n">
        <v>40.63</v>
      </c>
      <c r="X51" s="0" t="n">
        <v>406300</v>
      </c>
      <c r="Y51" s="0" t="n">
        <v>2006</v>
      </c>
      <c r="Z51" s="0" t="s">
        <v>3000</v>
      </c>
      <c r="AA51" s="0" t="s">
        <v>3026</v>
      </c>
      <c r="AB51" s="0" t="n">
        <v>1500</v>
      </c>
      <c r="AC51" s="0" t="s">
        <v>2557</v>
      </c>
      <c r="AD51" s="0" t="s">
        <v>3027</v>
      </c>
      <c r="AE51" s="0" t="s">
        <v>188</v>
      </c>
      <c r="AF51" s="0" t="s">
        <v>2873</v>
      </c>
      <c r="AG51" s="0" t="s">
        <v>1485</v>
      </c>
      <c r="AI51" s="0" t="s">
        <v>2536</v>
      </c>
      <c r="AJ51" s="0" t="n">
        <v>38990</v>
      </c>
      <c r="AK51" s="0" t="s">
        <v>2605</v>
      </c>
      <c r="AN51" s="0" t="s">
        <v>2537</v>
      </c>
      <c r="AP51" s="0" t="s">
        <v>2598</v>
      </c>
      <c r="AQ51" s="0" t="s">
        <v>2538</v>
      </c>
      <c r="AW51" s="0" t="s">
        <v>2562</v>
      </c>
      <c r="AX51" s="0" t="s">
        <v>2596</v>
      </c>
      <c r="AY51" s="0" t="s">
        <v>3028</v>
      </c>
      <c r="BG51" s="3659" t="n">
        <v>38892</v>
      </c>
      <c r="BI51" s="0" t="s">
        <v>2598</v>
      </c>
      <c r="BJ51" s="3659" t="n">
        <v>38908</v>
      </c>
      <c r="BL51" s="0" t="s">
        <v>2599</v>
      </c>
      <c r="BQ51" s="0" t="n">
        <v>15729</v>
      </c>
      <c r="BR51" s="0" t="n">
        <v>15850</v>
      </c>
    </row>
    <row r="52" customFormat="false" ht="13.5" hidden="false" customHeight="false" outlineLevel="0" collapsed="false">
      <c r="A52" s="0" t="s">
        <v>3029</v>
      </c>
      <c r="B52" s="0" t="s">
        <v>3030</v>
      </c>
      <c r="C52" s="0" t="s">
        <v>3031</v>
      </c>
      <c r="D52" s="0" t="s">
        <v>3032</v>
      </c>
      <c r="E52" s="0" t="s">
        <v>1898</v>
      </c>
      <c r="F52" s="0" t="s">
        <v>2931</v>
      </c>
      <c r="H52" s="0" t="s">
        <v>2932</v>
      </c>
      <c r="I52" s="0" t="s">
        <v>3033</v>
      </c>
      <c r="J52" s="0" t="s">
        <v>3034</v>
      </c>
      <c r="K52" s="0" t="s">
        <v>2766</v>
      </c>
      <c r="L52" s="0" t="s">
        <v>2978</v>
      </c>
      <c r="M52" s="0" t="s">
        <v>3035</v>
      </c>
      <c r="N52" s="0" t="s">
        <v>2579</v>
      </c>
      <c r="O52" s="0" t="s">
        <v>2979</v>
      </c>
      <c r="P52" s="0" t="s">
        <v>1544</v>
      </c>
      <c r="Q52" s="0" t="s">
        <v>3036</v>
      </c>
      <c r="R52" s="0" t="n">
        <v>10995</v>
      </c>
      <c r="S52" s="0" t="n">
        <v>56.95</v>
      </c>
      <c r="T52" s="0" t="n">
        <v>569500</v>
      </c>
      <c r="U52" s="0" t="s">
        <v>3037</v>
      </c>
      <c r="V52" s="0" t="n">
        <v>0.2</v>
      </c>
      <c r="W52" s="0" t="n">
        <v>45.56</v>
      </c>
      <c r="X52" s="0" t="n">
        <v>455600</v>
      </c>
      <c r="Y52" s="0" t="n">
        <v>2006</v>
      </c>
      <c r="Z52" s="0" t="s">
        <v>2695</v>
      </c>
      <c r="AA52" s="0" t="s">
        <v>2971</v>
      </c>
      <c r="AB52" s="0" t="n">
        <v>1500</v>
      </c>
      <c r="AC52" s="0" t="s">
        <v>2557</v>
      </c>
      <c r="AD52" s="0" t="s">
        <v>3038</v>
      </c>
      <c r="AE52" s="0" t="s">
        <v>188</v>
      </c>
      <c r="AF52" s="0" t="s">
        <v>2873</v>
      </c>
      <c r="AG52" s="0" t="s">
        <v>1485</v>
      </c>
      <c r="AI52" s="0" t="s">
        <v>2536</v>
      </c>
      <c r="AJ52" s="0" t="n">
        <v>38990</v>
      </c>
      <c r="AK52" s="0" t="s">
        <v>3039</v>
      </c>
      <c r="AN52" s="0" t="s">
        <v>2522</v>
      </c>
      <c r="AP52" s="0" t="s">
        <v>2598</v>
      </c>
      <c r="AQ52" s="0" t="s">
        <v>2538</v>
      </c>
      <c r="AW52" s="0" t="s">
        <v>2562</v>
      </c>
      <c r="AX52" s="0" t="s">
        <v>2596</v>
      </c>
      <c r="AY52" s="0" t="s">
        <v>3040</v>
      </c>
      <c r="BG52" s="3659" t="n">
        <v>38874</v>
      </c>
      <c r="BI52" s="0" t="s">
        <v>2598</v>
      </c>
      <c r="BJ52" s="3659" t="n">
        <v>38908</v>
      </c>
      <c r="BL52" s="0" t="s">
        <v>2599</v>
      </c>
      <c r="BQ52" s="0" t="n">
        <v>15142</v>
      </c>
      <c r="BR52" s="0" t="n">
        <v>15274</v>
      </c>
    </row>
    <row r="53" customFormat="false" ht="13.5" hidden="false" customHeight="false" outlineLevel="0" collapsed="false">
      <c r="A53" s="0" t="s">
        <v>3041</v>
      </c>
      <c r="B53" s="0" t="s">
        <v>3042</v>
      </c>
      <c r="C53" s="0" t="s">
        <v>3043</v>
      </c>
      <c r="D53" s="0" t="s">
        <v>3044</v>
      </c>
      <c r="E53" s="0" t="s">
        <v>1898</v>
      </c>
      <c r="F53" s="0" t="s">
        <v>2931</v>
      </c>
      <c r="H53" s="0" t="s">
        <v>2932</v>
      </c>
      <c r="I53" s="0" t="s">
        <v>3045</v>
      </c>
      <c r="J53" s="0" t="s">
        <v>3046</v>
      </c>
      <c r="K53" s="0" t="s">
        <v>2766</v>
      </c>
      <c r="L53" s="0" t="s">
        <v>3047</v>
      </c>
      <c r="M53" s="0" t="s">
        <v>3048</v>
      </c>
      <c r="N53" s="0" t="s">
        <v>2579</v>
      </c>
      <c r="O53" s="0" t="s">
        <v>3049</v>
      </c>
      <c r="P53" s="0" t="s">
        <v>1544</v>
      </c>
      <c r="Q53" s="0" t="s">
        <v>3050</v>
      </c>
      <c r="R53" s="0" t="n">
        <v>10902</v>
      </c>
      <c r="S53" s="0" t="n">
        <v>57.12</v>
      </c>
      <c r="T53" s="0" t="n">
        <v>571200</v>
      </c>
      <c r="U53" s="0" t="s">
        <v>3051</v>
      </c>
      <c r="V53" s="0" t="n">
        <v>0.2</v>
      </c>
      <c r="W53" s="0" t="n">
        <v>45.69</v>
      </c>
      <c r="X53" s="0" t="n">
        <v>456900</v>
      </c>
      <c r="Y53" s="0" t="n">
        <v>2006</v>
      </c>
      <c r="Z53" s="0" t="s">
        <v>3000</v>
      </c>
      <c r="AA53" s="0" t="s">
        <v>3026</v>
      </c>
      <c r="AB53" s="0" t="n">
        <v>1500</v>
      </c>
      <c r="AC53" s="0" t="s">
        <v>2557</v>
      </c>
      <c r="AD53" s="0" t="s">
        <v>3052</v>
      </c>
      <c r="AE53" s="0" t="s">
        <v>188</v>
      </c>
      <c r="AF53" s="0" t="s">
        <v>2873</v>
      </c>
      <c r="AG53" s="0" t="s">
        <v>1485</v>
      </c>
      <c r="AI53" s="0" t="s">
        <v>2536</v>
      </c>
      <c r="AJ53" s="0" t="n">
        <v>38990</v>
      </c>
      <c r="AK53" s="0" t="s">
        <v>2605</v>
      </c>
      <c r="AN53" s="0" t="s">
        <v>2537</v>
      </c>
      <c r="AP53" s="0" t="s">
        <v>2598</v>
      </c>
      <c r="AQ53" s="0" t="s">
        <v>2538</v>
      </c>
      <c r="AW53" s="0" t="s">
        <v>2562</v>
      </c>
      <c r="AX53" s="0" t="s">
        <v>2596</v>
      </c>
      <c r="AY53" s="0" t="s">
        <v>3053</v>
      </c>
      <c r="BG53" s="3659" t="n">
        <v>38891</v>
      </c>
      <c r="BI53" s="0" t="s">
        <v>2598</v>
      </c>
      <c r="BJ53" s="3659" t="n">
        <v>38908</v>
      </c>
      <c r="BL53" s="0" t="s">
        <v>2599</v>
      </c>
      <c r="BQ53" s="0" t="n">
        <v>15024</v>
      </c>
      <c r="BR53" s="0" t="n">
        <v>15145</v>
      </c>
    </row>
    <row r="54" customFormat="false" ht="13.5" hidden="false" customHeight="false" outlineLevel="0" collapsed="false">
      <c r="A54" s="0" t="s">
        <v>3054</v>
      </c>
      <c r="B54" s="0" t="s">
        <v>3055</v>
      </c>
      <c r="C54" s="0" t="s">
        <v>3056</v>
      </c>
      <c r="D54" s="0" t="s">
        <v>3057</v>
      </c>
      <c r="E54" s="0" t="s">
        <v>1898</v>
      </c>
      <c r="F54" s="0" t="s">
        <v>2945</v>
      </c>
      <c r="I54" s="0" t="s">
        <v>3058</v>
      </c>
      <c r="J54" s="0" t="s">
        <v>3059</v>
      </c>
      <c r="K54" s="0" t="s">
        <v>2766</v>
      </c>
      <c r="L54" s="0" t="s">
        <v>2954</v>
      </c>
      <c r="M54" s="0" t="s">
        <v>3060</v>
      </c>
      <c r="N54" s="0" t="s">
        <v>2579</v>
      </c>
      <c r="O54" s="0" t="s">
        <v>2956</v>
      </c>
      <c r="P54" s="0" t="s">
        <v>1544</v>
      </c>
      <c r="Q54" s="0" t="s">
        <v>3061</v>
      </c>
      <c r="R54" s="0" t="n">
        <v>12955</v>
      </c>
      <c r="S54" s="0" t="n">
        <v>54.78</v>
      </c>
      <c r="T54" s="0" t="n">
        <v>547800</v>
      </c>
      <c r="U54" s="0" t="s">
        <v>3062</v>
      </c>
      <c r="V54" s="0" t="n">
        <v>0.2</v>
      </c>
      <c r="W54" s="0" t="n">
        <v>43.82</v>
      </c>
      <c r="X54" s="0" t="n">
        <v>438200</v>
      </c>
      <c r="Y54" s="0" t="n">
        <v>2006</v>
      </c>
      <c r="Z54" s="0" t="s">
        <v>3000</v>
      </c>
      <c r="AA54" s="0" t="s">
        <v>2971</v>
      </c>
      <c r="AB54" s="0" t="n">
        <v>1500</v>
      </c>
      <c r="AC54" s="0" t="s">
        <v>2557</v>
      </c>
      <c r="AD54" s="0" t="s">
        <v>3063</v>
      </c>
      <c r="AE54" s="0" t="s">
        <v>188</v>
      </c>
      <c r="AF54" s="0" t="s">
        <v>2873</v>
      </c>
      <c r="AG54" s="0" t="s">
        <v>1485</v>
      </c>
      <c r="AI54" s="0" t="s">
        <v>2536</v>
      </c>
      <c r="AJ54" s="0" t="n">
        <v>38990</v>
      </c>
      <c r="AK54" s="0" t="s">
        <v>2605</v>
      </c>
      <c r="AN54" s="0" t="s">
        <v>2537</v>
      </c>
      <c r="AP54" s="0" t="s">
        <v>2803</v>
      </c>
      <c r="AQ54" s="0" t="s">
        <v>2538</v>
      </c>
      <c r="AW54" s="0" t="s">
        <v>2562</v>
      </c>
      <c r="AX54" s="0" t="s">
        <v>2596</v>
      </c>
      <c r="AY54" s="0" t="s">
        <v>3064</v>
      </c>
      <c r="BG54" s="3659" t="n">
        <v>38895</v>
      </c>
      <c r="BI54" s="0" t="s">
        <v>2803</v>
      </c>
      <c r="BJ54" s="3659" t="n">
        <v>38909</v>
      </c>
      <c r="BL54" s="0" t="s">
        <v>2599</v>
      </c>
      <c r="BQ54" s="0" t="n">
        <v>17862</v>
      </c>
      <c r="BR54" s="0" t="n">
        <v>17994</v>
      </c>
    </row>
    <row r="55" customFormat="false" ht="13.5" hidden="false" customHeight="false" outlineLevel="0" collapsed="false">
      <c r="A55" s="0" t="s">
        <v>3065</v>
      </c>
      <c r="B55" s="0" t="s">
        <v>3066</v>
      </c>
      <c r="C55" s="0" t="s">
        <v>3067</v>
      </c>
      <c r="D55" s="0" t="s">
        <v>3068</v>
      </c>
      <c r="E55" s="0" t="s">
        <v>1898</v>
      </c>
      <c r="F55" s="0" t="s">
        <v>2931</v>
      </c>
      <c r="H55" s="0" t="s">
        <v>2932</v>
      </c>
      <c r="I55" s="0" t="s">
        <v>2591</v>
      </c>
      <c r="J55" s="0" t="s">
        <v>3069</v>
      </c>
      <c r="K55" s="0" t="s">
        <v>2766</v>
      </c>
      <c r="L55" s="0" t="s">
        <v>3070</v>
      </c>
      <c r="M55" s="0" t="s">
        <v>1056</v>
      </c>
      <c r="N55" s="0" t="s">
        <v>2579</v>
      </c>
      <c r="O55" s="0" t="s">
        <v>3071</v>
      </c>
      <c r="P55" s="0" t="s">
        <v>1544</v>
      </c>
      <c r="Q55" s="0" t="s">
        <v>3072</v>
      </c>
      <c r="R55" s="0" t="n">
        <v>10266</v>
      </c>
      <c r="S55" s="0" t="n">
        <v>60.17</v>
      </c>
      <c r="T55" s="0" t="n">
        <v>601700</v>
      </c>
      <c r="U55" s="0" t="s">
        <v>3073</v>
      </c>
      <c r="V55" s="0" t="n">
        <v>0.2</v>
      </c>
      <c r="W55" s="0" t="n">
        <v>48.13</v>
      </c>
      <c r="X55" s="0" t="n">
        <v>481300</v>
      </c>
      <c r="Y55" s="0" t="n">
        <v>2006</v>
      </c>
      <c r="Z55" s="0" t="s">
        <v>2695</v>
      </c>
      <c r="AA55" s="0" t="s">
        <v>2959</v>
      </c>
      <c r="AB55" s="0" t="n">
        <v>1500</v>
      </c>
      <c r="AC55" s="0" t="s">
        <v>2557</v>
      </c>
      <c r="AD55" s="0" t="s">
        <v>3074</v>
      </c>
      <c r="AE55" s="0" t="s">
        <v>188</v>
      </c>
      <c r="AF55" s="0" t="s">
        <v>2873</v>
      </c>
      <c r="AG55" s="0" t="s">
        <v>1485</v>
      </c>
      <c r="AI55" s="0" t="s">
        <v>2536</v>
      </c>
      <c r="AJ55" s="0" t="n">
        <v>38990</v>
      </c>
      <c r="AK55" s="0" t="s">
        <v>3039</v>
      </c>
      <c r="AN55" s="0" t="s">
        <v>2537</v>
      </c>
      <c r="AP55" s="0" t="s">
        <v>2598</v>
      </c>
      <c r="AQ55" s="0" t="s">
        <v>2538</v>
      </c>
      <c r="AW55" s="0" t="s">
        <v>2562</v>
      </c>
      <c r="AX55" s="0" t="s">
        <v>2596</v>
      </c>
      <c r="AY55" s="0" t="s">
        <v>3075</v>
      </c>
      <c r="BG55" s="3659" t="n">
        <v>38899</v>
      </c>
      <c r="BI55" s="0" t="s">
        <v>2598</v>
      </c>
      <c r="BJ55" s="3659" t="n">
        <v>38937</v>
      </c>
      <c r="BL55" s="0" t="s">
        <v>2599</v>
      </c>
      <c r="BQ55" s="0" t="n">
        <v>14141</v>
      </c>
      <c r="BR55" s="0" t="n">
        <v>14262</v>
      </c>
    </row>
    <row r="68" s="3667" customFormat="true" ht="12" hidden="false" customHeight="false" outlineLevel="0" collapsed="false">
      <c r="A68" s="3640"/>
      <c r="B68" s="3665"/>
      <c r="C68" s="3640"/>
      <c r="D68" s="3640"/>
      <c r="E68" s="3640"/>
      <c r="F68" s="3640"/>
      <c r="G68" s="3640"/>
      <c r="H68" s="3640"/>
      <c r="I68" s="3640" t="s">
        <v>3076</v>
      </c>
      <c r="J68" s="3640" t="s">
        <v>3077</v>
      </c>
      <c r="K68" s="3640" t="s">
        <v>3078</v>
      </c>
      <c r="L68" s="3640" t="s">
        <v>3076</v>
      </c>
      <c r="M68" s="3640" t="s">
        <v>3077</v>
      </c>
      <c r="N68" s="3640" t="s">
        <v>3078</v>
      </c>
      <c r="O68" s="3640" t="s">
        <v>3076</v>
      </c>
      <c r="P68" s="3640" t="s">
        <v>3077</v>
      </c>
      <c r="Q68" s="3640" t="s">
        <v>3078</v>
      </c>
      <c r="R68" s="3640"/>
      <c r="S68" s="3640" t="s">
        <v>3076</v>
      </c>
      <c r="T68" s="3640" t="s">
        <v>3077</v>
      </c>
      <c r="U68" s="3640" t="s">
        <v>3078</v>
      </c>
      <c r="V68" s="3640"/>
      <c r="W68" s="3640" t="s">
        <v>3079</v>
      </c>
      <c r="X68" s="3640"/>
      <c r="Y68" s="3640"/>
      <c r="Z68" s="3640"/>
      <c r="AA68" s="3640"/>
      <c r="AB68" s="3640"/>
      <c r="AC68" s="3640"/>
      <c r="AD68" s="3640"/>
      <c r="AE68" s="3640"/>
      <c r="AF68" s="3640"/>
      <c r="AG68" s="3640"/>
      <c r="AH68" s="3640"/>
      <c r="AI68" s="3640"/>
      <c r="AJ68" s="3640"/>
      <c r="AK68" s="3640"/>
      <c r="AL68" s="3640"/>
      <c r="AM68" s="3640"/>
      <c r="AN68" s="3640"/>
      <c r="AO68" s="3640"/>
      <c r="AP68" s="3640"/>
      <c r="AQ68" s="3640"/>
      <c r="AR68" s="3640"/>
      <c r="AS68" s="3666"/>
      <c r="AT68" s="3640"/>
      <c r="AU68" s="3640"/>
      <c r="AV68" s="3640"/>
      <c r="AW68" s="3640"/>
      <c r="AX68" s="3640"/>
      <c r="AY68" s="3640"/>
      <c r="AZ68" s="3640"/>
      <c r="BA68" s="3640"/>
      <c r="BB68" s="3640"/>
      <c r="BC68" s="3640" t="s">
        <v>3080</v>
      </c>
      <c r="BD68" s="3640"/>
      <c r="BE68" s="3640"/>
      <c r="BF68" s="3640"/>
      <c r="BG68" s="3640"/>
      <c r="BH68" s="3640"/>
      <c r="BI68" s="3640"/>
      <c r="BJ68" s="3640"/>
      <c r="BK68" s="3640"/>
    </row>
    <row r="69" s="3667" customFormat="true" ht="12" hidden="false" customHeight="false" outlineLevel="0" collapsed="false">
      <c r="A69" s="3668" t="s">
        <v>765</v>
      </c>
      <c r="B69" s="3669" t="s">
        <v>3081</v>
      </c>
      <c r="C69" s="3668" t="s">
        <v>1347</v>
      </c>
      <c r="D69" s="3668" t="s">
        <v>1350</v>
      </c>
      <c r="E69" s="3668" t="s">
        <v>3082</v>
      </c>
      <c r="F69" s="3668" t="s">
        <v>3083</v>
      </c>
      <c r="G69" s="3668" t="s">
        <v>3084</v>
      </c>
      <c r="H69" s="3668" t="s">
        <v>3085</v>
      </c>
      <c r="I69" s="3668" t="s">
        <v>3086</v>
      </c>
      <c r="J69" s="3668" t="s">
        <v>3086</v>
      </c>
      <c r="K69" s="3668" t="s">
        <v>3086</v>
      </c>
      <c r="L69" s="3668" t="s">
        <v>3087</v>
      </c>
      <c r="M69" s="3668" t="s">
        <v>3087</v>
      </c>
      <c r="N69" s="3668" t="s">
        <v>3087</v>
      </c>
      <c r="O69" s="3668" t="s">
        <v>3088</v>
      </c>
      <c r="P69" s="3668" t="s">
        <v>3088</v>
      </c>
      <c r="Q69" s="3668" t="s">
        <v>3088</v>
      </c>
      <c r="R69" s="3668" t="s">
        <v>3089</v>
      </c>
      <c r="S69" s="3668" t="s">
        <v>3090</v>
      </c>
      <c r="T69" s="3668" t="s">
        <v>3090</v>
      </c>
      <c r="U69" s="3668" t="s">
        <v>3090</v>
      </c>
      <c r="V69" s="3668" t="s">
        <v>3091</v>
      </c>
      <c r="W69" s="3668" t="s">
        <v>3092</v>
      </c>
      <c r="X69" s="3668" t="s">
        <v>3093</v>
      </c>
      <c r="Y69" s="3668" t="s">
        <v>3094</v>
      </c>
      <c r="Z69" s="3668" t="s">
        <v>3095</v>
      </c>
      <c r="AA69" s="3668" t="s">
        <v>3096</v>
      </c>
      <c r="AB69" s="3668" t="s">
        <v>3097</v>
      </c>
      <c r="AC69" s="3668" t="s">
        <v>3098</v>
      </c>
      <c r="AD69" s="3668" t="s">
        <v>1737</v>
      </c>
      <c r="AE69" s="3668" t="s">
        <v>339</v>
      </c>
      <c r="AF69" s="3668" t="s">
        <v>3099</v>
      </c>
      <c r="AG69" s="3668" t="s">
        <v>3100</v>
      </c>
      <c r="AH69" s="3668" t="s">
        <v>3101</v>
      </c>
      <c r="AI69" s="3668" t="s">
        <v>3102</v>
      </c>
      <c r="AJ69" s="3668" t="s">
        <v>1307</v>
      </c>
      <c r="AK69" s="3668" t="s">
        <v>3103</v>
      </c>
      <c r="AL69" s="3668" t="s">
        <v>1302</v>
      </c>
      <c r="AM69" s="3668" t="s">
        <v>3104</v>
      </c>
      <c r="AN69" s="3668" t="s">
        <v>3105</v>
      </c>
      <c r="AO69" s="3668" t="s">
        <v>3106</v>
      </c>
      <c r="AP69" s="3668" t="s">
        <v>3107</v>
      </c>
      <c r="AQ69" s="3668" t="s">
        <v>3108</v>
      </c>
      <c r="AR69" s="3668" t="s">
        <v>3109</v>
      </c>
      <c r="AS69" s="3670" t="s">
        <v>3110</v>
      </c>
      <c r="AT69" s="3668" t="s">
        <v>3111</v>
      </c>
      <c r="AU69" s="3668" t="s">
        <v>3112</v>
      </c>
      <c r="AV69" s="3668" t="s">
        <v>3113</v>
      </c>
      <c r="AW69" s="3668" t="s">
        <v>3114</v>
      </c>
      <c r="AX69" s="3668" t="s">
        <v>3115</v>
      </c>
      <c r="AY69" s="3668" t="s">
        <v>3116</v>
      </c>
      <c r="AZ69" s="3668" t="s">
        <v>3117</v>
      </c>
      <c r="BA69" s="3668" t="s">
        <v>3118</v>
      </c>
      <c r="BB69" s="3668" t="s">
        <v>3119</v>
      </c>
      <c r="BC69" s="3668" t="s">
        <v>1366</v>
      </c>
      <c r="BD69" s="3668" t="s">
        <v>1367</v>
      </c>
      <c r="BE69" s="3668" t="s">
        <v>1368</v>
      </c>
      <c r="BF69" s="3668" t="s">
        <v>1380</v>
      </c>
      <c r="BG69" s="3668" t="s">
        <v>3120</v>
      </c>
      <c r="BH69" s="3668" t="s">
        <v>1096</v>
      </c>
      <c r="BI69" s="3668" t="s">
        <v>1283</v>
      </c>
      <c r="BJ69" s="3668" t="s">
        <v>3121</v>
      </c>
      <c r="BK69" s="3668" t="s">
        <v>3122</v>
      </c>
    </row>
    <row r="70" s="3674" customFormat="true" ht="12" hidden="false" customHeight="true" outlineLevel="0" collapsed="false">
      <c r="A70" s="3671" t="s">
        <v>2698</v>
      </c>
      <c r="B70" s="3672" t="s">
        <v>2674</v>
      </c>
      <c r="C70" s="3673" t="s">
        <v>1898</v>
      </c>
      <c r="D70" s="3673" t="s">
        <v>3123</v>
      </c>
      <c r="E70" s="3673"/>
      <c r="F70" s="3671"/>
      <c r="G70" s="3671" t="s">
        <v>3124</v>
      </c>
      <c r="H70" s="3673" t="s">
        <v>3125</v>
      </c>
      <c r="I70" s="3673" t="s">
        <v>3126</v>
      </c>
      <c r="J70" s="3673" t="s">
        <v>3127</v>
      </c>
      <c r="K70" s="3673" t="s">
        <v>3124</v>
      </c>
      <c r="L70" s="3673" t="s">
        <v>3126</v>
      </c>
      <c r="M70" s="3673" t="s">
        <v>3128</v>
      </c>
      <c r="N70" s="3673" t="s">
        <v>3128</v>
      </c>
      <c r="O70" s="3671" t="s">
        <v>3129</v>
      </c>
      <c r="P70" s="3671" t="s">
        <v>3129</v>
      </c>
      <c r="Q70" s="3671" t="s">
        <v>3129</v>
      </c>
      <c r="R70" s="3671" t="s">
        <v>3130</v>
      </c>
      <c r="S70" s="3673" t="s">
        <v>3131</v>
      </c>
      <c r="T70" s="3671" t="s">
        <v>3132</v>
      </c>
      <c r="U70" s="3671" t="s">
        <v>3133</v>
      </c>
      <c r="V70" s="3673"/>
      <c r="W70" s="3673" t="s">
        <v>1250</v>
      </c>
      <c r="X70" s="3671" t="s">
        <v>3134</v>
      </c>
      <c r="Y70" s="3673"/>
      <c r="Z70" s="3671" t="s">
        <v>3135</v>
      </c>
      <c r="AA70" s="3671" t="s">
        <v>3136</v>
      </c>
      <c r="AB70" s="3671" t="s">
        <v>3137</v>
      </c>
      <c r="AC70" s="3673" t="s">
        <v>3138</v>
      </c>
      <c r="AD70" s="3671" t="s">
        <v>3139</v>
      </c>
      <c r="AE70" s="3671" t="s">
        <v>3140</v>
      </c>
      <c r="AF70" s="3673"/>
      <c r="AG70" s="3673" t="s">
        <v>3141</v>
      </c>
      <c r="AH70" s="3671" t="s">
        <v>3142</v>
      </c>
      <c r="AI70" s="3671" t="s">
        <v>872</v>
      </c>
      <c r="AJ70" s="3673" t="s">
        <v>872</v>
      </c>
      <c r="AK70" s="3671" t="s">
        <v>3143</v>
      </c>
      <c r="AL70" s="3673" t="s">
        <v>3144</v>
      </c>
      <c r="AM70" s="3671" t="s">
        <v>3145</v>
      </c>
      <c r="AN70" s="3671" t="s">
        <v>3146</v>
      </c>
      <c r="AO70" s="3671" t="s">
        <v>3147</v>
      </c>
      <c r="AP70" s="3673" t="s">
        <v>3148</v>
      </c>
      <c r="AQ70" s="3671" t="s">
        <v>3149</v>
      </c>
      <c r="AR70" s="3671" t="s">
        <v>3150</v>
      </c>
      <c r="AS70" s="3673"/>
      <c r="AT70" s="3673"/>
      <c r="AU70" s="3671" t="s">
        <v>3151</v>
      </c>
      <c r="AV70" s="3671" t="s">
        <v>3152</v>
      </c>
      <c r="AW70" s="3671" t="s">
        <v>3152</v>
      </c>
      <c r="AX70" s="3671" t="s">
        <v>3153</v>
      </c>
      <c r="AY70" s="3671" t="s">
        <v>3152</v>
      </c>
      <c r="AZ70" s="3671" t="s">
        <v>3152</v>
      </c>
      <c r="BA70" s="3671" t="s">
        <v>2520</v>
      </c>
      <c r="BB70" s="3671"/>
      <c r="BC70" s="3671" t="n">
        <v>2006</v>
      </c>
      <c r="BD70" s="3671" t="n">
        <v>8</v>
      </c>
      <c r="BE70" s="3671" t="n">
        <v>11</v>
      </c>
      <c r="BF70" s="3671" t="s">
        <v>2537</v>
      </c>
      <c r="BG70" s="3671" t="s">
        <v>2538</v>
      </c>
      <c r="BH70" s="3671" t="n">
        <v>1982</v>
      </c>
      <c r="BI70" s="3673" t="s">
        <v>1285</v>
      </c>
      <c r="BJ70" s="3673" t="s">
        <v>3154</v>
      </c>
      <c r="BK70" s="3673" t="s">
        <v>3155</v>
      </c>
    </row>
    <row r="71" s="3674" customFormat="true" ht="12" hidden="false" customHeight="true" outlineLevel="0" collapsed="false">
      <c r="A71" s="3675" t="s">
        <v>2739</v>
      </c>
      <c r="B71" s="3672" t="s">
        <v>2743</v>
      </c>
      <c r="C71" s="3673" t="s">
        <v>1898</v>
      </c>
      <c r="D71" s="3673" t="s">
        <v>3156</v>
      </c>
      <c r="E71" s="3673"/>
      <c r="F71" s="3671" t="s">
        <v>3157</v>
      </c>
      <c r="G71" s="3671" t="s">
        <v>3124</v>
      </c>
      <c r="H71" s="3673" t="s">
        <v>3158</v>
      </c>
      <c r="I71" s="3673" t="s">
        <v>3124</v>
      </c>
      <c r="J71" s="3673" t="s">
        <v>3159</v>
      </c>
      <c r="K71" s="3673" t="s">
        <v>3159</v>
      </c>
      <c r="L71" s="3673" t="s">
        <v>3160</v>
      </c>
      <c r="M71" s="3673" t="s">
        <v>3128</v>
      </c>
      <c r="N71" s="3673" t="s">
        <v>3128</v>
      </c>
      <c r="O71" s="3671" t="s">
        <v>3161</v>
      </c>
      <c r="P71" s="3671" t="s">
        <v>3129</v>
      </c>
      <c r="Q71" s="3671" t="s">
        <v>3129</v>
      </c>
      <c r="R71" s="3671" t="s">
        <v>3130</v>
      </c>
      <c r="S71" s="3673" t="s">
        <v>3162</v>
      </c>
      <c r="T71" s="3671" t="s">
        <v>3132</v>
      </c>
      <c r="U71" s="3671" t="s">
        <v>3133</v>
      </c>
      <c r="V71" s="3673"/>
      <c r="W71" s="3673"/>
      <c r="X71" s="3671" t="s">
        <v>3134</v>
      </c>
      <c r="Y71" s="3673"/>
      <c r="Z71" s="3671" t="s">
        <v>3135</v>
      </c>
      <c r="AA71" s="3671" t="s">
        <v>3136</v>
      </c>
      <c r="AB71" s="3671" t="s">
        <v>3137</v>
      </c>
      <c r="AC71" s="3673" t="s">
        <v>3138</v>
      </c>
      <c r="AD71" s="3671" t="s">
        <v>3139</v>
      </c>
      <c r="AE71" s="3671" t="s">
        <v>3163</v>
      </c>
      <c r="AF71" s="3673"/>
      <c r="AG71" s="3673" t="s">
        <v>3141</v>
      </c>
      <c r="AH71" s="3671" t="s">
        <v>3142</v>
      </c>
      <c r="AI71" s="3671" t="s">
        <v>872</v>
      </c>
      <c r="AJ71" s="3673" t="s">
        <v>872</v>
      </c>
      <c r="AK71" s="3671" t="s">
        <v>3164</v>
      </c>
      <c r="AL71" s="3673" t="s">
        <v>872</v>
      </c>
      <c r="AM71" s="3671" t="s">
        <v>3145</v>
      </c>
      <c r="AN71" s="3671" t="s">
        <v>3165</v>
      </c>
      <c r="AO71" s="3671" t="s">
        <v>3166</v>
      </c>
      <c r="AP71" s="3673" t="s">
        <v>3167</v>
      </c>
      <c r="AQ71" s="3671" t="s">
        <v>3149</v>
      </c>
      <c r="AR71" s="3671" t="s">
        <v>3150</v>
      </c>
      <c r="AS71" s="3673"/>
      <c r="AT71" s="3673"/>
      <c r="AU71" s="3671" t="s">
        <v>3151</v>
      </c>
      <c r="AV71" s="3671" t="s">
        <v>1244</v>
      </c>
      <c r="AW71" s="3671" t="s">
        <v>1244</v>
      </c>
      <c r="AX71" s="3671" t="s">
        <v>3153</v>
      </c>
      <c r="AY71" s="3671" t="s">
        <v>1244</v>
      </c>
      <c r="AZ71" s="3671" t="s">
        <v>3152</v>
      </c>
      <c r="BA71" s="3671" t="s">
        <v>2520</v>
      </c>
      <c r="BB71" s="3671"/>
      <c r="BC71" s="3671" t="n">
        <v>2006</v>
      </c>
      <c r="BD71" s="3671" t="n">
        <v>10</v>
      </c>
      <c r="BE71" s="3671" t="n">
        <v>31</v>
      </c>
      <c r="BF71" s="3671" t="s">
        <v>2545</v>
      </c>
      <c r="BG71" s="3671" t="s">
        <v>2538</v>
      </c>
      <c r="BH71" s="3671" t="n">
        <v>1988</v>
      </c>
      <c r="BI71" s="3673" t="s">
        <v>1284</v>
      </c>
      <c r="BJ71" s="3673" t="s">
        <v>3168</v>
      </c>
      <c r="BK71" s="3673" t="s">
        <v>3155</v>
      </c>
    </row>
    <row r="72" s="3674" customFormat="true" ht="12" hidden="false" customHeight="true" outlineLevel="0" collapsed="false">
      <c r="A72" s="3675" t="s">
        <v>3169</v>
      </c>
      <c r="B72" s="3672" t="s">
        <v>2708</v>
      </c>
      <c r="C72" s="3673" t="s">
        <v>1898</v>
      </c>
      <c r="D72" s="3673" t="s">
        <v>3170</v>
      </c>
      <c r="E72" s="3673"/>
      <c r="F72" s="3671" t="s">
        <v>3157</v>
      </c>
      <c r="G72" s="3671" t="s">
        <v>3124</v>
      </c>
      <c r="H72" s="3673" t="s">
        <v>3171</v>
      </c>
      <c r="I72" s="3673" t="s">
        <v>3124</v>
      </c>
      <c r="J72" s="3671" t="s">
        <v>3172</v>
      </c>
      <c r="K72" s="3673" t="s">
        <v>3173</v>
      </c>
      <c r="L72" s="3673" t="s">
        <v>3124</v>
      </c>
      <c r="M72" s="3673" t="s">
        <v>3128</v>
      </c>
      <c r="N72" s="3673" t="s">
        <v>3128</v>
      </c>
      <c r="O72" s="3671" t="s">
        <v>3161</v>
      </c>
      <c r="P72" s="3671" t="s">
        <v>3129</v>
      </c>
      <c r="Q72" s="3671" t="s">
        <v>3129</v>
      </c>
      <c r="R72" s="3671" t="s">
        <v>3130</v>
      </c>
      <c r="S72" s="3673" t="s">
        <v>3174</v>
      </c>
      <c r="T72" s="3671" t="s">
        <v>3175</v>
      </c>
      <c r="U72" s="3671" t="s">
        <v>3133</v>
      </c>
      <c r="V72" s="3673"/>
      <c r="W72" s="3673"/>
      <c r="X72" s="3671" t="s">
        <v>3134</v>
      </c>
      <c r="Y72" s="3673"/>
      <c r="Z72" s="3671" t="s">
        <v>3135</v>
      </c>
      <c r="AA72" s="3671" t="s">
        <v>3136</v>
      </c>
      <c r="AB72" s="3671" t="s">
        <v>3137</v>
      </c>
      <c r="AC72" s="3673" t="s">
        <v>3138</v>
      </c>
      <c r="AD72" s="3671" t="s">
        <v>3139</v>
      </c>
      <c r="AE72" s="3671" t="s">
        <v>3176</v>
      </c>
      <c r="AF72" s="3673"/>
      <c r="AG72" s="3673" t="s">
        <v>3177</v>
      </c>
      <c r="AH72" s="3671" t="s">
        <v>3178</v>
      </c>
      <c r="AI72" s="3671" t="s">
        <v>3179</v>
      </c>
      <c r="AJ72" s="3673" t="s">
        <v>3180</v>
      </c>
      <c r="AK72" s="3671" t="s">
        <v>3164</v>
      </c>
      <c r="AL72" s="3673" t="s">
        <v>1303</v>
      </c>
      <c r="AM72" s="3671" t="s">
        <v>3145</v>
      </c>
      <c r="AN72" s="3671" t="s">
        <v>3165</v>
      </c>
      <c r="AO72" s="3671" t="s">
        <v>3147</v>
      </c>
      <c r="AP72" s="3673" t="s">
        <v>3181</v>
      </c>
      <c r="AQ72" s="3671" t="s">
        <v>3149</v>
      </c>
      <c r="AR72" s="3671" t="s">
        <v>3150</v>
      </c>
      <c r="AS72" s="3673"/>
      <c r="AT72" s="3673"/>
      <c r="AU72" s="3673" t="s">
        <v>3182</v>
      </c>
      <c r="AV72" s="3671" t="s">
        <v>3152</v>
      </c>
      <c r="AW72" s="3671" t="s">
        <v>3152</v>
      </c>
      <c r="AX72" s="3671" t="s">
        <v>3153</v>
      </c>
      <c r="AY72" s="3671" t="s">
        <v>3152</v>
      </c>
      <c r="AZ72" s="3671" t="s">
        <v>3152</v>
      </c>
      <c r="BA72" s="3671" t="s">
        <v>2520</v>
      </c>
      <c r="BB72" s="3671"/>
      <c r="BC72" s="3671" t="n">
        <v>2006</v>
      </c>
      <c r="BD72" s="3671" t="n">
        <v>11</v>
      </c>
      <c r="BE72" s="3671" t="n">
        <v>2</v>
      </c>
      <c r="BF72" s="3671" t="s">
        <v>2521</v>
      </c>
      <c r="BG72" s="3671" t="s">
        <v>2538</v>
      </c>
      <c r="BH72" s="3671" t="n">
        <v>1988</v>
      </c>
      <c r="BI72" s="3673" t="s">
        <v>1286</v>
      </c>
      <c r="BJ72" s="3673" t="s">
        <v>3183</v>
      </c>
      <c r="BK72" s="3673" t="s">
        <v>3184</v>
      </c>
    </row>
    <row r="76" s="3678" customFormat="true" ht="12" hidden="false" customHeight="false" outlineLevel="0" collapsed="false">
      <c r="A76" s="3640"/>
      <c r="B76" s="3640"/>
      <c r="C76" s="3665"/>
      <c r="D76" s="3640"/>
      <c r="E76" s="3640"/>
      <c r="F76" s="3640" t="s">
        <v>3185</v>
      </c>
      <c r="G76" s="3640"/>
      <c r="H76" s="3640"/>
      <c r="I76" s="3640"/>
      <c r="J76" s="3640"/>
      <c r="K76" s="3640"/>
      <c r="L76" s="3640"/>
      <c r="M76" s="3640"/>
      <c r="N76" s="3676"/>
      <c r="O76" s="3639" t="s">
        <v>3186</v>
      </c>
      <c r="P76" s="3639"/>
      <c r="Q76" s="3639"/>
      <c r="R76" s="3639"/>
      <c r="S76" s="3640"/>
      <c r="T76" s="3640"/>
      <c r="U76" s="3640"/>
      <c r="V76" s="3640"/>
      <c r="W76" s="3640" t="s">
        <v>3187</v>
      </c>
      <c r="X76" s="3640"/>
      <c r="Y76" s="3640"/>
      <c r="Z76" s="3640"/>
      <c r="AA76" s="3640"/>
      <c r="AB76" s="3640"/>
      <c r="AC76" s="3640"/>
      <c r="AD76" s="3640"/>
      <c r="AE76" s="3640"/>
      <c r="AF76" s="3640" t="s">
        <v>3080</v>
      </c>
      <c r="AG76" s="3640"/>
      <c r="AH76" s="3640"/>
      <c r="AI76" s="3640"/>
      <c r="AJ76" s="3677"/>
      <c r="AK76" s="3677"/>
    </row>
    <row r="77" s="3678" customFormat="true" ht="12" hidden="false" customHeight="false" outlineLevel="0" collapsed="false">
      <c r="A77" s="3668" t="s">
        <v>1381</v>
      </c>
      <c r="B77" s="3668" t="s">
        <v>3188</v>
      </c>
      <c r="C77" s="3669" t="s">
        <v>3189</v>
      </c>
      <c r="D77" s="3668" t="s">
        <v>3190</v>
      </c>
      <c r="E77" s="3668" t="s">
        <v>3191</v>
      </c>
      <c r="F77" s="3668" t="s">
        <v>3192</v>
      </c>
      <c r="G77" s="3668" t="s">
        <v>3193</v>
      </c>
      <c r="H77" s="3668" t="s">
        <v>3194</v>
      </c>
      <c r="I77" s="3668" t="s">
        <v>3195</v>
      </c>
      <c r="J77" s="3668" t="s">
        <v>3196</v>
      </c>
      <c r="K77" s="3668" t="s">
        <v>1096</v>
      </c>
      <c r="L77" s="3668" t="s">
        <v>1283</v>
      </c>
      <c r="M77" s="3668" t="s">
        <v>603</v>
      </c>
      <c r="N77" s="3676" t="s">
        <v>3197</v>
      </c>
      <c r="O77" s="3676" t="s">
        <v>3198</v>
      </c>
      <c r="P77" s="3676" t="s">
        <v>3199</v>
      </c>
      <c r="Q77" s="3679" t="s">
        <v>3200</v>
      </c>
      <c r="R77" s="3639" t="s">
        <v>3201</v>
      </c>
      <c r="S77" s="3668" t="s">
        <v>1368</v>
      </c>
      <c r="T77" s="3668" t="s">
        <v>3202</v>
      </c>
      <c r="U77" s="3668" t="s">
        <v>1367</v>
      </c>
      <c r="V77" s="3668" t="s">
        <v>1368</v>
      </c>
      <c r="W77" s="3668" t="s">
        <v>460</v>
      </c>
      <c r="X77" s="3668" t="s">
        <v>3203</v>
      </c>
      <c r="Y77" s="3668" t="s">
        <v>461</v>
      </c>
      <c r="Z77" s="3668" t="s">
        <v>462</v>
      </c>
      <c r="AA77" s="3668" t="s">
        <v>459</v>
      </c>
      <c r="AB77" s="3668" t="s">
        <v>3204</v>
      </c>
      <c r="AC77" s="3668" t="s">
        <v>3205</v>
      </c>
      <c r="AD77" s="3668" t="s">
        <v>1086</v>
      </c>
      <c r="AE77" s="3668" t="s">
        <v>3206</v>
      </c>
      <c r="AF77" s="3668" t="s">
        <v>1366</v>
      </c>
      <c r="AG77" s="3668" t="s">
        <v>1367</v>
      </c>
      <c r="AH77" s="3668" t="s">
        <v>1368</v>
      </c>
      <c r="AI77" s="3668" t="s">
        <v>1380</v>
      </c>
      <c r="AJ77" s="3680" t="s">
        <v>3207</v>
      </c>
      <c r="AK77" s="3680" t="s">
        <v>1673</v>
      </c>
    </row>
    <row r="78" s="3674" customFormat="true" ht="12" hidden="false" customHeight="true" outlineLevel="0" collapsed="false">
      <c r="A78" s="3673" t="s">
        <v>2698</v>
      </c>
      <c r="B78" s="3673" t="s">
        <v>3208</v>
      </c>
      <c r="C78" s="3672" t="s">
        <v>3209</v>
      </c>
      <c r="D78" s="3673" t="s">
        <v>3210</v>
      </c>
      <c r="E78" s="3673" t="s">
        <v>3211</v>
      </c>
      <c r="F78" s="3673" t="n">
        <v>3</v>
      </c>
      <c r="G78" s="3673" t="s">
        <v>3212</v>
      </c>
      <c r="H78" s="3673" t="s">
        <v>1298</v>
      </c>
      <c r="I78" s="3673" t="s">
        <v>2565</v>
      </c>
      <c r="J78" s="3673" t="s">
        <v>156</v>
      </c>
      <c r="K78" s="3673" t="n">
        <v>1982</v>
      </c>
      <c r="L78" s="3673" t="s">
        <v>1285</v>
      </c>
      <c r="M78" s="3673"/>
      <c r="N78" s="3673"/>
      <c r="O78" s="3673"/>
      <c r="P78" s="3673" t="s">
        <v>1250</v>
      </c>
      <c r="Q78" s="3673" t="s">
        <v>1250</v>
      </c>
      <c r="R78" s="3673" t="s">
        <v>1250</v>
      </c>
      <c r="S78" s="3673" t="s">
        <v>1250</v>
      </c>
      <c r="T78" s="3673" t="s">
        <v>1250</v>
      </c>
      <c r="U78" s="3673" t="s">
        <v>1250</v>
      </c>
      <c r="V78" s="3673" t="s">
        <v>1250</v>
      </c>
      <c r="W78" s="3673"/>
      <c r="X78" s="3673"/>
      <c r="Y78" s="3673"/>
      <c r="Z78" s="3673"/>
      <c r="AA78" s="3673"/>
      <c r="AB78" s="3673"/>
      <c r="AC78" s="3673"/>
      <c r="AD78" s="3673"/>
      <c r="AE78" s="3673" t="s">
        <v>2523</v>
      </c>
      <c r="AF78" s="3673" t="n">
        <v>2006</v>
      </c>
      <c r="AG78" s="3673" t="n">
        <v>8</v>
      </c>
      <c r="AH78" s="3673" t="n">
        <v>22</v>
      </c>
      <c r="AI78" s="3673" t="s">
        <v>2545</v>
      </c>
      <c r="AJ78" s="3673" t="n">
        <v>50</v>
      </c>
      <c r="AK78" s="3673" t="n">
        <f aca="true">AJ78-YEAR(TODAY())+K78</f>
        <v>8</v>
      </c>
      <c r="AL78" s="3674" t="s">
        <v>3213</v>
      </c>
    </row>
    <row r="79" s="3674" customFormat="true" ht="12" hidden="false" customHeight="true" outlineLevel="0" collapsed="false">
      <c r="A79" s="3673" t="s">
        <v>2739</v>
      </c>
      <c r="B79" s="3673" t="s">
        <v>3214</v>
      </c>
      <c r="C79" s="3672" t="s">
        <v>3215</v>
      </c>
      <c r="D79" s="3673" t="s">
        <v>3216</v>
      </c>
      <c r="E79" s="3673" t="s">
        <v>3217</v>
      </c>
      <c r="F79" s="3673" t="n">
        <v>18</v>
      </c>
      <c r="G79" s="3672" t="s">
        <v>3218</v>
      </c>
      <c r="H79" s="3673" t="s">
        <v>1298</v>
      </c>
      <c r="I79" s="3673" t="s">
        <v>2565</v>
      </c>
      <c r="J79" s="3673" t="s">
        <v>156</v>
      </c>
      <c r="K79" s="3673" t="s">
        <v>1250</v>
      </c>
      <c r="L79" s="3673"/>
      <c r="M79" s="3673"/>
      <c r="N79" s="3673"/>
      <c r="O79" s="3673"/>
      <c r="P79" s="3673" t="s">
        <v>1250</v>
      </c>
      <c r="Q79" s="3673" t="s">
        <v>1250</v>
      </c>
      <c r="R79" s="3673" t="s">
        <v>1250</v>
      </c>
      <c r="S79" s="3673" t="s">
        <v>1250</v>
      </c>
      <c r="T79" s="3673" t="s">
        <v>1250</v>
      </c>
      <c r="U79" s="3673" t="s">
        <v>1250</v>
      </c>
      <c r="V79" s="3673" t="s">
        <v>1250</v>
      </c>
      <c r="W79" s="3673" t="s">
        <v>1250</v>
      </c>
      <c r="X79" s="3673" t="s">
        <v>1250</v>
      </c>
      <c r="Y79" s="3673" t="s">
        <v>1250</v>
      </c>
      <c r="Z79" s="3673" t="s">
        <v>1250</v>
      </c>
      <c r="AA79" s="3681" t="s">
        <v>1250</v>
      </c>
      <c r="AB79" s="3673" t="s">
        <v>1250</v>
      </c>
      <c r="AC79" s="3681" t="s">
        <v>1250</v>
      </c>
      <c r="AD79" s="3673"/>
      <c r="AE79" s="3673" t="s">
        <v>2523</v>
      </c>
      <c r="AF79" s="3673" t="n">
        <v>2006</v>
      </c>
      <c r="AG79" s="3673" t="n">
        <v>12</v>
      </c>
      <c r="AH79" s="3673" t="n">
        <v>11</v>
      </c>
      <c r="AI79" s="3673" t="s">
        <v>2522</v>
      </c>
      <c r="AJ79" s="3673" t="n">
        <v>50</v>
      </c>
      <c r="AK79" s="3673" t="e">
        <f aca="true">AJ79-YEAR(TODAY())+K79</f>
        <v>#VALUE!</v>
      </c>
      <c r="AL79" s="3674" t="s">
        <v>3213</v>
      </c>
    </row>
    <row r="80" s="3674" customFormat="true" ht="12" hidden="false" customHeight="true" outlineLevel="0" collapsed="false">
      <c r="A80" s="3673" t="s">
        <v>2749</v>
      </c>
      <c r="B80" s="3673" t="s">
        <v>3219</v>
      </c>
      <c r="C80" s="3672" t="s">
        <v>3220</v>
      </c>
      <c r="D80" s="3673" t="s">
        <v>3221</v>
      </c>
      <c r="E80" s="3673" t="s">
        <v>3211</v>
      </c>
      <c r="F80" s="3673" t="n">
        <v>2</v>
      </c>
      <c r="G80" s="3673" t="n">
        <v>309</v>
      </c>
      <c r="H80" s="3673" t="s">
        <v>1144</v>
      </c>
      <c r="I80" s="3673" t="n">
        <v>16</v>
      </c>
      <c r="J80" s="3673" t="s">
        <v>156</v>
      </c>
      <c r="K80" s="3673"/>
      <c r="L80" s="3673" t="s">
        <v>1286</v>
      </c>
      <c r="M80" s="3673"/>
      <c r="N80" s="3673"/>
      <c r="O80" s="3673"/>
      <c r="P80" s="3673"/>
      <c r="Q80" s="3673"/>
      <c r="R80" s="3673"/>
      <c r="S80" s="3673"/>
      <c r="T80" s="3673"/>
      <c r="U80" s="3673"/>
      <c r="V80" s="3673"/>
      <c r="W80" s="3673"/>
      <c r="X80" s="3673"/>
      <c r="Y80" s="3673"/>
      <c r="Z80" s="3673"/>
      <c r="AA80" s="3673"/>
      <c r="AB80" s="3673"/>
      <c r="AC80" s="3673"/>
      <c r="AD80" s="3673"/>
      <c r="AE80" s="3673" t="s">
        <v>2757</v>
      </c>
      <c r="AF80" s="3673" t="n">
        <v>2006</v>
      </c>
      <c r="AG80" s="3673" t="n">
        <v>11</v>
      </c>
      <c r="AH80" s="3673" t="n">
        <v>17</v>
      </c>
      <c r="AI80" s="3673" t="s">
        <v>2522</v>
      </c>
      <c r="AJ80" s="3673" t="n">
        <v>60</v>
      </c>
      <c r="AK80" s="3673" t="n">
        <f aca="true">AJ80-YEAR(TODAY())+K80</f>
        <v>-1964</v>
      </c>
    </row>
  </sheetData>
  <mergeCells count="2">
    <mergeCell ref="AL1:AM1"/>
    <mergeCell ref="O76:R76"/>
  </mergeCell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legacyDrawing r:id="rId3"/>
</worksheet>
</file>

<file path=xl/worksheets/sheet48.xml><?xml version="1.0" encoding="utf-8"?>
<worksheet xmlns="http://schemas.openxmlformats.org/spreadsheetml/2006/main" xmlns:r="http://schemas.openxmlformats.org/officeDocument/2006/relationships">
  <sheetPr filterMode="false">
    <pageSetUpPr fitToPage="false"/>
  </sheetPr>
  <dimension ref="A1:IW73"/>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A48" activeCellId="0" sqref="A48"/>
    </sheetView>
  </sheetViews>
  <sheetFormatPr defaultRowHeight="13.5" zeroHeight="false" outlineLevelRow="0" outlineLevelCol="0"/>
  <cols>
    <col collapsed="false" customWidth="true" hidden="false" outlineLevel="0" max="1" min="1" style="3682" width="4.87"/>
    <col collapsed="false" customWidth="true" hidden="false" outlineLevel="0" max="2" min="2" style="3683" width="13.26"/>
    <col collapsed="false" customWidth="true" hidden="false" outlineLevel="0" max="3" min="3" style="3683" width="15.62"/>
    <col collapsed="false" customWidth="true" hidden="false" outlineLevel="0" max="4" min="4" style="3683" width="9.38"/>
    <col collapsed="false" customWidth="true" hidden="false" outlineLevel="0" max="5" min="5" style="3683" width="13.5"/>
    <col collapsed="false" customWidth="true" hidden="false" outlineLevel="0" max="6" min="6" style="3683" width="9"/>
    <col collapsed="false" customWidth="true" hidden="false" outlineLevel="0" max="7" min="7" style="3683" width="9.38"/>
    <col collapsed="false" customWidth="true" hidden="false" outlineLevel="0" max="8" min="8" style="3683" width="12.26"/>
    <col collapsed="false" customWidth="true" hidden="false" outlineLevel="0" max="9" min="9" style="3683" width="9"/>
    <col collapsed="false" customWidth="true" hidden="false" outlineLevel="0" max="10" min="10" style="3683" width="9.38"/>
    <col collapsed="false" customWidth="true" hidden="false" outlineLevel="0" max="11" min="11" style="3682" width="4"/>
    <col collapsed="false" customWidth="true" hidden="false" outlineLevel="0" max="12" min="12" style="3683" width="5.13"/>
    <col collapsed="false" customWidth="true" hidden="false" outlineLevel="0" max="13" min="13" style="3683" width="13.76"/>
    <col collapsed="false" customWidth="true" hidden="false" outlineLevel="0" max="256" min="14" style="3683" width="9"/>
    <col collapsed="false" customWidth="true" hidden="false" outlineLevel="0" max="257" min="257" style="3684" width="4.87"/>
    <col collapsed="false" customWidth="true" hidden="false" outlineLevel="0" max="258" min="258" style="3684" width="13.26"/>
    <col collapsed="false" customWidth="true" hidden="false" outlineLevel="0" max="259" min="259" style="3684" width="15.62"/>
    <col collapsed="false" customWidth="true" hidden="false" outlineLevel="0" max="260" min="260" style="3684" width="9.38"/>
    <col collapsed="false" customWidth="true" hidden="false" outlineLevel="0" max="261" min="261" style="3684" width="13.5"/>
    <col collapsed="false" customWidth="true" hidden="false" outlineLevel="0" max="262" min="262" style="3684" width="9"/>
    <col collapsed="false" customWidth="true" hidden="false" outlineLevel="0" max="263" min="263" style="3684" width="9.38"/>
    <col collapsed="false" customWidth="true" hidden="false" outlineLevel="0" max="265" min="264" style="3684" width="9"/>
    <col collapsed="false" customWidth="true" hidden="false" outlineLevel="0" max="266" min="266" style="3684" width="9.38"/>
    <col collapsed="false" customWidth="true" hidden="false" outlineLevel="0" max="267" min="267" style="3684" width="4"/>
    <col collapsed="false" customWidth="true" hidden="false" outlineLevel="0" max="268" min="268" style="3684" width="5.13"/>
    <col collapsed="false" customWidth="true" hidden="false" outlineLevel="0" max="269" min="269" style="3684" width="13.76"/>
    <col collapsed="false" customWidth="true" hidden="false" outlineLevel="0" max="512" min="270" style="3684" width="9"/>
    <col collapsed="false" customWidth="true" hidden="false" outlineLevel="0" max="513" min="513" style="3684" width="4.87"/>
    <col collapsed="false" customWidth="true" hidden="false" outlineLevel="0" max="514" min="514" style="3684" width="13.26"/>
    <col collapsed="false" customWidth="true" hidden="false" outlineLevel="0" max="515" min="515" style="3684" width="15.62"/>
    <col collapsed="false" customWidth="true" hidden="false" outlineLevel="0" max="516" min="516" style="3684" width="9.38"/>
    <col collapsed="false" customWidth="true" hidden="false" outlineLevel="0" max="517" min="517" style="3684" width="13.5"/>
    <col collapsed="false" customWidth="true" hidden="false" outlineLevel="0" max="518" min="518" style="3684" width="9"/>
    <col collapsed="false" customWidth="true" hidden="false" outlineLevel="0" max="519" min="519" style="3684" width="9.38"/>
    <col collapsed="false" customWidth="true" hidden="false" outlineLevel="0" max="521" min="520" style="3684" width="9"/>
    <col collapsed="false" customWidth="true" hidden="false" outlineLevel="0" max="522" min="522" style="3684" width="9.38"/>
    <col collapsed="false" customWidth="true" hidden="false" outlineLevel="0" max="523" min="523" style="3684" width="4"/>
    <col collapsed="false" customWidth="true" hidden="false" outlineLevel="0" max="524" min="524" style="3684" width="5.13"/>
    <col collapsed="false" customWidth="true" hidden="false" outlineLevel="0" max="525" min="525" style="3684" width="13.76"/>
    <col collapsed="false" customWidth="true" hidden="false" outlineLevel="0" max="768" min="526" style="3684" width="9"/>
    <col collapsed="false" customWidth="true" hidden="false" outlineLevel="0" max="769" min="769" style="3684" width="4.87"/>
    <col collapsed="false" customWidth="true" hidden="false" outlineLevel="0" max="770" min="770" style="3684" width="13.26"/>
    <col collapsed="false" customWidth="true" hidden="false" outlineLevel="0" max="771" min="771" style="3684" width="15.62"/>
    <col collapsed="false" customWidth="true" hidden="false" outlineLevel="0" max="772" min="772" style="3684" width="9.38"/>
    <col collapsed="false" customWidth="true" hidden="false" outlineLevel="0" max="773" min="773" style="3684" width="13.5"/>
    <col collapsed="false" customWidth="true" hidden="false" outlineLevel="0" max="774" min="774" style="3684" width="9"/>
    <col collapsed="false" customWidth="true" hidden="false" outlineLevel="0" max="775" min="775" style="3684" width="9.38"/>
    <col collapsed="false" customWidth="true" hidden="false" outlineLevel="0" max="777" min="776" style="3684" width="9"/>
    <col collapsed="false" customWidth="true" hidden="false" outlineLevel="0" max="778" min="778" style="3684" width="9.38"/>
    <col collapsed="false" customWidth="true" hidden="false" outlineLevel="0" max="779" min="779" style="3684" width="4"/>
    <col collapsed="false" customWidth="true" hidden="false" outlineLevel="0" max="780" min="780" style="3684" width="5.13"/>
    <col collapsed="false" customWidth="true" hidden="false" outlineLevel="0" max="781" min="781" style="3684" width="13.76"/>
    <col collapsed="false" customWidth="true" hidden="false" outlineLevel="0" max="1025" min="782" style="3684" width="9"/>
  </cols>
  <sheetData>
    <row r="1" s="3693" customFormat="true" ht="13.5" hidden="false" customHeight="false" outlineLevel="0" collapsed="false">
      <c r="A1" s="3685"/>
      <c r="B1" s="3686" t="s">
        <v>336</v>
      </c>
      <c r="C1" s="3687" t="n">
        <f aca="false">项目基本情况!D3</f>
        <v>39031</v>
      </c>
      <c r="D1" s="3686" t="s">
        <v>592</v>
      </c>
      <c r="E1" s="3688" t="n">
        <f aca="false">'数据-取费表'!B22</f>
        <v>2</v>
      </c>
      <c r="F1" s="3686" t="s">
        <v>3222</v>
      </c>
      <c r="G1" s="3689" t="n">
        <f aca="true">INDIRECT("d"&amp;$K$1)/100</f>
        <v>0.063</v>
      </c>
      <c r="H1" s="3686" t="s">
        <v>3223</v>
      </c>
      <c r="I1" s="3689" t="n">
        <f aca="false">F4/100</f>
        <v>0.0252</v>
      </c>
      <c r="J1" s="3690" t="n">
        <f aca="false">IF(C1&gt;C13,0,MATCH(C1,C$13:C$110,-1))+IF(SUMIF(C13:C110,C1,D13:D110)=0,13,12)</f>
        <v>48</v>
      </c>
      <c r="K1" s="3690" t="n">
        <f aca="false">MATCH(E1,C3:C7,1)+IF(SUMIF(C3:C7,E1,D3:D7)=0,2,1)</f>
        <v>5</v>
      </c>
      <c r="L1" s="3690" t="n">
        <f aca="false">IF(C1&gt;M13,0,MATCH(C1,M$13:M$100,-1))+IF(SUMIF(M13:M100,C1,N13:N100)=0,13,12)</f>
        <v>37</v>
      </c>
      <c r="M1" s="3685"/>
      <c r="N1" s="3685"/>
      <c r="O1" s="3685"/>
      <c r="P1" s="3685"/>
      <c r="Q1" s="3685"/>
      <c r="R1" s="3685"/>
      <c r="S1" s="3685"/>
      <c r="T1" s="3685"/>
      <c r="U1" s="3685"/>
      <c r="V1" s="3685"/>
      <c r="W1" s="3685"/>
      <c r="X1" s="3685"/>
      <c r="Y1" s="3685"/>
      <c r="Z1" s="3685"/>
      <c r="AA1" s="3691"/>
      <c r="AB1" s="3691"/>
      <c r="AC1" s="3691"/>
      <c r="AD1" s="3691"/>
      <c r="AE1" s="3691"/>
      <c r="AF1" s="3691"/>
      <c r="AG1" s="3691"/>
      <c r="AH1" s="3691"/>
      <c r="AI1" s="3691"/>
      <c r="AJ1" s="3691"/>
      <c r="AK1" s="3691"/>
      <c r="AL1" s="3691"/>
      <c r="AM1" s="3691"/>
      <c r="AN1" s="3691"/>
      <c r="AO1" s="3691"/>
      <c r="AP1" s="3691"/>
      <c r="AQ1" s="3691"/>
      <c r="AR1" s="3691"/>
      <c r="AS1" s="3691"/>
      <c r="AT1" s="3691"/>
      <c r="AU1" s="3691"/>
      <c r="AV1" s="3691"/>
      <c r="AW1" s="3691"/>
      <c r="AX1" s="3691"/>
      <c r="AY1" s="3691"/>
      <c r="AZ1" s="3691"/>
      <c r="BA1" s="3691"/>
      <c r="BB1" s="3691"/>
      <c r="BC1" s="3691"/>
      <c r="BD1" s="3691"/>
      <c r="BE1" s="3691"/>
      <c r="BF1" s="3691"/>
      <c r="BG1" s="3691"/>
      <c r="BH1" s="3691"/>
      <c r="BI1" s="3691"/>
      <c r="BJ1" s="3691"/>
      <c r="BK1" s="3691"/>
      <c r="BL1" s="3691"/>
      <c r="BM1" s="3691"/>
      <c r="BN1" s="3691"/>
      <c r="BO1" s="3691"/>
      <c r="BP1" s="3691"/>
      <c r="BQ1" s="3691"/>
      <c r="BR1" s="3691"/>
      <c r="BS1" s="3691"/>
      <c r="BT1" s="3691"/>
      <c r="BU1" s="3691"/>
      <c r="BV1" s="3691"/>
      <c r="BW1" s="3691"/>
      <c r="BX1" s="3691"/>
      <c r="BY1" s="3691"/>
      <c r="BZ1" s="3691"/>
      <c r="CA1" s="3691"/>
      <c r="CB1" s="3691"/>
      <c r="CC1" s="3691"/>
      <c r="CD1" s="3691"/>
      <c r="CE1" s="3691"/>
      <c r="CF1" s="3691"/>
      <c r="CG1" s="3691"/>
      <c r="CH1" s="3691"/>
      <c r="CI1" s="3691"/>
      <c r="CJ1" s="3691"/>
      <c r="CK1" s="3691"/>
      <c r="CL1" s="3691"/>
      <c r="CM1" s="3691"/>
      <c r="CN1" s="3691"/>
      <c r="CO1" s="3691"/>
      <c r="CP1" s="3691"/>
      <c r="CQ1" s="3691"/>
      <c r="CR1" s="3691"/>
      <c r="CS1" s="3691"/>
      <c r="CT1" s="3691"/>
      <c r="CU1" s="3691"/>
      <c r="CV1" s="3691"/>
      <c r="CW1" s="3691"/>
      <c r="CX1" s="3691"/>
      <c r="CY1" s="3691"/>
      <c r="CZ1" s="3691"/>
      <c r="DA1" s="3691"/>
      <c r="DB1" s="3691"/>
      <c r="DC1" s="3691"/>
      <c r="DD1" s="3691"/>
      <c r="DE1" s="3691"/>
      <c r="DF1" s="3691"/>
      <c r="DG1" s="3691"/>
      <c r="DH1" s="3691"/>
      <c r="DI1" s="3691"/>
      <c r="DJ1" s="3691"/>
      <c r="DK1" s="3691"/>
      <c r="DL1" s="3691"/>
      <c r="DM1" s="3691"/>
      <c r="DN1" s="3691"/>
      <c r="DO1" s="3691"/>
      <c r="DP1" s="3691"/>
      <c r="DQ1" s="3691"/>
      <c r="DR1" s="3691"/>
      <c r="DS1" s="3691"/>
      <c r="DT1" s="3691"/>
      <c r="DU1" s="3691"/>
      <c r="DV1" s="3691"/>
      <c r="DW1" s="3691"/>
      <c r="DX1" s="3691"/>
      <c r="DY1" s="3691"/>
      <c r="DZ1" s="3691"/>
      <c r="EA1" s="3691"/>
      <c r="EB1" s="3691"/>
      <c r="EC1" s="3691"/>
      <c r="ED1" s="3691"/>
      <c r="EE1" s="3691"/>
      <c r="EF1" s="3691"/>
      <c r="EG1" s="3691"/>
      <c r="EH1" s="3691"/>
      <c r="EI1" s="3691"/>
      <c r="EJ1" s="3691"/>
      <c r="EK1" s="3691"/>
      <c r="EL1" s="3691"/>
      <c r="EM1" s="3691"/>
      <c r="EN1" s="3691"/>
      <c r="EO1" s="3691"/>
      <c r="EP1" s="3691"/>
      <c r="EQ1" s="3691"/>
      <c r="ER1" s="3691"/>
      <c r="ES1" s="3691"/>
      <c r="ET1" s="3691"/>
      <c r="EU1" s="3691"/>
      <c r="EV1" s="3691"/>
      <c r="EW1" s="3691"/>
      <c r="EX1" s="3691"/>
      <c r="EY1" s="3691"/>
      <c r="EZ1" s="3691"/>
      <c r="FA1" s="3691"/>
      <c r="FB1" s="3691"/>
      <c r="FC1" s="3691"/>
      <c r="FD1" s="3691"/>
      <c r="FE1" s="3691"/>
      <c r="FF1" s="3691"/>
      <c r="FG1" s="3691"/>
      <c r="FH1" s="3691"/>
      <c r="FI1" s="3691"/>
      <c r="FJ1" s="3691"/>
      <c r="FK1" s="3691"/>
      <c r="FL1" s="3691"/>
      <c r="FM1" s="3691"/>
      <c r="FN1" s="3691"/>
      <c r="FO1" s="3691"/>
      <c r="FP1" s="3691"/>
      <c r="FQ1" s="3691"/>
      <c r="FR1" s="3691"/>
      <c r="FS1" s="3691"/>
      <c r="FT1" s="3691"/>
      <c r="FU1" s="3691"/>
      <c r="FV1" s="3691"/>
      <c r="FW1" s="3691"/>
      <c r="FX1" s="3691"/>
      <c r="FY1" s="3691"/>
      <c r="FZ1" s="3691"/>
      <c r="GA1" s="3691"/>
      <c r="GB1" s="3691"/>
      <c r="GC1" s="3691"/>
      <c r="GD1" s="3691"/>
      <c r="GE1" s="3691"/>
      <c r="GF1" s="3691"/>
      <c r="GG1" s="3691"/>
      <c r="GH1" s="3691"/>
      <c r="GI1" s="3691"/>
      <c r="GJ1" s="3691"/>
      <c r="GK1" s="3691"/>
      <c r="GL1" s="3691"/>
      <c r="GM1" s="3691"/>
      <c r="GN1" s="3691"/>
      <c r="GO1" s="3691"/>
      <c r="GP1" s="3691"/>
      <c r="GQ1" s="3691"/>
      <c r="GR1" s="3691"/>
      <c r="GS1" s="3691"/>
      <c r="GT1" s="3691"/>
      <c r="GU1" s="3691"/>
      <c r="GV1" s="3691"/>
      <c r="GW1" s="3691"/>
      <c r="GX1" s="3691"/>
      <c r="GY1" s="3691"/>
      <c r="GZ1" s="3691"/>
      <c r="HA1" s="3691"/>
      <c r="HB1" s="3691"/>
      <c r="HC1" s="3691"/>
      <c r="HD1" s="3691"/>
      <c r="HE1" s="3691"/>
      <c r="HF1" s="3691"/>
      <c r="HG1" s="3691"/>
      <c r="HH1" s="3691"/>
      <c r="HI1" s="3691"/>
      <c r="HJ1" s="3691"/>
      <c r="HK1" s="3691"/>
      <c r="HL1" s="3691"/>
      <c r="HM1" s="3691"/>
      <c r="HN1" s="3691"/>
      <c r="HO1" s="3691"/>
      <c r="HP1" s="3691"/>
      <c r="HQ1" s="3691"/>
      <c r="HR1" s="3691"/>
      <c r="HS1" s="3691"/>
      <c r="HT1" s="3691"/>
      <c r="HU1" s="3691"/>
      <c r="HV1" s="3691"/>
      <c r="HW1" s="3691"/>
      <c r="HX1" s="3691"/>
      <c r="HY1" s="3691"/>
      <c r="HZ1" s="3691"/>
      <c r="IA1" s="3691"/>
      <c r="IB1" s="3691"/>
      <c r="IC1" s="3691"/>
      <c r="ID1" s="3691"/>
      <c r="IE1" s="3691"/>
      <c r="IF1" s="3691"/>
      <c r="IG1" s="3691"/>
      <c r="IH1" s="3691"/>
      <c r="II1" s="3691"/>
      <c r="IJ1" s="3691"/>
      <c r="IK1" s="3691"/>
      <c r="IL1" s="3691"/>
      <c r="IM1" s="3691"/>
      <c r="IN1" s="3691"/>
      <c r="IO1" s="3691"/>
      <c r="IP1" s="3691"/>
      <c r="IQ1" s="3691"/>
      <c r="IR1" s="3691"/>
      <c r="IS1" s="3691"/>
      <c r="IT1" s="3691"/>
      <c r="IU1" s="3691"/>
      <c r="IV1" s="3691"/>
      <c r="IW1" s="3692"/>
    </row>
    <row r="2" customFormat="false" ht="13.5" hidden="false" customHeight="false" outlineLevel="0" collapsed="false">
      <c r="A2" s="3694"/>
      <c r="B2" s="3694"/>
      <c r="C2" s="3694"/>
      <c r="D2" s="3694" t="s">
        <v>3222</v>
      </c>
      <c r="E2" s="3694"/>
      <c r="F2" s="3694" t="s">
        <v>3224</v>
      </c>
      <c r="G2" s="3695"/>
      <c r="H2" s="3694"/>
      <c r="I2" s="3694"/>
      <c r="J2" s="3694"/>
      <c r="K2" s="3694"/>
      <c r="L2" s="3694"/>
      <c r="M2" s="3694"/>
      <c r="N2" s="3694"/>
      <c r="O2" s="3694"/>
      <c r="P2" s="3694"/>
      <c r="Q2" s="3694"/>
      <c r="R2" s="3694"/>
      <c r="S2" s="3694"/>
      <c r="T2" s="3694"/>
      <c r="U2" s="3694"/>
      <c r="V2" s="3694"/>
      <c r="W2" s="3694"/>
      <c r="X2" s="3694"/>
      <c r="Y2" s="3694"/>
      <c r="Z2" s="3694"/>
      <c r="AA2" s="3694"/>
      <c r="AB2" s="3694"/>
      <c r="AC2" s="3694"/>
      <c r="AD2" s="3694"/>
      <c r="AE2" s="3694"/>
      <c r="AF2" s="3694"/>
      <c r="AG2" s="3694"/>
      <c r="AH2" s="3694"/>
      <c r="AI2" s="3694"/>
      <c r="AJ2" s="3694"/>
      <c r="AK2" s="3694"/>
      <c r="AL2" s="3694"/>
      <c r="AM2" s="3694"/>
      <c r="AN2" s="3694"/>
      <c r="AO2" s="3694"/>
      <c r="AP2" s="3694"/>
      <c r="AQ2" s="3694"/>
      <c r="AR2" s="3694"/>
      <c r="AS2" s="3694"/>
      <c r="AT2" s="3694"/>
      <c r="AU2" s="3694"/>
      <c r="AV2" s="3694"/>
      <c r="AW2" s="3694"/>
      <c r="AX2" s="3694"/>
      <c r="AY2" s="3694"/>
      <c r="AZ2" s="3694"/>
      <c r="BA2" s="3694"/>
      <c r="BB2" s="3694"/>
      <c r="BC2" s="3694"/>
      <c r="BD2" s="3694"/>
      <c r="BE2" s="3694"/>
      <c r="BF2" s="3694"/>
      <c r="BG2" s="3694"/>
      <c r="BH2" s="3694"/>
      <c r="BI2" s="3694"/>
      <c r="BJ2" s="3694"/>
      <c r="BK2" s="3694"/>
      <c r="BL2" s="3694"/>
      <c r="BM2" s="3694"/>
      <c r="BN2" s="3694"/>
      <c r="BO2" s="3694"/>
      <c r="BP2" s="3694"/>
      <c r="BQ2" s="3694"/>
      <c r="BR2" s="3694"/>
      <c r="BS2" s="3694"/>
      <c r="BT2" s="3694"/>
      <c r="BU2" s="3694"/>
      <c r="BV2" s="3694"/>
      <c r="BW2" s="3694"/>
      <c r="BX2" s="3694"/>
      <c r="BY2" s="3694"/>
      <c r="BZ2" s="3694"/>
      <c r="CA2" s="3694"/>
      <c r="CB2" s="3694"/>
      <c r="CC2" s="3694"/>
      <c r="CD2" s="3694"/>
      <c r="CE2" s="3694"/>
      <c r="CF2" s="3694"/>
      <c r="CG2" s="3694"/>
      <c r="CH2" s="3694"/>
      <c r="CI2" s="3694"/>
      <c r="CJ2" s="3694"/>
      <c r="CK2" s="3694"/>
      <c r="CL2" s="3694"/>
      <c r="CM2" s="3694"/>
      <c r="CN2" s="3694"/>
      <c r="CO2" s="3694"/>
      <c r="CP2" s="3694"/>
      <c r="CQ2" s="3694"/>
      <c r="CR2" s="3694"/>
      <c r="CS2" s="3694"/>
      <c r="CT2" s="3694"/>
      <c r="CU2" s="3694"/>
      <c r="CV2" s="3694"/>
      <c r="CW2" s="3694"/>
      <c r="CX2" s="3694"/>
      <c r="CY2" s="3694"/>
      <c r="CZ2" s="3694"/>
      <c r="DA2" s="3694"/>
      <c r="DB2" s="3694"/>
      <c r="DC2" s="3694"/>
      <c r="DD2" s="3694"/>
      <c r="DE2" s="3694"/>
      <c r="DF2" s="3694"/>
      <c r="DG2" s="3694"/>
      <c r="DH2" s="3694"/>
      <c r="DI2" s="3694"/>
      <c r="DJ2" s="3694"/>
      <c r="DK2" s="3694"/>
      <c r="DL2" s="3694"/>
      <c r="DM2" s="3694"/>
      <c r="DN2" s="3694"/>
      <c r="DO2" s="3694"/>
      <c r="DP2" s="3694"/>
      <c r="DQ2" s="3694"/>
      <c r="DR2" s="3694"/>
      <c r="DS2" s="3694"/>
      <c r="DT2" s="3694"/>
      <c r="DU2" s="3694"/>
      <c r="DV2" s="3694"/>
      <c r="DW2" s="3694"/>
      <c r="DX2" s="3694"/>
      <c r="DY2" s="3694"/>
      <c r="DZ2" s="3694"/>
      <c r="EA2" s="3694"/>
      <c r="EB2" s="3694"/>
      <c r="EC2" s="3694"/>
      <c r="ED2" s="3694"/>
      <c r="EE2" s="3694"/>
      <c r="EF2" s="3694"/>
      <c r="EG2" s="3694"/>
      <c r="EH2" s="3694"/>
      <c r="EI2" s="3694"/>
      <c r="EJ2" s="3694"/>
      <c r="EK2" s="3694"/>
      <c r="EL2" s="3694"/>
      <c r="EM2" s="3694"/>
      <c r="EN2" s="3694"/>
      <c r="EO2" s="3694"/>
      <c r="EP2" s="3694"/>
      <c r="EQ2" s="3694"/>
      <c r="ER2" s="3694"/>
      <c r="ES2" s="3694"/>
      <c r="ET2" s="3694"/>
      <c r="EU2" s="3694"/>
      <c r="EV2" s="3694"/>
      <c r="EW2" s="3694"/>
      <c r="EX2" s="3694"/>
      <c r="EY2" s="3694"/>
      <c r="EZ2" s="3694"/>
      <c r="FA2" s="3694"/>
      <c r="FB2" s="3694"/>
      <c r="FC2" s="3694"/>
      <c r="FD2" s="3694"/>
      <c r="FE2" s="3694"/>
      <c r="FF2" s="3694"/>
      <c r="FG2" s="3694"/>
      <c r="FH2" s="3694"/>
      <c r="FI2" s="3694"/>
      <c r="FJ2" s="3694"/>
      <c r="FK2" s="3694"/>
      <c r="FL2" s="3694"/>
      <c r="FM2" s="3694"/>
      <c r="FN2" s="3694"/>
      <c r="FO2" s="3694"/>
      <c r="FP2" s="3694"/>
      <c r="FQ2" s="3694"/>
      <c r="FR2" s="3694"/>
      <c r="FS2" s="3694"/>
      <c r="FT2" s="3694"/>
      <c r="FU2" s="3694"/>
      <c r="FV2" s="3694"/>
      <c r="FW2" s="3694"/>
      <c r="FX2" s="3694"/>
      <c r="FY2" s="3694"/>
      <c r="FZ2" s="3694"/>
      <c r="GA2" s="3694"/>
      <c r="GB2" s="3694"/>
      <c r="GC2" s="3694"/>
      <c r="GD2" s="3694"/>
      <c r="GE2" s="3694"/>
      <c r="GF2" s="3694"/>
      <c r="GG2" s="3694"/>
      <c r="GH2" s="3694"/>
      <c r="GI2" s="3694"/>
      <c r="GJ2" s="3694"/>
      <c r="GK2" s="3694"/>
      <c r="GL2" s="3694"/>
      <c r="GM2" s="3694"/>
      <c r="GN2" s="3694"/>
      <c r="GO2" s="3694"/>
      <c r="GP2" s="3694"/>
      <c r="GQ2" s="3694"/>
      <c r="GR2" s="3694"/>
      <c r="GS2" s="3694"/>
      <c r="GT2" s="3694"/>
      <c r="GU2" s="3694"/>
      <c r="GV2" s="3694"/>
      <c r="GW2" s="3694"/>
      <c r="GX2" s="3694"/>
      <c r="GY2" s="3694"/>
      <c r="GZ2" s="3694"/>
      <c r="HA2" s="3694"/>
      <c r="HB2" s="3694"/>
      <c r="HC2" s="3694"/>
      <c r="HD2" s="3694"/>
      <c r="HE2" s="3694"/>
      <c r="HF2" s="3694"/>
      <c r="HG2" s="3694"/>
      <c r="HH2" s="3694"/>
      <c r="HI2" s="3694"/>
      <c r="HJ2" s="3694"/>
      <c r="HK2" s="3694"/>
      <c r="HL2" s="3694"/>
      <c r="HM2" s="3694"/>
      <c r="HN2" s="3694"/>
      <c r="HO2" s="3694"/>
      <c r="HP2" s="3694"/>
      <c r="HQ2" s="3694"/>
      <c r="HR2" s="3694"/>
      <c r="HS2" s="3694"/>
      <c r="HT2" s="3694"/>
      <c r="HU2" s="3694"/>
      <c r="HV2" s="3694"/>
      <c r="HW2" s="3694"/>
      <c r="HX2" s="3694"/>
      <c r="HY2" s="3694"/>
      <c r="HZ2" s="3694"/>
      <c r="IA2" s="3694"/>
      <c r="IB2" s="3694"/>
      <c r="IC2" s="3694"/>
      <c r="ID2" s="3694"/>
      <c r="IE2" s="3694"/>
      <c r="IF2" s="3694"/>
      <c r="IG2" s="3694"/>
      <c r="IH2" s="3694"/>
      <c r="II2" s="3694"/>
      <c r="IJ2" s="3694"/>
      <c r="IK2" s="3694"/>
      <c r="IL2" s="3694"/>
      <c r="IM2" s="3694"/>
      <c r="IN2" s="3694"/>
      <c r="IO2" s="3694"/>
      <c r="IP2" s="3694"/>
      <c r="IQ2" s="3694"/>
      <c r="IR2" s="3694"/>
      <c r="IS2" s="3694"/>
      <c r="IT2" s="3694"/>
      <c r="IU2" s="3694"/>
      <c r="IV2" s="3694"/>
      <c r="IW2" s="3694"/>
    </row>
    <row r="3" customFormat="false" ht="13.5" hidden="false" customHeight="false" outlineLevel="0" collapsed="false">
      <c r="B3" s="3696" t="s">
        <v>3225</v>
      </c>
      <c r="C3" s="3697" t="n">
        <v>0</v>
      </c>
      <c r="D3" s="3698" t="n">
        <f aca="true">INDIRECT("d"&amp;$J$1)</f>
        <v>5.58</v>
      </c>
      <c r="E3" s="3699" t="n">
        <v>0.5</v>
      </c>
      <c r="F3" s="3700" t="n">
        <f aca="true">INDIRECT("p"&amp;$L$1)</f>
        <v>2.25</v>
      </c>
      <c r="G3" s="3682"/>
      <c r="H3" s="3682"/>
      <c r="I3" s="3682"/>
      <c r="J3" s="3682"/>
      <c r="L3" s="3682"/>
      <c r="M3" s="3682"/>
      <c r="N3" s="3682"/>
      <c r="O3" s="3682"/>
      <c r="P3" s="3682"/>
      <c r="Q3" s="3682"/>
      <c r="R3" s="3682"/>
      <c r="S3" s="3682"/>
      <c r="T3" s="3682"/>
      <c r="U3" s="3682"/>
      <c r="V3" s="3682"/>
      <c r="W3" s="3682"/>
      <c r="X3" s="3682"/>
      <c r="Y3" s="3682"/>
      <c r="Z3" s="3682"/>
    </row>
    <row r="4" customFormat="false" ht="13.5" hidden="false" customHeight="false" outlineLevel="0" collapsed="false">
      <c r="B4" s="3701" t="s">
        <v>3226</v>
      </c>
      <c r="C4" s="3702" t="n">
        <v>0.5</v>
      </c>
      <c r="D4" s="3703" t="n">
        <f aca="true">INDIRECT("e"&amp;$J$1)</f>
        <v>6.12</v>
      </c>
      <c r="E4" s="3704" t="n">
        <v>1</v>
      </c>
      <c r="F4" s="3705" t="n">
        <f aca="true">INDIRECT("q"&amp;$L$1)</f>
        <v>2.52</v>
      </c>
      <c r="G4" s="3682"/>
      <c r="H4" s="3682"/>
      <c r="I4" s="3682"/>
      <c r="J4" s="3682"/>
      <c r="L4" s="3682"/>
      <c r="M4" s="3682"/>
      <c r="N4" s="3682"/>
      <c r="O4" s="3682"/>
      <c r="P4" s="3682"/>
      <c r="Q4" s="3682"/>
      <c r="R4" s="3682"/>
      <c r="S4" s="3682"/>
      <c r="T4" s="3682"/>
      <c r="U4" s="3682"/>
      <c r="V4" s="3682"/>
      <c r="W4" s="3682"/>
      <c r="X4" s="3682"/>
      <c r="Y4" s="3682"/>
      <c r="Z4" s="3682"/>
    </row>
    <row r="5" customFormat="false" ht="13.5" hidden="false" customHeight="false" outlineLevel="0" collapsed="false">
      <c r="B5" s="3701" t="s">
        <v>3227</v>
      </c>
      <c r="C5" s="3702" t="n">
        <v>1</v>
      </c>
      <c r="D5" s="3703" t="n">
        <f aca="true">INDIRECT("f"&amp;$J$1)</f>
        <v>6.3</v>
      </c>
      <c r="E5" s="3704" t="n">
        <v>2</v>
      </c>
      <c r="F5" s="3705" t="n">
        <f aca="true">INDIRECT("r"&amp;$L$1)</f>
        <v>3.06</v>
      </c>
      <c r="G5" s="3682"/>
      <c r="H5" s="3682"/>
      <c r="I5" s="3682"/>
      <c r="J5" s="3682"/>
      <c r="L5" s="3682"/>
      <c r="M5" s="3682"/>
      <c r="N5" s="3682"/>
      <c r="O5" s="3682"/>
      <c r="P5" s="3682"/>
      <c r="Q5" s="3682"/>
      <c r="R5" s="3682"/>
      <c r="S5" s="3682"/>
      <c r="T5" s="3682"/>
      <c r="U5" s="3682"/>
      <c r="V5" s="3682"/>
      <c r="W5" s="3682"/>
      <c r="X5" s="3682"/>
      <c r="Y5" s="3682"/>
      <c r="Z5" s="3682"/>
    </row>
    <row r="6" customFormat="false" ht="13.5" hidden="false" customHeight="false" outlineLevel="0" collapsed="false">
      <c r="B6" s="3701" t="s">
        <v>3228</v>
      </c>
      <c r="C6" s="3702" t="n">
        <v>3</v>
      </c>
      <c r="D6" s="3703" t="n">
        <f aca="true">INDIRECT("g"&amp;$J$1)</f>
        <v>6.48</v>
      </c>
      <c r="E6" s="3704" t="n">
        <v>3</v>
      </c>
      <c r="F6" s="3705" t="n">
        <f aca="true">INDIRECT("s"&amp;$L$1)</f>
        <v>3.69</v>
      </c>
      <c r="G6" s="3682"/>
      <c r="H6" s="3682"/>
      <c r="I6" s="3682"/>
      <c r="J6" s="3682"/>
      <c r="L6" s="3682"/>
      <c r="M6" s="3682"/>
      <c r="N6" s="3682"/>
      <c r="O6" s="3682"/>
      <c r="P6" s="3682"/>
      <c r="Q6" s="3682"/>
      <c r="R6" s="3682"/>
      <c r="S6" s="3682"/>
      <c r="T6" s="3682"/>
      <c r="U6" s="3682"/>
      <c r="V6" s="3682"/>
      <c r="W6" s="3682"/>
      <c r="X6" s="3682"/>
      <c r="Y6" s="3682"/>
      <c r="Z6" s="3682"/>
    </row>
    <row r="7" customFormat="false" ht="13.5" hidden="false" customHeight="false" outlineLevel="0" collapsed="false">
      <c r="B7" s="3706" t="s">
        <v>3229</v>
      </c>
      <c r="C7" s="3707" t="n">
        <v>5</v>
      </c>
      <c r="D7" s="3708" t="n">
        <f aca="true">INDIRECT("h"&amp;$J$1)</f>
        <v>6.84</v>
      </c>
      <c r="E7" s="3709" t="n">
        <v>5</v>
      </c>
      <c r="F7" s="3710" t="n">
        <f aca="true">INDIRECT("t"&amp;$L$1)</f>
        <v>4.14</v>
      </c>
      <c r="G7" s="3682"/>
      <c r="H7" s="3682"/>
      <c r="I7" s="3682"/>
      <c r="J7" s="3682"/>
      <c r="L7" s="3682"/>
      <c r="M7" s="3682"/>
      <c r="N7" s="3682"/>
      <c r="O7" s="3682"/>
      <c r="P7" s="3682"/>
      <c r="Q7" s="3682"/>
      <c r="R7" s="3682"/>
      <c r="S7" s="3682"/>
      <c r="T7" s="3682"/>
      <c r="U7" s="3682"/>
      <c r="V7" s="3682"/>
      <c r="W7" s="3682"/>
      <c r="X7" s="3682"/>
      <c r="Y7" s="3682"/>
      <c r="Z7" s="3682"/>
    </row>
    <row r="8" customFormat="false" ht="13.5" hidden="false" customHeight="false" outlineLevel="0" collapsed="false">
      <c r="A8" s="3711"/>
      <c r="B8" s="3712"/>
      <c r="C8" s="3713"/>
      <c r="D8" s="3682"/>
      <c r="E8" s="3682"/>
      <c r="F8" s="3682"/>
      <c r="G8" s="3682"/>
      <c r="H8" s="3682"/>
      <c r="I8" s="3682"/>
      <c r="J8" s="3682"/>
      <c r="L8" s="3682"/>
      <c r="M8" s="3682"/>
      <c r="N8" s="3682"/>
      <c r="O8" s="3682"/>
      <c r="P8" s="3682"/>
      <c r="Q8" s="3682"/>
      <c r="R8" s="3682"/>
      <c r="S8" s="3682"/>
      <c r="T8" s="3682"/>
      <c r="U8" s="3682"/>
      <c r="V8" s="3682"/>
      <c r="W8" s="3682"/>
      <c r="X8" s="3682"/>
      <c r="Y8" s="3682"/>
      <c r="Z8" s="3682"/>
    </row>
    <row r="9" customFormat="false" ht="20.25" hidden="false" customHeight="false" outlineLevel="0" collapsed="false">
      <c r="A9" s="3714"/>
      <c r="B9" s="3715" t="s">
        <v>3230</v>
      </c>
      <c r="C9" s="3716"/>
      <c r="D9" s="3717"/>
      <c r="E9" s="3717"/>
      <c r="F9" s="3717"/>
      <c r="G9" s="3717"/>
      <c r="H9" s="3717"/>
      <c r="I9" s="3717"/>
      <c r="J9" s="3717"/>
      <c r="K9" s="3717"/>
      <c r="L9" s="3717"/>
      <c r="M9" s="3717"/>
      <c r="N9" s="3717"/>
      <c r="O9" s="3717"/>
      <c r="P9" s="3717"/>
      <c r="Q9" s="3717"/>
      <c r="R9" s="3717"/>
      <c r="S9" s="3717"/>
      <c r="T9" s="3717"/>
      <c r="U9" s="3717"/>
      <c r="V9" s="3717"/>
      <c r="W9" s="3717"/>
      <c r="X9" s="3717"/>
      <c r="Y9" s="3717"/>
      <c r="Z9" s="3717"/>
      <c r="AA9" s="3718"/>
      <c r="AB9" s="3718"/>
      <c r="AC9" s="3718"/>
      <c r="AD9" s="3718"/>
      <c r="AE9" s="3718"/>
      <c r="AF9" s="3718"/>
      <c r="AG9" s="3718"/>
      <c r="AH9" s="3718"/>
      <c r="AI9" s="3718"/>
      <c r="AJ9" s="3718"/>
      <c r="AK9" s="3718"/>
      <c r="AL9" s="3718"/>
      <c r="AM9" s="3718"/>
      <c r="AN9" s="3718"/>
      <c r="AO9" s="3718"/>
      <c r="AP9" s="3718"/>
      <c r="AQ9" s="3718"/>
      <c r="AR9" s="3718"/>
      <c r="AS9" s="3718"/>
      <c r="AT9" s="3718"/>
      <c r="AU9" s="3718"/>
      <c r="AV9" s="3718"/>
      <c r="AW9" s="3718"/>
      <c r="AX9" s="3718"/>
      <c r="AY9" s="3718"/>
      <c r="AZ9" s="3718"/>
      <c r="BA9" s="3718"/>
      <c r="BB9" s="3718"/>
      <c r="BC9" s="3718"/>
      <c r="BD9" s="3718"/>
      <c r="BE9" s="3718"/>
      <c r="BF9" s="3718"/>
      <c r="BG9" s="3718"/>
      <c r="BH9" s="3718"/>
      <c r="BI9" s="3718"/>
      <c r="BJ9" s="3718"/>
      <c r="BK9" s="3718"/>
      <c r="BL9" s="3718"/>
      <c r="BM9" s="3718"/>
      <c r="BN9" s="3718"/>
      <c r="BO9" s="3718"/>
      <c r="BP9" s="3718"/>
      <c r="BQ9" s="3718"/>
      <c r="BR9" s="3718"/>
      <c r="BS9" s="3718"/>
      <c r="BT9" s="3718"/>
      <c r="BU9" s="3718"/>
      <c r="BV9" s="3718"/>
      <c r="BW9" s="3718"/>
      <c r="BX9" s="3718"/>
      <c r="BY9" s="3718"/>
      <c r="BZ9" s="3718"/>
      <c r="CA9" s="3718"/>
      <c r="CB9" s="3718"/>
      <c r="CC9" s="3718"/>
      <c r="CD9" s="3718"/>
      <c r="CE9" s="3718"/>
      <c r="CF9" s="3718"/>
      <c r="CG9" s="3718"/>
      <c r="CH9" s="3718"/>
      <c r="CI9" s="3718"/>
      <c r="CJ9" s="3718"/>
      <c r="CK9" s="3718"/>
      <c r="CL9" s="3718"/>
      <c r="CM9" s="3718"/>
      <c r="CN9" s="3718"/>
      <c r="CO9" s="3718"/>
      <c r="CP9" s="3718"/>
      <c r="CQ9" s="3718"/>
      <c r="CR9" s="3718"/>
      <c r="CS9" s="3718"/>
      <c r="CT9" s="3718"/>
      <c r="CU9" s="3718"/>
      <c r="CV9" s="3718"/>
      <c r="CW9" s="3718"/>
      <c r="CX9" s="3718"/>
      <c r="CY9" s="3718"/>
      <c r="CZ9" s="3718"/>
      <c r="DA9" s="3718"/>
      <c r="DB9" s="3718"/>
      <c r="DC9" s="3718"/>
      <c r="DD9" s="3718"/>
      <c r="DE9" s="3718"/>
      <c r="DF9" s="3718"/>
      <c r="DG9" s="3718"/>
      <c r="DH9" s="3718"/>
      <c r="DI9" s="3718"/>
      <c r="DJ9" s="3718"/>
      <c r="DK9" s="3718"/>
      <c r="DL9" s="3718"/>
      <c r="DM9" s="3718"/>
      <c r="DN9" s="3718"/>
      <c r="DO9" s="3718"/>
      <c r="DP9" s="3718"/>
      <c r="DQ9" s="3718"/>
      <c r="DR9" s="3718"/>
      <c r="DS9" s="3718"/>
      <c r="DT9" s="3718"/>
      <c r="DU9" s="3718"/>
      <c r="DV9" s="3718"/>
      <c r="DW9" s="3718"/>
      <c r="DX9" s="3718"/>
      <c r="DY9" s="3718"/>
      <c r="DZ9" s="3718"/>
      <c r="EA9" s="3718"/>
      <c r="EB9" s="3718"/>
      <c r="EC9" s="3718"/>
      <c r="ED9" s="3718"/>
      <c r="EE9" s="3718"/>
      <c r="EF9" s="3718"/>
      <c r="EG9" s="3718"/>
      <c r="EH9" s="3718"/>
      <c r="EI9" s="3718"/>
      <c r="EJ9" s="3718"/>
      <c r="EK9" s="3718"/>
      <c r="EL9" s="3718"/>
      <c r="EM9" s="3718"/>
      <c r="EN9" s="3718"/>
      <c r="EO9" s="3718"/>
      <c r="EP9" s="3718"/>
      <c r="EQ9" s="3718"/>
      <c r="ER9" s="3718"/>
      <c r="ES9" s="3718"/>
      <c r="ET9" s="3718"/>
      <c r="EU9" s="3718"/>
      <c r="EV9" s="3718"/>
      <c r="EW9" s="3718"/>
      <c r="EX9" s="3718"/>
      <c r="EY9" s="3718"/>
      <c r="EZ9" s="3718"/>
      <c r="FA9" s="3718"/>
      <c r="FB9" s="3718"/>
      <c r="FC9" s="3718"/>
      <c r="FD9" s="3718"/>
      <c r="FE9" s="3718"/>
      <c r="FF9" s="3718"/>
      <c r="FG9" s="3718"/>
      <c r="FH9" s="3718"/>
      <c r="FI9" s="3718"/>
      <c r="FJ9" s="3718"/>
      <c r="FK9" s="3718"/>
      <c r="FL9" s="3718"/>
      <c r="FM9" s="3718"/>
      <c r="FN9" s="3718"/>
      <c r="FO9" s="3718"/>
      <c r="FP9" s="3718"/>
      <c r="FQ9" s="3718"/>
      <c r="FR9" s="3718"/>
      <c r="FS9" s="3718"/>
      <c r="FT9" s="3718"/>
      <c r="FU9" s="3718"/>
      <c r="FV9" s="3718"/>
      <c r="FW9" s="3718"/>
      <c r="FX9" s="3718"/>
      <c r="FY9" s="3718"/>
      <c r="FZ9" s="3718"/>
      <c r="GA9" s="3718"/>
      <c r="GB9" s="3718"/>
      <c r="GC9" s="3718"/>
      <c r="GD9" s="3718"/>
      <c r="GE9" s="3718"/>
      <c r="GF9" s="3718"/>
      <c r="GG9" s="3718"/>
      <c r="GH9" s="3718"/>
      <c r="GI9" s="3718"/>
      <c r="GJ9" s="3718"/>
      <c r="GK9" s="3718"/>
      <c r="GL9" s="3718"/>
      <c r="GM9" s="3718"/>
      <c r="GN9" s="3718"/>
      <c r="GO9" s="3718"/>
      <c r="GP9" s="3718"/>
      <c r="GQ9" s="3718"/>
      <c r="GR9" s="3718"/>
      <c r="GS9" s="3718"/>
      <c r="GT9" s="3718"/>
      <c r="GU9" s="3718"/>
      <c r="GV9" s="3718"/>
      <c r="GW9" s="3718"/>
      <c r="GX9" s="3718"/>
      <c r="GY9" s="3718"/>
      <c r="GZ9" s="3718"/>
      <c r="HA9" s="3718"/>
      <c r="HB9" s="3718"/>
      <c r="HC9" s="3718"/>
      <c r="HD9" s="3718"/>
      <c r="HE9" s="3718"/>
      <c r="HF9" s="3718"/>
      <c r="HG9" s="3718"/>
      <c r="HH9" s="3718"/>
      <c r="HI9" s="3718"/>
      <c r="HJ9" s="3718"/>
      <c r="HK9" s="3718"/>
      <c r="HL9" s="3718"/>
      <c r="HM9" s="3718"/>
      <c r="HN9" s="3718"/>
      <c r="HO9" s="3718"/>
      <c r="HP9" s="3718"/>
      <c r="HQ9" s="3718"/>
      <c r="HR9" s="3718"/>
      <c r="HS9" s="3718"/>
      <c r="HT9" s="3718"/>
      <c r="HU9" s="3718"/>
      <c r="HV9" s="3718"/>
      <c r="HW9" s="3718"/>
      <c r="HX9" s="3718"/>
      <c r="HY9" s="3718"/>
      <c r="HZ9" s="3718"/>
      <c r="IA9" s="3718"/>
      <c r="IB9" s="3718"/>
      <c r="IC9" s="3718"/>
      <c r="ID9" s="3718"/>
      <c r="IE9" s="3718"/>
      <c r="IF9" s="3718"/>
      <c r="IG9" s="3718"/>
      <c r="IH9" s="3718"/>
      <c r="II9" s="3718"/>
      <c r="IJ9" s="3718"/>
      <c r="IK9" s="3718"/>
      <c r="IL9" s="3718"/>
      <c r="IM9" s="3718"/>
      <c r="IN9" s="3718"/>
      <c r="IO9" s="3718"/>
      <c r="IP9" s="3718"/>
      <c r="IQ9" s="3718"/>
      <c r="IR9" s="3718"/>
      <c r="IS9" s="3718"/>
      <c r="IT9" s="3718"/>
      <c r="IU9" s="3718"/>
      <c r="IV9" s="3718"/>
      <c r="IW9" s="3719"/>
    </row>
    <row r="10" customFormat="false" ht="22.5" hidden="false" customHeight="false" outlineLevel="0" collapsed="false">
      <c r="A10" s="3720"/>
      <c r="B10" s="3721" t="s">
        <v>3231</v>
      </c>
      <c r="C10" s="3720"/>
      <c r="D10" s="3720"/>
      <c r="E10" s="3720"/>
      <c r="F10" s="3720"/>
      <c r="G10" s="3720"/>
      <c r="H10" s="3720"/>
      <c r="I10" s="3682"/>
      <c r="J10" s="3682"/>
      <c r="K10" s="3720"/>
      <c r="L10" s="3721" t="s">
        <v>3232</v>
      </c>
      <c r="M10" s="3720"/>
      <c r="N10" s="3720"/>
      <c r="O10" s="3720"/>
      <c r="P10" s="3720"/>
      <c r="Q10" s="3720"/>
      <c r="R10" s="3720"/>
      <c r="S10" s="3720"/>
      <c r="T10" s="3720"/>
      <c r="U10" s="3720"/>
      <c r="V10" s="3720"/>
      <c r="W10" s="3720"/>
      <c r="X10" s="3720"/>
      <c r="Y10" s="3720"/>
      <c r="Z10" s="3720"/>
      <c r="AA10" s="3722"/>
      <c r="AB10" s="3722"/>
      <c r="AC10" s="3722"/>
      <c r="AD10" s="3722"/>
      <c r="AE10" s="3722"/>
      <c r="AF10" s="3722"/>
      <c r="AG10" s="3722"/>
      <c r="AH10" s="3722"/>
      <c r="AI10" s="3722"/>
      <c r="AJ10" s="3722"/>
      <c r="AK10" s="3722"/>
      <c r="AL10" s="3722"/>
      <c r="AM10" s="3722"/>
      <c r="AN10" s="3722"/>
      <c r="AO10" s="3722"/>
      <c r="AP10" s="3722"/>
      <c r="AQ10" s="3722"/>
      <c r="AR10" s="3722"/>
      <c r="AS10" s="3722"/>
      <c r="AT10" s="3722"/>
      <c r="AU10" s="3722"/>
      <c r="AV10" s="3722"/>
      <c r="AW10" s="3722"/>
      <c r="AX10" s="3722"/>
      <c r="AY10" s="3722"/>
      <c r="AZ10" s="3722"/>
      <c r="BA10" s="3722"/>
      <c r="BB10" s="3722"/>
      <c r="BC10" s="3722"/>
      <c r="BD10" s="3722"/>
      <c r="BE10" s="3722"/>
      <c r="BF10" s="3722"/>
      <c r="BG10" s="3722"/>
      <c r="BH10" s="3722"/>
      <c r="BI10" s="3722"/>
      <c r="BJ10" s="3722"/>
      <c r="BK10" s="3722"/>
      <c r="BL10" s="3722"/>
      <c r="BM10" s="3722"/>
      <c r="BN10" s="3722"/>
      <c r="BO10" s="3722"/>
      <c r="BP10" s="3722"/>
      <c r="BQ10" s="3722"/>
      <c r="BR10" s="3722"/>
      <c r="BS10" s="3722"/>
      <c r="BT10" s="3722"/>
      <c r="BU10" s="3722"/>
      <c r="BV10" s="3722"/>
      <c r="BW10" s="3722"/>
      <c r="BX10" s="3722"/>
      <c r="BY10" s="3722"/>
      <c r="BZ10" s="3722"/>
      <c r="CA10" s="3722"/>
      <c r="CB10" s="3722"/>
      <c r="CC10" s="3722"/>
      <c r="CD10" s="3722"/>
      <c r="CE10" s="3722"/>
      <c r="CF10" s="3722"/>
      <c r="CG10" s="3722"/>
      <c r="CH10" s="3722"/>
      <c r="CI10" s="3722"/>
      <c r="CJ10" s="3722"/>
      <c r="CK10" s="3722"/>
      <c r="CL10" s="3722"/>
      <c r="CM10" s="3722"/>
      <c r="CN10" s="3722"/>
      <c r="CO10" s="3722"/>
      <c r="CP10" s="3722"/>
      <c r="CQ10" s="3722"/>
      <c r="CR10" s="3722"/>
      <c r="CS10" s="3722"/>
      <c r="CT10" s="3722"/>
      <c r="CU10" s="3722"/>
      <c r="CV10" s="3722"/>
      <c r="CW10" s="3722"/>
      <c r="CX10" s="3722"/>
      <c r="CY10" s="3722"/>
      <c r="CZ10" s="3722"/>
      <c r="DA10" s="3722"/>
      <c r="DB10" s="3722"/>
      <c r="DC10" s="3722"/>
      <c r="DD10" s="3722"/>
      <c r="DE10" s="3722"/>
      <c r="DF10" s="3722"/>
      <c r="DG10" s="3722"/>
      <c r="DH10" s="3722"/>
      <c r="DI10" s="3722"/>
      <c r="DJ10" s="3722"/>
      <c r="DK10" s="3722"/>
      <c r="DL10" s="3722"/>
      <c r="DM10" s="3722"/>
      <c r="DN10" s="3722"/>
      <c r="DO10" s="3722"/>
      <c r="DP10" s="3722"/>
      <c r="DQ10" s="3722"/>
      <c r="DR10" s="3722"/>
      <c r="DS10" s="3722"/>
      <c r="DT10" s="3722"/>
      <c r="DU10" s="3722"/>
      <c r="DV10" s="3722"/>
      <c r="DW10" s="3722"/>
      <c r="DX10" s="3722"/>
      <c r="DY10" s="3722"/>
      <c r="DZ10" s="3722"/>
      <c r="EA10" s="3722"/>
      <c r="EB10" s="3722"/>
      <c r="EC10" s="3722"/>
      <c r="ED10" s="3722"/>
      <c r="EE10" s="3722"/>
      <c r="EF10" s="3722"/>
      <c r="EG10" s="3722"/>
      <c r="EH10" s="3722"/>
      <c r="EI10" s="3722"/>
      <c r="EJ10" s="3722"/>
      <c r="EK10" s="3722"/>
      <c r="EL10" s="3722"/>
      <c r="EM10" s="3722"/>
      <c r="EN10" s="3722"/>
      <c r="EO10" s="3722"/>
      <c r="EP10" s="3722"/>
      <c r="EQ10" s="3722"/>
      <c r="ER10" s="3722"/>
      <c r="ES10" s="3722"/>
      <c r="ET10" s="3722"/>
      <c r="EU10" s="3722"/>
      <c r="EV10" s="3722"/>
      <c r="EW10" s="3722"/>
      <c r="EX10" s="3722"/>
      <c r="EY10" s="3722"/>
      <c r="EZ10" s="3722"/>
      <c r="FA10" s="3722"/>
      <c r="FB10" s="3722"/>
      <c r="FC10" s="3722"/>
      <c r="FD10" s="3722"/>
      <c r="FE10" s="3722"/>
      <c r="FF10" s="3722"/>
      <c r="FG10" s="3722"/>
      <c r="FH10" s="3722"/>
      <c r="FI10" s="3722"/>
      <c r="FJ10" s="3722"/>
      <c r="FK10" s="3722"/>
      <c r="FL10" s="3722"/>
      <c r="FM10" s="3722"/>
      <c r="FN10" s="3722"/>
      <c r="FO10" s="3722"/>
      <c r="FP10" s="3722"/>
      <c r="FQ10" s="3722"/>
      <c r="FR10" s="3722"/>
      <c r="FS10" s="3722"/>
      <c r="FT10" s="3722"/>
      <c r="FU10" s="3722"/>
      <c r="FV10" s="3722"/>
      <c r="FW10" s="3722"/>
      <c r="FX10" s="3722"/>
      <c r="FY10" s="3722"/>
      <c r="FZ10" s="3722"/>
      <c r="GA10" s="3722"/>
      <c r="GB10" s="3722"/>
      <c r="GC10" s="3722"/>
      <c r="GD10" s="3722"/>
      <c r="GE10" s="3722"/>
      <c r="GF10" s="3722"/>
      <c r="GG10" s="3722"/>
      <c r="GH10" s="3722"/>
      <c r="GI10" s="3722"/>
      <c r="GJ10" s="3722"/>
      <c r="GK10" s="3722"/>
      <c r="GL10" s="3722"/>
      <c r="GM10" s="3722"/>
      <c r="GN10" s="3722"/>
      <c r="GO10" s="3722"/>
      <c r="GP10" s="3722"/>
      <c r="GQ10" s="3722"/>
      <c r="GR10" s="3722"/>
      <c r="GS10" s="3722"/>
      <c r="GT10" s="3722"/>
      <c r="GU10" s="3722"/>
      <c r="GV10" s="3722"/>
      <c r="GW10" s="3722"/>
      <c r="GX10" s="3722"/>
      <c r="GY10" s="3722"/>
      <c r="GZ10" s="3722"/>
      <c r="HA10" s="3722"/>
      <c r="HB10" s="3722"/>
      <c r="HC10" s="3722"/>
      <c r="HD10" s="3722"/>
      <c r="HE10" s="3722"/>
      <c r="HF10" s="3722"/>
      <c r="HG10" s="3722"/>
      <c r="HH10" s="3722"/>
      <c r="HI10" s="3722"/>
      <c r="HJ10" s="3722"/>
      <c r="HK10" s="3722"/>
      <c r="HL10" s="3722"/>
      <c r="HM10" s="3722"/>
      <c r="HN10" s="3722"/>
      <c r="HO10" s="3722"/>
      <c r="HP10" s="3722"/>
      <c r="HQ10" s="3722"/>
      <c r="HR10" s="3722"/>
      <c r="HS10" s="3722"/>
      <c r="HT10" s="3722"/>
      <c r="HU10" s="3722"/>
      <c r="HV10" s="3722"/>
      <c r="HW10" s="3722"/>
      <c r="HX10" s="3722"/>
      <c r="HY10" s="3722"/>
      <c r="HZ10" s="3722"/>
      <c r="IA10" s="3722"/>
      <c r="IB10" s="3722"/>
      <c r="IC10" s="3722"/>
      <c r="ID10" s="3722"/>
      <c r="IE10" s="3722"/>
      <c r="IF10" s="3722"/>
      <c r="IG10" s="3722"/>
      <c r="IH10" s="3722"/>
      <c r="II10" s="3722"/>
      <c r="IJ10" s="3722"/>
      <c r="IK10" s="3722"/>
      <c r="IL10" s="3722"/>
      <c r="IM10" s="3722"/>
      <c r="IN10" s="3722"/>
      <c r="IO10" s="3722"/>
      <c r="IP10" s="3722"/>
      <c r="IQ10" s="3722"/>
      <c r="IR10" s="3722"/>
      <c r="IS10" s="3722"/>
      <c r="IT10" s="3722"/>
      <c r="IU10" s="3722"/>
      <c r="IV10" s="3722"/>
    </row>
    <row r="11" customFormat="false" ht="13.5" hidden="false" customHeight="false" outlineLevel="0" collapsed="false">
      <c r="A11" s="3723"/>
      <c r="B11" s="3724" t="s">
        <v>3233</v>
      </c>
      <c r="C11" s="3725" t="s">
        <v>3234</v>
      </c>
      <c r="D11" s="3726" t="s">
        <v>3235</v>
      </c>
      <c r="E11" s="3727"/>
      <c r="F11" s="3726" t="s">
        <v>3236</v>
      </c>
      <c r="G11" s="3728"/>
      <c r="H11" s="3727"/>
      <c r="I11" s="3726" t="s">
        <v>3237</v>
      </c>
      <c r="J11" s="3727"/>
      <c r="K11" s="3723"/>
      <c r="L11" s="3724" t="s">
        <v>3233</v>
      </c>
      <c r="M11" s="3725" t="s">
        <v>3234</v>
      </c>
      <c r="N11" s="3724" t="s">
        <v>3238</v>
      </c>
      <c r="O11" s="3726" t="s">
        <v>3239</v>
      </c>
      <c r="P11" s="3728"/>
      <c r="Q11" s="3728"/>
      <c r="R11" s="3728"/>
      <c r="S11" s="3728"/>
      <c r="T11" s="3727"/>
      <c r="U11" s="3726" t="s">
        <v>3240</v>
      </c>
      <c r="V11" s="3728"/>
      <c r="W11" s="3727"/>
      <c r="X11" s="3724" t="s">
        <v>3241</v>
      </c>
      <c r="Y11" s="3724" t="s">
        <v>3242</v>
      </c>
      <c r="Z11" s="3724" t="s">
        <v>3243</v>
      </c>
      <c r="AA11" s="3729"/>
      <c r="AB11" s="3729"/>
      <c r="AC11" s="3729"/>
      <c r="AD11" s="3729"/>
      <c r="AE11" s="3729"/>
      <c r="AF11" s="3729"/>
      <c r="AG11" s="3729"/>
      <c r="AH11" s="3729"/>
      <c r="AI11" s="3729"/>
      <c r="AJ11" s="3729"/>
      <c r="AK11" s="3729"/>
      <c r="AL11" s="3729"/>
      <c r="AM11" s="3729"/>
      <c r="AN11" s="3729"/>
      <c r="AO11" s="3729"/>
      <c r="AP11" s="3729"/>
      <c r="AQ11" s="3729"/>
      <c r="AR11" s="3729"/>
      <c r="AS11" s="3729"/>
      <c r="AT11" s="3729"/>
      <c r="AU11" s="3729"/>
      <c r="AV11" s="3729"/>
      <c r="AW11" s="3729"/>
      <c r="AX11" s="3729"/>
      <c r="AY11" s="3729"/>
      <c r="AZ11" s="3729"/>
      <c r="BA11" s="3729"/>
      <c r="BB11" s="3729"/>
      <c r="BC11" s="3729"/>
      <c r="BD11" s="3729"/>
      <c r="BE11" s="3729"/>
      <c r="BF11" s="3729"/>
      <c r="BG11" s="3729"/>
      <c r="BH11" s="3729"/>
      <c r="BI11" s="3729"/>
      <c r="BJ11" s="3729"/>
      <c r="BK11" s="3729"/>
      <c r="BL11" s="3729"/>
      <c r="BM11" s="3729"/>
      <c r="BN11" s="3729"/>
      <c r="BO11" s="3729"/>
      <c r="BP11" s="3729"/>
      <c r="BQ11" s="3729"/>
      <c r="BR11" s="3729"/>
      <c r="BS11" s="3729"/>
      <c r="BT11" s="3729"/>
      <c r="BU11" s="3729"/>
      <c r="BV11" s="3729"/>
      <c r="BW11" s="3729"/>
      <c r="BX11" s="3729"/>
      <c r="BY11" s="3729"/>
      <c r="BZ11" s="3729"/>
      <c r="CA11" s="3729"/>
      <c r="CB11" s="3729"/>
      <c r="CC11" s="3729"/>
      <c r="CD11" s="3729"/>
      <c r="CE11" s="3729"/>
      <c r="CF11" s="3729"/>
      <c r="CG11" s="3729"/>
      <c r="CH11" s="3729"/>
      <c r="CI11" s="3729"/>
      <c r="CJ11" s="3729"/>
      <c r="CK11" s="3729"/>
      <c r="CL11" s="3729"/>
      <c r="CM11" s="3729"/>
      <c r="CN11" s="3729"/>
      <c r="CO11" s="3729"/>
      <c r="CP11" s="3729"/>
      <c r="CQ11" s="3729"/>
      <c r="CR11" s="3729"/>
      <c r="CS11" s="3729"/>
      <c r="CT11" s="3729"/>
      <c r="CU11" s="3729"/>
      <c r="CV11" s="3729"/>
      <c r="CW11" s="3729"/>
      <c r="CX11" s="3729"/>
      <c r="CY11" s="3729"/>
      <c r="CZ11" s="3729"/>
      <c r="DA11" s="3729"/>
      <c r="DB11" s="3729"/>
      <c r="DC11" s="3729"/>
      <c r="DD11" s="3729"/>
      <c r="DE11" s="3729"/>
      <c r="DF11" s="3729"/>
      <c r="DG11" s="3729"/>
      <c r="DH11" s="3729"/>
      <c r="DI11" s="3729"/>
      <c r="DJ11" s="3729"/>
      <c r="DK11" s="3729"/>
      <c r="DL11" s="3729"/>
      <c r="DM11" s="3729"/>
      <c r="DN11" s="3729"/>
      <c r="DO11" s="3729"/>
      <c r="DP11" s="3729"/>
      <c r="DQ11" s="3729"/>
      <c r="DR11" s="3729"/>
      <c r="DS11" s="3729"/>
      <c r="DT11" s="3729"/>
      <c r="DU11" s="3729"/>
      <c r="DV11" s="3729"/>
      <c r="DW11" s="3729"/>
      <c r="DX11" s="3729"/>
      <c r="DY11" s="3729"/>
      <c r="DZ11" s="3729"/>
      <c r="EA11" s="3729"/>
      <c r="EB11" s="3729"/>
      <c r="EC11" s="3729"/>
      <c r="ED11" s="3729"/>
      <c r="EE11" s="3729"/>
      <c r="EF11" s="3729"/>
      <c r="EG11" s="3729"/>
      <c r="EH11" s="3729"/>
      <c r="EI11" s="3729"/>
      <c r="EJ11" s="3729"/>
      <c r="EK11" s="3729"/>
      <c r="EL11" s="3729"/>
      <c r="EM11" s="3729"/>
      <c r="EN11" s="3729"/>
      <c r="EO11" s="3729"/>
      <c r="EP11" s="3729"/>
      <c r="EQ11" s="3729"/>
      <c r="ER11" s="3729"/>
      <c r="ES11" s="3729"/>
      <c r="ET11" s="3729"/>
      <c r="EU11" s="3729"/>
      <c r="EV11" s="3729"/>
      <c r="EW11" s="3729"/>
      <c r="EX11" s="3729"/>
      <c r="EY11" s="3729"/>
      <c r="EZ11" s="3729"/>
      <c r="FA11" s="3729"/>
      <c r="FB11" s="3729"/>
      <c r="FC11" s="3729"/>
      <c r="FD11" s="3729"/>
      <c r="FE11" s="3729"/>
      <c r="FF11" s="3729"/>
      <c r="FG11" s="3729"/>
      <c r="FH11" s="3729"/>
      <c r="FI11" s="3729"/>
      <c r="FJ11" s="3729"/>
      <c r="FK11" s="3729"/>
      <c r="FL11" s="3729"/>
      <c r="FM11" s="3729"/>
      <c r="FN11" s="3729"/>
      <c r="FO11" s="3729"/>
      <c r="FP11" s="3729"/>
      <c r="FQ11" s="3729"/>
      <c r="FR11" s="3729"/>
      <c r="FS11" s="3729"/>
      <c r="FT11" s="3729"/>
      <c r="FU11" s="3729"/>
      <c r="FV11" s="3729"/>
      <c r="FW11" s="3729"/>
      <c r="FX11" s="3729"/>
      <c r="FY11" s="3729"/>
      <c r="FZ11" s="3729"/>
      <c r="GA11" s="3729"/>
      <c r="GB11" s="3729"/>
      <c r="GC11" s="3729"/>
      <c r="GD11" s="3729"/>
      <c r="GE11" s="3729"/>
      <c r="GF11" s="3729"/>
      <c r="GG11" s="3729"/>
      <c r="GH11" s="3729"/>
      <c r="GI11" s="3729"/>
      <c r="GJ11" s="3729"/>
      <c r="GK11" s="3729"/>
      <c r="GL11" s="3729"/>
      <c r="GM11" s="3729"/>
      <c r="GN11" s="3729"/>
      <c r="GO11" s="3729"/>
      <c r="GP11" s="3729"/>
      <c r="GQ11" s="3729"/>
      <c r="GR11" s="3729"/>
      <c r="GS11" s="3729"/>
      <c r="GT11" s="3729"/>
      <c r="GU11" s="3729"/>
      <c r="GV11" s="3729"/>
      <c r="GW11" s="3729"/>
      <c r="GX11" s="3729"/>
      <c r="GY11" s="3729"/>
      <c r="GZ11" s="3729"/>
      <c r="HA11" s="3729"/>
      <c r="HB11" s="3729"/>
      <c r="HC11" s="3729"/>
      <c r="HD11" s="3729"/>
      <c r="HE11" s="3729"/>
      <c r="HF11" s="3729"/>
      <c r="HG11" s="3729"/>
      <c r="HH11" s="3729"/>
      <c r="HI11" s="3729"/>
      <c r="HJ11" s="3729"/>
      <c r="HK11" s="3729"/>
      <c r="HL11" s="3729"/>
      <c r="HM11" s="3729"/>
      <c r="HN11" s="3729"/>
      <c r="HO11" s="3729"/>
      <c r="HP11" s="3729"/>
      <c r="HQ11" s="3729"/>
      <c r="HR11" s="3729"/>
      <c r="HS11" s="3729"/>
      <c r="HT11" s="3729"/>
      <c r="HU11" s="3729"/>
      <c r="HV11" s="3729"/>
      <c r="HW11" s="3729"/>
      <c r="HX11" s="3729"/>
      <c r="HY11" s="3729"/>
      <c r="HZ11" s="3729"/>
      <c r="IA11" s="3729"/>
      <c r="IB11" s="3729"/>
      <c r="IC11" s="3729"/>
      <c r="ID11" s="3729"/>
      <c r="IE11" s="3729"/>
      <c r="IF11" s="3729"/>
      <c r="IG11" s="3729"/>
      <c r="IH11" s="3729"/>
      <c r="II11" s="3729"/>
      <c r="IJ11" s="3729"/>
      <c r="IK11" s="3729"/>
      <c r="IL11" s="3729"/>
      <c r="IM11" s="3729"/>
      <c r="IN11" s="3729"/>
      <c r="IO11" s="3729"/>
      <c r="IP11" s="3729"/>
      <c r="IQ11" s="3729"/>
      <c r="IR11" s="3729"/>
      <c r="IS11" s="3729"/>
      <c r="IT11" s="3729"/>
      <c r="IU11" s="3729"/>
      <c r="IV11" s="3729"/>
    </row>
    <row r="12" customFormat="false" ht="13.5" hidden="false" customHeight="false" outlineLevel="0" collapsed="false">
      <c r="A12" s="3730"/>
      <c r="B12" s="3731"/>
      <c r="C12" s="3732"/>
      <c r="D12" s="3733" t="s">
        <v>3244</v>
      </c>
      <c r="E12" s="3733" t="s">
        <v>3226</v>
      </c>
      <c r="F12" s="3733" t="s">
        <v>3227</v>
      </c>
      <c r="G12" s="3733" t="s">
        <v>3228</v>
      </c>
      <c r="H12" s="3733" t="s">
        <v>3229</v>
      </c>
      <c r="I12" s="3734" t="s">
        <v>3245</v>
      </c>
      <c r="J12" s="3734" t="s">
        <v>3245</v>
      </c>
      <c r="K12" s="3730"/>
      <c r="L12" s="3731"/>
      <c r="M12" s="3732"/>
      <c r="N12" s="3731"/>
      <c r="O12" s="3734" t="s">
        <v>3246</v>
      </c>
      <c r="P12" s="3734" t="n">
        <v>0.5</v>
      </c>
      <c r="Q12" s="3734" t="n">
        <v>1</v>
      </c>
      <c r="R12" s="3734" t="n">
        <v>2</v>
      </c>
      <c r="S12" s="3734" t="n">
        <v>3</v>
      </c>
      <c r="T12" s="3734" t="n">
        <v>5</v>
      </c>
      <c r="U12" s="3734" t="n">
        <v>1</v>
      </c>
      <c r="V12" s="3734" t="n">
        <v>3</v>
      </c>
      <c r="W12" s="3734" t="n">
        <v>5</v>
      </c>
      <c r="X12" s="3731"/>
      <c r="Y12" s="3731"/>
      <c r="Z12" s="3731"/>
      <c r="AA12" s="3735"/>
      <c r="AB12" s="3735"/>
      <c r="AC12" s="3735"/>
      <c r="AD12" s="3735"/>
      <c r="AE12" s="3735"/>
      <c r="AF12" s="3735"/>
      <c r="AG12" s="3735"/>
      <c r="AH12" s="3735"/>
      <c r="AI12" s="3735"/>
      <c r="AJ12" s="3735"/>
      <c r="AK12" s="3735"/>
      <c r="AL12" s="3735"/>
      <c r="AM12" s="3735"/>
      <c r="AN12" s="3735"/>
      <c r="AO12" s="3735"/>
      <c r="AP12" s="3735"/>
      <c r="AQ12" s="3735"/>
      <c r="AR12" s="3735"/>
      <c r="AS12" s="3735"/>
      <c r="AT12" s="3735"/>
      <c r="AU12" s="3735"/>
      <c r="AV12" s="3735"/>
      <c r="AW12" s="3735"/>
      <c r="AX12" s="3735"/>
      <c r="AY12" s="3735"/>
      <c r="AZ12" s="3735"/>
      <c r="BA12" s="3735"/>
      <c r="BB12" s="3735"/>
      <c r="BC12" s="3735"/>
      <c r="BD12" s="3735"/>
      <c r="BE12" s="3735"/>
      <c r="BF12" s="3735"/>
      <c r="BG12" s="3735"/>
      <c r="BH12" s="3735"/>
      <c r="BI12" s="3735"/>
      <c r="BJ12" s="3735"/>
      <c r="BK12" s="3735"/>
      <c r="BL12" s="3735"/>
      <c r="BM12" s="3735"/>
      <c r="BN12" s="3735"/>
      <c r="BO12" s="3735"/>
      <c r="BP12" s="3735"/>
      <c r="BQ12" s="3735"/>
      <c r="BR12" s="3735"/>
      <c r="BS12" s="3735"/>
      <c r="BT12" s="3735"/>
      <c r="BU12" s="3735"/>
      <c r="BV12" s="3735"/>
      <c r="BW12" s="3735"/>
      <c r="BX12" s="3735"/>
      <c r="BY12" s="3735"/>
      <c r="BZ12" s="3735"/>
      <c r="CA12" s="3735"/>
      <c r="CB12" s="3735"/>
      <c r="CC12" s="3735"/>
      <c r="CD12" s="3735"/>
      <c r="CE12" s="3735"/>
      <c r="CF12" s="3735"/>
      <c r="CG12" s="3735"/>
      <c r="CH12" s="3735"/>
      <c r="CI12" s="3735"/>
      <c r="CJ12" s="3735"/>
      <c r="CK12" s="3735"/>
      <c r="CL12" s="3735"/>
      <c r="CM12" s="3735"/>
      <c r="CN12" s="3735"/>
      <c r="CO12" s="3735"/>
      <c r="CP12" s="3735"/>
      <c r="CQ12" s="3735"/>
      <c r="CR12" s="3735"/>
      <c r="CS12" s="3735"/>
      <c r="CT12" s="3735"/>
      <c r="CU12" s="3735"/>
      <c r="CV12" s="3735"/>
      <c r="CW12" s="3735"/>
      <c r="CX12" s="3735"/>
      <c r="CY12" s="3735"/>
      <c r="CZ12" s="3735"/>
      <c r="DA12" s="3735"/>
      <c r="DB12" s="3735"/>
      <c r="DC12" s="3735"/>
      <c r="DD12" s="3735"/>
      <c r="DE12" s="3735"/>
      <c r="DF12" s="3735"/>
      <c r="DG12" s="3735"/>
      <c r="DH12" s="3735"/>
      <c r="DI12" s="3735"/>
      <c r="DJ12" s="3735"/>
      <c r="DK12" s="3735"/>
      <c r="DL12" s="3735"/>
      <c r="DM12" s="3735"/>
      <c r="DN12" s="3735"/>
      <c r="DO12" s="3735"/>
      <c r="DP12" s="3735"/>
      <c r="DQ12" s="3735"/>
      <c r="DR12" s="3735"/>
      <c r="DS12" s="3735"/>
      <c r="DT12" s="3735"/>
      <c r="DU12" s="3735"/>
      <c r="DV12" s="3735"/>
      <c r="DW12" s="3735"/>
      <c r="DX12" s="3735"/>
      <c r="DY12" s="3735"/>
      <c r="DZ12" s="3735"/>
      <c r="EA12" s="3735"/>
      <c r="EB12" s="3735"/>
      <c r="EC12" s="3735"/>
      <c r="ED12" s="3735"/>
      <c r="EE12" s="3735"/>
      <c r="EF12" s="3735"/>
      <c r="EG12" s="3735"/>
      <c r="EH12" s="3735"/>
      <c r="EI12" s="3735"/>
      <c r="EJ12" s="3735"/>
      <c r="EK12" s="3735"/>
      <c r="EL12" s="3735"/>
      <c r="EM12" s="3735"/>
      <c r="EN12" s="3735"/>
      <c r="EO12" s="3735"/>
      <c r="EP12" s="3735"/>
      <c r="EQ12" s="3735"/>
      <c r="ER12" s="3735"/>
      <c r="ES12" s="3735"/>
      <c r="ET12" s="3735"/>
      <c r="EU12" s="3735"/>
      <c r="EV12" s="3735"/>
      <c r="EW12" s="3735"/>
      <c r="EX12" s="3735"/>
      <c r="EY12" s="3735"/>
      <c r="EZ12" s="3735"/>
      <c r="FA12" s="3735"/>
      <c r="FB12" s="3735"/>
      <c r="FC12" s="3735"/>
      <c r="FD12" s="3735"/>
      <c r="FE12" s="3735"/>
      <c r="FF12" s="3735"/>
      <c r="FG12" s="3735"/>
      <c r="FH12" s="3735"/>
      <c r="FI12" s="3735"/>
      <c r="FJ12" s="3735"/>
      <c r="FK12" s="3735"/>
      <c r="FL12" s="3735"/>
      <c r="FM12" s="3735"/>
      <c r="FN12" s="3735"/>
      <c r="FO12" s="3735"/>
      <c r="FP12" s="3735"/>
      <c r="FQ12" s="3735"/>
      <c r="FR12" s="3735"/>
      <c r="FS12" s="3735"/>
      <c r="FT12" s="3735"/>
      <c r="FU12" s="3735"/>
      <c r="FV12" s="3735"/>
      <c r="FW12" s="3735"/>
      <c r="FX12" s="3735"/>
      <c r="FY12" s="3735"/>
      <c r="FZ12" s="3735"/>
      <c r="GA12" s="3735"/>
      <c r="GB12" s="3735"/>
      <c r="GC12" s="3735"/>
      <c r="GD12" s="3735"/>
      <c r="GE12" s="3735"/>
      <c r="GF12" s="3735"/>
      <c r="GG12" s="3735"/>
      <c r="GH12" s="3735"/>
      <c r="GI12" s="3735"/>
      <c r="GJ12" s="3735"/>
      <c r="GK12" s="3735"/>
      <c r="GL12" s="3735"/>
      <c r="GM12" s="3735"/>
      <c r="GN12" s="3735"/>
      <c r="GO12" s="3735"/>
      <c r="GP12" s="3735"/>
      <c r="GQ12" s="3735"/>
      <c r="GR12" s="3735"/>
      <c r="GS12" s="3735"/>
      <c r="GT12" s="3735"/>
      <c r="GU12" s="3735"/>
      <c r="GV12" s="3735"/>
      <c r="GW12" s="3735"/>
      <c r="GX12" s="3735"/>
      <c r="GY12" s="3735"/>
      <c r="GZ12" s="3735"/>
      <c r="HA12" s="3735"/>
      <c r="HB12" s="3735"/>
      <c r="HC12" s="3735"/>
      <c r="HD12" s="3735"/>
      <c r="HE12" s="3735"/>
      <c r="HF12" s="3735"/>
      <c r="HG12" s="3735"/>
      <c r="HH12" s="3735"/>
      <c r="HI12" s="3735"/>
      <c r="HJ12" s="3735"/>
      <c r="HK12" s="3735"/>
      <c r="HL12" s="3735"/>
      <c r="HM12" s="3735"/>
      <c r="HN12" s="3735"/>
      <c r="HO12" s="3735"/>
      <c r="HP12" s="3735"/>
      <c r="HQ12" s="3735"/>
      <c r="HR12" s="3735"/>
      <c r="HS12" s="3735"/>
      <c r="HT12" s="3735"/>
      <c r="HU12" s="3735"/>
      <c r="HV12" s="3735"/>
      <c r="HW12" s="3735"/>
      <c r="HX12" s="3735"/>
      <c r="HY12" s="3735"/>
      <c r="HZ12" s="3735"/>
      <c r="IA12" s="3735"/>
      <c r="IB12" s="3735"/>
      <c r="IC12" s="3735"/>
      <c r="ID12" s="3735"/>
      <c r="IE12" s="3735"/>
      <c r="IF12" s="3735"/>
      <c r="IG12" s="3735"/>
      <c r="IH12" s="3735"/>
      <c r="II12" s="3735"/>
      <c r="IJ12" s="3735"/>
      <c r="IK12" s="3735"/>
      <c r="IL12" s="3735"/>
      <c r="IM12" s="3735"/>
      <c r="IN12" s="3735"/>
      <c r="IO12" s="3735"/>
      <c r="IP12" s="3735"/>
      <c r="IQ12" s="3735"/>
      <c r="IR12" s="3735"/>
      <c r="IS12" s="3735"/>
      <c r="IT12" s="3735"/>
      <c r="IU12" s="3735"/>
      <c r="IV12" s="3735"/>
    </row>
    <row r="13" customFormat="false" ht="14.25" hidden="false" customHeight="false" outlineLevel="0" collapsed="false">
      <c r="A13" s="3736"/>
      <c r="B13" s="3737" t="s">
        <v>3247</v>
      </c>
      <c r="C13" s="3738" t="n">
        <v>45097</v>
      </c>
      <c r="D13" s="3739" t="n">
        <v>3.55</v>
      </c>
      <c r="E13" s="3739" t="n">
        <f aca="false">D13</f>
        <v>3.55</v>
      </c>
      <c r="F13" s="3739" t="n">
        <f aca="false">D13</f>
        <v>3.55</v>
      </c>
      <c r="G13" s="3739" t="n">
        <f aca="false">D13</f>
        <v>3.55</v>
      </c>
      <c r="H13" s="3739" t="n">
        <v>4.2</v>
      </c>
      <c r="I13" s="3739"/>
      <c r="J13" s="3739"/>
      <c r="K13" s="3736"/>
      <c r="L13" s="3737" t="s">
        <v>3247</v>
      </c>
      <c r="M13" s="3740" t="n">
        <v>42301</v>
      </c>
      <c r="N13" s="3739" t="n">
        <v>0.35</v>
      </c>
      <c r="O13" s="3739" t="n">
        <v>1.1</v>
      </c>
      <c r="P13" s="3739" t="n">
        <v>1.3</v>
      </c>
      <c r="Q13" s="3739" t="n">
        <v>1.5</v>
      </c>
      <c r="R13" s="3739" t="n">
        <v>2.1</v>
      </c>
      <c r="S13" s="3739" t="n">
        <v>2.75</v>
      </c>
      <c r="T13" s="3739"/>
      <c r="U13" s="3739"/>
      <c r="V13" s="3739"/>
      <c r="W13" s="3739"/>
      <c r="X13" s="3739"/>
      <c r="Y13" s="3739"/>
      <c r="Z13" s="3739"/>
      <c r="AA13" s="3741"/>
      <c r="AB13" s="3741"/>
      <c r="AC13" s="3741"/>
      <c r="AD13" s="3741"/>
      <c r="AE13" s="3741"/>
      <c r="AF13" s="3741"/>
      <c r="AG13" s="3741"/>
      <c r="AH13" s="3741"/>
      <c r="AI13" s="3741"/>
      <c r="AJ13" s="3741"/>
      <c r="AK13" s="3741"/>
      <c r="AL13" s="3741"/>
      <c r="AM13" s="3741"/>
      <c r="AN13" s="3741"/>
      <c r="AO13" s="3741"/>
      <c r="AP13" s="3741"/>
      <c r="AQ13" s="3741"/>
      <c r="AR13" s="3741"/>
      <c r="AS13" s="3741"/>
      <c r="AT13" s="3741"/>
      <c r="AU13" s="3741"/>
      <c r="AV13" s="3741"/>
      <c r="AW13" s="3741"/>
      <c r="AX13" s="3741"/>
      <c r="AY13" s="3741"/>
      <c r="AZ13" s="3741"/>
      <c r="BA13" s="3741"/>
      <c r="BB13" s="3741"/>
      <c r="BC13" s="3741"/>
      <c r="BD13" s="3741"/>
      <c r="BE13" s="3741"/>
      <c r="BF13" s="3741"/>
      <c r="BG13" s="3741"/>
      <c r="BH13" s="3741"/>
      <c r="BI13" s="3741"/>
      <c r="BJ13" s="3741"/>
      <c r="BK13" s="3741"/>
      <c r="BL13" s="3741"/>
      <c r="BM13" s="3741"/>
      <c r="BN13" s="3741"/>
      <c r="BO13" s="3741"/>
      <c r="BP13" s="3741"/>
      <c r="BQ13" s="3741"/>
      <c r="BR13" s="3741"/>
      <c r="BS13" s="3741"/>
      <c r="BT13" s="3741"/>
      <c r="BU13" s="3741"/>
      <c r="BV13" s="3741"/>
      <c r="BW13" s="3741"/>
      <c r="BX13" s="3741"/>
      <c r="BY13" s="3741"/>
      <c r="BZ13" s="3741"/>
      <c r="CA13" s="3741"/>
      <c r="CB13" s="3741"/>
      <c r="CC13" s="3741"/>
      <c r="CD13" s="3741"/>
      <c r="CE13" s="3741"/>
      <c r="CF13" s="3741"/>
      <c r="CG13" s="3741"/>
      <c r="CH13" s="3741"/>
      <c r="CI13" s="3741"/>
      <c r="CJ13" s="3741"/>
      <c r="CK13" s="3741"/>
      <c r="CL13" s="3741"/>
      <c r="CM13" s="3741"/>
      <c r="CN13" s="3741"/>
      <c r="CO13" s="3741"/>
      <c r="CP13" s="3741"/>
      <c r="CQ13" s="3741"/>
      <c r="CR13" s="3741"/>
      <c r="CS13" s="3741"/>
      <c r="CT13" s="3741"/>
      <c r="CU13" s="3741"/>
      <c r="CV13" s="3741"/>
      <c r="CW13" s="3741"/>
      <c r="CX13" s="3741"/>
      <c r="CY13" s="3741"/>
      <c r="CZ13" s="3741"/>
      <c r="DA13" s="3741"/>
      <c r="DB13" s="3741"/>
      <c r="DC13" s="3741"/>
      <c r="DD13" s="3741"/>
      <c r="DE13" s="3741"/>
      <c r="DF13" s="3741"/>
      <c r="DG13" s="3741"/>
      <c r="DH13" s="3741"/>
      <c r="DI13" s="3741"/>
      <c r="DJ13" s="3741"/>
      <c r="DK13" s="3741"/>
      <c r="DL13" s="3741"/>
      <c r="DM13" s="3741"/>
      <c r="DN13" s="3741"/>
      <c r="DO13" s="3741"/>
      <c r="DP13" s="3741"/>
      <c r="DQ13" s="3741"/>
      <c r="DR13" s="3741"/>
      <c r="DS13" s="3741"/>
      <c r="DT13" s="3741"/>
      <c r="DU13" s="3741"/>
      <c r="DV13" s="3741"/>
      <c r="DW13" s="3741"/>
      <c r="DX13" s="3741"/>
      <c r="DY13" s="3741"/>
      <c r="DZ13" s="3741"/>
      <c r="EA13" s="3741"/>
      <c r="EB13" s="3741"/>
      <c r="EC13" s="3741"/>
      <c r="ED13" s="3741"/>
      <c r="EE13" s="3741"/>
      <c r="EF13" s="3741"/>
      <c r="EG13" s="3741"/>
      <c r="EH13" s="3741"/>
      <c r="EI13" s="3741"/>
      <c r="EJ13" s="3741"/>
      <c r="EK13" s="3741"/>
      <c r="EL13" s="3741"/>
      <c r="EM13" s="3741"/>
      <c r="EN13" s="3741"/>
      <c r="EO13" s="3741"/>
      <c r="EP13" s="3741"/>
      <c r="EQ13" s="3741"/>
      <c r="ER13" s="3741"/>
      <c r="ES13" s="3741"/>
      <c r="ET13" s="3741"/>
      <c r="EU13" s="3741"/>
      <c r="EV13" s="3741"/>
      <c r="EW13" s="3741"/>
      <c r="EX13" s="3741"/>
      <c r="EY13" s="3741"/>
      <c r="EZ13" s="3741"/>
      <c r="FA13" s="3741"/>
      <c r="FB13" s="3741"/>
      <c r="FC13" s="3741"/>
      <c r="FD13" s="3741"/>
      <c r="FE13" s="3741"/>
      <c r="FF13" s="3741"/>
      <c r="FG13" s="3741"/>
      <c r="FH13" s="3741"/>
      <c r="FI13" s="3741"/>
      <c r="FJ13" s="3741"/>
      <c r="FK13" s="3741"/>
      <c r="FL13" s="3741"/>
      <c r="FM13" s="3741"/>
      <c r="FN13" s="3741"/>
      <c r="FO13" s="3741"/>
      <c r="FP13" s="3741"/>
      <c r="FQ13" s="3741"/>
      <c r="FR13" s="3741"/>
      <c r="FS13" s="3741"/>
      <c r="FT13" s="3741"/>
      <c r="FU13" s="3741"/>
      <c r="FV13" s="3741"/>
      <c r="FW13" s="3741"/>
      <c r="FX13" s="3741"/>
      <c r="FY13" s="3741"/>
      <c r="FZ13" s="3741"/>
      <c r="GA13" s="3741"/>
      <c r="GB13" s="3741"/>
      <c r="GC13" s="3741"/>
      <c r="GD13" s="3741"/>
      <c r="GE13" s="3741"/>
      <c r="GF13" s="3741"/>
      <c r="GG13" s="3741"/>
      <c r="GH13" s="3741"/>
      <c r="GI13" s="3741"/>
      <c r="GJ13" s="3741"/>
      <c r="GK13" s="3741"/>
      <c r="GL13" s="3741"/>
      <c r="GM13" s="3741"/>
      <c r="GN13" s="3741"/>
      <c r="GO13" s="3741"/>
      <c r="GP13" s="3741"/>
      <c r="GQ13" s="3741"/>
      <c r="GR13" s="3741"/>
      <c r="GS13" s="3741"/>
      <c r="GT13" s="3741"/>
      <c r="GU13" s="3741"/>
      <c r="GV13" s="3741"/>
      <c r="GW13" s="3741"/>
      <c r="GX13" s="3741"/>
      <c r="GY13" s="3741"/>
      <c r="GZ13" s="3741"/>
      <c r="HA13" s="3741"/>
      <c r="HB13" s="3741"/>
      <c r="HC13" s="3741"/>
      <c r="HD13" s="3741"/>
      <c r="HE13" s="3741"/>
      <c r="HF13" s="3741"/>
      <c r="HG13" s="3741"/>
      <c r="HH13" s="3741"/>
      <c r="HI13" s="3741"/>
      <c r="HJ13" s="3741"/>
      <c r="HK13" s="3741"/>
      <c r="HL13" s="3741"/>
      <c r="HM13" s="3741"/>
      <c r="HN13" s="3741"/>
      <c r="HO13" s="3741"/>
      <c r="HP13" s="3741"/>
      <c r="HQ13" s="3741"/>
      <c r="HR13" s="3741"/>
      <c r="HS13" s="3741"/>
      <c r="HT13" s="3741"/>
      <c r="HU13" s="3741"/>
      <c r="HV13" s="3741"/>
      <c r="HW13" s="3741"/>
      <c r="HX13" s="3741"/>
      <c r="HY13" s="3741"/>
      <c r="HZ13" s="3741"/>
      <c r="IA13" s="3741"/>
      <c r="IB13" s="3741"/>
      <c r="IC13" s="3741"/>
      <c r="ID13" s="3741"/>
      <c r="IE13" s="3741"/>
      <c r="IF13" s="3741"/>
      <c r="IG13" s="3741"/>
      <c r="IH13" s="3741"/>
      <c r="II13" s="3741"/>
      <c r="IJ13" s="3741"/>
      <c r="IK13" s="3741"/>
      <c r="IL13" s="3741"/>
      <c r="IM13" s="3741"/>
      <c r="IN13" s="3741"/>
      <c r="IO13" s="3741"/>
      <c r="IP13" s="3741"/>
      <c r="IQ13" s="3741"/>
      <c r="IR13" s="3741"/>
      <c r="IS13" s="3741"/>
      <c r="IT13" s="3741"/>
      <c r="IU13" s="3741"/>
      <c r="IV13" s="3741"/>
      <c r="IW13" s="3742"/>
    </row>
    <row r="14" customFormat="false" ht="14.25" hidden="false" customHeight="false" outlineLevel="0" collapsed="false">
      <c r="A14" s="3736"/>
      <c r="B14" s="3737"/>
      <c r="C14" s="3743" t="n">
        <v>44795</v>
      </c>
      <c r="D14" s="3744" t="n">
        <v>3.65</v>
      </c>
      <c r="E14" s="3744" t="n">
        <v>3.65</v>
      </c>
      <c r="F14" s="3744" t="n">
        <v>3.65</v>
      </c>
      <c r="G14" s="3744" t="n">
        <v>3.65</v>
      </c>
      <c r="H14" s="3744" t="n">
        <v>4.3</v>
      </c>
      <c r="I14" s="3739"/>
      <c r="J14" s="3739"/>
      <c r="K14" s="3736"/>
      <c r="L14" s="3744"/>
      <c r="M14" s="3743" t="n">
        <v>42242</v>
      </c>
      <c r="N14" s="3744" t="n">
        <v>0.35</v>
      </c>
      <c r="O14" s="3744" t="n">
        <v>1.35</v>
      </c>
      <c r="P14" s="3744" t="n">
        <v>1.55</v>
      </c>
      <c r="Q14" s="3744" t="n">
        <v>1.75</v>
      </c>
      <c r="R14" s="3744" t="n">
        <v>2.35</v>
      </c>
      <c r="S14" s="3744" t="n">
        <v>3</v>
      </c>
      <c r="T14" s="3744"/>
      <c r="U14" s="3744"/>
      <c r="V14" s="3744"/>
      <c r="W14" s="3744"/>
      <c r="X14" s="3744"/>
      <c r="Y14" s="3744"/>
      <c r="Z14" s="3744"/>
    </row>
    <row r="15" customFormat="false" ht="14.25" hidden="false" customHeight="false" outlineLevel="0" collapsed="false">
      <c r="A15" s="3736"/>
      <c r="B15" s="3737"/>
      <c r="C15" s="3743" t="n">
        <v>44701</v>
      </c>
      <c r="D15" s="3744" t="n">
        <v>3.7</v>
      </c>
      <c r="E15" s="3744" t="n">
        <f aca="false">D15</f>
        <v>3.7</v>
      </c>
      <c r="F15" s="3744" t="n">
        <f aca="false">D15</f>
        <v>3.7</v>
      </c>
      <c r="G15" s="3744" t="n">
        <f aca="false">D15</f>
        <v>3.7</v>
      </c>
      <c r="H15" s="3744" t="n">
        <v>4.45</v>
      </c>
      <c r="I15" s="3739"/>
      <c r="J15" s="3739"/>
      <c r="K15" s="3736"/>
      <c r="L15" s="3744"/>
      <c r="M15" s="3743" t="n">
        <v>42183</v>
      </c>
      <c r="N15" s="3744" t="n">
        <v>0.35</v>
      </c>
      <c r="O15" s="3744" t="n">
        <v>1.6</v>
      </c>
      <c r="P15" s="3744" t="n">
        <v>1.8</v>
      </c>
      <c r="Q15" s="3744" t="n">
        <v>2</v>
      </c>
      <c r="R15" s="3744" t="n">
        <v>2.6</v>
      </c>
      <c r="S15" s="3744" t="n">
        <v>3.25</v>
      </c>
      <c r="T15" s="3744"/>
      <c r="U15" s="3744"/>
      <c r="V15" s="3744"/>
      <c r="W15" s="3744"/>
      <c r="X15" s="3744"/>
      <c r="Y15" s="3744"/>
      <c r="Z15" s="3744"/>
    </row>
    <row r="16" customFormat="false" ht="14.25" hidden="false" customHeight="false" outlineLevel="0" collapsed="false">
      <c r="A16" s="3736"/>
      <c r="B16" s="3737"/>
      <c r="C16" s="3743" t="n">
        <v>44581</v>
      </c>
      <c r="D16" s="3744" t="n">
        <v>3.7</v>
      </c>
      <c r="E16" s="3744" t="n">
        <f aca="false">D16</f>
        <v>3.7</v>
      </c>
      <c r="F16" s="3744" t="n">
        <f aca="false">D16</f>
        <v>3.7</v>
      </c>
      <c r="G16" s="3744" t="n">
        <f aca="false">D16</f>
        <v>3.7</v>
      </c>
      <c r="H16" s="3744" t="n">
        <v>4.6</v>
      </c>
      <c r="I16" s="3739"/>
      <c r="J16" s="3739"/>
      <c r="K16" s="3736"/>
      <c r="L16" s="3744"/>
      <c r="M16" s="3743" t="n">
        <v>42135</v>
      </c>
      <c r="N16" s="3744" t="n">
        <v>0.35</v>
      </c>
      <c r="O16" s="3744" t="n">
        <v>1.85</v>
      </c>
      <c r="P16" s="3744" t="n">
        <v>2.05</v>
      </c>
      <c r="Q16" s="3744" t="n">
        <v>2.25</v>
      </c>
      <c r="R16" s="3744" t="n">
        <v>2.85</v>
      </c>
      <c r="S16" s="3744" t="n">
        <v>3.5</v>
      </c>
      <c r="T16" s="3744"/>
      <c r="U16" s="3744"/>
      <c r="V16" s="3744"/>
      <c r="W16" s="3744"/>
      <c r="X16" s="3744"/>
      <c r="Y16" s="3744"/>
      <c r="Z16" s="3744"/>
    </row>
    <row r="17" customFormat="false" ht="14.25" hidden="false" customHeight="false" outlineLevel="0" collapsed="false">
      <c r="A17" s="3736"/>
      <c r="B17" s="3744"/>
      <c r="C17" s="3743" t="n">
        <v>44550</v>
      </c>
      <c r="D17" s="3744" t="n">
        <v>3.8</v>
      </c>
      <c r="E17" s="3744" t="n">
        <f aca="false">D17</f>
        <v>3.8</v>
      </c>
      <c r="F17" s="3744" t="n">
        <f aca="false">D17</f>
        <v>3.8</v>
      </c>
      <c r="G17" s="3744" t="n">
        <f aca="false">D17</f>
        <v>3.8</v>
      </c>
      <c r="H17" s="3744" t="n">
        <v>4.65</v>
      </c>
      <c r="I17" s="3744"/>
      <c r="J17" s="3739"/>
      <c r="L17" s="3744"/>
      <c r="M17" s="3743" t="n">
        <v>42064</v>
      </c>
      <c r="N17" s="3744" t="n">
        <v>0.35</v>
      </c>
      <c r="O17" s="3744" t="n">
        <v>2.1</v>
      </c>
      <c r="P17" s="3744" t="n">
        <v>2.3</v>
      </c>
      <c r="Q17" s="3744" t="n">
        <v>2.5</v>
      </c>
      <c r="R17" s="3744" t="n">
        <v>3.1</v>
      </c>
      <c r="S17" s="3744" t="n">
        <v>3.75</v>
      </c>
      <c r="T17" s="3744" t="n">
        <v>4.5</v>
      </c>
      <c r="U17" s="3744" t="n">
        <v>2.35</v>
      </c>
      <c r="V17" s="3744" t="n">
        <v>2.55</v>
      </c>
      <c r="W17" s="3744" t="n">
        <v>2.75</v>
      </c>
      <c r="X17" s="3744"/>
      <c r="Y17" s="3744" t="n">
        <v>0.8</v>
      </c>
      <c r="Z17" s="3744" t="n">
        <v>1.35</v>
      </c>
    </row>
    <row r="18" customFormat="false" ht="15" hidden="false" customHeight="false" outlineLevel="0" collapsed="false">
      <c r="A18" s="3736"/>
      <c r="B18" s="3744"/>
      <c r="C18" s="3743" t="n">
        <v>43941</v>
      </c>
      <c r="D18" s="3744" t="n">
        <v>3.85</v>
      </c>
      <c r="E18" s="3744" t="n">
        <v>3.85</v>
      </c>
      <c r="F18" s="3744" t="n">
        <v>3.85</v>
      </c>
      <c r="G18" s="3744" t="n">
        <v>3.85</v>
      </c>
      <c r="H18" s="3744" t="n">
        <v>4.65</v>
      </c>
      <c r="I18" s="3744"/>
      <c r="J18" s="3744"/>
      <c r="L18" s="3745"/>
      <c r="M18" s="3746" t="n">
        <v>41965</v>
      </c>
      <c r="N18" s="3745" t="n">
        <v>0.35</v>
      </c>
      <c r="O18" s="3745" t="n">
        <v>2.35</v>
      </c>
      <c r="P18" s="3745" t="n">
        <v>2.55</v>
      </c>
      <c r="Q18" s="3745" t="n">
        <v>2.75</v>
      </c>
      <c r="R18" s="3745" t="n">
        <v>3.35</v>
      </c>
      <c r="S18" s="3745" t="n">
        <v>4</v>
      </c>
      <c r="T18" s="3745" t="n">
        <v>4.75</v>
      </c>
      <c r="U18" s="3747" t="n">
        <v>2.35</v>
      </c>
      <c r="V18" s="3747" t="n">
        <v>2.55</v>
      </c>
      <c r="W18" s="3747" t="n">
        <v>2.75</v>
      </c>
      <c r="X18" s="3745"/>
      <c r="Y18" s="3747" t="n">
        <v>0.8</v>
      </c>
      <c r="Z18" s="3747" t="n">
        <v>1.35</v>
      </c>
    </row>
    <row r="19" s="3748" customFormat="true" ht="14.25" hidden="false" customHeight="false" outlineLevel="0" collapsed="false">
      <c r="A19" s="3736"/>
      <c r="B19" s="3744"/>
      <c r="C19" s="3743" t="n">
        <v>43881</v>
      </c>
      <c r="D19" s="3744" t="n">
        <v>4.05</v>
      </c>
      <c r="E19" s="3744" t="n">
        <v>4.05</v>
      </c>
      <c r="F19" s="3744" t="n">
        <v>4.05</v>
      </c>
      <c r="G19" s="3744" t="n">
        <v>4.05</v>
      </c>
      <c r="H19" s="3744" t="n">
        <v>4.75</v>
      </c>
      <c r="I19" s="3744"/>
      <c r="J19" s="3744"/>
      <c r="K19" s="3682"/>
      <c r="L19" s="3744"/>
      <c r="M19" s="3743" t="n">
        <v>41096</v>
      </c>
      <c r="N19" s="3744" t="n">
        <v>0.35</v>
      </c>
      <c r="O19" s="3744" t="n">
        <v>2.6</v>
      </c>
      <c r="P19" s="3744" t="n">
        <v>2.8</v>
      </c>
      <c r="Q19" s="3744" t="n">
        <v>3</v>
      </c>
      <c r="R19" s="3744" t="n">
        <v>3.75</v>
      </c>
      <c r="S19" s="3744" t="n">
        <v>4.25</v>
      </c>
      <c r="T19" s="3744" t="n">
        <v>4.75</v>
      </c>
      <c r="U19" s="3744" t="n">
        <v>2.85</v>
      </c>
      <c r="V19" s="3744" t="n">
        <v>2.9</v>
      </c>
      <c r="W19" s="3744" t="n">
        <v>3</v>
      </c>
      <c r="X19" s="3744" t="n">
        <v>1.15</v>
      </c>
      <c r="Y19" s="3744" t="n">
        <v>0.8</v>
      </c>
      <c r="Z19" s="3744" t="n">
        <v>1.35</v>
      </c>
      <c r="AA19" s="3735"/>
      <c r="AB19" s="3735"/>
      <c r="AC19" s="3735"/>
      <c r="AD19" s="3735"/>
      <c r="AE19" s="3735"/>
      <c r="AF19" s="3735"/>
      <c r="AG19" s="3735"/>
      <c r="AH19" s="3735"/>
      <c r="AI19" s="3735"/>
      <c r="AJ19" s="3735"/>
      <c r="AK19" s="3735"/>
      <c r="AL19" s="3735"/>
      <c r="AM19" s="3735"/>
      <c r="AN19" s="3735"/>
      <c r="AO19" s="3735"/>
      <c r="AP19" s="3735"/>
      <c r="AQ19" s="3735"/>
      <c r="AR19" s="3735"/>
      <c r="AS19" s="3735"/>
      <c r="AT19" s="3735"/>
      <c r="AU19" s="3735"/>
      <c r="AV19" s="3735"/>
      <c r="AW19" s="3735"/>
      <c r="AX19" s="3735"/>
      <c r="AY19" s="3735"/>
      <c r="AZ19" s="3735"/>
      <c r="BA19" s="3735"/>
      <c r="BB19" s="3735"/>
      <c r="BC19" s="3735"/>
      <c r="BD19" s="3735"/>
      <c r="BE19" s="3735"/>
      <c r="BF19" s="3735"/>
      <c r="BG19" s="3735"/>
      <c r="BH19" s="3735"/>
      <c r="BI19" s="3735"/>
      <c r="BJ19" s="3735"/>
      <c r="BK19" s="3735"/>
      <c r="BL19" s="3735"/>
      <c r="BM19" s="3735"/>
      <c r="BN19" s="3735"/>
      <c r="BO19" s="3735"/>
      <c r="BP19" s="3735"/>
      <c r="BQ19" s="3735"/>
      <c r="BR19" s="3735"/>
      <c r="BS19" s="3735"/>
      <c r="BT19" s="3735"/>
      <c r="BU19" s="3735"/>
      <c r="BV19" s="3735"/>
      <c r="BW19" s="3735"/>
      <c r="BX19" s="3735"/>
      <c r="BY19" s="3735"/>
      <c r="BZ19" s="3735"/>
      <c r="CA19" s="3735"/>
      <c r="CB19" s="3735"/>
      <c r="CC19" s="3735"/>
      <c r="CD19" s="3735"/>
      <c r="CE19" s="3735"/>
      <c r="CF19" s="3735"/>
      <c r="CG19" s="3735"/>
      <c r="CH19" s="3735"/>
      <c r="CI19" s="3735"/>
      <c r="CJ19" s="3735"/>
      <c r="CK19" s="3735"/>
      <c r="CL19" s="3735"/>
      <c r="CM19" s="3735"/>
      <c r="CN19" s="3735"/>
      <c r="CO19" s="3735"/>
      <c r="CP19" s="3735"/>
      <c r="CQ19" s="3735"/>
      <c r="CR19" s="3735"/>
      <c r="CS19" s="3735"/>
      <c r="CT19" s="3735"/>
      <c r="CU19" s="3735"/>
      <c r="CV19" s="3735"/>
      <c r="CW19" s="3735"/>
      <c r="CX19" s="3735"/>
      <c r="CY19" s="3735"/>
      <c r="CZ19" s="3735"/>
      <c r="DA19" s="3735"/>
      <c r="DB19" s="3735"/>
      <c r="DC19" s="3735"/>
      <c r="DD19" s="3735"/>
      <c r="DE19" s="3735"/>
      <c r="DF19" s="3735"/>
      <c r="DG19" s="3735"/>
      <c r="DH19" s="3735"/>
      <c r="DI19" s="3735"/>
      <c r="DJ19" s="3735"/>
      <c r="DK19" s="3735"/>
      <c r="DL19" s="3735"/>
      <c r="DM19" s="3735"/>
      <c r="DN19" s="3735"/>
      <c r="DO19" s="3735"/>
      <c r="DP19" s="3735"/>
      <c r="DQ19" s="3735"/>
      <c r="DR19" s="3735"/>
      <c r="DS19" s="3735"/>
      <c r="DT19" s="3735"/>
      <c r="DU19" s="3735"/>
      <c r="DV19" s="3735"/>
      <c r="DW19" s="3735"/>
      <c r="DX19" s="3735"/>
      <c r="DY19" s="3735"/>
      <c r="DZ19" s="3735"/>
      <c r="EA19" s="3735"/>
      <c r="EB19" s="3735"/>
      <c r="EC19" s="3735"/>
      <c r="ED19" s="3735"/>
      <c r="EE19" s="3735"/>
      <c r="EF19" s="3735"/>
      <c r="EG19" s="3735"/>
      <c r="EH19" s="3735"/>
      <c r="EI19" s="3735"/>
      <c r="EJ19" s="3735"/>
      <c r="EK19" s="3735"/>
      <c r="EL19" s="3735"/>
      <c r="EM19" s="3735"/>
      <c r="EN19" s="3735"/>
      <c r="EO19" s="3735"/>
      <c r="EP19" s="3735"/>
      <c r="EQ19" s="3735"/>
      <c r="ER19" s="3735"/>
      <c r="ES19" s="3735"/>
      <c r="ET19" s="3735"/>
      <c r="EU19" s="3735"/>
      <c r="EV19" s="3735"/>
      <c r="EW19" s="3735"/>
      <c r="EX19" s="3735"/>
      <c r="EY19" s="3735"/>
      <c r="EZ19" s="3735"/>
      <c r="FA19" s="3735"/>
      <c r="FB19" s="3735"/>
      <c r="FC19" s="3735"/>
      <c r="FD19" s="3735"/>
      <c r="FE19" s="3735"/>
      <c r="FF19" s="3735"/>
      <c r="FG19" s="3735"/>
      <c r="FH19" s="3735"/>
      <c r="FI19" s="3735"/>
      <c r="FJ19" s="3735"/>
      <c r="FK19" s="3735"/>
      <c r="FL19" s="3735"/>
      <c r="FM19" s="3735"/>
      <c r="FN19" s="3735"/>
      <c r="FO19" s="3735"/>
      <c r="FP19" s="3735"/>
      <c r="FQ19" s="3735"/>
      <c r="FR19" s="3735"/>
      <c r="FS19" s="3735"/>
      <c r="FT19" s="3735"/>
      <c r="FU19" s="3735"/>
      <c r="FV19" s="3735"/>
      <c r="FW19" s="3735"/>
      <c r="FX19" s="3735"/>
      <c r="FY19" s="3735"/>
      <c r="FZ19" s="3735"/>
      <c r="GA19" s="3735"/>
      <c r="GB19" s="3735"/>
      <c r="GC19" s="3735"/>
      <c r="GD19" s="3735"/>
      <c r="GE19" s="3735"/>
      <c r="GF19" s="3735"/>
      <c r="GG19" s="3735"/>
      <c r="GH19" s="3735"/>
      <c r="GI19" s="3735"/>
      <c r="GJ19" s="3735"/>
      <c r="GK19" s="3735"/>
      <c r="GL19" s="3735"/>
      <c r="GM19" s="3735"/>
      <c r="GN19" s="3735"/>
      <c r="GO19" s="3735"/>
      <c r="GP19" s="3735"/>
      <c r="GQ19" s="3735"/>
      <c r="GR19" s="3735"/>
      <c r="GS19" s="3735"/>
      <c r="GT19" s="3735"/>
      <c r="GU19" s="3735"/>
      <c r="GV19" s="3735"/>
      <c r="GW19" s="3735"/>
      <c r="GX19" s="3735"/>
      <c r="GY19" s="3735"/>
      <c r="GZ19" s="3735"/>
      <c r="HA19" s="3735"/>
      <c r="HB19" s="3735"/>
      <c r="HC19" s="3735"/>
      <c r="HD19" s="3735"/>
      <c r="HE19" s="3735"/>
      <c r="HF19" s="3735"/>
      <c r="HG19" s="3735"/>
      <c r="HH19" s="3735"/>
      <c r="HI19" s="3735"/>
      <c r="HJ19" s="3735"/>
      <c r="HK19" s="3735"/>
      <c r="HL19" s="3735"/>
      <c r="HM19" s="3735"/>
      <c r="HN19" s="3735"/>
      <c r="HO19" s="3735"/>
      <c r="HP19" s="3735"/>
      <c r="HQ19" s="3735"/>
      <c r="HR19" s="3735"/>
      <c r="HS19" s="3735"/>
      <c r="HT19" s="3735"/>
      <c r="HU19" s="3735"/>
      <c r="HV19" s="3735"/>
      <c r="HW19" s="3735"/>
      <c r="HX19" s="3735"/>
      <c r="HY19" s="3735"/>
      <c r="HZ19" s="3735"/>
      <c r="IA19" s="3735"/>
      <c r="IB19" s="3735"/>
      <c r="IC19" s="3735"/>
      <c r="ID19" s="3735"/>
      <c r="IE19" s="3735"/>
      <c r="IF19" s="3735"/>
      <c r="IG19" s="3735"/>
      <c r="IH19" s="3735"/>
      <c r="II19" s="3735"/>
      <c r="IJ19" s="3735"/>
      <c r="IK19" s="3735"/>
      <c r="IL19" s="3735"/>
      <c r="IM19" s="3735"/>
      <c r="IN19" s="3735"/>
      <c r="IO19" s="3735"/>
      <c r="IP19" s="3735"/>
      <c r="IQ19" s="3735"/>
      <c r="IR19" s="3735"/>
      <c r="IS19" s="3735"/>
      <c r="IT19" s="3735"/>
      <c r="IU19" s="3735"/>
      <c r="IV19" s="3735"/>
    </row>
    <row r="20" customFormat="false" ht="14.25" hidden="false" customHeight="false" outlineLevel="0" collapsed="false">
      <c r="A20" s="3736"/>
      <c r="B20" s="3744"/>
      <c r="C20" s="3743" t="n">
        <v>43789</v>
      </c>
      <c r="D20" s="3744" t="n">
        <v>4.15</v>
      </c>
      <c r="E20" s="3744" t="n">
        <v>4.15</v>
      </c>
      <c r="F20" s="3744" t="n">
        <v>4.15</v>
      </c>
      <c r="G20" s="3744" t="n">
        <v>4.15</v>
      </c>
      <c r="H20" s="3744" t="n">
        <v>4.8</v>
      </c>
      <c r="I20" s="3744"/>
      <c r="J20" s="3744"/>
      <c r="L20" s="3744"/>
      <c r="M20" s="3743" t="n">
        <v>41068</v>
      </c>
      <c r="N20" s="3744" t="n">
        <v>0.4</v>
      </c>
      <c r="O20" s="3744" t="n">
        <v>2.85</v>
      </c>
      <c r="P20" s="3744" t="n">
        <v>3.05</v>
      </c>
      <c r="Q20" s="3744" t="n">
        <v>3.25</v>
      </c>
      <c r="R20" s="3744" t="n">
        <v>4.1</v>
      </c>
      <c r="S20" s="3744" t="n">
        <v>4.65</v>
      </c>
      <c r="T20" s="3744" t="n">
        <v>5.1</v>
      </c>
      <c r="U20" s="3744" t="n">
        <v>3.1</v>
      </c>
      <c r="V20" s="3744" t="n">
        <v>3.15</v>
      </c>
      <c r="W20" s="3744" t="n">
        <v>3.25</v>
      </c>
      <c r="X20" s="3744" t="n">
        <v>1.31</v>
      </c>
      <c r="Y20" s="3744" t="n">
        <v>0.94</v>
      </c>
      <c r="Z20" s="3744" t="n">
        <v>1.49</v>
      </c>
    </row>
    <row r="21" customFormat="false" ht="14.25" hidden="false" customHeight="false" outlineLevel="0" collapsed="false">
      <c r="A21" s="3736"/>
      <c r="B21" s="3744"/>
      <c r="C21" s="3743" t="n">
        <v>43728</v>
      </c>
      <c r="D21" s="3744" t="n">
        <v>4.2</v>
      </c>
      <c r="E21" s="3744" t="n">
        <v>4.2</v>
      </c>
      <c r="F21" s="3744" t="n">
        <v>4.2</v>
      </c>
      <c r="G21" s="3744" t="n">
        <v>4.2</v>
      </c>
      <c r="H21" s="3744" t="n">
        <v>4.85</v>
      </c>
      <c r="I21" s="3744"/>
      <c r="J21" s="3744"/>
      <c r="L21" s="3744"/>
      <c r="M21" s="3743" t="n">
        <v>40731</v>
      </c>
      <c r="N21" s="3744" t="n">
        <v>0.5</v>
      </c>
      <c r="O21" s="3744" t="n">
        <v>3.1</v>
      </c>
      <c r="P21" s="3744" t="n">
        <v>3.3</v>
      </c>
      <c r="Q21" s="3744" t="n">
        <v>3.5</v>
      </c>
      <c r="R21" s="3744" t="n">
        <v>4.4</v>
      </c>
      <c r="S21" s="3744" t="n">
        <v>5</v>
      </c>
      <c r="T21" s="3744" t="n">
        <v>5.5</v>
      </c>
      <c r="U21" s="3744" t="n">
        <v>3.1</v>
      </c>
      <c r="V21" s="3744" t="n">
        <v>3.3</v>
      </c>
      <c r="W21" s="3744" t="n">
        <v>3.5</v>
      </c>
      <c r="X21" s="3744" t="n">
        <v>1.31</v>
      </c>
      <c r="Y21" s="3744" t="n">
        <v>0.95</v>
      </c>
      <c r="Z21" s="3744" t="n">
        <v>1.49</v>
      </c>
    </row>
    <row r="22" customFormat="false" ht="14.25" hidden="false" customHeight="false" outlineLevel="0" collapsed="false">
      <c r="A22" s="3736"/>
      <c r="B22" s="3737" t="s">
        <v>3248</v>
      </c>
      <c r="C22" s="3749" t="n">
        <v>43697</v>
      </c>
      <c r="D22" s="3750" t="n">
        <v>4.25</v>
      </c>
      <c r="E22" s="3750" t="n">
        <v>4.25</v>
      </c>
      <c r="F22" s="3750" t="n">
        <v>4.25</v>
      </c>
      <c r="G22" s="3750" t="n">
        <v>4.25</v>
      </c>
      <c r="H22" s="3750" t="n">
        <v>4.85</v>
      </c>
      <c r="I22" s="3750"/>
      <c r="J22" s="3750"/>
      <c r="K22" s="3730"/>
      <c r="L22" s="3744"/>
      <c r="M22" s="3743" t="n">
        <v>40639</v>
      </c>
      <c r="N22" s="3744" t="n">
        <v>0.5</v>
      </c>
      <c r="O22" s="3744" t="n">
        <v>2.85</v>
      </c>
      <c r="P22" s="3744" t="n">
        <v>3.05</v>
      </c>
      <c r="Q22" s="3744" t="n">
        <v>3.25</v>
      </c>
      <c r="R22" s="3744" t="n">
        <v>4.15</v>
      </c>
      <c r="S22" s="3744" t="n">
        <v>4.75</v>
      </c>
      <c r="T22" s="3744" t="n">
        <v>5.25</v>
      </c>
      <c r="U22" s="3744" t="n">
        <v>2.85</v>
      </c>
      <c r="V22" s="3744" t="n">
        <v>3.05</v>
      </c>
      <c r="W22" s="3744" t="n">
        <v>3.25</v>
      </c>
      <c r="X22" s="3744" t="n">
        <v>1.31</v>
      </c>
      <c r="Y22" s="3744" t="n">
        <v>0.95</v>
      </c>
      <c r="Z22" s="3744" t="n">
        <v>1.49</v>
      </c>
    </row>
    <row r="23" customFormat="false" ht="14.25" hidden="false" customHeight="false" outlineLevel="0" collapsed="false">
      <c r="A23" s="3751"/>
      <c r="B23" s="3752"/>
      <c r="C23" s="3746" t="n">
        <v>42301</v>
      </c>
      <c r="D23" s="3745" t="n">
        <v>4.35</v>
      </c>
      <c r="E23" s="3745" t="n">
        <v>4.35</v>
      </c>
      <c r="F23" s="3745" t="n">
        <v>4.75</v>
      </c>
      <c r="G23" s="3745" t="n">
        <v>4.75</v>
      </c>
      <c r="H23" s="3745" t="n">
        <v>4.9</v>
      </c>
      <c r="I23" s="3745"/>
      <c r="J23" s="3745"/>
      <c r="L23" s="3744"/>
      <c r="M23" s="3743" t="n">
        <v>40583</v>
      </c>
      <c r="N23" s="3744" t="n">
        <v>0.4</v>
      </c>
      <c r="O23" s="3744" t="n">
        <v>2.6</v>
      </c>
      <c r="P23" s="3744" t="n">
        <v>2.8</v>
      </c>
      <c r="Q23" s="3744" t="n">
        <v>3</v>
      </c>
      <c r="R23" s="3744" t="n">
        <v>3.9</v>
      </c>
      <c r="S23" s="3744" t="n">
        <v>4.5</v>
      </c>
      <c r="T23" s="3744" t="n">
        <v>5</v>
      </c>
      <c r="U23" s="3744" t="n">
        <v>2.6</v>
      </c>
      <c r="V23" s="3744" t="n">
        <v>2.8</v>
      </c>
      <c r="W23" s="3744" t="n">
        <v>3</v>
      </c>
      <c r="X23" s="3744" t="n">
        <v>1.21</v>
      </c>
      <c r="Y23" s="3744" t="n">
        <v>0.85</v>
      </c>
      <c r="Z23" s="3744" t="n">
        <v>1.39</v>
      </c>
    </row>
    <row r="24" customFormat="false" ht="13.5" hidden="false" customHeight="false" outlineLevel="0" collapsed="false">
      <c r="B24" s="3744"/>
      <c r="C24" s="3743" t="n">
        <v>42242</v>
      </c>
      <c r="D24" s="3744" t="n">
        <v>4.6</v>
      </c>
      <c r="E24" s="3744" t="n">
        <v>4.6</v>
      </c>
      <c r="F24" s="3744" t="n">
        <v>5</v>
      </c>
      <c r="G24" s="3744" t="n">
        <v>5</v>
      </c>
      <c r="H24" s="3744" t="n">
        <v>5.15</v>
      </c>
      <c r="I24" s="3744" t="n">
        <v>2.75</v>
      </c>
      <c r="J24" s="3744" t="n">
        <v>3.25</v>
      </c>
      <c r="L24" s="3744"/>
      <c r="M24" s="3743" t="n">
        <v>40538</v>
      </c>
      <c r="N24" s="3744" t="n">
        <v>0.36</v>
      </c>
      <c r="O24" s="3744" t="n">
        <v>2.25</v>
      </c>
      <c r="P24" s="3744" t="n">
        <v>2.5</v>
      </c>
      <c r="Q24" s="3744" t="n">
        <v>2.75</v>
      </c>
      <c r="R24" s="3744" t="n">
        <v>3.55</v>
      </c>
      <c r="S24" s="3744" t="n">
        <v>4.15</v>
      </c>
      <c r="T24" s="3744" t="n">
        <v>4.55</v>
      </c>
      <c r="U24" s="3744" t="n">
        <v>2.16</v>
      </c>
      <c r="V24" s="3744" t="n">
        <v>2.5</v>
      </c>
      <c r="W24" s="3744" t="n">
        <v>2.85</v>
      </c>
      <c r="X24" s="3744" t="n">
        <v>1.17</v>
      </c>
      <c r="Y24" s="3744" t="n">
        <v>0.81</v>
      </c>
      <c r="Z24" s="3744" t="n">
        <v>1.35</v>
      </c>
    </row>
    <row r="25" customFormat="false" ht="13.5" hidden="false" customHeight="false" outlineLevel="0" collapsed="false">
      <c r="B25" s="3744"/>
      <c r="C25" s="3743" t="n">
        <v>42183</v>
      </c>
      <c r="D25" s="3744" t="n">
        <v>4.85</v>
      </c>
      <c r="E25" s="3744" t="n">
        <v>4.85</v>
      </c>
      <c r="F25" s="3744" t="n">
        <v>5.25</v>
      </c>
      <c r="G25" s="3744" t="n">
        <v>5.25</v>
      </c>
      <c r="H25" s="3744" t="n">
        <v>5.4</v>
      </c>
      <c r="I25" s="3744" t="n">
        <v>3</v>
      </c>
      <c r="J25" s="3744" t="n">
        <v>3.5</v>
      </c>
      <c r="L25" s="3744"/>
      <c r="M25" s="3743" t="n">
        <v>40471</v>
      </c>
      <c r="N25" s="3744" t="n">
        <v>0.36</v>
      </c>
      <c r="O25" s="3744" t="n">
        <v>1.91</v>
      </c>
      <c r="P25" s="3744" t="n">
        <v>2.2</v>
      </c>
      <c r="Q25" s="3744" t="n">
        <v>2.5</v>
      </c>
      <c r="R25" s="3744" t="n">
        <v>3.25</v>
      </c>
      <c r="S25" s="3744" t="n">
        <v>3.85</v>
      </c>
      <c r="T25" s="3744" t="n">
        <v>4.2</v>
      </c>
      <c r="U25" s="3744" t="n">
        <v>1.91</v>
      </c>
      <c r="V25" s="3744" t="n">
        <v>2.2</v>
      </c>
      <c r="W25" s="3744" t="n">
        <v>2.5</v>
      </c>
      <c r="X25" s="3744" t="n">
        <v>1.17</v>
      </c>
      <c r="Y25" s="3744" t="n">
        <v>0.81</v>
      </c>
      <c r="Z25" s="3744" t="n">
        <v>1.35</v>
      </c>
    </row>
    <row r="26" customFormat="false" ht="13.5" hidden="false" customHeight="false" outlineLevel="0" collapsed="false">
      <c r="B26" s="3744"/>
      <c r="C26" s="3743" t="n">
        <v>42135</v>
      </c>
      <c r="D26" s="3744" t="n">
        <v>5.1</v>
      </c>
      <c r="E26" s="3744" t="n">
        <v>5.1</v>
      </c>
      <c r="F26" s="3744" t="n">
        <v>5.5</v>
      </c>
      <c r="G26" s="3744" t="n">
        <v>5.5</v>
      </c>
      <c r="H26" s="3744" t="n">
        <v>5.65</v>
      </c>
      <c r="I26" s="3744" t="n">
        <v>3.25</v>
      </c>
      <c r="J26" s="3744" t="n">
        <v>3.75</v>
      </c>
      <c r="L26" s="3744"/>
      <c r="M26" s="3743" t="n">
        <v>39805</v>
      </c>
      <c r="N26" s="3744" t="n">
        <v>0.36</v>
      </c>
      <c r="O26" s="3744" t="n">
        <v>1.71</v>
      </c>
      <c r="P26" s="3744" t="n">
        <v>1.98</v>
      </c>
      <c r="Q26" s="3744" t="n">
        <v>2.25</v>
      </c>
      <c r="R26" s="3744" t="n">
        <v>2.79</v>
      </c>
      <c r="S26" s="3744" t="n">
        <v>3.33</v>
      </c>
      <c r="T26" s="3744" t="n">
        <v>3.6</v>
      </c>
      <c r="U26" s="3744" t="n">
        <v>1.71</v>
      </c>
      <c r="V26" s="3744" t="n">
        <v>1.98</v>
      </c>
      <c r="W26" s="3744" t="n">
        <v>2.25</v>
      </c>
      <c r="X26" s="3744" t="n">
        <v>1.17</v>
      </c>
      <c r="Y26" s="3744" t="n">
        <v>0.81</v>
      </c>
      <c r="Z26" s="3744" t="n">
        <v>1.35</v>
      </c>
    </row>
    <row r="27" customFormat="false" ht="13.5" hidden="false" customHeight="false" outlineLevel="0" collapsed="false">
      <c r="B27" s="3744"/>
      <c r="C27" s="3743" t="n">
        <v>42064</v>
      </c>
      <c r="D27" s="3744" t="n">
        <v>5.35</v>
      </c>
      <c r="E27" s="3744" t="n">
        <v>5.35</v>
      </c>
      <c r="F27" s="3744" t="n">
        <v>5.75</v>
      </c>
      <c r="G27" s="3744" t="n">
        <v>5.75</v>
      </c>
      <c r="H27" s="3744" t="n">
        <v>5.9</v>
      </c>
      <c r="I27" s="3744"/>
      <c r="J27" s="3744"/>
      <c r="L27" s="3744"/>
      <c r="M27" s="3743" t="n">
        <v>39779</v>
      </c>
      <c r="N27" s="3744" t="n">
        <v>0.36</v>
      </c>
      <c r="O27" s="3744" t="n">
        <v>1.98</v>
      </c>
      <c r="P27" s="3744" t="n">
        <v>2.25</v>
      </c>
      <c r="Q27" s="3744" t="n">
        <v>2.52</v>
      </c>
      <c r="R27" s="3744" t="n">
        <v>3.06</v>
      </c>
      <c r="S27" s="3744" t="n">
        <v>3.6</v>
      </c>
      <c r="T27" s="3744" t="n">
        <v>3.87</v>
      </c>
      <c r="U27" s="3744" t="n">
        <v>1.98</v>
      </c>
      <c r="V27" s="3744" t="n">
        <v>2.25</v>
      </c>
      <c r="W27" s="3744" t="n">
        <v>2.52</v>
      </c>
      <c r="X27" s="3744" t="n">
        <v>1.17</v>
      </c>
      <c r="Y27" s="3744" t="n">
        <v>0.81</v>
      </c>
      <c r="Z27" s="3744" t="n">
        <v>1.35</v>
      </c>
    </row>
    <row r="28" customFormat="false" ht="13.5" hidden="false" customHeight="false" outlineLevel="0" collapsed="false">
      <c r="B28" s="3744"/>
      <c r="C28" s="3743" t="n">
        <v>41965</v>
      </c>
      <c r="D28" s="3744" t="n">
        <v>5.6</v>
      </c>
      <c r="E28" s="3744" t="n">
        <v>5.6</v>
      </c>
      <c r="F28" s="3744" t="n">
        <v>6</v>
      </c>
      <c r="G28" s="3744" t="n">
        <v>6</v>
      </c>
      <c r="H28" s="3744" t="n">
        <v>6.15</v>
      </c>
      <c r="I28" s="3744"/>
      <c r="J28" s="3744"/>
      <c r="L28" s="3744"/>
      <c r="M28" s="3743" t="n">
        <v>39751</v>
      </c>
      <c r="N28" s="3744" t="n">
        <v>0.72</v>
      </c>
      <c r="O28" s="3744" t="n">
        <v>2.88</v>
      </c>
      <c r="P28" s="3744" t="n">
        <v>3.24</v>
      </c>
      <c r="Q28" s="3744" t="n">
        <v>3.6</v>
      </c>
      <c r="R28" s="3744" t="n">
        <v>4.14</v>
      </c>
      <c r="S28" s="3744" t="n">
        <v>4.77</v>
      </c>
      <c r="T28" s="3744" t="n">
        <v>5.13</v>
      </c>
      <c r="U28" s="3744" t="n">
        <v>2.88</v>
      </c>
      <c r="V28" s="3744" t="n">
        <v>3.24</v>
      </c>
      <c r="W28" s="3744" t="n">
        <v>3.6</v>
      </c>
      <c r="X28" s="3744" t="n">
        <v>1.53</v>
      </c>
      <c r="Y28" s="3744" t="n">
        <v>1.17</v>
      </c>
      <c r="Z28" s="3744" t="n">
        <v>1.71</v>
      </c>
    </row>
    <row r="29" customFormat="false" ht="13.5" hidden="false" customHeight="false" outlineLevel="0" collapsed="false">
      <c r="B29" s="3744"/>
      <c r="C29" s="3743" t="n">
        <v>41096</v>
      </c>
      <c r="D29" s="3744" t="n">
        <v>5.6</v>
      </c>
      <c r="E29" s="3744" t="n">
        <v>6</v>
      </c>
      <c r="F29" s="3744" t="n">
        <v>6.15</v>
      </c>
      <c r="G29" s="3744" t="n">
        <v>6.4</v>
      </c>
      <c r="H29" s="3744" t="n">
        <v>6.55</v>
      </c>
      <c r="I29" s="3744" t="n">
        <v>4</v>
      </c>
      <c r="J29" s="3744" t="n">
        <v>4.5</v>
      </c>
      <c r="L29" s="3744"/>
      <c r="M29" s="3749" t="n">
        <v>39736</v>
      </c>
      <c r="N29" s="3744" t="n">
        <v>0.72</v>
      </c>
      <c r="O29" s="3744" t="n">
        <v>3.15</v>
      </c>
      <c r="P29" s="3744" t="n">
        <v>3.51</v>
      </c>
      <c r="Q29" s="3744" t="n">
        <v>3.87</v>
      </c>
      <c r="R29" s="3744" t="n">
        <v>4.41</v>
      </c>
      <c r="S29" s="3744" t="n">
        <v>5.13</v>
      </c>
      <c r="T29" s="3744" t="n">
        <v>5.58</v>
      </c>
      <c r="U29" s="3744" t="n">
        <v>3.15</v>
      </c>
      <c r="V29" s="3744" t="n">
        <v>3.51</v>
      </c>
      <c r="W29" s="3744" t="n">
        <v>3.87</v>
      </c>
      <c r="X29" s="3744" t="n">
        <v>1.53</v>
      </c>
      <c r="Y29" s="3744" t="n">
        <v>1.17</v>
      </c>
      <c r="Z29" s="3744" t="n">
        <v>1.71</v>
      </c>
    </row>
    <row r="30" customFormat="false" ht="13.5" hidden="false" customHeight="false" outlineLevel="0" collapsed="false">
      <c r="B30" s="3744"/>
      <c r="C30" s="3743" t="n">
        <v>41068</v>
      </c>
      <c r="D30" s="3744" t="n">
        <v>5.85</v>
      </c>
      <c r="E30" s="3744" t="n">
        <v>6.31</v>
      </c>
      <c r="F30" s="3744" t="n">
        <v>6.4</v>
      </c>
      <c r="G30" s="3744" t="n">
        <v>6.65</v>
      </c>
      <c r="H30" s="3744" t="n">
        <v>6.8</v>
      </c>
      <c r="I30" s="3744" t="n">
        <v>4.2</v>
      </c>
      <c r="J30" s="3744" t="n">
        <v>4.7</v>
      </c>
      <c r="L30" s="3744"/>
      <c r="M30" s="3743" t="n">
        <v>39730</v>
      </c>
      <c r="N30" s="3744" t="n">
        <v>0.72</v>
      </c>
      <c r="O30" s="3744" t="n">
        <v>3.15</v>
      </c>
      <c r="P30" s="3744" t="n">
        <v>3.51</v>
      </c>
      <c r="Q30" s="3744" t="n">
        <v>3.87</v>
      </c>
      <c r="R30" s="3744" t="n">
        <v>4.41</v>
      </c>
      <c r="S30" s="3744" t="n">
        <v>5.13</v>
      </c>
      <c r="T30" s="3744" t="n">
        <v>5.58</v>
      </c>
      <c r="U30" s="3744" t="n">
        <v>3.15</v>
      </c>
      <c r="V30" s="3744" t="n">
        <v>3.51</v>
      </c>
      <c r="W30" s="3744" t="n">
        <v>3.87</v>
      </c>
      <c r="X30" s="3744" t="n">
        <v>1.53</v>
      </c>
      <c r="Y30" s="3744" t="n">
        <v>1.17</v>
      </c>
      <c r="Z30" s="3744" t="n">
        <v>1.71</v>
      </c>
    </row>
    <row r="31" customFormat="false" ht="13.5" hidden="false" customHeight="false" outlineLevel="0" collapsed="false">
      <c r="B31" s="3744"/>
      <c r="C31" s="3743" t="n">
        <v>40731</v>
      </c>
      <c r="D31" s="3744" t="n">
        <v>6.1</v>
      </c>
      <c r="E31" s="3744" t="n">
        <v>6.56</v>
      </c>
      <c r="F31" s="3744" t="n">
        <v>6.65</v>
      </c>
      <c r="G31" s="3744" t="n">
        <v>6.9</v>
      </c>
      <c r="H31" s="3744" t="n">
        <v>7.05</v>
      </c>
      <c r="I31" s="3744" t="n">
        <v>4.45</v>
      </c>
      <c r="J31" s="3744" t="n">
        <v>4.9</v>
      </c>
      <c r="L31" s="3744"/>
      <c r="M31" s="3743" t="n">
        <v>39437</v>
      </c>
      <c r="N31" s="3744" t="n">
        <v>0.72</v>
      </c>
      <c r="O31" s="3744" t="n">
        <v>3.33</v>
      </c>
      <c r="P31" s="3744" t="n">
        <v>3.78</v>
      </c>
      <c r="Q31" s="3744" t="n">
        <v>4.14</v>
      </c>
      <c r="R31" s="3744" t="n">
        <v>4.68</v>
      </c>
      <c r="S31" s="3744" t="n">
        <v>5.4</v>
      </c>
      <c r="T31" s="3744" t="n">
        <v>5.85</v>
      </c>
      <c r="U31" s="3744" t="n">
        <v>3.33</v>
      </c>
      <c r="V31" s="3744" t="n">
        <v>3.78</v>
      </c>
      <c r="W31" s="3744" t="n">
        <v>4.14</v>
      </c>
      <c r="X31" s="3744" t="n">
        <v>1.53</v>
      </c>
      <c r="Y31" s="3744" t="n">
        <v>1.17</v>
      </c>
      <c r="Z31" s="3744" t="n">
        <v>1.71</v>
      </c>
    </row>
    <row r="32" customFormat="false" ht="13.5" hidden="false" customHeight="false" outlineLevel="0" collapsed="false">
      <c r="B32" s="3744"/>
      <c r="C32" s="3743" t="n">
        <v>40639</v>
      </c>
      <c r="D32" s="3744" t="n">
        <v>5.85</v>
      </c>
      <c r="E32" s="3744" t="n">
        <v>6.31</v>
      </c>
      <c r="F32" s="3744" t="n">
        <v>6.4</v>
      </c>
      <c r="G32" s="3744" t="n">
        <v>6.65</v>
      </c>
      <c r="H32" s="3744" t="n">
        <v>6.8</v>
      </c>
      <c r="I32" s="3744" t="n">
        <v>4.2</v>
      </c>
      <c r="J32" s="3744" t="n">
        <v>4.7</v>
      </c>
      <c r="L32" s="3744"/>
      <c r="M32" s="3743" t="n">
        <v>39340</v>
      </c>
      <c r="N32" s="3744" t="n">
        <v>0.81</v>
      </c>
      <c r="O32" s="3744" t="n">
        <v>2.88</v>
      </c>
      <c r="P32" s="3744" t="n">
        <v>3.42</v>
      </c>
      <c r="Q32" s="3744" t="n">
        <v>3.87</v>
      </c>
      <c r="R32" s="3744" t="n">
        <v>4.5</v>
      </c>
      <c r="S32" s="3744" t="n">
        <v>5.22</v>
      </c>
      <c r="T32" s="3744" t="n">
        <v>5.76</v>
      </c>
      <c r="U32" s="3744" t="n">
        <v>2.88</v>
      </c>
      <c r="V32" s="3744" t="n">
        <v>3.42</v>
      </c>
      <c r="W32" s="3744" t="n">
        <v>3.87</v>
      </c>
      <c r="X32" s="3744" t="n">
        <v>1.53</v>
      </c>
      <c r="Y32" s="3744" t="n">
        <v>1.17</v>
      </c>
      <c r="Z32" s="3744" t="n">
        <v>1.71</v>
      </c>
    </row>
    <row r="33" customFormat="false" ht="13.5" hidden="false" customHeight="false" outlineLevel="0" collapsed="false">
      <c r="B33" s="3744"/>
      <c r="C33" s="3743" t="n">
        <v>40583</v>
      </c>
      <c r="D33" s="3744" t="n">
        <v>5.6</v>
      </c>
      <c r="E33" s="3744" t="n">
        <v>6.06</v>
      </c>
      <c r="F33" s="3744" t="n">
        <v>6.1</v>
      </c>
      <c r="G33" s="3744" t="n">
        <v>6.45</v>
      </c>
      <c r="H33" s="3744" t="n">
        <v>6.6</v>
      </c>
      <c r="I33" s="3744" t="n">
        <v>4</v>
      </c>
      <c r="J33" s="3744" t="n">
        <v>4.5</v>
      </c>
      <c r="L33" s="3744"/>
      <c r="M33" s="3743" t="n">
        <v>39316</v>
      </c>
      <c r="N33" s="3744" t="n">
        <v>0.81</v>
      </c>
      <c r="O33" s="3744" t="n">
        <v>2.61</v>
      </c>
      <c r="P33" s="3744" t="n">
        <v>3.15</v>
      </c>
      <c r="Q33" s="3744" t="n">
        <v>3.6</v>
      </c>
      <c r="R33" s="3744" t="n">
        <v>4.23</v>
      </c>
      <c r="S33" s="3744" t="n">
        <v>4.95</v>
      </c>
      <c r="T33" s="3744" t="n">
        <v>5.49</v>
      </c>
      <c r="U33" s="3744" t="n">
        <v>2.61</v>
      </c>
      <c r="V33" s="3744" t="n">
        <v>3.15</v>
      </c>
      <c r="W33" s="3744" t="n">
        <v>3.6</v>
      </c>
      <c r="X33" s="3744" t="n">
        <v>1.53</v>
      </c>
      <c r="Y33" s="3744" t="n">
        <v>1.17</v>
      </c>
      <c r="Z33" s="3744" t="n">
        <v>1.71</v>
      </c>
    </row>
    <row r="34" customFormat="false" ht="13.5" hidden="false" customHeight="false" outlineLevel="0" collapsed="false">
      <c r="B34" s="3744"/>
      <c r="C34" s="3743" t="n">
        <v>40538</v>
      </c>
      <c r="D34" s="3744" t="n">
        <v>5.35</v>
      </c>
      <c r="E34" s="3744" t="n">
        <v>5.81</v>
      </c>
      <c r="F34" s="3744" t="n">
        <v>5.85</v>
      </c>
      <c r="G34" s="3744" t="n">
        <v>6.22</v>
      </c>
      <c r="H34" s="3744" t="n">
        <v>6.4</v>
      </c>
      <c r="I34" s="3744" t="n">
        <v>3.75</v>
      </c>
      <c r="J34" s="3744" t="n">
        <v>4.3</v>
      </c>
      <c r="L34" s="3744"/>
      <c r="M34" s="3743" t="n">
        <v>39284</v>
      </c>
      <c r="N34" s="3744" t="n">
        <v>0.81</v>
      </c>
      <c r="O34" s="3744" t="n">
        <v>2.34</v>
      </c>
      <c r="P34" s="3744" t="n">
        <v>2.88</v>
      </c>
      <c r="Q34" s="3744" t="n">
        <v>3.33</v>
      </c>
      <c r="R34" s="3744" t="n">
        <v>3.96</v>
      </c>
      <c r="S34" s="3744" t="n">
        <v>4.68</v>
      </c>
      <c r="T34" s="3744" t="n">
        <v>5.22</v>
      </c>
      <c r="U34" s="3744" t="n">
        <v>2.34</v>
      </c>
      <c r="V34" s="3744" t="n">
        <v>2.88</v>
      </c>
      <c r="W34" s="3744" t="n">
        <v>3.33</v>
      </c>
      <c r="X34" s="3744" t="n">
        <v>1.53</v>
      </c>
      <c r="Y34" s="3744" t="n">
        <v>1.17</v>
      </c>
      <c r="Z34" s="3744" t="n">
        <v>1.71</v>
      </c>
    </row>
    <row r="35" customFormat="false" ht="13.5" hidden="false" customHeight="false" outlineLevel="0" collapsed="false">
      <c r="B35" s="3744"/>
      <c r="C35" s="3743" t="n">
        <v>40471</v>
      </c>
      <c r="D35" s="3744" t="n">
        <v>5.1</v>
      </c>
      <c r="E35" s="3744" t="n">
        <v>5.56</v>
      </c>
      <c r="F35" s="3744" t="n">
        <v>5.6</v>
      </c>
      <c r="G35" s="3744" t="n">
        <v>5.96</v>
      </c>
      <c r="H35" s="3744" t="n">
        <v>6.14</v>
      </c>
      <c r="I35" s="3744" t="n">
        <v>3.5</v>
      </c>
      <c r="J35" s="3744" t="n">
        <v>4.05</v>
      </c>
      <c r="L35" s="3744"/>
      <c r="M35" s="3743" t="n">
        <v>39221</v>
      </c>
      <c r="N35" s="3744" t="n">
        <v>0.72</v>
      </c>
      <c r="O35" s="3744" t="n">
        <v>2.07</v>
      </c>
      <c r="P35" s="3744" t="n">
        <v>2.61</v>
      </c>
      <c r="Q35" s="3744" t="n">
        <v>3.06</v>
      </c>
      <c r="R35" s="3744" t="n">
        <v>3.69</v>
      </c>
      <c r="S35" s="3744" t="n">
        <v>4.41</v>
      </c>
      <c r="T35" s="3744" t="n">
        <v>4.95</v>
      </c>
      <c r="U35" s="3744" t="n">
        <v>2.07</v>
      </c>
      <c r="V35" s="3744" t="n">
        <v>2.61</v>
      </c>
      <c r="W35" s="3744" t="n">
        <v>3.06</v>
      </c>
      <c r="X35" s="3744" t="n">
        <v>1.44</v>
      </c>
      <c r="Y35" s="3744" t="n">
        <v>1.08</v>
      </c>
      <c r="Z35" s="3744" t="n">
        <v>1.62</v>
      </c>
    </row>
    <row r="36" customFormat="false" ht="13.5" hidden="false" customHeight="false" outlineLevel="0" collapsed="false">
      <c r="B36" s="3744"/>
      <c r="C36" s="3743" t="n">
        <v>39805</v>
      </c>
      <c r="D36" s="3744" t="n">
        <v>4.86</v>
      </c>
      <c r="E36" s="3744" t="n">
        <v>5.31</v>
      </c>
      <c r="F36" s="3744" t="n">
        <v>5.4</v>
      </c>
      <c r="G36" s="3744" t="n">
        <v>5.76</v>
      </c>
      <c r="H36" s="3744" t="n">
        <v>5.94</v>
      </c>
      <c r="I36" s="3744" t="n">
        <v>3.33</v>
      </c>
      <c r="J36" s="3744" t="n">
        <v>3.87</v>
      </c>
      <c r="L36" s="3744"/>
      <c r="M36" s="3743" t="n">
        <v>39159</v>
      </c>
      <c r="N36" s="3744" t="n">
        <v>0.72</v>
      </c>
      <c r="O36" s="3744" t="n">
        <v>1.98</v>
      </c>
      <c r="P36" s="3744" t="n">
        <v>2.43</v>
      </c>
      <c r="Q36" s="3744" t="n">
        <v>2.79</v>
      </c>
      <c r="R36" s="3744" t="n">
        <v>3.33</v>
      </c>
      <c r="S36" s="3744" t="n">
        <v>3.96</v>
      </c>
      <c r="T36" s="3744" t="n">
        <v>4.41</v>
      </c>
      <c r="U36" s="3744" t="n">
        <v>1.98</v>
      </c>
      <c r="V36" s="3744" t="n">
        <v>2.43</v>
      </c>
      <c r="W36" s="3744" t="n">
        <v>2.79</v>
      </c>
      <c r="X36" s="3744" t="n">
        <v>1.44</v>
      </c>
      <c r="Y36" s="3744" t="n">
        <v>1.08</v>
      </c>
      <c r="Z36" s="3744" t="n">
        <v>1.62</v>
      </c>
    </row>
    <row r="37" customFormat="false" ht="13.5" hidden="false" customHeight="false" outlineLevel="0" collapsed="false">
      <c r="B37" s="3744"/>
      <c r="C37" s="3743" t="n">
        <v>39779</v>
      </c>
      <c r="D37" s="3744" t="n">
        <v>5.04</v>
      </c>
      <c r="E37" s="3744" t="n">
        <v>5.58</v>
      </c>
      <c r="F37" s="3744" t="n">
        <v>5.67</v>
      </c>
      <c r="G37" s="3744" t="n">
        <v>5.94</v>
      </c>
      <c r="H37" s="3744" t="n">
        <v>6.12</v>
      </c>
      <c r="I37" s="3744" t="n">
        <v>3.51</v>
      </c>
      <c r="J37" s="3744" t="n">
        <v>4.05</v>
      </c>
      <c r="L37" s="3744"/>
      <c r="M37" s="3743" t="n">
        <v>38948</v>
      </c>
      <c r="N37" s="3744" t="n">
        <v>0.72</v>
      </c>
      <c r="O37" s="3744" t="n">
        <v>1.8</v>
      </c>
      <c r="P37" s="3744" t="n">
        <v>2.25</v>
      </c>
      <c r="Q37" s="3744" t="n">
        <v>2.52</v>
      </c>
      <c r="R37" s="3744" t="n">
        <v>3.06</v>
      </c>
      <c r="S37" s="3744" t="n">
        <v>3.69</v>
      </c>
      <c r="T37" s="3744" t="n">
        <v>4.14</v>
      </c>
      <c r="U37" s="3744" t="n">
        <v>1.8</v>
      </c>
      <c r="V37" s="3744" t="n">
        <v>2.25</v>
      </c>
      <c r="W37" s="3744" t="n">
        <v>2.52</v>
      </c>
      <c r="X37" s="3744" t="n">
        <v>1.44</v>
      </c>
      <c r="Y37" s="3744" t="n">
        <v>1.08</v>
      </c>
      <c r="Z37" s="3744" t="n">
        <v>1.62</v>
      </c>
    </row>
    <row r="38" customFormat="false" ht="13.5" hidden="false" customHeight="false" outlineLevel="0" collapsed="false">
      <c r="B38" s="3744"/>
      <c r="C38" s="3743" t="n">
        <v>39751</v>
      </c>
      <c r="D38" s="3744" t="n">
        <v>6.03</v>
      </c>
      <c r="E38" s="3744" t="n">
        <v>6.66</v>
      </c>
      <c r="F38" s="3744" t="n">
        <v>6.75</v>
      </c>
      <c r="G38" s="3744" t="n">
        <v>7.02</v>
      </c>
      <c r="H38" s="3744" t="n">
        <v>7.2</v>
      </c>
      <c r="I38" s="3744" t="n">
        <v>4.05</v>
      </c>
      <c r="J38" s="3744" t="n">
        <v>4.59</v>
      </c>
      <c r="L38" s="3744"/>
      <c r="M38" s="3743" t="n">
        <v>38289</v>
      </c>
      <c r="N38" s="3744" t="n">
        <v>0.72</v>
      </c>
      <c r="O38" s="3744" t="n">
        <v>1.71</v>
      </c>
      <c r="P38" s="3744" t="n">
        <v>2.07</v>
      </c>
      <c r="Q38" s="3744" t="n">
        <v>2.25</v>
      </c>
      <c r="R38" s="3744" t="n">
        <v>2.7</v>
      </c>
      <c r="S38" s="3744" t="n">
        <v>3.24</v>
      </c>
      <c r="T38" s="3744" t="n">
        <v>3.6</v>
      </c>
      <c r="U38" s="3744" t="n">
        <v>1.71</v>
      </c>
      <c r="V38" s="3744" t="n">
        <v>2.07</v>
      </c>
      <c r="W38" s="3744" t="n">
        <v>2.25</v>
      </c>
      <c r="X38" s="3744" t="n">
        <v>1.44</v>
      </c>
      <c r="Y38" s="3744" t="n">
        <v>1.08</v>
      </c>
      <c r="Z38" s="3744" t="n">
        <v>1.62</v>
      </c>
    </row>
    <row r="39" customFormat="false" ht="13.5" hidden="false" customHeight="false" outlineLevel="0" collapsed="false">
      <c r="B39" s="3744"/>
      <c r="C39" s="3749" t="n">
        <v>39748</v>
      </c>
      <c r="D39" s="3744" t="n">
        <v>6.12</v>
      </c>
      <c r="E39" s="3744" t="n">
        <v>6.93</v>
      </c>
      <c r="F39" s="3744" t="n">
        <v>7.02</v>
      </c>
      <c r="G39" s="3744" t="n">
        <v>7.29</v>
      </c>
      <c r="H39" s="3744" t="n">
        <v>7.47</v>
      </c>
      <c r="I39" s="3744" t="n">
        <v>4.05</v>
      </c>
      <c r="J39" s="3744" t="n">
        <v>4.59</v>
      </c>
      <c r="L39" s="3744"/>
      <c r="M39" s="3743" t="n">
        <v>37308</v>
      </c>
      <c r="N39" s="3744" t="n">
        <v>0.72</v>
      </c>
      <c r="O39" s="3744" t="n">
        <v>1.71</v>
      </c>
      <c r="P39" s="3744" t="n">
        <v>1.89</v>
      </c>
      <c r="Q39" s="3744" t="n">
        <v>1.98</v>
      </c>
      <c r="R39" s="3744" t="n">
        <v>2.25</v>
      </c>
      <c r="S39" s="3744" t="n">
        <v>2.52</v>
      </c>
      <c r="T39" s="3744" t="n">
        <v>2.79</v>
      </c>
      <c r="U39" s="3744" t="n">
        <v>1.71</v>
      </c>
      <c r="V39" s="3744" t="n">
        <v>1.89</v>
      </c>
      <c r="W39" s="3744" t="n">
        <v>1.98</v>
      </c>
      <c r="X39" s="3744" t="n">
        <v>1.44</v>
      </c>
      <c r="Y39" s="3744" t="n">
        <v>1.08</v>
      </c>
      <c r="Z39" s="3744" t="n">
        <v>1.62</v>
      </c>
    </row>
    <row r="40" customFormat="false" ht="13.5" hidden="false" customHeight="false" outlineLevel="0" collapsed="false">
      <c r="B40" s="3744"/>
      <c r="C40" s="3743" t="n">
        <v>39730</v>
      </c>
      <c r="D40" s="3744" t="n">
        <v>6.12</v>
      </c>
      <c r="E40" s="3744" t="n">
        <v>6.93</v>
      </c>
      <c r="F40" s="3744" t="n">
        <v>7.02</v>
      </c>
      <c r="G40" s="3744" t="n">
        <v>7.29</v>
      </c>
      <c r="H40" s="3744" t="n">
        <v>7.47</v>
      </c>
      <c r="I40" s="3744" t="n">
        <v>4.32</v>
      </c>
      <c r="J40" s="3744" t="n">
        <v>4.86</v>
      </c>
      <c r="L40" s="3744"/>
      <c r="M40" s="3743" t="n">
        <v>36321</v>
      </c>
      <c r="N40" s="3744" t="n">
        <v>0.99</v>
      </c>
      <c r="O40" s="3744" t="n">
        <v>1.98</v>
      </c>
      <c r="P40" s="3744" t="n">
        <v>2.16</v>
      </c>
      <c r="Q40" s="3744" t="n">
        <v>2.25</v>
      </c>
      <c r="R40" s="3744" t="n">
        <v>2.43</v>
      </c>
      <c r="S40" s="3744" t="n">
        <v>2.7</v>
      </c>
      <c r="T40" s="3744" t="n">
        <v>2.88</v>
      </c>
      <c r="U40" s="3744" t="n">
        <v>1.98</v>
      </c>
      <c r="V40" s="3744" t="n">
        <v>2.16</v>
      </c>
      <c r="W40" s="3744" t="n">
        <v>2.25</v>
      </c>
      <c r="X40" s="3744" t="n">
        <v>1.71</v>
      </c>
      <c r="Y40" s="3744" t="n">
        <v>1.35</v>
      </c>
      <c r="Z40" s="3744" t="n">
        <v>1.89</v>
      </c>
    </row>
    <row r="41" customFormat="false" ht="13.5" hidden="false" customHeight="false" outlineLevel="0" collapsed="false">
      <c r="B41" s="3744"/>
      <c r="C41" s="3743" t="n">
        <v>39707</v>
      </c>
      <c r="D41" s="3744" t="n">
        <v>6.21</v>
      </c>
      <c r="E41" s="3744" t="n">
        <v>7.2</v>
      </c>
      <c r="F41" s="3744" t="n">
        <v>7.29</v>
      </c>
      <c r="G41" s="3744" t="n">
        <v>7.56</v>
      </c>
      <c r="H41" s="3744" t="n">
        <v>7.74</v>
      </c>
      <c r="I41" s="3744" t="n">
        <v>4.59</v>
      </c>
      <c r="J41" s="3744" t="n">
        <v>5.13</v>
      </c>
      <c r="L41" s="3744"/>
      <c r="M41" s="3743" t="n">
        <v>36136</v>
      </c>
      <c r="N41" s="3744" t="n">
        <v>1.44</v>
      </c>
      <c r="O41" s="3744" t="n">
        <v>2.79</v>
      </c>
      <c r="P41" s="3744" t="n">
        <v>3.33</v>
      </c>
      <c r="Q41" s="3744" t="n">
        <v>3.78</v>
      </c>
      <c r="R41" s="3744" t="n">
        <v>3.96</v>
      </c>
      <c r="S41" s="3744" t="n">
        <v>4.14</v>
      </c>
      <c r="T41" s="3744" t="n">
        <v>4.5</v>
      </c>
      <c r="U41" s="3744" t="n">
        <v>3.33</v>
      </c>
      <c r="V41" s="3744" t="n">
        <v>3.78</v>
      </c>
      <c r="W41" s="3744" t="n">
        <v>4.14</v>
      </c>
      <c r="X41" s="3744" t="n">
        <v>2.16</v>
      </c>
      <c r="Y41" s="3744" t="n">
        <v>1.8</v>
      </c>
      <c r="Z41" s="3744" t="n">
        <v>2.34</v>
      </c>
    </row>
    <row r="42" customFormat="false" ht="13.5" hidden="false" customHeight="false" outlineLevel="0" collapsed="false">
      <c r="B42" s="3744"/>
      <c r="C42" s="3743" t="n">
        <v>39437</v>
      </c>
      <c r="D42" s="3744" t="n">
        <v>6.57</v>
      </c>
      <c r="E42" s="3744" t="n">
        <v>7.47</v>
      </c>
      <c r="F42" s="3744" t="n">
        <v>7.56</v>
      </c>
      <c r="G42" s="3744" t="n">
        <v>7.74</v>
      </c>
      <c r="H42" s="3744" t="n">
        <v>7.83</v>
      </c>
      <c r="I42" s="3744" t="n">
        <v>4.77</v>
      </c>
      <c r="J42" s="3744" t="n">
        <v>5.22</v>
      </c>
      <c r="L42" s="3744"/>
      <c r="M42" s="3743" t="n">
        <v>35977</v>
      </c>
      <c r="N42" s="3744" t="n">
        <v>1.44</v>
      </c>
      <c r="O42" s="3744" t="n">
        <v>2.79</v>
      </c>
      <c r="P42" s="3744" t="n">
        <v>3.96</v>
      </c>
      <c r="Q42" s="3744" t="n">
        <v>4.77</v>
      </c>
      <c r="R42" s="3744" t="n">
        <v>4.86</v>
      </c>
      <c r="S42" s="3744" t="n">
        <v>4.95</v>
      </c>
      <c r="T42" s="3744" t="n">
        <v>5.22</v>
      </c>
      <c r="U42" s="3744" t="n">
        <v>3.96</v>
      </c>
      <c r="V42" s="3744" t="n">
        <v>4.77</v>
      </c>
      <c r="W42" s="3744" t="n">
        <v>4.95</v>
      </c>
      <c r="X42" s="3744" t="s">
        <v>3249</v>
      </c>
      <c r="Y42" s="3744" t="s">
        <v>3249</v>
      </c>
      <c r="Z42" s="3744" t="s">
        <v>3249</v>
      </c>
    </row>
    <row r="43" customFormat="false" ht="13.5" hidden="false" customHeight="false" outlineLevel="0" collapsed="false">
      <c r="B43" s="3744"/>
      <c r="C43" s="3743" t="n">
        <v>39340</v>
      </c>
      <c r="D43" s="3744" t="n">
        <v>6.48</v>
      </c>
      <c r="E43" s="3744" t="n">
        <v>7.29</v>
      </c>
      <c r="F43" s="3744" t="n">
        <v>7.47</v>
      </c>
      <c r="G43" s="3744" t="n">
        <v>7.65</v>
      </c>
      <c r="H43" s="3744" t="n">
        <v>7.83</v>
      </c>
      <c r="I43" s="3744" t="n">
        <v>4.77</v>
      </c>
      <c r="J43" s="3744" t="n">
        <v>5.22</v>
      </c>
      <c r="L43" s="3744"/>
      <c r="M43" s="3743" t="n">
        <v>35879</v>
      </c>
      <c r="N43" s="3744" t="n">
        <v>1.71</v>
      </c>
      <c r="O43" s="3744" t="n">
        <v>2.88</v>
      </c>
      <c r="P43" s="3744" t="n">
        <v>4.14</v>
      </c>
      <c r="Q43" s="3744" t="n">
        <v>5.22</v>
      </c>
      <c r="R43" s="3744" t="n">
        <v>5.58</v>
      </c>
      <c r="S43" s="3744" t="n">
        <v>6.21</v>
      </c>
      <c r="T43" s="3744" t="n">
        <v>6.66</v>
      </c>
      <c r="U43" s="3744" t="n">
        <v>4.14</v>
      </c>
      <c r="V43" s="3744" t="n">
        <v>5.22</v>
      </c>
      <c r="W43" s="3744" t="n">
        <v>6.21</v>
      </c>
      <c r="X43" s="3744" t="s">
        <v>3249</v>
      </c>
      <c r="Y43" s="3744" t="s">
        <v>3249</v>
      </c>
      <c r="Z43" s="3744" t="s">
        <v>3249</v>
      </c>
    </row>
    <row r="44" customFormat="false" ht="13.5" hidden="false" customHeight="false" outlineLevel="0" collapsed="false">
      <c r="B44" s="3744"/>
      <c r="C44" s="3743" t="n">
        <v>39316</v>
      </c>
      <c r="D44" s="3744" t="n">
        <v>6.21</v>
      </c>
      <c r="E44" s="3744" t="n">
        <v>7.02</v>
      </c>
      <c r="F44" s="3744" t="n">
        <v>7.2</v>
      </c>
      <c r="G44" s="3744" t="n">
        <v>7.38</v>
      </c>
      <c r="H44" s="3744" t="n">
        <v>7.56</v>
      </c>
      <c r="I44" s="3744" t="n">
        <v>4.59</v>
      </c>
      <c r="J44" s="3744" t="n">
        <v>5.04</v>
      </c>
      <c r="L44" s="3744"/>
      <c r="M44" s="3743" t="n">
        <v>35726</v>
      </c>
      <c r="N44" s="3744" t="n">
        <v>1.71</v>
      </c>
      <c r="O44" s="3744" t="n">
        <v>2.88</v>
      </c>
      <c r="P44" s="3744" t="n">
        <v>4.14</v>
      </c>
      <c r="Q44" s="3744" t="n">
        <v>5.67</v>
      </c>
      <c r="R44" s="3744" t="n">
        <v>5.94</v>
      </c>
      <c r="S44" s="3744" t="n">
        <v>6.21</v>
      </c>
      <c r="T44" s="3744" t="n">
        <v>6.66</v>
      </c>
      <c r="U44" s="3744" t="n">
        <v>4.14</v>
      </c>
      <c r="V44" s="3744" t="n">
        <v>5.67</v>
      </c>
      <c r="W44" s="3744" t="n">
        <v>6.21</v>
      </c>
      <c r="X44" s="3744" t="s">
        <v>3249</v>
      </c>
      <c r="Y44" s="3744" t="s">
        <v>3249</v>
      </c>
      <c r="Z44" s="3744" t="s">
        <v>3249</v>
      </c>
    </row>
    <row r="45" customFormat="false" ht="13.5" hidden="false" customHeight="false" outlineLevel="0" collapsed="false">
      <c r="B45" s="3744"/>
      <c r="C45" s="3743" t="n">
        <v>39284</v>
      </c>
      <c r="D45" s="3744" t="n">
        <v>6.03</v>
      </c>
      <c r="E45" s="3744" t="n">
        <v>6.84</v>
      </c>
      <c r="F45" s="3744" t="n">
        <v>7.02</v>
      </c>
      <c r="G45" s="3744" t="n">
        <v>7.2</v>
      </c>
      <c r="H45" s="3744" t="n">
        <v>7.38</v>
      </c>
      <c r="I45" s="3744" t="n">
        <v>4.5</v>
      </c>
      <c r="J45" s="3744" t="n">
        <v>4.95</v>
      </c>
      <c r="L45" s="3744"/>
      <c r="M45" s="3743" t="n">
        <v>35300</v>
      </c>
      <c r="N45" s="3744" t="n">
        <v>1.98</v>
      </c>
      <c r="O45" s="3744" t="n">
        <v>3.33</v>
      </c>
      <c r="P45" s="3744" t="n">
        <v>5.4</v>
      </c>
      <c r="Q45" s="3744" t="n">
        <v>7.47</v>
      </c>
      <c r="R45" s="3744" t="n">
        <v>7.92</v>
      </c>
      <c r="S45" s="3744" t="n">
        <v>8.28</v>
      </c>
      <c r="T45" s="3744" t="n">
        <v>9</v>
      </c>
      <c r="U45" s="3744" t="n">
        <v>5.4</v>
      </c>
      <c r="V45" s="3744" t="n">
        <v>7.47</v>
      </c>
      <c r="W45" s="3744" t="n">
        <v>8.28</v>
      </c>
      <c r="X45" s="3744" t="s">
        <v>3249</v>
      </c>
      <c r="Y45" s="3744" t="s">
        <v>3249</v>
      </c>
      <c r="Z45" s="3744" t="s">
        <v>3249</v>
      </c>
    </row>
    <row r="46" customFormat="false" ht="13.5" hidden="false" customHeight="false" outlineLevel="0" collapsed="false">
      <c r="B46" s="3744"/>
      <c r="C46" s="3743" t="n">
        <v>39221</v>
      </c>
      <c r="D46" s="3744" t="n">
        <v>5.85</v>
      </c>
      <c r="E46" s="3744" t="n">
        <v>6.57</v>
      </c>
      <c r="F46" s="3744" t="n">
        <v>6.75</v>
      </c>
      <c r="G46" s="3744" t="n">
        <v>6.93</v>
      </c>
      <c r="H46" s="3744" t="n">
        <v>7.2</v>
      </c>
      <c r="I46" s="3744" t="n">
        <v>4.41</v>
      </c>
      <c r="J46" s="3744" t="n">
        <v>4.86</v>
      </c>
      <c r="L46" s="3744"/>
      <c r="M46" s="3743" t="n">
        <v>35186</v>
      </c>
      <c r="N46" s="3744" t="n">
        <v>2.97</v>
      </c>
      <c r="O46" s="3744" t="n">
        <v>4.86</v>
      </c>
      <c r="P46" s="3744" t="n">
        <v>7.2</v>
      </c>
      <c r="Q46" s="3744" t="n">
        <v>9.18</v>
      </c>
      <c r="R46" s="3744" t="n">
        <v>9.9</v>
      </c>
      <c r="S46" s="3744" t="n">
        <v>10.8</v>
      </c>
      <c r="T46" s="3744" t="n">
        <v>12.06</v>
      </c>
      <c r="U46" s="3744" t="n">
        <v>7.2</v>
      </c>
      <c r="V46" s="3744" t="n">
        <v>9.18</v>
      </c>
      <c r="W46" s="3744" t="n">
        <v>10.8</v>
      </c>
      <c r="X46" s="3744" t="s">
        <v>3249</v>
      </c>
      <c r="Y46" s="3744" t="s">
        <v>3249</v>
      </c>
      <c r="Z46" s="3744" t="s">
        <v>3249</v>
      </c>
    </row>
    <row r="47" customFormat="false" ht="13.5" hidden="false" customHeight="false" outlineLevel="0" collapsed="false">
      <c r="B47" s="3744"/>
      <c r="C47" s="3743" t="n">
        <v>39159</v>
      </c>
      <c r="D47" s="3744" t="n">
        <v>5.67</v>
      </c>
      <c r="E47" s="3744" t="n">
        <v>6.39</v>
      </c>
      <c r="F47" s="3744" t="n">
        <v>6.57</v>
      </c>
      <c r="G47" s="3744" t="n">
        <v>6.75</v>
      </c>
      <c r="H47" s="3744" t="n">
        <v>7.11</v>
      </c>
      <c r="I47" s="3744" t="n">
        <v>4.32</v>
      </c>
      <c r="J47" s="3744" t="n">
        <v>4.77</v>
      </c>
      <c r="L47" s="3744"/>
      <c r="M47" s="3743" t="n">
        <v>34161</v>
      </c>
      <c r="N47" s="3744" t="n">
        <v>3.15</v>
      </c>
      <c r="O47" s="3744" t="n">
        <v>6.66</v>
      </c>
      <c r="P47" s="3744" t="n">
        <v>9</v>
      </c>
      <c r="Q47" s="3744" t="n">
        <v>10.98</v>
      </c>
      <c r="R47" s="3744" t="n">
        <v>11.7</v>
      </c>
      <c r="S47" s="3744" t="n">
        <v>12.24</v>
      </c>
      <c r="T47" s="3744" t="n">
        <v>13.86</v>
      </c>
      <c r="U47" s="3744" t="n">
        <v>9</v>
      </c>
      <c r="V47" s="3744" t="n">
        <v>10.98</v>
      </c>
      <c r="W47" s="3744" t="n">
        <v>12.24</v>
      </c>
      <c r="X47" s="3744" t="s">
        <v>3249</v>
      </c>
      <c r="Y47" s="3744" t="s">
        <v>3249</v>
      </c>
      <c r="Z47" s="3744" t="s">
        <v>3249</v>
      </c>
    </row>
    <row r="48" customFormat="false" ht="13.5" hidden="false" customHeight="false" outlineLevel="0" collapsed="false">
      <c r="B48" s="3744"/>
      <c r="C48" s="3743" t="n">
        <v>38948</v>
      </c>
      <c r="D48" s="3744" t="n">
        <v>5.58</v>
      </c>
      <c r="E48" s="3744" t="n">
        <v>6.12</v>
      </c>
      <c r="F48" s="3744" t="n">
        <v>6.3</v>
      </c>
      <c r="G48" s="3744" t="n">
        <v>6.48</v>
      </c>
      <c r="H48" s="3744" t="n">
        <v>6.84</v>
      </c>
      <c r="I48" s="3744" t="n">
        <v>4.14</v>
      </c>
      <c r="J48" s="3744" t="n">
        <v>4.59</v>
      </c>
      <c r="L48" s="3744"/>
      <c r="M48" s="3743" t="n">
        <v>34104</v>
      </c>
      <c r="N48" s="3744" t="n">
        <v>2.16</v>
      </c>
      <c r="O48" s="3744" t="n">
        <v>4.86</v>
      </c>
      <c r="P48" s="3744" t="n">
        <v>7.2</v>
      </c>
      <c r="Q48" s="3744" t="n">
        <v>9.18</v>
      </c>
      <c r="R48" s="3744" t="n">
        <v>9.9</v>
      </c>
      <c r="S48" s="3744" t="n">
        <v>10.8</v>
      </c>
      <c r="T48" s="3744" t="n">
        <v>12.06</v>
      </c>
      <c r="U48" s="3744" t="n">
        <v>7.2</v>
      </c>
      <c r="V48" s="3744" t="n">
        <v>9.18</v>
      </c>
      <c r="W48" s="3744" t="n">
        <v>10.8</v>
      </c>
      <c r="X48" s="3744" t="s">
        <v>3249</v>
      </c>
      <c r="Y48" s="3744" t="s">
        <v>3249</v>
      </c>
      <c r="Z48" s="3744" t="s">
        <v>3249</v>
      </c>
    </row>
    <row r="49" customFormat="false" ht="13.5" hidden="false" customHeight="false" outlineLevel="0" collapsed="false">
      <c r="B49" s="3744"/>
      <c r="C49" s="3743" t="n">
        <v>38835</v>
      </c>
      <c r="D49" s="3744" t="n">
        <v>5.4</v>
      </c>
      <c r="E49" s="3744" t="n">
        <v>5.85</v>
      </c>
      <c r="F49" s="3744" t="n">
        <v>6.03</v>
      </c>
      <c r="G49" s="3744" t="n">
        <v>6.12</v>
      </c>
      <c r="H49" s="3744" t="n">
        <v>6.39</v>
      </c>
      <c r="I49" s="3744" t="n">
        <v>4.14</v>
      </c>
      <c r="J49" s="3744" t="n">
        <v>4.59</v>
      </c>
      <c r="L49" s="3744"/>
      <c r="M49" s="3743" t="n">
        <v>33349</v>
      </c>
      <c r="N49" s="3744" t="n">
        <v>1.8</v>
      </c>
      <c r="O49" s="3744" t="n">
        <v>3.24</v>
      </c>
      <c r="P49" s="3744" t="n">
        <v>5.4</v>
      </c>
      <c r="Q49" s="3744" t="n">
        <v>7.56</v>
      </c>
      <c r="R49" s="3744" t="n">
        <v>7.92</v>
      </c>
      <c r="S49" s="3744" t="n">
        <v>8.28</v>
      </c>
      <c r="T49" s="3744" t="n">
        <v>9</v>
      </c>
      <c r="U49" s="3744" t="n">
        <v>6.12</v>
      </c>
      <c r="V49" s="3744" t="n">
        <v>6.84</v>
      </c>
      <c r="W49" s="3744" t="n">
        <v>7.56</v>
      </c>
      <c r="X49" s="3744" t="s">
        <v>3249</v>
      </c>
      <c r="Y49" s="3744" t="s">
        <v>3249</v>
      </c>
      <c r="Z49" s="3744" t="s">
        <v>3249</v>
      </c>
    </row>
    <row r="50" customFormat="false" ht="13.5" hidden="false" customHeight="false" outlineLevel="0" collapsed="false">
      <c r="B50" s="3744"/>
      <c r="C50" s="3743" t="n">
        <v>38428</v>
      </c>
      <c r="D50" s="3744" t="n">
        <v>5.22</v>
      </c>
      <c r="E50" s="3744" t="n">
        <v>5.58</v>
      </c>
      <c r="F50" s="3744" t="n">
        <v>5.76</v>
      </c>
      <c r="G50" s="3744" t="n">
        <v>5.85</v>
      </c>
      <c r="H50" s="3744" t="n">
        <v>6.12</v>
      </c>
      <c r="I50" s="3744" t="n">
        <v>3.96</v>
      </c>
      <c r="J50" s="3744" t="n">
        <v>4.41</v>
      </c>
      <c r="L50" s="3744"/>
      <c r="M50" s="3743" t="n">
        <v>33106</v>
      </c>
      <c r="N50" s="3744" t="n">
        <v>2.16</v>
      </c>
      <c r="O50" s="3744" t="n">
        <v>4.32</v>
      </c>
      <c r="P50" s="3744" t="n">
        <v>6.48</v>
      </c>
      <c r="Q50" s="3744" t="n">
        <v>8.64</v>
      </c>
      <c r="R50" s="3744" t="n">
        <v>9.36</v>
      </c>
      <c r="S50" s="3744" t="n">
        <v>10.08</v>
      </c>
      <c r="T50" s="3744" t="n">
        <v>11.52</v>
      </c>
      <c r="U50" s="3744" t="n">
        <v>7.2</v>
      </c>
      <c r="V50" s="3744" t="n">
        <v>8.64</v>
      </c>
      <c r="W50" s="3744" t="n">
        <v>10.08</v>
      </c>
      <c r="X50" s="3744" t="s">
        <v>3249</v>
      </c>
      <c r="Y50" s="3744" t="s">
        <v>3249</v>
      </c>
      <c r="Z50" s="3744" t="s">
        <v>3249</v>
      </c>
    </row>
    <row r="51" customFormat="false" ht="13.5" hidden="false" customHeight="false" outlineLevel="0" collapsed="false">
      <c r="B51" s="3744"/>
      <c r="C51" s="3743" t="n">
        <v>38289</v>
      </c>
      <c r="D51" s="3744" t="n">
        <v>5.22</v>
      </c>
      <c r="E51" s="3744" t="n">
        <v>5.58</v>
      </c>
      <c r="F51" s="3744" t="n">
        <v>5.76</v>
      </c>
      <c r="G51" s="3744" t="n">
        <v>5.85</v>
      </c>
      <c r="H51" s="3744" t="n">
        <v>6.12</v>
      </c>
      <c r="I51" s="3744" t="n">
        <v>3.78</v>
      </c>
      <c r="J51" s="3744" t="n">
        <v>4.23</v>
      </c>
      <c r="L51" s="3744"/>
      <c r="M51" s="3743" t="n">
        <v>32978</v>
      </c>
      <c r="N51" s="3744" t="n">
        <v>2.88</v>
      </c>
      <c r="O51" s="3744" t="n">
        <v>6.3</v>
      </c>
      <c r="P51" s="3744" t="n">
        <v>7.74</v>
      </c>
      <c r="Q51" s="3744" t="n">
        <v>10.08</v>
      </c>
      <c r="R51" s="3744" t="n">
        <v>10.98</v>
      </c>
      <c r="S51" s="3744" t="n">
        <v>11.88</v>
      </c>
      <c r="T51" s="3744" t="n">
        <v>13.68</v>
      </c>
      <c r="U51" s="3744" t="s">
        <v>3249</v>
      </c>
      <c r="V51" s="3744" t="s">
        <v>3249</v>
      </c>
      <c r="W51" s="3744" t="s">
        <v>3249</v>
      </c>
      <c r="X51" s="3744" t="s">
        <v>3249</v>
      </c>
      <c r="Y51" s="3744" t="s">
        <v>3249</v>
      </c>
      <c r="Z51" s="3744" t="s">
        <v>3249</v>
      </c>
    </row>
    <row r="52" customFormat="false" ht="13.5" hidden="false" customHeight="false" outlineLevel="0" collapsed="false">
      <c r="B52" s="3744"/>
      <c r="C52" s="3743" t="n">
        <v>37308</v>
      </c>
      <c r="D52" s="3744" t="n">
        <v>5.04</v>
      </c>
      <c r="E52" s="3744" t="n">
        <v>5.31</v>
      </c>
      <c r="F52" s="3744" t="n">
        <v>5.49</v>
      </c>
      <c r="G52" s="3744" t="n">
        <v>5.58</v>
      </c>
      <c r="H52" s="3744" t="n">
        <v>5.76</v>
      </c>
      <c r="I52" s="3744" t="n">
        <v>3.6</v>
      </c>
      <c r="J52" s="3744" t="n">
        <v>4.05</v>
      </c>
      <c r="L52" s="3744"/>
      <c r="M52" s="3743"/>
      <c r="N52" s="3744"/>
      <c r="O52" s="3744"/>
      <c r="P52" s="3744"/>
      <c r="Q52" s="3744"/>
      <c r="R52" s="3744"/>
      <c r="S52" s="3744"/>
      <c r="T52" s="3744"/>
      <c r="U52" s="3744"/>
      <c r="V52" s="3744"/>
      <c r="W52" s="3744"/>
      <c r="X52" s="3744"/>
      <c r="Y52" s="3744"/>
      <c r="Z52" s="3744"/>
    </row>
    <row r="53" customFormat="false" ht="13.5" hidden="false" customHeight="false" outlineLevel="0" collapsed="false">
      <c r="B53" s="3744"/>
      <c r="C53" s="3743" t="n">
        <v>36321</v>
      </c>
      <c r="D53" s="3744" t="n">
        <v>5.58</v>
      </c>
      <c r="E53" s="3744" t="n">
        <v>5.85</v>
      </c>
      <c r="F53" s="3744" t="n">
        <v>5.94</v>
      </c>
      <c r="G53" s="3744" t="n">
        <v>6.03</v>
      </c>
      <c r="H53" s="3744" t="n">
        <v>6.21</v>
      </c>
      <c r="I53" s="3744" t="n">
        <v>4.14</v>
      </c>
      <c r="J53" s="3744" t="n">
        <v>4.59</v>
      </c>
      <c r="L53" s="3744"/>
      <c r="M53" s="3743"/>
      <c r="N53" s="3744"/>
      <c r="O53" s="3744"/>
      <c r="P53" s="3744"/>
      <c r="Q53" s="3744"/>
      <c r="R53" s="3744"/>
      <c r="S53" s="3744"/>
      <c r="T53" s="3744"/>
      <c r="U53" s="3744"/>
      <c r="V53" s="3744"/>
      <c r="W53" s="3744"/>
      <c r="X53" s="3744"/>
      <c r="Y53" s="3744"/>
      <c r="Z53" s="3744"/>
    </row>
    <row r="54" customFormat="false" ht="13.5" hidden="false" customHeight="false" outlineLevel="0" collapsed="false">
      <c r="B54" s="3744"/>
      <c r="C54" s="3743" t="n">
        <v>36136</v>
      </c>
      <c r="D54" s="3744" t="n">
        <v>6.12</v>
      </c>
      <c r="E54" s="3744" t="n">
        <v>6.39</v>
      </c>
      <c r="F54" s="3744" t="n">
        <v>6.66</v>
      </c>
      <c r="G54" s="3744" t="n">
        <v>7.2</v>
      </c>
      <c r="H54" s="3744" t="n">
        <v>7.56</v>
      </c>
      <c r="I54" s="3744" t="n">
        <v>0</v>
      </c>
      <c r="J54" s="3744" t="n">
        <v>0</v>
      </c>
      <c r="L54" s="3744"/>
      <c r="M54" s="3743"/>
      <c r="N54" s="3744"/>
      <c r="O54" s="3744"/>
      <c r="P54" s="3744"/>
      <c r="Q54" s="3744"/>
      <c r="R54" s="3744"/>
      <c r="S54" s="3744"/>
      <c r="T54" s="3744"/>
      <c r="U54" s="3744"/>
      <c r="V54" s="3744"/>
      <c r="W54" s="3744"/>
      <c r="X54" s="3744"/>
      <c r="Y54" s="3744"/>
      <c r="Z54" s="3744"/>
    </row>
    <row r="55" customFormat="false" ht="13.5" hidden="false" customHeight="false" outlineLevel="0" collapsed="false">
      <c r="B55" s="3744"/>
      <c r="C55" s="3743" t="n">
        <v>35977</v>
      </c>
      <c r="D55" s="3744" t="n">
        <v>6.57</v>
      </c>
      <c r="E55" s="3744" t="n">
        <v>6.93</v>
      </c>
      <c r="F55" s="3744" t="n">
        <v>7.11</v>
      </c>
      <c r="G55" s="3744" t="n">
        <v>7.65</v>
      </c>
      <c r="H55" s="3744" t="n">
        <v>8.01</v>
      </c>
      <c r="I55" s="3744" t="n">
        <v>0</v>
      </c>
      <c r="J55" s="3744" t="n">
        <v>0</v>
      </c>
      <c r="L55" s="3744"/>
      <c r="M55" s="3743"/>
      <c r="N55" s="3744"/>
      <c r="O55" s="3744"/>
      <c r="P55" s="3744"/>
      <c r="Q55" s="3744"/>
      <c r="R55" s="3744"/>
      <c r="S55" s="3744"/>
      <c r="T55" s="3744"/>
      <c r="U55" s="3744"/>
      <c r="V55" s="3744"/>
      <c r="W55" s="3744"/>
      <c r="X55" s="3744"/>
      <c r="Y55" s="3744"/>
      <c r="Z55" s="3744"/>
    </row>
    <row r="56" customFormat="false" ht="13.5" hidden="false" customHeight="false" outlineLevel="0" collapsed="false">
      <c r="B56" s="3744"/>
      <c r="C56" s="3743" t="n">
        <v>35879</v>
      </c>
      <c r="D56" s="3744" t="n">
        <v>7.02</v>
      </c>
      <c r="E56" s="3744" t="n">
        <v>7.92</v>
      </c>
      <c r="F56" s="3744" t="n">
        <v>9</v>
      </c>
      <c r="G56" s="3744" t="n">
        <v>9.72</v>
      </c>
      <c r="H56" s="3744" t="n">
        <v>10.35</v>
      </c>
      <c r="I56" s="3744" t="n">
        <v>0</v>
      </c>
      <c r="J56" s="3744" t="n">
        <v>0</v>
      </c>
      <c r="L56" s="3744"/>
      <c r="M56" s="3743"/>
      <c r="N56" s="3744"/>
      <c r="O56" s="3744"/>
      <c r="P56" s="3744"/>
      <c r="Q56" s="3744"/>
      <c r="R56" s="3744"/>
      <c r="S56" s="3744"/>
      <c r="T56" s="3744"/>
      <c r="U56" s="3744"/>
      <c r="V56" s="3744"/>
      <c r="W56" s="3744"/>
      <c r="X56" s="3744"/>
      <c r="Y56" s="3744"/>
      <c r="Z56" s="3744"/>
    </row>
    <row r="57" customFormat="false" ht="13.5" hidden="false" customHeight="false" outlineLevel="0" collapsed="false">
      <c r="B57" s="3744"/>
      <c r="C57" s="3743" t="n">
        <v>35726</v>
      </c>
      <c r="D57" s="3744" t="n">
        <v>7.65</v>
      </c>
      <c r="E57" s="3744" t="n">
        <v>8.64</v>
      </c>
      <c r="F57" s="3744" t="n">
        <v>9.36</v>
      </c>
      <c r="G57" s="3744" t="n">
        <v>9.9</v>
      </c>
      <c r="H57" s="3744" t="n">
        <v>10.53</v>
      </c>
      <c r="I57" s="3744" t="n">
        <v>0</v>
      </c>
      <c r="J57" s="3744" t="n">
        <v>0</v>
      </c>
      <c r="L57" s="3744"/>
      <c r="M57" s="3743"/>
      <c r="N57" s="3744"/>
      <c r="O57" s="3744"/>
      <c r="P57" s="3744"/>
      <c r="Q57" s="3744"/>
      <c r="R57" s="3744"/>
      <c r="S57" s="3744"/>
      <c r="T57" s="3744"/>
      <c r="U57" s="3744"/>
      <c r="V57" s="3744"/>
      <c r="W57" s="3744"/>
      <c r="X57" s="3744"/>
      <c r="Y57" s="3744"/>
      <c r="Z57" s="3744"/>
    </row>
    <row r="58" customFormat="false" ht="13.5" hidden="false" customHeight="false" outlineLevel="0" collapsed="false">
      <c r="B58" s="3744"/>
      <c r="C58" s="3743" t="n">
        <v>35300</v>
      </c>
      <c r="D58" s="3744" t="n">
        <v>9.18</v>
      </c>
      <c r="E58" s="3744" t="n">
        <v>10.08</v>
      </c>
      <c r="F58" s="3744" t="n">
        <v>10.98</v>
      </c>
      <c r="G58" s="3744" t="n">
        <v>11.7</v>
      </c>
      <c r="H58" s="3744" t="n">
        <v>12.42</v>
      </c>
      <c r="I58" s="3744" t="n">
        <v>0</v>
      </c>
      <c r="J58" s="3744" t="n">
        <v>0</v>
      </c>
    </row>
    <row r="59" customFormat="false" ht="13.5" hidden="false" customHeight="false" outlineLevel="0" collapsed="false">
      <c r="B59" s="3744"/>
      <c r="C59" s="3743" t="n">
        <v>35186</v>
      </c>
      <c r="D59" s="3744" t="n">
        <v>9.72</v>
      </c>
      <c r="E59" s="3744" t="n">
        <v>10.98</v>
      </c>
      <c r="F59" s="3744" t="n">
        <v>13.14</v>
      </c>
      <c r="G59" s="3744" t="n">
        <v>14.94</v>
      </c>
      <c r="H59" s="3744" t="n">
        <v>15.12</v>
      </c>
      <c r="I59" s="3744" t="n">
        <v>0</v>
      </c>
      <c r="J59" s="3744" t="n">
        <v>0</v>
      </c>
    </row>
    <row r="60" customFormat="false" ht="13.5" hidden="false" customHeight="false" outlineLevel="0" collapsed="false">
      <c r="B60" s="3744"/>
      <c r="C60" s="3743" t="n">
        <v>34881</v>
      </c>
      <c r="D60" s="3744" t="n">
        <v>10.08</v>
      </c>
      <c r="E60" s="3744" t="n">
        <v>12.06</v>
      </c>
      <c r="F60" s="3744" t="n">
        <v>13.5</v>
      </c>
      <c r="G60" s="3744" t="n">
        <v>15.12</v>
      </c>
      <c r="H60" s="3744" t="n">
        <v>15.3</v>
      </c>
      <c r="I60" s="3744" t="n">
        <v>0</v>
      </c>
      <c r="J60" s="3744" t="n">
        <v>0</v>
      </c>
    </row>
    <row r="61" customFormat="false" ht="13.5" hidden="false" customHeight="false" outlineLevel="0" collapsed="false">
      <c r="B61" s="3744"/>
      <c r="C61" s="3743" t="n">
        <v>34700</v>
      </c>
      <c r="D61" s="3744" t="n">
        <v>9</v>
      </c>
      <c r="E61" s="3744" t="n">
        <v>10.98</v>
      </c>
      <c r="F61" s="3744" t="n">
        <v>12.96</v>
      </c>
      <c r="G61" s="3744" t="n">
        <v>14.58</v>
      </c>
      <c r="H61" s="3744" t="n">
        <v>14.76</v>
      </c>
      <c r="I61" s="3744" t="n">
        <v>0</v>
      </c>
      <c r="J61" s="3744" t="n">
        <v>0</v>
      </c>
    </row>
    <row r="62" customFormat="false" ht="13.5" hidden="false" customHeight="false" outlineLevel="0" collapsed="false">
      <c r="B62" s="3744"/>
      <c r="C62" s="3743" t="n">
        <v>34161</v>
      </c>
      <c r="D62" s="3744" t="n">
        <v>9</v>
      </c>
      <c r="E62" s="3744" t="n">
        <v>10.98</v>
      </c>
      <c r="F62" s="3744" t="n">
        <v>12.24</v>
      </c>
      <c r="G62" s="3744" t="n">
        <v>13.86</v>
      </c>
      <c r="H62" s="3744" t="n">
        <v>14.04</v>
      </c>
      <c r="I62" s="3744" t="n">
        <v>0</v>
      </c>
      <c r="J62" s="3744" t="n">
        <v>0</v>
      </c>
    </row>
    <row r="63" customFormat="false" ht="13.5" hidden="false" customHeight="false" outlineLevel="0" collapsed="false">
      <c r="B63" s="3744"/>
      <c r="C63" s="3743" t="n">
        <v>34104</v>
      </c>
      <c r="D63" s="3744" t="n">
        <v>8.82</v>
      </c>
      <c r="E63" s="3744" t="n">
        <v>9.36</v>
      </c>
      <c r="F63" s="3744" t="n">
        <v>10.8</v>
      </c>
      <c r="G63" s="3744" t="n">
        <v>12.06</v>
      </c>
      <c r="H63" s="3744" t="n">
        <v>12.24</v>
      </c>
      <c r="I63" s="3744" t="n">
        <v>0</v>
      </c>
      <c r="J63" s="3744" t="n">
        <v>0</v>
      </c>
    </row>
    <row r="64" customFormat="false" ht="13.5" hidden="false" customHeight="false" outlineLevel="0" collapsed="false">
      <c r="B64" s="3744"/>
      <c r="C64" s="3743" t="n">
        <v>33349</v>
      </c>
      <c r="D64" s="3744" t="n">
        <v>8.1</v>
      </c>
      <c r="E64" s="3744" t="n">
        <v>8.64</v>
      </c>
      <c r="F64" s="3744" t="n">
        <v>9</v>
      </c>
      <c r="G64" s="3744" t="n">
        <v>9.54</v>
      </c>
      <c r="H64" s="3744" t="n">
        <v>9.72</v>
      </c>
      <c r="I64" s="3744" t="n">
        <v>0</v>
      </c>
      <c r="J64" s="3744" t="n">
        <v>0</v>
      </c>
    </row>
    <row r="65" customFormat="false" ht="13.5" hidden="false" customHeight="false" outlineLevel="0" collapsed="false">
      <c r="B65" s="3744"/>
      <c r="C65" s="3743" t="n">
        <v>33318</v>
      </c>
      <c r="D65" s="3744" t="n">
        <v>9</v>
      </c>
      <c r="E65" s="3744" t="n">
        <v>10.08</v>
      </c>
      <c r="F65" s="3744" t="n">
        <v>10.8</v>
      </c>
      <c r="G65" s="3744" t="n">
        <v>11.52</v>
      </c>
      <c r="H65" s="3744" t="n">
        <v>11.88</v>
      </c>
      <c r="I65" s="3744" t="s">
        <v>3249</v>
      </c>
      <c r="J65" s="3744" t="s">
        <v>3249</v>
      </c>
    </row>
    <row r="66" customFormat="false" ht="13.5" hidden="false" customHeight="false" outlineLevel="0" collapsed="false">
      <c r="B66" s="3744"/>
      <c r="C66" s="3743" t="n">
        <v>33106</v>
      </c>
      <c r="D66" s="3744" t="n">
        <v>8.64</v>
      </c>
      <c r="E66" s="3744" t="n">
        <v>9.36</v>
      </c>
      <c r="F66" s="3744" t="n">
        <v>10.08</v>
      </c>
      <c r="G66" s="3744" t="n">
        <v>10.8</v>
      </c>
      <c r="H66" s="3744" t="n">
        <v>11.16</v>
      </c>
      <c r="I66" s="3744" t="n">
        <v>0</v>
      </c>
      <c r="J66" s="3744" t="n">
        <v>0</v>
      </c>
    </row>
    <row r="67" customFormat="false" ht="13.5" hidden="false" customHeight="false" outlineLevel="0" collapsed="false">
      <c r="B67" s="3744"/>
      <c r="C67" s="3743" t="n">
        <v>32540</v>
      </c>
      <c r="D67" s="3744" t="n">
        <v>11.34</v>
      </c>
      <c r="E67" s="3744" t="n">
        <v>11.34</v>
      </c>
      <c r="F67" s="3744" t="n">
        <v>12.78</v>
      </c>
      <c r="G67" s="3744" t="n">
        <v>14.4</v>
      </c>
      <c r="H67" s="3744" t="n">
        <v>19.26</v>
      </c>
      <c r="I67" s="3744" t="n">
        <v>0</v>
      </c>
      <c r="J67" s="3744" t="n">
        <v>0</v>
      </c>
    </row>
    <row r="68" customFormat="false" ht="13.5" hidden="false" customHeight="false" outlineLevel="0" collapsed="false">
      <c r="B68" s="3744"/>
      <c r="C68" s="3743"/>
      <c r="D68" s="3744"/>
      <c r="E68" s="3744"/>
      <c r="F68" s="3744"/>
      <c r="G68" s="3744"/>
      <c r="H68" s="3744"/>
      <c r="I68" s="3744"/>
      <c r="J68" s="3744"/>
    </row>
    <row r="69" customFormat="false" ht="13.5" hidden="false" customHeight="false" outlineLevel="0" collapsed="false">
      <c r="B69" s="3753"/>
      <c r="C69" s="3754"/>
      <c r="D69" s="3753"/>
      <c r="E69" s="3753"/>
      <c r="F69" s="3753"/>
      <c r="G69" s="3753"/>
      <c r="H69" s="3753"/>
      <c r="I69" s="3753"/>
      <c r="J69" s="3753"/>
    </row>
    <row r="70" customFormat="false" ht="13.5" hidden="false" customHeight="false" outlineLevel="0" collapsed="false">
      <c r="B70" s="3753"/>
      <c r="C70" s="3754"/>
      <c r="D70" s="3753"/>
      <c r="E70" s="3753"/>
      <c r="F70" s="3753"/>
      <c r="G70" s="3753"/>
      <c r="H70" s="3753"/>
      <c r="I70" s="3753"/>
      <c r="J70" s="3753"/>
    </row>
    <row r="71" customFormat="false" ht="13.5" hidden="false" customHeight="false" outlineLevel="0" collapsed="false">
      <c r="B71" s="3753"/>
      <c r="C71" s="3754"/>
      <c r="D71" s="3753"/>
      <c r="E71" s="3753"/>
      <c r="F71" s="3753"/>
      <c r="G71" s="3753"/>
      <c r="H71" s="3753"/>
      <c r="I71" s="3753"/>
      <c r="J71" s="3753"/>
    </row>
    <row r="72" customFormat="false" ht="13.5" hidden="false" customHeight="false" outlineLevel="0" collapsed="false">
      <c r="B72" s="3682"/>
      <c r="C72" s="3682"/>
      <c r="D72" s="3682"/>
      <c r="E72" s="3682"/>
      <c r="F72" s="3682"/>
      <c r="G72" s="3682"/>
      <c r="H72" s="3682"/>
      <c r="I72" s="3682"/>
      <c r="J72" s="3682"/>
    </row>
    <row r="73" customFormat="false" ht="13.5" hidden="false" customHeight="false" outlineLevel="0" collapsed="false">
      <c r="B73" s="3682"/>
      <c r="C73" s="3682"/>
      <c r="D73" s="3682"/>
      <c r="E73" s="3682"/>
      <c r="F73" s="3682"/>
      <c r="G73" s="3682"/>
      <c r="H73" s="3682"/>
      <c r="I73" s="3682"/>
      <c r="J73" s="3682"/>
    </row>
  </sheetData>
  <sheetProtection sheet="true" password="cee9" objects="true" scenarios="true"/>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sheetPr filterMode="false">
    <pageSetUpPr fitToPage="false"/>
  </sheetPr>
  <dimension ref="A1:I22"/>
  <sheetViews>
    <sheetView showFormulas="false" showGridLines="true" showRowColHeaders="true" showZeros="true" rightToLeft="false" tabSelected="false" showOutlineSymbols="true" defaultGridColor="true" view="pageBreakPreview" topLeftCell="A1" colorId="64" zoomScale="100" zoomScaleNormal="90" zoomScalePageLayoutView="100" workbookViewId="0">
      <selection pane="topLeft" activeCell="A1" activeCellId="0" sqref="A1"/>
    </sheetView>
  </sheetViews>
  <sheetFormatPr defaultRowHeight="14.25" zeroHeight="false" outlineLevelRow="0" outlineLevelCol="0"/>
  <cols>
    <col collapsed="false" customWidth="true" hidden="false" outlineLevel="0" max="1" min="1" style="24" width="27.62"/>
    <col collapsed="false" customWidth="true" hidden="false" outlineLevel="0" max="9" min="2" style="24" width="12.12"/>
    <col collapsed="false" customWidth="true" hidden="false" outlineLevel="0" max="1025" min="10" style="24" width="9"/>
  </cols>
  <sheetData>
    <row r="1" customFormat="false" ht="18" hidden="false" customHeight="false" outlineLevel="0" collapsed="false">
      <c r="A1" s="64" t="str">
        <f aca="false">IF(项目基本情况!B9="房地产市场价值","估价结果一览表","结果表-2")</f>
        <v>估价结果一览表</v>
      </c>
      <c r="B1" s="64"/>
      <c r="C1" s="64"/>
      <c r="D1" s="64"/>
      <c r="E1" s="64"/>
      <c r="F1" s="64"/>
      <c r="G1" s="64"/>
      <c r="H1" s="64"/>
      <c r="I1" s="64"/>
    </row>
    <row r="2" customFormat="false" ht="30" hidden="false" customHeight="true" outlineLevel="0" collapsed="false">
      <c r="A2" s="65" t="s">
        <v>106</v>
      </c>
      <c r="B2" s="65" t="s">
        <v>107</v>
      </c>
      <c r="C2" s="66" t="s">
        <v>108</v>
      </c>
      <c r="D2" s="67" t="str">
        <f aca="false">结果表!D116</f>
        <v>出让国有建设用地使用权价值</v>
      </c>
      <c r="E2" s="67"/>
      <c r="F2" s="67" t="str">
        <f aca="false">结果表!F116</f>
        <v>在建建筑物价值</v>
      </c>
      <c r="G2" s="67"/>
      <c r="H2" s="67" t="str">
        <f aca="false">IF(项目基本情况!B9="房地产市场价值","房地产市场价值","房地产价值")</f>
        <v>房地产市场价值</v>
      </c>
      <c r="I2" s="67"/>
    </row>
    <row r="3" customFormat="false" ht="15" hidden="false" customHeight="false" outlineLevel="0" collapsed="false">
      <c r="A3" s="65"/>
      <c r="B3" s="65"/>
      <c r="C3" s="65"/>
      <c r="D3" s="68" t="s">
        <v>109</v>
      </c>
      <c r="E3" s="68" t="s">
        <v>110</v>
      </c>
      <c r="F3" s="68" t="s">
        <v>109</v>
      </c>
      <c r="G3" s="68" t="s">
        <v>110</v>
      </c>
      <c r="H3" s="68" t="s">
        <v>109</v>
      </c>
      <c r="I3" s="68" t="s">
        <v>110</v>
      </c>
    </row>
    <row r="4" customFormat="false" ht="15" hidden="false" customHeight="false" outlineLevel="0" collapsed="false">
      <c r="A4" s="69" t="str">
        <f aca="false">项目基本情况!S2</f>
        <v>北京市房地产</v>
      </c>
      <c r="B4" s="68" t="n">
        <f aca="false">项目基本情况!C17</f>
        <v>58.3</v>
      </c>
      <c r="C4" s="68" t="n">
        <f aca="false">项目基本情况!C18</f>
        <v>0</v>
      </c>
      <c r="D4" s="68" t="e">
        <f aca="false">结果表!D118</f>
        <v>#VALUE!</v>
      </c>
      <c r="E4" s="68" t="e">
        <f aca="false">结果表!E118</f>
        <v>#VALUE!</v>
      </c>
      <c r="F4" s="68" t="e">
        <f aca="false">结果表!F118</f>
        <v>#VALUE!</v>
      </c>
      <c r="G4" s="68" t="e">
        <f aca="false">结果表!G118</f>
        <v>#VALUE!</v>
      </c>
      <c r="H4" s="68" t="e">
        <f aca="false">结果表!H118</f>
        <v>#VALUE!</v>
      </c>
      <c r="I4" s="68" t="e">
        <f aca="false">结果表!I118</f>
        <v>#VALUE!</v>
      </c>
    </row>
    <row r="5" customFormat="false" ht="30" hidden="false" customHeight="true" outlineLevel="0" collapsed="false">
      <c r="A5" s="68" t="s">
        <v>98</v>
      </c>
      <c r="B5" s="68"/>
      <c r="C5" s="68"/>
      <c r="D5" s="70" t="e">
        <f aca="false">结果表!D119</f>
        <v>#VALUE!</v>
      </c>
      <c r="E5" s="70"/>
      <c r="F5" s="70" t="e">
        <f aca="false">结果表!F119</f>
        <v>#VALUE!</v>
      </c>
      <c r="G5" s="70"/>
      <c r="H5" s="70" t="e">
        <f aca="false">结果表!H119</f>
        <v>#VALUE!</v>
      </c>
      <c r="I5" s="70"/>
    </row>
    <row r="6" customFormat="false" ht="15.75" hidden="false" customHeight="false" outlineLevel="0" collapsed="false">
      <c r="A6" s="71" t="str">
        <f aca="false">结果表!A120</f>
        <v/>
      </c>
      <c r="B6" s="71"/>
      <c r="C6" s="71"/>
      <c r="D6" s="71" t="n">
        <f aca="false">结果表!D120</f>
        <v>0</v>
      </c>
      <c r="E6" s="71"/>
      <c r="F6" s="71"/>
      <c r="G6" s="71"/>
      <c r="H6" s="71"/>
      <c r="I6" s="71"/>
    </row>
    <row r="7" customFormat="false" ht="15" hidden="false" customHeight="true" outlineLevel="0" collapsed="false">
      <c r="A7" s="68" t="s">
        <v>98</v>
      </c>
      <c r="B7" s="68"/>
      <c r="C7" s="68"/>
      <c r="D7" s="70" t="str">
        <f aca="false">结果表!D121</f>
        <v>零元整</v>
      </c>
      <c r="E7" s="70"/>
      <c r="F7" s="70"/>
      <c r="G7" s="70"/>
      <c r="H7" s="70"/>
      <c r="I7" s="70"/>
    </row>
    <row r="8" customFormat="false" ht="15.75" hidden="false" customHeight="false" outlineLevel="0" collapsed="false">
      <c r="A8" s="71" t="str">
        <f aca="false">结果表!A122</f>
        <v/>
      </c>
      <c r="B8" s="71"/>
      <c r="C8" s="71"/>
      <c r="D8" s="71" t="str">
        <f aca="false">结果表!D122</f>
        <v>——</v>
      </c>
      <c r="E8" s="71"/>
      <c r="F8" s="71"/>
      <c r="G8" s="71"/>
      <c r="H8" s="71"/>
      <c r="I8" s="71"/>
    </row>
    <row r="9" customFormat="false" ht="15" hidden="false" customHeight="true" outlineLevel="0" collapsed="false">
      <c r="A9" s="68" t="s">
        <v>98</v>
      </c>
      <c r="B9" s="68"/>
      <c r="C9" s="68"/>
      <c r="D9" s="70" t="e">
        <f aca="false">结果表!D123</f>
        <v>#VALUE!</v>
      </c>
      <c r="E9" s="70"/>
      <c r="F9" s="70"/>
      <c r="G9" s="70"/>
      <c r="H9" s="70"/>
      <c r="I9" s="70"/>
    </row>
    <row r="10" customFormat="false" ht="15.75" hidden="false" customHeight="false" outlineLevel="0" collapsed="false">
      <c r="A10" s="71" t="str">
        <f aca="false">结果表!A124</f>
        <v/>
      </c>
      <c r="B10" s="71"/>
      <c r="C10" s="71"/>
      <c r="D10" s="71" t="e">
        <f aca="false">结果表!D124</f>
        <v>#VALUE!</v>
      </c>
      <c r="E10" s="71"/>
      <c r="F10" s="71"/>
      <c r="G10" s="71"/>
      <c r="H10" s="71"/>
      <c r="I10" s="71"/>
    </row>
    <row r="11" customFormat="false" ht="15" hidden="false" customHeight="true" outlineLevel="0" collapsed="false">
      <c r="A11" s="68" t="s">
        <v>98</v>
      </c>
      <c r="B11" s="68"/>
      <c r="C11" s="68"/>
      <c r="D11" s="70" t="e">
        <f aca="false">结果表!D125</f>
        <v>#VALUE!</v>
      </c>
      <c r="E11" s="70"/>
      <c r="F11" s="70"/>
      <c r="G11" s="70"/>
      <c r="H11" s="70"/>
      <c r="I11" s="70"/>
    </row>
    <row r="12" customFormat="false" ht="15.75" hidden="false" customHeight="false" outlineLevel="0" collapsed="false">
      <c r="A12" s="71" t="str">
        <f aca="false">结果表!A126</f>
        <v/>
      </c>
      <c r="B12" s="71"/>
      <c r="C12" s="71"/>
      <c r="D12" s="71" t="str">
        <f aca="false">结果表!D126</f>
        <v>——</v>
      </c>
      <c r="E12" s="71"/>
      <c r="F12" s="71"/>
      <c r="G12" s="71"/>
      <c r="H12" s="71"/>
      <c r="I12" s="71"/>
    </row>
    <row r="13" customFormat="false" ht="15" hidden="false" customHeight="true" outlineLevel="0" collapsed="false">
      <c r="A13" s="72" t="s">
        <v>98</v>
      </c>
      <c r="B13" s="72"/>
      <c r="C13" s="72"/>
      <c r="D13" s="73" t="e">
        <f aca="false">结果表!D127</f>
        <v>#VALUE!</v>
      </c>
      <c r="E13" s="73"/>
      <c r="F13" s="73"/>
      <c r="G13" s="73"/>
      <c r="H13" s="73"/>
      <c r="I13" s="73"/>
    </row>
    <row r="14" customFormat="false" ht="14.25" hidden="false" customHeight="false" outlineLevel="0" collapsed="false">
      <c r="A14" s="74" t="s">
        <v>111</v>
      </c>
      <c r="B14" s="74"/>
      <c r="C14" s="74"/>
      <c r="D14" s="74"/>
      <c r="E14" s="74"/>
      <c r="F14" s="74"/>
      <c r="G14" s="74"/>
      <c r="H14" s="74"/>
      <c r="I14" s="74"/>
    </row>
    <row r="16" customFormat="false" ht="18.75" hidden="false" customHeight="false" outlineLevel="0" collapsed="false">
      <c r="A16" s="75" t="s">
        <v>105</v>
      </c>
      <c r="B16" s="37"/>
      <c r="C16" s="37"/>
      <c r="D16" s="37"/>
      <c r="E16" s="37"/>
      <c r="F16" s="37"/>
      <c r="G16" s="37"/>
      <c r="H16" s="37"/>
      <c r="I16" s="37"/>
    </row>
    <row r="17" customFormat="false" ht="14.25" hidden="false" customHeight="false" outlineLevel="0" collapsed="false">
      <c r="A17" s="37"/>
      <c r="B17" s="37"/>
      <c r="C17" s="37"/>
      <c r="D17" s="37"/>
      <c r="E17" s="37"/>
      <c r="F17" s="37"/>
      <c r="G17" s="37"/>
      <c r="H17" s="37"/>
      <c r="I17" s="37"/>
    </row>
    <row r="18" customFormat="false" ht="14.25" hidden="false" customHeight="false" outlineLevel="0" collapsed="false">
      <c r="A18" s="37"/>
      <c r="B18" s="37"/>
      <c r="C18" s="37"/>
      <c r="D18" s="37"/>
      <c r="E18" s="37"/>
      <c r="F18" s="37"/>
      <c r="G18" s="37"/>
      <c r="H18" s="37"/>
      <c r="I18" s="37"/>
    </row>
    <row r="19" customFormat="false" ht="14.25" hidden="false" customHeight="false" outlineLevel="0" collapsed="false">
      <c r="A19" s="37"/>
      <c r="B19" s="37"/>
      <c r="C19" s="37"/>
      <c r="D19" s="37"/>
      <c r="E19" s="37"/>
      <c r="F19" s="37"/>
      <c r="G19" s="37"/>
      <c r="H19" s="37"/>
      <c r="I19" s="37"/>
    </row>
    <row r="20" customFormat="false" ht="14.25" hidden="false" customHeight="false" outlineLevel="0" collapsed="false">
      <c r="A20" s="37"/>
      <c r="B20" s="37"/>
      <c r="C20" s="37"/>
      <c r="D20" s="37"/>
      <c r="E20" s="37"/>
      <c r="F20" s="37"/>
      <c r="G20" s="37"/>
      <c r="H20" s="37"/>
      <c r="I20" s="37"/>
    </row>
    <row r="21" customFormat="false" ht="14.25" hidden="false" customHeight="false" outlineLevel="0" collapsed="false">
      <c r="A21" s="37"/>
      <c r="B21" s="37"/>
      <c r="C21" s="37"/>
      <c r="D21" s="37"/>
      <c r="E21" s="37"/>
      <c r="F21" s="37"/>
      <c r="G21" s="37"/>
      <c r="H21" s="37"/>
      <c r="I21" s="37"/>
    </row>
    <row r="22" customFormat="false" ht="14.25" hidden="false" customHeight="false" outlineLevel="0" collapsed="false">
      <c r="A22" s="37"/>
      <c r="B22" s="37"/>
      <c r="C22" s="37"/>
      <c r="D22" s="37"/>
      <c r="E22" s="37"/>
      <c r="F22" s="37"/>
      <c r="G22" s="37"/>
      <c r="H22" s="37"/>
      <c r="I22" s="37"/>
    </row>
  </sheetData>
  <sheetProtection sheet="true" objects="true" scenarios="true" formatCells="false" formatRows="false"/>
  <mergeCells count="28">
    <mergeCell ref="A1:I1"/>
    <mergeCell ref="A2:A3"/>
    <mergeCell ref="B2:B3"/>
    <mergeCell ref="C2:C3"/>
    <mergeCell ref="D2:E2"/>
    <mergeCell ref="F2:G2"/>
    <mergeCell ref="H2:I2"/>
    <mergeCell ref="A5:C5"/>
    <mergeCell ref="D5:E5"/>
    <mergeCell ref="F5:G5"/>
    <mergeCell ref="H5:I5"/>
    <mergeCell ref="A6:C6"/>
    <mergeCell ref="D6:I6"/>
    <mergeCell ref="A7:C7"/>
    <mergeCell ref="D7:I7"/>
    <mergeCell ref="A8:C8"/>
    <mergeCell ref="D8:I8"/>
    <mergeCell ref="A9:C9"/>
    <mergeCell ref="D9:I9"/>
    <mergeCell ref="A10:C10"/>
    <mergeCell ref="D10:I10"/>
    <mergeCell ref="A11:C11"/>
    <mergeCell ref="D11:I11"/>
    <mergeCell ref="A12:C12"/>
    <mergeCell ref="D12:I12"/>
    <mergeCell ref="A13:C13"/>
    <mergeCell ref="D13:I13"/>
    <mergeCell ref="A14:I14"/>
  </mergeCells>
  <printOptions headings="false" gridLines="false" gridLinesSet="true" horizontalCentered="true" verticalCentered="false"/>
  <pageMargins left="0.984027777777778" right="0.984027777777778" top="1.10694444444444" bottom="0.984027777777778" header="0.865972222222222" footer="0.590277777777778"/>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oddFooter>
  </headerFooter>
</worksheet>
</file>

<file path=xl/worksheets/sheet6.xml><?xml version="1.0" encoding="utf-8"?>
<worksheet xmlns="http://schemas.openxmlformats.org/spreadsheetml/2006/main" xmlns:r="http://schemas.openxmlformats.org/officeDocument/2006/relationships">
  <sheetPr filterMode="false">
    <pageSetUpPr fitToPage="false"/>
  </sheetPr>
  <dimension ref="A1:D31"/>
  <sheetViews>
    <sheetView showFormulas="false" showGridLines="true" showRowColHeaders="true" showZeros="true" rightToLeft="false" tabSelected="false" showOutlineSymbols="true" defaultGridColor="true" view="pageBreakPreview" topLeftCell="A19" colorId="64" zoomScale="100" zoomScaleNormal="80" zoomScalePageLayoutView="100" workbookViewId="0">
      <selection pane="topLeft" activeCell="A19" activeCellId="0" sqref="A19"/>
    </sheetView>
  </sheetViews>
  <sheetFormatPr defaultRowHeight="14.25" zeroHeight="false" outlineLevelRow="0" outlineLevelCol="0"/>
  <cols>
    <col collapsed="false" customWidth="true" hidden="false" outlineLevel="0" max="1" min="1" style="24" width="16.62"/>
    <col collapsed="false" customWidth="true" hidden="false" outlineLevel="0" max="3" min="2" style="24" width="22.38"/>
    <col collapsed="false" customWidth="true" hidden="false" outlineLevel="0" max="4" min="4" style="24" width="23.01"/>
    <col collapsed="false" customWidth="true" hidden="false" outlineLevel="0" max="1025" min="5" style="24" width="9"/>
  </cols>
  <sheetData>
    <row r="1" customFormat="false" ht="18.75" hidden="false" customHeight="false" outlineLevel="0" collapsed="false">
      <c r="A1" s="76" t="s">
        <v>112</v>
      </c>
      <c r="B1" s="76"/>
      <c r="C1" s="76"/>
      <c r="D1" s="76"/>
    </row>
    <row r="2" customFormat="false" ht="18" hidden="false" customHeight="true" outlineLevel="0" collapsed="false">
      <c r="A2" s="77" t="s">
        <v>113</v>
      </c>
      <c r="B2" s="77"/>
      <c r="C2" s="77"/>
      <c r="D2" s="77"/>
    </row>
    <row r="3" customFormat="false" ht="18.75" hidden="false" customHeight="false" outlineLevel="0" collapsed="false">
      <c r="A3" s="78" t="s">
        <v>114</v>
      </c>
      <c r="B3" s="78" t="s">
        <v>115</v>
      </c>
      <c r="C3" s="78" t="s">
        <v>116</v>
      </c>
      <c r="D3" s="78" t="s">
        <v>117</v>
      </c>
    </row>
    <row r="4" customFormat="false" ht="56.25" hidden="false" customHeight="true" outlineLevel="0" collapsed="false">
      <c r="A4" s="79" t="n">
        <f aca="false">项目基本情况!B4</f>
        <v>0</v>
      </c>
      <c r="B4" s="78" t="n">
        <f aca="false">项目基本情况!C4</f>
        <v>0</v>
      </c>
      <c r="C4" s="80"/>
      <c r="D4" s="81" t="s">
        <v>118</v>
      </c>
    </row>
    <row r="5" customFormat="false" ht="56.25" hidden="false" customHeight="true" outlineLevel="0" collapsed="false">
      <c r="A5" s="79" t="n">
        <f aca="false">项目基本情况!D4</f>
        <v>0</v>
      </c>
      <c r="B5" s="78" t="n">
        <f aca="false">项目基本情况!E4</f>
        <v>0</v>
      </c>
      <c r="C5" s="82"/>
      <c r="D5" s="81" t="s">
        <v>118</v>
      </c>
    </row>
    <row r="6" customFormat="false" ht="18" hidden="false" customHeight="true" outlineLevel="0" collapsed="false">
      <c r="A6" s="77" t="s">
        <v>119</v>
      </c>
      <c r="B6" s="77"/>
      <c r="C6" s="77"/>
      <c r="D6" s="77"/>
    </row>
    <row r="7" customFormat="false" ht="18.75" hidden="false" customHeight="false" outlineLevel="0" collapsed="false">
      <c r="A7" s="78" t="s">
        <v>114</v>
      </c>
      <c r="B7" s="78" t="s">
        <v>120</v>
      </c>
      <c r="C7" s="78" t="s">
        <v>116</v>
      </c>
      <c r="D7" s="78" t="s">
        <v>117</v>
      </c>
    </row>
    <row r="8" customFormat="false" ht="56.25" hidden="false" customHeight="true" outlineLevel="0" collapsed="false">
      <c r="A8" s="83" t="s">
        <v>121</v>
      </c>
      <c r="B8" s="84" t="s">
        <v>122</v>
      </c>
      <c r="C8" s="80"/>
      <c r="D8" s="81" t="s">
        <v>118</v>
      </c>
    </row>
    <row r="9" customFormat="false" ht="14.25" hidden="false" customHeight="false" outlineLevel="0" collapsed="false">
      <c r="A9" s="85"/>
      <c r="B9" s="85"/>
      <c r="C9" s="85"/>
      <c r="D9" s="85"/>
    </row>
    <row r="10" customFormat="false" ht="18.75" hidden="false" customHeight="false" outlineLevel="0" collapsed="false">
      <c r="A10" s="76" t="s">
        <v>123</v>
      </c>
      <c r="B10" s="85"/>
      <c r="C10" s="85"/>
      <c r="D10" s="85"/>
    </row>
    <row r="11" customFormat="false" ht="30" hidden="false" customHeight="true" outlineLevel="0" collapsed="false">
      <c r="A11" s="86" t="s">
        <v>124</v>
      </c>
      <c r="B11" s="86"/>
      <c r="C11" s="86"/>
      <c r="D11" s="86"/>
    </row>
    <row r="12" customFormat="false" ht="15.75" hidden="false" customHeight="false" outlineLevel="0" collapsed="false">
      <c r="A12" s="86" t="str">
        <f aca="false">IF(项目基本情况!B8="抵押","2.本《评估意见函》仅供金融机构进行内部审核使用，不做其他目的之用。","2.本次评估设定估价对象房地产权属无争议，未被查封或者以其他形式限制其房地产权利，未设定抵押权等他项权利，不涉及第三方权利义务。")</f>
        <v>2.本次评估设定估价对象房地产权属无争议，未被查封或者以其他形式限制其房地产权利，未设定抵押权等他项权利，不涉及第三方权利义务。</v>
      </c>
      <c r="B12" s="86"/>
      <c r="C12" s="86"/>
      <c r="D12" s="86"/>
    </row>
    <row r="13" customFormat="false" ht="30" hidden="false" customHeight="true" outlineLevel="0" collapsed="false">
      <c r="A13" s="86" t="str">
        <f aca="false">IF(项目基本情况!B8="抵押","3.抵押双方在办理抵押登记手续时，应使用本公司出具的正式《房地产评估报告》，特提醒报告使用者注意。","——")</f>
        <v>——</v>
      </c>
      <c r="B13" s="86"/>
      <c r="C13" s="86"/>
      <c r="D13" s="86"/>
    </row>
    <row r="14" customFormat="false" ht="15.75" hidden="false" customHeight="true" outlineLevel="0" collapsed="false">
      <c r="A14" s="86" t="str">
        <f aca="false">IF(项目基本情况!B8="抵押","4.本次评估估价师所知悉的法定优先受偿款情况说明如下：","——")</f>
        <v>——</v>
      </c>
      <c r="B14" s="86"/>
      <c r="C14" s="86"/>
      <c r="D14" s="86"/>
    </row>
    <row r="15" customFormat="false" ht="42" hidden="false" customHeight="true" outlineLevel="0" collapsed="false">
      <c r="A15" s="86" t="str">
        <f aca="false">IF(项目基本情况!B8="抵押","（1）"&amp;CONCATENATE(项目基本情况!L20,项目基本情况!L21,项目基本情况!L22),"——")</f>
        <v>——</v>
      </c>
      <c r="B15" s="86"/>
      <c r="C15" s="86"/>
      <c r="D15" s="86"/>
    </row>
    <row r="16" customFormat="false" ht="30" hidden="false" customHeight="true" outlineLevel="0" collapsed="false">
      <c r="A16" s="87" t="s">
        <v>125</v>
      </c>
      <c r="B16" s="87"/>
      <c r="C16" s="87"/>
      <c r="D16" s="87"/>
    </row>
    <row r="17" customFormat="false" ht="144" hidden="false" customHeight="true" outlineLevel="0" collapsed="false">
      <c r="A17" s="87" t="s">
        <v>126</v>
      </c>
      <c r="B17" s="87"/>
      <c r="C17" s="87"/>
      <c r="D17" s="87"/>
    </row>
    <row r="18" customFormat="false" ht="15.75" hidden="false" customHeight="true" outlineLevel="0" collapsed="false">
      <c r="A18" s="86" t="str">
        <f aca="false">IF(项目基本情况!B8="抵押",结果表!K120,"——")</f>
        <v>——</v>
      </c>
      <c r="B18" s="86"/>
      <c r="C18" s="86"/>
      <c r="D18" s="86"/>
    </row>
    <row r="19" customFormat="false" ht="46.5" hidden="false" customHeight="true" outlineLevel="0" collapsed="false">
      <c r="A19" s="86" t="str">
        <f aca="false">IF(项目基本情况!B8="抵押","5.","3.")&amp;"本《评估意见函》中数据全部采用电算化连续计算得出，由于在报告中计算的数据均按四舍五入保留两位小数或取整，故可能出现个别等式左右不完全相等的情况，但不影响计算结果及最终评估结论的准确性。"</f>
        <v>3.本《评估意见函》中数据全部采用电算化连续计算得出，由于在报告中计算的数据均按四舍五入保留两位小数或取整，故可能出现个别等式左右不完全相等的情况，但不影响计算结果及最终评估结论的准确性。</v>
      </c>
      <c r="B19" s="86"/>
      <c r="C19" s="86"/>
      <c r="D19" s="86"/>
    </row>
    <row r="20" customFormat="false" ht="57.75" hidden="false" customHeight="true" outlineLevel="0" collapsed="false">
      <c r="A20" s="86" t="str">
        <f aca="false">IF(结果表!G1="现房","——",IF(项目基本情况!B9="房地产市场价值","4.","6.")&amp;"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f>
        <v>4.本次估价结果以估价对象能够按照合理工期按时完成各项工程进度，直至通过竣工验收，并能够在合理期限内正常投入使用，最终在《不动产权证书》中登记建筑物信息为前提条件，未考虑估价对象因其他原因无法顺利开工、完工而产生的重大影响，在此提请报告使用者注意。</v>
      </c>
      <c r="B20" s="86"/>
      <c r="C20" s="86"/>
      <c r="D20" s="86"/>
    </row>
    <row r="21" customFormat="false" ht="57.75" hidden="false" customHeight="true" outlineLevel="0" collapsed="false">
      <c r="A21" s="88" t="str">
        <f aca="false">IF(结果表!G1="现房","——",IF(项目基本情况!B9="房地产市场价值","5.","7.")&amp;"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f>
        <v>5.根据《物权法》[主席令第六十二号]第二百条，建设用地使用权抵押后，该土地上新增的建筑物不属于抵押财产。该建设用地使用权实现抵押权时，应当将该土地上新增的建筑物与建设用地使用权一并处分，但新增建筑物所得的价款，抵押权人无权优先受偿。</v>
      </c>
      <c r="B21" s="88"/>
      <c r="C21" s="88"/>
      <c r="D21" s="88"/>
    </row>
    <row r="22" customFormat="false" ht="18.75" hidden="false" customHeight="true" outlineLevel="0" collapsed="false">
      <c r="A22" s="89" t="s">
        <v>127</v>
      </c>
      <c r="B22" s="89"/>
      <c r="C22" s="89"/>
      <c r="D22" s="89"/>
    </row>
    <row r="23" customFormat="false" ht="14.25" hidden="false" customHeight="false" outlineLevel="0" collapsed="false">
      <c r="A23" s="90"/>
      <c r="B23" s="37"/>
      <c r="C23" s="37"/>
      <c r="D23" s="37"/>
    </row>
    <row r="24" customFormat="false" ht="14.25" hidden="false" customHeight="false" outlineLevel="0" collapsed="false">
      <c r="A24" s="90"/>
      <c r="B24" s="37"/>
      <c r="C24" s="37"/>
      <c r="D24" s="37"/>
    </row>
    <row r="25" customFormat="false" ht="18.75" hidden="false" customHeight="false" outlineLevel="0" collapsed="false">
      <c r="A25" s="91" t="s">
        <v>128</v>
      </c>
    </row>
    <row r="26" customFormat="false" ht="18" hidden="false" customHeight="false" outlineLevel="0" collapsed="false">
      <c r="A26" s="35"/>
    </row>
    <row r="27" customFormat="false" ht="18.75" hidden="false" customHeight="false" outlineLevel="0" collapsed="false">
      <c r="A27" s="92" t="s">
        <v>129</v>
      </c>
    </row>
    <row r="30" customFormat="false" ht="18.75" hidden="false" customHeight="false" outlineLevel="0" collapsed="false">
      <c r="D30" s="93" t="s">
        <v>79</v>
      </c>
    </row>
    <row r="31" customFormat="false" ht="13.5" hidden="false" customHeight="true" outlineLevel="0" collapsed="false">
      <c r="C31" s="94" t="n">
        <v>42551</v>
      </c>
      <c r="D31" s="94"/>
    </row>
  </sheetData>
  <sheetProtection sheet="true" objects="true" scenarios="true" formatCells="false" insertRows="false" deleteRows="false"/>
  <mergeCells count="16">
    <mergeCell ref="A1:D1"/>
    <mergeCell ref="A2:D2"/>
    <mergeCell ref="A6:D6"/>
    <mergeCell ref="A11:D11"/>
    <mergeCell ref="A12:D12"/>
    <mergeCell ref="A13:D13"/>
    <mergeCell ref="A14:D14"/>
    <mergeCell ref="A15:D15"/>
    <mergeCell ref="A16:D16"/>
    <mergeCell ref="A17:D17"/>
    <mergeCell ref="A18:D18"/>
    <mergeCell ref="A19:D19"/>
    <mergeCell ref="A20:D20"/>
    <mergeCell ref="A21:D21"/>
    <mergeCell ref="A22:D22"/>
    <mergeCell ref="C31:D31"/>
  </mergeCells>
  <printOptions headings="false" gridLines="false" gridLinesSet="true" horizontalCentered="false" verticalCentered="false"/>
  <pageMargins left="0.984027777777778" right="0.7875" top="0.83125" bottom="0.984027777777778" header="0.590277777777778"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sheetPr filterMode="false">
    <pageSetUpPr fitToPage="false"/>
  </sheetPr>
  <dimension ref="A1:J31"/>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C5" activeCellId="0" sqref="C5"/>
    </sheetView>
  </sheetViews>
  <sheetFormatPr defaultRowHeight="13.5" zeroHeight="false" outlineLevelRow="0" outlineLevelCol="0"/>
  <cols>
    <col collapsed="false" customWidth="true" hidden="false" outlineLevel="0" max="2" min="1" style="37" width="13.12"/>
    <col collapsed="false" customWidth="true" hidden="false" outlineLevel="0" max="10" min="3" style="37" width="12.5"/>
    <col collapsed="false" customWidth="true" hidden="false" outlineLevel="0" max="1025" min="11" style="37" width="9"/>
  </cols>
  <sheetData>
    <row r="1" customFormat="false" ht="18.75" hidden="false" customHeight="false" outlineLevel="0" collapsed="false">
      <c r="A1" s="76" t="s">
        <v>130</v>
      </c>
      <c r="B1" s="95"/>
      <c r="C1" s="95"/>
      <c r="D1" s="95"/>
      <c r="E1" s="95"/>
      <c r="F1" s="95"/>
      <c r="G1" s="95"/>
      <c r="H1" s="95"/>
      <c r="I1" s="95"/>
      <c r="J1" s="95"/>
    </row>
    <row r="2" customFormat="false" ht="18.75" hidden="false" customHeight="false" outlineLevel="0" collapsed="false">
      <c r="A2" s="96"/>
      <c r="B2" s="95"/>
      <c r="C2" s="95"/>
      <c r="D2" s="95"/>
      <c r="E2" s="95"/>
      <c r="F2" s="95"/>
      <c r="G2" s="95"/>
      <c r="H2" s="95"/>
      <c r="I2" s="95"/>
      <c r="J2" s="95"/>
    </row>
    <row r="3" customFormat="false" ht="13.5" hidden="false" customHeight="false" outlineLevel="0" collapsed="false">
      <c r="A3" s="95"/>
      <c r="B3" s="95"/>
      <c r="C3" s="95"/>
      <c r="D3" s="95"/>
      <c r="E3" s="95"/>
      <c r="F3" s="95"/>
      <c r="G3" s="95"/>
      <c r="H3" s="95"/>
      <c r="I3" s="95"/>
      <c r="J3" s="95"/>
    </row>
    <row r="4" customFormat="false" ht="13.5" hidden="false" customHeight="false" outlineLevel="0" collapsed="false">
      <c r="A4" s="95"/>
      <c r="B4" s="95"/>
      <c r="C4" s="95"/>
      <c r="D4" s="95"/>
      <c r="E4" s="95"/>
      <c r="F4" s="95"/>
      <c r="G4" s="95"/>
      <c r="H4" s="95"/>
      <c r="I4" s="95"/>
      <c r="J4" s="95"/>
    </row>
    <row r="5" customFormat="false" ht="13.5" hidden="false" customHeight="false" outlineLevel="0" collapsed="false">
      <c r="A5" s="95"/>
      <c r="B5" s="95"/>
      <c r="C5" s="95"/>
      <c r="D5" s="95"/>
      <c r="E5" s="95"/>
      <c r="F5" s="95"/>
      <c r="G5" s="95"/>
      <c r="H5" s="95"/>
      <c r="I5" s="95"/>
      <c r="J5" s="95"/>
    </row>
    <row r="6" customFormat="false" ht="13.5" hidden="false" customHeight="false" outlineLevel="0" collapsed="false">
      <c r="A6" s="95"/>
      <c r="B6" s="95"/>
      <c r="C6" s="95"/>
      <c r="D6" s="95"/>
      <c r="E6" s="95"/>
      <c r="F6" s="95"/>
      <c r="G6" s="95"/>
      <c r="H6" s="95"/>
      <c r="I6" s="95"/>
      <c r="J6" s="95"/>
    </row>
    <row r="7" customFormat="false" ht="13.5" hidden="false" customHeight="false" outlineLevel="0" collapsed="false">
      <c r="A7" s="95"/>
      <c r="B7" s="95"/>
      <c r="C7" s="95"/>
      <c r="D7" s="95"/>
      <c r="E7" s="95"/>
      <c r="F7" s="95"/>
      <c r="G7" s="95"/>
      <c r="H7" s="95"/>
      <c r="I7" s="95"/>
      <c r="J7" s="95"/>
    </row>
    <row r="8" customFormat="false" ht="13.5" hidden="false" customHeight="false" outlineLevel="0" collapsed="false">
      <c r="A8" s="95"/>
      <c r="B8" s="95"/>
      <c r="C8" s="95"/>
      <c r="D8" s="95"/>
      <c r="E8" s="95"/>
      <c r="F8" s="95"/>
      <c r="G8" s="95"/>
      <c r="H8" s="95"/>
      <c r="I8" s="95"/>
      <c r="J8" s="95"/>
    </row>
    <row r="9" customFormat="false" ht="13.5" hidden="false" customHeight="false" outlineLevel="0" collapsed="false">
      <c r="A9" s="95"/>
      <c r="B9" s="95"/>
      <c r="C9" s="95"/>
      <c r="D9" s="95"/>
      <c r="E9" s="95"/>
      <c r="F9" s="95"/>
      <c r="G9" s="95"/>
      <c r="H9" s="95"/>
      <c r="I9" s="95"/>
      <c r="J9" s="95"/>
    </row>
    <row r="10" customFormat="false" ht="13.5" hidden="false" customHeight="false" outlineLevel="0" collapsed="false">
      <c r="A10" s="95"/>
      <c r="B10" s="95"/>
      <c r="C10" s="95"/>
      <c r="D10" s="95"/>
      <c r="E10" s="95"/>
      <c r="F10" s="95"/>
      <c r="G10" s="95"/>
      <c r="H10" s="95"/>
      <c r="I10" s="95"/>
      <c r="J10" s="95"/>
    </row>
    <row r="11" customFormat="false" ht="13.5" hidden="false" customHeight="false" outlineLevel="0" collapsed="false">
      <c r="A11" s="95"/>
      <c r="B11" s="95"/>
      <c r="C11" s="95"/>
      <c r="D11" s="95"/>
      <c r="E11" s="95"/>
      <c r="F11" s="95"/>
      <c r="G11" s="95"/>
      <c r="H11" s="95"/>
      <c r="I11" s="95"/>
      <c r="J11" s="95"/>
    </row>
    <row r="12" customFormat="false" ht="13.5" hidden="false" customHeight="false" outlineLevel="0" collapsed="false">
      <c r="A12" s="95"/>
      <c r="B12" s="95"/>
      <c r="C12" s="95"/>
      <c r="D12" s="95"/>
      <c r="E12" s="95"/>
      <c r="F12" s="95"/>
      <c r="G12" s="95"/>
      <c r="H12" s="95"/>
      <c r="I12" s="95"/>
      <c r="J12" s="95"/>
    </row>
    <row r="13" customFormat="false" ht="13.5" hidden="false" customHeight="false" outlineLevel="0" collapsed="false">
      <c r="A13" s="95"/>
      <c r="B13" s="95"/>
      <c r="C13" s="95"/>
      <c r="D13" s="95"/>
      <c r="E13" s="95"/>
      <c r="F13" s="95"/>
      <c r="G13" s="95"/>
      <c r="H13" s="95"/>
      <c r="I13" s="95"/>
      <c r="J13" s="95"/>
    </row>
    <row r="14" customFormat="false" ht="13.5" hidden="false" customHeight="false" outlineLevel="0" collapsed="false">
      <c r="A14" s="95"/>
      <c r="B14" s="95"/>
      <c r="C14" s="95"/>
      <c r="D14" s="95"/>
      <c r="E14" s="95"/>
      <c r="F14" s="95"/>
      <c r="G14" s="95"/>
      <c r="H14" s="95"/>
      <c r="I14" s="95"/>
      <c r="J14" s="95"/>
    </row>
    <row r="15" customFormat="false" ht="13.5" hidden="false" customHeight="false" outlineLevel="0" collapsed="false">
      <c r="A15" s="95"/>
      <c r="B15" s="95"/>
      <c r="C15" s="95"/>
      <c r="D15" s="95"/>
      <c r="E15" s="95"/>
      <c r="F15" s="95"/>
      <c r="G15" s="95"/>
      <c r="H15" s="95"/>
      <c r="I15" s="95"/>
      <c r="J15" s="95"/>
    </row>
    <row r="16" customFormat="false" ht="13.5" hidden="false" customHeight="false" outlineLevel="0" collapsed="false">
      <c r="A16" s="95"/>
      <c r="B16" s="95"/>
      <c r="C16" s="95"/>
      <c r="D16" s="95"/>
      <c r="E16" s="95"/>
      <c r="F16" s="95"/>
      <c r="G16" s="95"/>
      <c r="H16" s="95"/>
      <c r="I16" s="95"/>
      <c r="J16" s="95"/>
    </row>
    <row r="17" customFormat="false" ht="13.5" hidden="false" customHeight="false" outlineLevel="0" collapsed="false">
      <c r="A17" s="95"/>
      <c r="B17" s="95"/>
      <c r="C17" s="95"/>
      <c r="D17" s="95"/>
      <c r="E17" s="95"/>
      <c r="F17" s="95"/>
      <c r="G17" s="95"/>
      <c r="H17" s="95"/>
      <c r="I17" s="95"/>
      <c r="J17" s="95"/>
    </row>
    <row r="18" customFormat="false" ht="13.5" hidden="false" customHeight="false" outlineLevel="0" collapsed="false">
      <c r="A18" s="95"/>
      <c r="B18" s="95"/>
      <c r="C18" s="95"/>
      <c r="D18" s="95"/>
      <c r="E18" s="95"/>
      <c r="F18" s="95"/>
      <c r="G18" s="95"/>
      <c r="H18" s="95"/>
      <c r="I18" s="95"/>
      <c r="J18" s="95"/>
    </row>
    <row r="19" customFormat="false" ht="13.5" hidden="false" customHeight="false" outlineLevel="0" collapsed="false">
      <c r="A19" s="95"/>
      <c r="B19" s="95"/>
      <c r="C19" s="95"/>
      <c r="D19" s="95"/>
      <c r="E19" s="95"/>
      <c r="F19" s="95"/>
      <c r="G19" s="95"/>
      <c r="H19" s="95"/>
      <c r="I19" s="95"/>
      <c r="J19" s="95"/>
    </row>
    <row r="20" customFormat="false" ht="13.5" hidden="false" customHeight="false" outlineLevel="0" collapsed="false">
      <c r="A20" s="95"/>
      <c r="B20" s="95"/>
      <c r="C20" s="95"/>
      <c r="D20" s="95"/>
      <c r="E20" s="95"/>
      <c r="F20" s="95"/>
      <c r="G20" s="95"/>
      <c r="H20" s="95"/>
      <c r="I20" s="95"/>
      <c r="J20" s="95"/>
    </row>
    <row r="21" customFormat="false" ht="13.5" hidden="false" customHeight="false" outlineLevel="0" collapsed="false">
      <c r="A21" s="95"/>
      <c r="B21" s="95"/>
      <c r="C21" s="95"/>
      <c r="D21" s="95"/>
      <c r="E21" s="95"/>
      <c r="F21" s="95"/>
      <c r="G21" s="95"/>
      <c r="H21" s="95"/>
      <c r="I21" s="95"/>
      <c r="J21" s="95"/>
    </row>
    <row r="22" customFormat="false" ht="13.5" hidden="false" customHeight="false" outlineLevel="0" collapsed="false">
      <c r="A22" s="95"/>
      <c r="B22" s="95"/>
      <c r="C22" s="95"/>
      <c r="D22" s="95"/>
      <c r="E22" s="95"/>
      <c r="F22" s="95"/>
      <c r="G22" s="95"/>
      <c r="H22" s="95"/>
      <c r="I22" s="95"/>
      <c r="J22" s="95"/>
    </row>
    <row r="23" customFormat="false" ht="13.5" hidden="false" customHeight="false" outlineLevel="0" collapsed="false">
      <c r="A23" s="95"/>
      <c r="B23" s="95"/>
      <c r="C23" s="95"/>
      <c r="D23" s="95"/>
      <c r="E23" s="95"/>
      <c r="F23" s="95"/>
      <c r="G23" s="95"/>
      <c r="H23" s="95"/>
      <c r="I23" s="95"/>
      <c r="J23" s="95"/>
    </row>
    <row r="24" customFormat="false" ht="13.5" hidden="false" customHeight="false" outlineLevel="0" collapsed="false">
      <c r="A24" s="95"/>
      <c r="B24" s="95"/>
      <c r="C24" s="95"/>
      <c r="D24" s="95"/>
      <c r="E24" s="95"/>
      <c r="F24" s="95"/>
      <c r="G24" s="95"/>
      <c r="H24" s="95"/>
      <c r="I24" s="95"/>
      <c r="J24" s="95"/>
    </row>
    <row r="25" customFormat="false" ht="13.5" hidden="false" customHeight="false" outlineLevel="0" collapsed="false">
      <c r="A25" s="95"/>
      <c r="B25" s="95"/>
      <c r="C25" s="95"/>
      <c r="D25" s="95"/>
      <c r="E25" s="95"/>
      <c r="F25" s="95"/>
      <c r="G25" s="95"/>
      <c r="H25" s="95"/>
      <c r="I25" s="95"/>
      <c r="J25" s="95"/>
    </row>
    <row r="26" customFormat="false" ht="13.5" hidden="false" customHeight="false" outlineLevel="0" collapsed="false">
      <c r="A26" s="95"/>
      <c r="B26" s="95"/>
      <c r="C26" s="95"/>
      <c r="D26" s="95"/>
      <c r="E26" s="95"/>
      <c r="F26" s="95"/>
      <c r="G26" s="95"/>
      <c r="H26" s="95"/>
      <c r="I26" s="95"/>
      <c r="J26" s="95"/>
    </row>
    <row r="27" customFormat="false" ht="13.5" hidden="false" customHeight="false" outlineLevel="0" collapsed="false">
      <c r="A27" s="95"/>
      <c r="B27" s="95"/>
      <c r="C27" s="95"/>
      <c r="D27" s="95"/>
      <c r="E27" s="95"/>
      <c r="F27" s="95"/>
      <c r="G27" s="95"/>
      <c r="H27" s="95"/>
      <c r="I27" s="95"/>
      <c r="J27" s="95"/>
    </row>
    <row r="28" customFormat="false" ht="13.5" hidden="false" customHeight="false" outlineLevel="0" collapsed="false">
      <c r="A28" s="95"/>
      <c r="B28" s="95"/>
      <c r="C28" s="95"/>
      <c r="D28" s="95"/>
      <c r="E28" s="95"/>
      <c r="F28" s="95"/>
      <c r="G28" s="95"/>
      <c r="H28" s="95"/>
      <c r="I28" s="95"/>
      <c r="J28" s="95"/>
    </row>
    <row r="29" customFormat="false" ht="13.5" hidden="false" customHeight="false" outlineLevel="0" collapsed="false">
      <c r="A29" s="95"/>
      <c r="B29" s="95"/>
      <c r="C29" s="95"/>
      <c r="D29" s="95"/>
      <c r="E29" s="95"/>
      <c r="F29" s="95"/>
      <c r="G29" s="95"/>
      <c r="H29" s="95"/>
      <c r="I29" s="95"/>
      <c r="J29" s="95"/>
    </row>
    <row r="30" customFormat="false" ht="13.5" hidden="false" customHeight="false" outlineLevel="0" collapsed="false">
      <c r="A30" s="95"/>
      <c r="B30" s="95"/>
      <c r="C30" s="95"/>
      <c r="D30" s="95"/>
      <c r="E30" s="95"/>
      <c r="F30" s="95"/>
      <c r="G30" s="95"/>
      <c r="H30" s="95"/>
      <c r="I30" s="95"/>
      <c r="J30" s="95"/>
    </row>
    <row r="31" customFormat="false" ht="13.5" hidden="false" customHeight="false" outlineLevel="0" collapsed="false">
      <c r="A31" s="95"/>
      <c r="B31" s="95"/>
      <c r="C31" s="95"/>
      <c r="D31" s="95"/>
      <c r="E31" s="95"/>
      <c r="F31" s="95"/>
      <c r="G31" s="95"/>
      <c r="H31" s="95"/>
      <c r="I31" s="95"/>
      <c r="J31" s="95"/>
    </row>
  </sheetData>
  <sheetProtection sheet="true" objects="true" scenarios="true" formatCells="false" formatColumns="false" formatRows="false" insertColumns="false" insertRows="false" deleteColumns="false" deleteRows="false"/>
  <printOptions headings="false" gridLines="false" gridLinesSet="true" horizontalCentered="true" verticalCentered="false"/>
  <pageMargins left="0.984027777777778" right="0.984027777777778" top="1.10694444444444" bottom="0.984027777777778" header="0.865972222222222" footer="0.590277777777778"/>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&amp;C&amp;P</oddFooter>
  </headerFooter>
</worksheet>
</file>

<file path=xl/worksheets/sheet8.xml><?xml version="1.0" encoding="utf-8"?>
<worksheet xmlns="http://schemas.openxmlformats.org/spreadsheetml/2006/main" xmlns:r="http://schemas.openxmlformats.org/officeDocument/2006/relationships">
  <sheetPr filterMode="false">
    <pageSetUpPr fitToPage="false"/>
  </sheetPr>
  <dimension ref="A1:G4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pane xSplit="0" ySplit="1" topLeftCell="A2" activePane="bottomLeft" state="frozen"/>
      <selection pane="topLeft" activeCell="A1" activeCellId="0" sqref="A1"/>
      <selection pane="bottomLeft" activeCell="D26" activeCellId="0" sqref="D26"/>
    </sheetView>
  </sheetViews>
  <sheetFormatPr defaultRowHeight="14.25" zeroHeight="false" outlineLevelRow="0" outlineLevelCol="0"/>
  <cols>
    <col collapsed="false" customWidth="true" hidden="false" outlineLevel="0" max="1" min="1" style="97" width="14.5"/>
    <col collapsed="false" customWidth="true" hidden="false" outlineLevel="0" max="1025" min="2" style="85" width="14.5"/>
  </cols>
  <sheetData>
    <row r="1" s="99" customFormat="true" ht="18.75" hidden="false" customHeight="false" outlineLevel="0" collapsed="false">
      <c r="A1" s="98" t="s">
        <v>131</v>
      </c>
    </row>
    <row r="3" customFormat="false" ht="14.25" hidden="false" customHeight="false" outlineLevel="0" collapsed="false">
      <c r="A3" s="100" t="s">
        <v>132</v>
      </c>
      <c r="B3" s="101" t="s">
        <v>133</v>
      </c>
      <c r="G3" s="102"/>
    </row>
    <row r="4" customFormat="false" ht="14.25" hidden="false" customHeight="false" outlineLevel="0" collapsed="false">
      <c r="G4" s="102"/>
    </row>
    <row r="5" customFormat="false" ht="14.25" hidden="false" customHeight="false" outlineLevel="0" collapsed="false">
      <c r="A5" s="103" t="s">
        <v>134</v>
      </c>
      <c r="B5" s="101" t="s">
        <v>135</v>
      </c>
      <c r="G5" s="102"/>
    </row>
    <row r="6" customFormat="false" ht="14.25" hidden="false" customHeight="false" outlineLevel="0" collapsed="false">
      <c r="G6" s="102"/>
    </row>
    <row r="7" customFormat="false" ht="14.25" hidden="false" customHeight="false" outlineLevel="0" collapsed="false">
      <c r="A7" s="104" t="s">
        <v>136</v>
      </c>
      <c r="B7" s="101" t="s">
        <v>137</v>
      </c>
      <c r="G7" s="102"/>
    </row>
    <row r="8" customFormat="false" ht="14.25" hidden="false" customHeight="false" outlineLevel="0" collapsed="false">
      <c r="G8" s="102"/>
    </row>
    <row r="9" customFormat="false" ht="14.25" hidden="false" customHeight="false" outlineLevel="0" collapsed="false">
      <c r="A9" s="105" t="s">
        <v>138</v>
      </c>
      <c r="B9" s="101" t="s">
        <v>139</v>
      </c>
    </row>
    <row r="11" customFormat="false" ht="14.25" hidden="false" customHeight="false" outlineLevel="0" collapsed="false">
      <c r="A11" s="106" t="s">
        <v>140</v>
      </c>
      <c r="B11" s="101" t="s">
        <v>141</v>
      </c>
    </row>
    <row r="13" customFormat="false" ht="14.25" hidden="false" customHeight="false" outlineLevel="0" collapsed="false">
      <c r="A13" s="107" t="s">
        <v>142</v>
      </c>
    </row>
    <row r="15" customFormat="false" ht="13.5" hidden="false" customHeight="false" outlineLevel="0" collapsed="false">
      <c r="A15" s="108" t="s">
        <v>143</v>
      </c>
      <c r="B15" s="109" t="s">
        <v>144</v>
      </c>
      <c r="C15" s="109"/>
    </row>
    <row r="16" customFormat="false" ht="13.5" hidden="false" customHeight="false" outlineLevel="0" collapsed="false">
      <c r="A16" s="108"/>
      <c r="B16" s="109" t="s">
        <v>145</v>
      </c>
      <c r="C16" s="109"/>
    </row>
    <row r="17" customFormat="false" ht="13.5" hidden="false" customHeight="false" outlineLevel="0" collapsed="false">
      <c r="A17" s="108"/>
      <c r="B17" s="109" t="s">
        <v>146</v>
      </c>
      <c r="C17" s="109" t="s">
        <v>143</v>
      </c>
    </row>
    <row r="18" customFormat="false" ht="13.5" hidden="false" customHeight="false" outlineLevel="0" collapsed="false">
      <c r="A18" s="108"/>
      <c r="B18" s="109"/>
      <c r="C18" s="109" t="s">
        <v>147</v>
      </c>
    </row>
    <row r="19" customFormat="false" ht="13.5" hidden="false" customHeight="false" outlineLevel="0" collapsed="false">
      <c r="A19" s="108"/>
      <c r="B19" s="109"/>
      <c r="C19" s="109" t="s">
        <v>148</v>
      </c>
    </row>
    <row r="20" customFormat="false" ht="13.5" hidden="false" customHeight="false" outlineLevel="0" collapsed="false">
      <c r="A20" s="108"/>
      <c r="B20" s="109" t="s">
        <v>149</v>
      </c>
      <c r="C20" s="109"/>
    </row>
    <row r="21" customFormat="false" ht="13.5" hidden="false" customHeight="false" outlineLevel="0" collapsed="false">
      <c r="A21" s="110" t="s">
        <v>150</v>
      </c>
      <c r="B21" s="111"/>
      <c r="C21" s="112"/>
    </row>
    <row r="22" customFormat="false" ht="13.5" hidden="false" customHeight="false" outlineLevel="0" collapsed="false">
      <c r="A22" s="113" t="s">
        <v>151</v>
      </c>
      <c r="B22" s="109" t="s">
        <v>152</v>
      </c>
      <c r="C22" s="109"/>
    </row>
    <row r="23" customFormat="false" ht="13.5" hidden="false" customHeight="false" outlineLevel="0" collapsed="false">
      <c r="A23" s="113"/>
      <c r="B23" s="109" t="s">
        <v>153</v>
      </c>
      <c r="C23" s="109"/>
    </row>
    <row r="24" customFormat="false" ht="13.5" hidden="false" customHeight="false" outlineLevel="0" collapsed="false">
      <c r="A24" s="113"/>
      <c r="B24" s="109" t="s">
        <v>154</v>
      </c>
      <c r="C24" s="109"/>
    </row>
    <row r="25" customFormat="false" ht="13.5" hidden="false" customHeight="false" outlineLevel="0" collapsed="false">
      <c r="A25" s="113"/>
      <c r="B25" s="109" t="s">
        <v>155</v>
      </c>
      <c r="C25" s="109" t="s">
        <v>156</v>
      </c>
    </row>
    <row r="26" customFormat="false" ht="13.5" hidden="false" customHeight="false" outlineLevel="0" collapsed="false">
      <c r="A26" s="113"/>
      <c r="B26" s="109"/>
      <c r="C26" s="109" t="s">
        <v>157</v>
      </c>
    </row>
    <row r="27" customFormat="false" ht="13.5" hidden="false" customHeight="false" outlineLevel="0" collapsed="false">
      <c r="A27" s="113"/>
      <c r="B27" s="109"/>
      <c r="C27" s="109" t="s">
        <v>158</v>
      </c>
    </row>
    <row r="28" customFormat="false" ht="13.5" hidden="false" customHeight="false" outlineLevel="0" collapsed="false">
      <c r="A28" s="113"/>
      <c r="B28" s="109"/>
      <c r="C28" s="109" t="s">
        <v>159</v>
      </c>
    </row>
    <row r="29" customFormat="false" ht="13.5" hidden="false" customHeight="false" outlineLevel="0" collapsed="false">
      <c r="A29" s="113"/>
      <c r="B29" s="109"/>
      <c r="C29" s="109" t="s">
        <v>160</v>
      </c>
    </row>
    <row r="30" customFormat="false" ht="13.5" hidden="false" customHeight="false" outlineLevel="0" collapsed="false">
      <c r="A30" s="113"/>
      <c r="B30" s="109"/>
      <c r="C30" s="109" t="s">
        <v>161</v>
      </c>
    </row>
    <row r="31" customFormat="false" ht="13.5" hidden="false" customHeight="false" outlineLevel="0" collapsed="false">
      <c r="A31" s="113"/>
      <c r="B31" s="109"/>
      <c r="C31" s="109" t="s">
        <v>162</v>
      </c>
    </row>
    <row r="32" customFormat="false" ht="13.5" hidden="false" customHeight="false" outlineLevel="0" collapsed="false">
      <c r="A32" s="113"/>
      <c r="B32" s="109"/>
      <c r="C32" s="109" t="s">
        <v>163</v>
      </c>
    </row>
    <row r="33" customFormat="false" ht="13.5" hidden="false" customHeight="false" outlineLevel="0" collapsed="false">
      <c r="A33" s="113"/>
      <c r="B33" s="109"/>
      <c r="C33" s="109" t="s">
        <v>164</v>
      </c>
    </row>
    <row r="34" customFormat="false" ht="14.25" hidden="false" customHeight="false" outlineLevel="0" collapsed="false">
      <c r="A34" s="114" t="s">
        <v>165</v>
      </c>
    </row>
    <row r="37" customFormat="false" ht="14.25" hidden="false" customHeight="false" outlineLevel="0" collapsed="false">
      <c r="A37" s="114" t="s">
        <v>166</v>
      </c>
    </row>
    <row r="38" customFormat="false" ht="13.5" hidden="false" customHeight="false" outlineLevel="0" collapsed="false">
      <c r="A38" s="115" t="s">
        <v>167</v>
      </c>
    </row>
    <row r="39" customFormat="false" ht="13.5" hidden="false" customHeight="false" outlineLevel="0" collapsed="false">
      <c r="A39" s="115" t="s">
        <v>168</v>
      </c>
    </row>
    <row r="40" customFormat="false" ht="13.5" hidden="false" customHeight="false" outlineLevel="0" collapsed="false">
      <c r="A40" s="115" t="s">
        <v>169</v>
      </c>
    </row>
    <row r="41" customFormat="false" ht="13.5" hidden="false" customHeight="false" outlineLevel="0" collapsed="false">
      <c r="A41" s="116" t="s">
        <v>170</v>
      </c>
    </row>
    <row r="42" customFormat="false" ht="13.5" hidden="false" customHeight="false" outlineLevel="0" collapsed="false">
      <c r="A42" s="115" t="s">
        <v>171</v>
      </c>
    </row>
  </sheetData>
  <sheetProtection sheet="true" password="cee9" objects="true" scenarios="true" formatCells="false" formatColumns="false" formatRows="false"/>
  <mergeCells count="10">
    <mergeCell ref="A15:A20"/>
    <mergeCell ref="B15:C15"/>
    <mergeCell ref="B16:C16"/>
    <mergeCell ref="B17:B19"/>
    <mergeCell ref="B20:C20"/>
    <mergeCell ref="A22:A33"/>
    <mergeCell ref="B22:C22"/>
    <mergeCell ref="B23:C23"/>
    <mergeCell ref="B24:C24"/>
    <mergeCell ref="B25:B33"/>
  </mergeCells>
  <dataValidations count="1">
    <dataValidation allowBlank="true" operator="between" showDropDown="false" showErrorMessage="true" showInputMessage="true" sqref="A5" type="list">
      <formula1>"下拉菜单,111,222,333"</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sheetPr filterMode="false">
    <pageSetUpPr fitToPage="true"/>
  </sheetPr>
  <dimension ref="A1:H22"/>
  <sheetViews>
    <sheetView showFormulas="false" showGridLines="true" showRowColHeaders="true" showZeros="true" rightToLeft="false" tabSelected="false" showOutlineSymbols="true" defaultGridColor="true" view="pageBreakPreview" topLeftCell="A1" colorId="64" zoomScale="100" zoomScaleNormal="100" zoomScalePageLayoutView="100" workbookViewId="0">
      <selection pane="topLeft" activeCell="D26" activeCellId="0" sqref="D26"/>
    </sheetView>
  </sheetViews>
  <sheetFormatPr defaultRowHeight="24" zeroHeight="false" outlineLevelRow="0" outlineLevelCol="0"/>
  <cols>
    <col collapsed="false" customWidth="true" hidden="false" outlineLevel="0" max="1" min="1" style="117" width="24.62"/>
    <col collapsed="false" customWidth="true" hidden="false" outlineLevel="0" max="2" min="2" style="117" width="38.62"/>
    <col collapsed="false" customWidth="true" hidden="false" outlineLevel="0" max="3" min="3" style="117" width="26.01"/>
    <col collapsed="false" customWidth="true" hidden="true" outlineLevel="0" max="4" min="4" style="117" width="34.99"/>
    <col collapsed="false" customWidth="true" hidden="false" outlineLevel="0" max="5" min="5" style="117" width="30.12"/>
    <col collapsed="false" customWidth="true" hidden="false" outlineLevel="0" max="6" min="6" style="117" width="35.49"/>
    <col collapsed="false" customWidth="true" hidden="false" outlineLevel="0" max="7" min="7" style="117" width="31.01"/>
    <col collapsed="false" customWidth="true" hidden="true" outlineLevel="0" max="8" min="8" style="117" width="37.49"/>
    <col collapsed="false" customWidth="true" hidden="false" outlineLevel="0" max="1025" min="9" style="117" width="22.62"/>
  </cols>
  <sheetData>
    <row r="1" customFormat="false" ht="24" hidden="false" customHeight="true" outlineLevel="0" collapsed="false">
      <c r="A1" s="118"/>
      <c r="B1" s="118"/>
      <c r="C1" s="118"/>
      <c r="D1" s="118"/>
      <c r="E1" s="118"/>
      <c r="F1" s="118"/>
      <c r="G1" s="118"/>
      <c r="H1" s="118"/>
    </row>
    <row r="2" customFormat="false" ht="24" hidden="false" customHeight="true" outlineLevel="0" collapsed="false">
      <c r="A2" s="119" t="s">
        <v>172</v>
      </c>
      <c r="B2" s="120" t="n">
        <f aca="true">TODAY()</f>
        <v>45307</v>
      </c>
      <c r="C2" s="121" t="s">
        <v>173</v>
      </c>
      <c r="D2" s="121"/>
      <c r="E2" s="121"/>
      <c r="F2" s="118"/>
      <c r="G2" s="118"/>
      <c r="H2" s="118"/>
    </row>
    <row r="3" customFormat="false" ht="24" hidden="false" customHeight="true" outlineLevel="0" collapsed="false">
      <c r="A3" s="122" t="s">
        <v>113</v>
      </c>
      <c r="B3" s="123" t="s">
        <v>174</v>
      </c>
      <c r="C3" s="123" t="s">
        <v>175</v>
      </c>
      <c r="D3" s="124" t="s">
        <v>176</v>
      </c>
      <c r="E3" s="125" t="s">
        <v>177</v>
      </c>
      <c r="F3" s="126" t="s">
        <v>178</v>
      </c>
      <c r="G3" s="123" t="s">
        <v>175</v>
      </c>
      <c r="H3" s="124" t="s">
        <v>179</v>
      </c>
    </row>
    <row r="4" customFormat="false" ht="24" hidden="false" customHeight="true" outlineLevel="0" collapsed="false">
      <c r="A4" s="126" t="s">
        <v>180</v>
      </c>
      <c r="B4" s="127" t="n">
        <f aca="false">IF(C4&lt;B2,"已过期",1119970066)</f>
        <v>1119970066</v>
      </c>
      <c r="C4" s="128" t="n">
        <v>45937</v>
      </c>
      <c r="D4" s="129" t="str">
        <f aca="false">A4&amp;"（注册号："&amp;B4&amp;"）"</f>
        <v>梁津（注册号：1119970066）</v>
      </c>
      <c r="E4" s="130" t="s">
        <v>180</v>
      </c>
      <c r="F4" s="127" t="n">
        <f aca="false">IF(G4&lt;B2,"已过期",96010014)</f>
        <v>96010014</v>
      </c>
      <c r="G4" s="131" t="n">
        <v>47118</v>
      </c>
      <c r="H4" s="132" t="str">
        <f aca="false">E4&amp;"（注册号："&amp;F4&amp;"）"</f>
        <v>梁津（注册号：96010014）</v>
      </c>
    </row>
    <row r="5" customFormat="false" ht="24" hidden="false" customHeight="true" outlineLevel="0" collapsed="false">
      <c r="A5" s="126" t="s">
        <v>181</v>
      </c>
      <c r="B5" s="127" t="n">
        <f aca="false">IF(C5&lt;B2,"已过期",1119970111)</f>
        <v>1119970111</v>
      </c>
      <c r="C5" s="128" t="n">
        <v>45937</v>
      </c>
      <c r="D5" s="129" t="str">
        <f aca="false">A5&amp;"（注册号："&amp;B5&amp;"）"</f>
        <v>叶凌（注册号：1119970111）</v>
      </c>
      <c r="E5" s="130" t="s">
        <v>181</v>
      </c>
      <c r="F5" s="127" t="n">
        <f aca="false">IF(G5&lt;B2,"已过期",94010078)</f>
        <v>94010078</v>
      </c>
      <c r="G5" s="131" t="n">
        <v>46387</v>
      </c>
      <c r="H5" s="132" t="str">
        <f aca="false">E5&amp;"（注册号："&amp;F5&amp;"）"</f>
        <v>叶凌（注册号：94010078）</v>
      </c>
    </row>
    <row r="6" customFormat="false" ht="24" hidden="false" customHeight="true" outlineLevel="0" collapsed="false">
      <c r="A6" s="126" t="s">
        <v>182</v>
      </c>
      <c r="B6" s="127" t="n">
        <f aca="false">IF(C6&lt;B2,"已过期",1120050019)</f>
        <v>1120050019</v>
      </c>
      <c r="C6" s="128" t="n">
        <v>45410</v>
      </c>
      <c r="D6" s="129" t="str">
        <f aca="false">A6&amp;"（注册号："&amp;B6&amp;"）"</f>
        <v>王鹏（注册号：1120050019）</v>
      </c>
      <c r="E6" s="130" t="s">
        <v>182</v>
      </c>
      <c r="F6" s="127" t="n">
        <f aca="false">IF(G6&lt;B2,"已过期",2002110030)</f>
        <v>2002110030</v>
      </c>
      <c r="G6" s="131" t="n">
        <v>46387</v>
      </c>
      <c r="H6" s="132" t="str">
        <f aca="false">E6&amp;"（注册号："&amp;F6&amp;"）"</f>
        <v>王鹏（注册号：2002110030）</v>
      </c>
    </row>
    <row r="7" customFormat="false" ht="24" hidden="false" customHeight="true" outlineLevel="0" collapsed="false">
      <c r="A7" s="126" t="s">
        <v>183</v>
      </c>
      <c r="B7" s="127" t="n">
        <f aca="false">IF(C7&lt;B2,"已过期",1120000080)</f>
        <v>1120000080</v>
      </c>
      <c r="C7" s="128" t="n">
        <v>45937</v>
      </c>
      <c r="D7" s="129" t="str">
        <f aca="false">A7&amp;"（注册号："&amp;B7&amp;"）"</f>
        <v>欧红伟（注册号：1120000080）</v>
      </c>
      <c r="E7" s="130" t="s">
        <v>183</v>
      </c>
      <c r="F7" s="127" t="n">
        <f aca="false">IF(G7&lt;B2,"已过期",2000110082)</f>
        <v>2000110082</v>
      </c>
      <c r="G7" s="131" t="n">
        <v>46387</v>
      </c>
      <c r="H7" s="132" t="str">
        <f aca="false">E7&amp;"（注册号："&amp;F7&amp;"）"</f>
        <v>欧红伟（注册号：2000110082）</v>
      </c>
    </row>
    <row r="8" customFormat="false" ht="24" hidden="false" customHeight="true" outlineLevel="0" collapsed="false">
      <c r="A8" s="126" t="s">
        <v>184</v>
      </c>
      <c r="B8" s="127" t="n">
        <f aca="false">IF(C8&lt;B2,"已过期",1419970001)</f>
        <v>1419970001</v>
      </c>
      <c r="C8" s="128" t="n">
        <v>45937</v>
      </c>
      <c r="D8" s="129" t="str">
        <f aca="false">A8&amp;"（注册号："&amp;B8&amp;"）"</f>
        <v>吴薇（注册号：1419970001）</v>
      </c>
      <c r="E8" s="130" t="s">
        <v>184</v>
      </c>
      <c r="F8" s="127" t="n">
        <f aca="false">IF(G8&lt;B2,"已过期",2002110125)</f>
        <v>2002110125</v>
      </c>
      <c r="G8" s="131" t="n">
        <v>47118</v>
      </c>
      <c r="H8" s="132" t="str">
        <f aca="false">E8&amp;"（注册号："&amp;F8&amp;"）"</f>
        <v>吴薇（注册号：2002110125）</v>
      </c>
    </row>
    <row r="9" customFormat="false" ht="24" hidden="false" customHeight="true" outlineLevel="0" collapsed="false">
      <c r="A9" s="126" t="s">
        <v>185</v>
      </c>
      <c r="B9" s="127" t="n">
        <f aca="false">IF(C9&lt;B2,"已过期",1120060040)</f>
        <v>1120060040</v>
      </c>
      <c r="C9" s="133" t="n">
        <v>45592</v>
      </c>
      <c r="D9" s="129" t="str">
        <f aca="false">A9&amp;"（注册号："&amp;B9&amp;"）"</f>
        <v>陈颖（注册号：1120060040）</v>
      </c>
      <c r="E9" s="130" t="s">
        <v>185</v>
      </c>
      <c r="F9" s="127" t="n">
        <f aca="false">IF(G9&lt;B2,"已过期",2004110096)</f>
        <v>2004110096</v>
      </c>
      <c r="G9" s="131" t="n">
        <v>47118</v>
      </c>
      <c r="H9" s="132" t="str">
        <f aca="false">E9&amp;"（注册号："&amp;F9&amp;"）"</f>
        <v>陈颖（注册号：2004110096）</v>
      </c>
    </row>
    <row r="10" customFormat="false" ht="24" hidden="false" customHeight="true" outlineLevel="0" collapsed="false">
      <c r="A10" s="126" t="s">
        <v>186</v>
      </c>
      <c r="B10" s="127" t="n">
        <f aca="false">IF(C10&lt;B2,"已过期",1120100036)</f>
        <v>1120100036</v>
      </c>
      <c r="C10" s="133" t="n">
        <v>45752</v>
      </c>
      <c r="D10" s="129" t="str">
        <f aca="false">A10&amp;"（注册号："&amp;B10&amp;"）"</f>
        <v>崔锴（注册号：1120100036）</v>
      </c>
      <c r="E10" s="130" t="s">
        <v>186</v>
      </c>
      <c r="F10" s="127" t="n">
        <f aca="false">IF(G10&lt;B2,"已过期",2010110070)</f>
        <v>2010110070</v>
      </c>
      <c r="G10" s="131" t="n">
        <v>47907</v>
      </c>
      <c r="H10" s="132" t="str">
        <f aca="false">E10&amp;"（注册号："&amp;F10&amp;"）"</f>
        <v>崔锴（注册号：2010110070）</v>
      </c>
    </row>
    <row r="11" customFormat="false" ht="24" hidden="false" customHeight="true" outlineLevel="0" collapsed="false">
      <c r="A11" s="126" t="s">
        <v>187</v>
      </c>
      <c r="B11" s="127" t="n">
        <f aca="false">IF(C11&lt;B2,"已过期",1120070131)</f>
        <v>1120070131</v>
      </c>
      <c r="C11" s="128" t="n">
        <v>45937</v>
      </c>
      <c r="D11" s="129" t="str">
        <f aca="false">A11&amp;"（注册号："&amp;B11&amp;"）"</f>
        <v>郑燚（注册号：1120070131）</v>
      </c>
      <c r="E11" s="130" t="s">
        <v>187</v>
      </c>
      <c r="F11" s="127" t="n">
        <f aca="false">IF(G11&lt;B2,"已过期",2014110011)</f>
        <v>2014110011</v>
      </c>
      <c r="G11" s="131" t="n">
        <v>49302</v>
      </c>
      <c r="H11" s="132" t="str">
        <f aca="false">E11&amp;"（注册号："&amp;F11&amp;"）"</f>
        <v>郑燚（注册号：2014110011）</v>
      </c>
    </row>
    <row r="12" customFormat="false" ht="24" hidden="false" customHeight="true" outlineLevel="0" collapsed="false">
      <c r="A12" s="126" t="s">
        <v>188</v>
      </c>
      <c r="B12" s="127" t="n">
        <f aca="false">IF(C12&lt;B2,"已过期",1120040230)</f>
        <v>1120040230</v>
      </c>
      <c r="C12" s="133" t="n">
        <v>45937</v>
      </c>
      <c r="D12" s="129" t="str">
        <f aca="false">A12&amp;"（注册号："&amp;B12&amp;"）"</f>
        <v>苏海（注册号：1120040230）</v>
      </c>
      <c r="E12" s="130" t="s">
        <v>188</v>
      </c>
      <c r="F12" s="127" t="n">
        <f aca="false">IF(G12&lt;B2,"已过期",98030020)</f>
        <v>98030020</v>
      </c>
      <c r="G12" s="131" t="n">
        <v>47118</v>
      </c>
      <c r="H12" s="132" t="str">
        <f aca="false">E12&amp;"（注册号："&amp;F12&amp;"）"</f>
        <v>苏海（注册号：98030020）</v>
      </c>
    </row>
    <row r="13" customFormat="false" ht="24" hidden="false" customHeight="true" outlineLevel="0" collapsed="false">
      <c r="A13" s="126" t="s">
        <v>189</v>
      </c>
      <c r="B13" s="127" t="n">
        <f aca="false">IF(C13&lt;B2,"已过期",1120020033)</f>
        <v>1120020033</v>
      </c>
      <c r="C13" s="128" t="n">
        <v>45375</v>
      </c>
      <c r="D13" s="129" t="str">
        <f aca="false">A13&amp;"（注册号："&amp;B13&amp;"）"</f>
        <v>刘敬东（注册号：1120020033）</v>
      </c>
      <c r="E13" s="130" t="s">
        <v>189</v>
      </c>
      <c r="F13" s="127" t="n">
        <f aca="false">IF(G13&lt;B2,"已过期",2000110137)</f>
        <v>2000110137</v>
      </c>
      <c r="G13" s="131" t="n">
        <v>46387</v>
      </c>
      <c r="H13" s="132" t="str">
        <f aca="false">E13&amp;"（注册号："&amp;F13&amp;"）"</f>
        <v>刘敬东（注册号：2000110137）</v>
      </c>
    </row>
    <row r="14" customFormat="false" ht="24" hidden="false" customHeight="true" outlineLevel="0" collapsed="false">
      <c r="A14" s="126" t="s">
        <v>190</v>
      </c>
      <c r="B14" s="127" t="str">
        <f aca="false">IF(C14&lt;B2,"已过期",1119980106)</f>
        <v>已过期</v>
      </c>
      <c r="C14" s="133" t="n">
        <v>44969</v>
      </c>
      <c r="D14" s="129" t="str">
        <f aca="false">A14&amp;"（注册号："&amp;B14&amp;"）"</f>
        <v>刘俊财（注册号：已过期）</v>
      </c>
      <c r="E14" s="130" t="s">
        <v>190</v>
      </c>
      <c r="F14" s="127" t="n">
        <f aca="false">IF(G14&lt;B2,"已过期",96010063)</f>
        <v>96010063</v>
      </c>
      <c r="G14" s="131" t="n">
        <v>47483</v>
      </c>
      <c r="H14" s="132" t="str">
        <f aca="false">E14&amp;"（注册号："&amp;F14&amp;"）"</f>
        <v>刘俊财（注册号：96010063）</v>
      </c>
    </row>
    <row r="15" customFormat="false" ht="24" hidden="false" customHeight="true" outlineLevel="0" collapsed="false">
      <c r="A15" s="126" t="s">
        <v>191</v>
      </c>
      <c r="B15" s="126" t="n">
        <v>1120210056</v>
      </c>
      <c r="C15" s="133" t="n">
        <v>45410</v>
      </c>
      <c r="D15" s="129" t="str">
        <f aca="false">A15&amp;"（注册号："&amp;B15&amp;"）"</f>
        <v>宁小鳗（注册号：1120210056）</v>
      </c>
      <c r="E15" s="130" t="s">
        <v>192</v>
      </c>
      <c r="F15" s="127" t="n">
        <f aca="false">IF(G15&lt;B2,"已过期",2011110090)</f>
        <v>2011110090</v>
      </c>
      <c r="G15" s="131" t="n">
        <v>48302</v>
      </c>
      <c r="H15" s="132" t="str">
        <f aca="false">E15&amp;"（注册号："&amp;F15&amp;"）"</f>
        <v>赵雯（注册号：2011110090）</v>
      </c>
    </row>
    <row r="16" s="135" customFormat="true" ht="24" hidden="false" customHeight="true" outlineLevel="0" collapsed="false">
      <c r="A16" s="126"/>
      <c r="B16" s="126"/>
      <c r="C16" s="126"/>
      <c r="D16" s="129" t="str">
        <f aca="false">A16&amp;"（注册号："&amp;B16&amp;"）"</f>
        <v>（注册号：）</v>
      </c>
      <c r="E16" s="130"/>
      <c r="F16" s="126"/>
      <c r="G16" s="126"/>
      <c r="H16" s="134" t="str">
        <f aca="false">E16&amp;"（注册号："&amp;F16&amp;"）"</f>
        <v>（注册号：）</v>
      </c>
    </row>
    <row r="17" customFormat="false" ht="24" hidden="false" customHeight="true" outlineLevel="0" collapsed="false">
      <c r="A17" s="136" t="s">
        <v>193</v>
      </c>
      <c r="B17" s="136"/>
      <c r="C17" s="136"/>
      <c r="D17" s="136"/>
      <c r="E17" s="136"/>
      <c r="F17" s="136"/>
      <c r="G17" s="136"/>
      <c r="H17" s="136"/>
    </row>
    <row r="18" customFormat="false" ht="24" hidden="false" customHeight="true" outlineLevel="0" collapsed="false">
      <c r="A18" s="123" t="s">
        <v>194</v>
      </c>
      <c r="B18" s="123"/>
      <c r="C18" s="123"/>
      <c r="D18" s="124"/>
      <c r="E18" s="137" t="s">
        <v>195</v>
      </c>
      <c r="F18" s="137"/>
      <c r="G18" s="137"/>
    </row>
    <row r="19" s="139" customFormat="true" ht="24" hidden="false" customHeight="true" outlineLevel="0" collapsed="false">
      <c r="A19" s="138" t="s">
        <v>196</v>
      </c>
      <c r="B19" s="123" t="s">
        <v>197</v>
      </c>
      <c r="C19" s="123" t="s">
        <v>175</v>
      </c>
      <c r="D19" s="124"/>
      <c r="E19" s="130" t="s">
        <v>196</v>
      </c>
      <c r="F19" s="123" t="s">
        <v>197</v>
      </c>
      <c r="G19" s="123" t="s">
        <v>175</v>
      </c>
    </row>
    <row r="20" s="139" customFormat="true" ht="24" hidden="false" customHeight="true" outlineLevel="0" collapsed="false">
      <c r="A20" s="123" t="s">
        <v>198</v>
      </c>
      <c r="B20" s="123" t="s">
        <v>199</v>
      </c>
      <c r="C20" s="131" t="n">
        <v>45898</v>
      </c>
      <c r="D20" s="140"/>
      <c r="E20" s="137" t="s">
        <v>200</v>
      </c>
      <c r="F20" s="123" t="s">
        <v>201</v>
      </c>
      <c r="G20" s="141" t="n">
        <v>44926</v>
      </c>
    </row>
    <row r="21" s="139" customFormat="true" ht="24" hidden="false" customHeight="true" outlineLevel="0" collapsed="false">
      <c r="A21" s="123"/>
      <c r="B21" s="123"/>
      <c r="C21" s="142"/>
      <c r="D21" s="143"/>
      <c r="E21" s="137"/>
      <c r="F21" s="123"/>
      <c r="G21" s="141"/>
    </row>
    <row r="22" customFormat="false" ht="24" hidden="false" customHeight="true" outlineLevel="0" collapsed="false">
      <c r="C22" s="144"/>
      <c r="D22" s="144"/>
      <c r="E22" s="145"/>
      <c r="F22" s="146"/>
      <c r="G22" s="147"/>
    </row>
  </sheetData>
  <sheetProtection sheet="true" password="cee9" objects="true" scenarios="true"/>
  <mergeCells count="3">
    <mergeCell ref="A17:H17"/>
    <mergeCell ref="A18:C18"/>
    <mergeCell ref="E18:G18"/>
  </mergeCells>
  <conditionalFormatting sqref="C7">
    <cfRule type="expression" priority="2" aboveAverage="0" equalAverage="0" bottom="0" percent="0" rank="0" text="" dxfId="0">
      <formula>AND($C7-TODAY()&lt;30,TODAY()&lt;$C7)</formula>
    </cfRule>
    <cfRule type="cellIs" priority="3" operator="lessThan" aboveAverage="0" equalAverage="0" bottom="0" percent="0" rank="0" text="" dxfId="1">
      <formula>$B$2</formula>
    </cfRule>
  </conditionalFormatting>
  <conditionalFormatting sqref="C8">
    <cfRule type="expression" priority="4" aboveAverage="0" equalAverage="0" bottom="0" percent="0" rank="0" text="" dxfId="2">
      <formula>AND($C8-TODAY()&lt;30,TODAY()&lt;$C8)</formula>
    </cfRule>
    <cfRule type="cellIs" priority="5" operator="lessThan" aboveAverage="0" equalAverage="0" bottom="0" percent="0" rank="0" text="" dxfId="3">
      <formula>$B$2</formula>
    </cfRule>
  </conditionalFormatting>
  <conditionalFormatting sqref="C11">
    <cfRule type="expression" priority="6" aboveAverage="0" equalAverage="0" bottom="0" percent="0" rank="0" text="" dxfId="4">
      <formula>AND($C11-TODAY()&lt;30,TODAY()&lt;$C11)</formula>
    </cfRule>
    <cfRule type="cellIs" priority="7" operator="lessThan" aboveAverage="0" equalAverage="0" bottom="0" percent="0" rank="0" text="" dxfId="5">
      <formula>$B$2</formula>
    </cfRule>
  </conditionalFormatting>
  <conditionalFormatting sqref="G11">
    <cfRule type="cellIs" priority="8" operator="lessThan" aboveAverage="0" equalAverage="0" bottom="0" percent="0" rank="0" text="" dxfId="6">
      <formula>$B$2</formula>
    </cfRule>
  </conditionalFormatting>
  <conditionalFormatting sqref="B12">
    <cfRule type="cellIs" priority="9" operator="equal" aboveAverage="0" equalAverage="0" bottom="0" percent="0" rank="0" text="" dxfId="7">
      <formula>"已过期"</formula>
    </cfRule>
  </conditionalFormatting>
  <conditionalFormatting sqref="C12">
    <cfRule type="expression" priority="10" aboveAverage="0" equalAverage="0" bottom="0" percent="0" rank="0" text="" dxfId="8">
      <formula>AND($C12-TODAY()&lt;30,TODAY()&lt;$C12)</formula>
    </cfRule>
    <cfRule type="cellIs" priority="11" operator="lessThan" aboveAverage="0" equalAverage="0" bottom="0" percent="0" rank="0" text="" dxfId="9">
      <formula>$B$2</formula>
    </cfRule>
    <cfRule type="cellIs" priority="12" operator="lessThan" aboveAverage="0" equalAverage="0" bottom="0" percent="0" rank="0" text="" dxfId="10">
      <formula>$B$2</formula>
    </cfRule>
  </conditionalFormatting>
  <conditionalFormatting sqref="D12">
    <cfRule type="expression" priority="13" aboveAverage="0" equalAverage="0" bottom="0" percent="0" rank="0" text="" dxfId="11">
      <formula>AND($C12-TODAY()&lt;30,TODAY()&lt;$C12)</formula>
    </cfRule>
    <cfRule type="cellIs" priority="14" operator="lessThan" aboveAverage="0" equalAverage="0" bottom="0" percent="0" rank="0" text="" dxfId="12">
      <formula>$B$2</formula>
    </cfRule>
  </conditionalFormatting>
  <conditionalFormatting sqref="F12">
    <cfRule type="cellIs" priority="15" operator="equal" aboveAverage="0" equalAverage="0" bottom="0" percent="0" rank="0" text="" dxfId="13">
      <formula>"已过期"</formula>
    </cfRule>
  </conditionalFormatting>
  <conditionalFormatting sqref="G12">
    <cfRule type="cellIs" priority="16" operator="lessThan" aboveAverage="0" equalAverage="0" bottom="0" percent="0" rank="0" text="" dxfId="14">
      <formula>$B$2</formula>
    </cfRule>
  </conditionalFormatting>
  <conditionalFormatting sqref="C13:D13">
    <cfRule type="expression" priority="17" aboveAverage="0" equalAverage="0" bottom="0" percent="0" rank="0" text="" dxfId="15">
      <formula>AND($C13-TODAY()&lt;30,TODAY()&lt;$C13)</formula>
    </cfRule>
    <cfRule type="cellIs" priority="18" operator="lessThan" aboveAverage="0" equalAverage="0" bottom="0" percent="0" rank="0" text="" dxfId="16">
      <formula>$B$2</formula>
    </cfRule>
  </conditionalFormatting>
  <conditionalFormatting sqref="G13">
    <cfRule type="cellIs" priority="19" operator="lessThan" aboveAverage="0" equalAverage="0" bottom="0" percent="0" rank="0" text="" dxfId="17">
      <formula>$B$2</formula>
    </cfRule>
  </conditionalFormatting>
  <conditionalFormatting sqref="B14">
    <cfRule type="cellIs" priority="20" operator="equal" aboveAverage="0" equalAverage="0" bottom="0" percent="0" rank="0" text="" dxfId="18">
      <formula>"已过期"</formula>
    </cfRule>
  </conditionalFormatting>
  <conditionalFormatting sqref="C14">
    <cfRule type="expression" priority="21" aboveAverage="0" equalAverage="0" bottom="0" percent="0" rank="0" text="" dxfId="19">
      <formula>AND($C14-TODAY()&lt;30,TODAY()&lt;$C14)</formula>
    </cfRule>
    <cfRule type="cellIs" priority="22" operator="lessThan" aboveAverage="0" equalAverage="0" bottom="0" percent="0" rank="0" text="" dxfId="20">
      <formula>$B$2</formula>
    </cfRule>
    <cfRule type="expression" priority="23" aboveAverage="0" equalAverage="0" bottom="0" percent="0" rank="0" text="" dxfId="21">
      <formula>AND($C14-TODAY()&lt;30,TODAY()&lt;$C14)</formula>
    </cfRule>
    <cfRule type="cellIs" priority="24" operator="lessThan" aboveAverage="0" equalAverage="0" bottom="0" percent="0" rank="0" text="" dxfId="22">
      <formula>$B$2</formula>
    </cfRule>
  </conditionalFormatting>
  <conditionalFormatting sqref="D14">
    <cfRule type="expression" priority="25" aboveAverage="0" equalAverage="0" bottom="0" percent="0" rank="0" text="" dxfId="23">
      <formula>AND($C14-TODAY()&lt;30,TODAY()&lt;$C14)</formula>
    </cfRule>
    <cfRule type="cellIs" priority="26" operator="lessThan" aboveAverage="0" equalAverage="0" bottom="0" percent="0" rank="0" text="" dxfId="24">
      <formula>$B$2</formula>
    </cfRule>
  </conditionalFormatting>
  <conditionalFormatting sqref="G14">
    <cfRule type="cellIs" priority="27" operator="lessThan" aboveAverage="0" equalAverage="0" bottom="0" percent="0" rank="0" text="" dxfId="25">
      <formula>$B$2</formula>
    </cfRule>
  </conditionalFormatting>
  <conditionalFormatting sqref="B15">
    <cfRule type="cellIs" priority="28" operator="equal" aboveAverage="0" equalAverage="0" bottom="0" percent="0" rank="0" text="" dxfId="26">
      <formula>"已过期"</formula>
    </cfRule>
  </conditionalFormatting>
  <conditionalFormatting sqref="C15">
    <cfRule type="expression" priority="29" aboveAverage="0" equalAverage="0" bottom="0" percent="0" rank="0" text="" dxfId="27">
      <formula>AND($C15-TODAY()&lt;30,TODAY()&lt;$C15)</formula>
    </cfRule>
    <cfRule type="cellIs" priority="30" operator="lessThan" aboveAverage="0" equalAverage="0" bottom="0" percent="0" rank="0" text="" dxfId="28">
      <formula>$B$2</formula>
    </cfRule>
    <cfRule type="expression" priority="31" aboveAverage="0" equalAverage="0" bottom="0" percent="0" rank="0" text="" dxfId="29">
      <formula>AND($C15-TODAY()&lt;30,TODAY()&lt;$C15)</formula>
    </cfRule>
    <cfRule type="cellIs" priority="32" operator="lessThan" aboveAverage="0" equalAverage="0" bottom="0" percent="0" rank="0" text="" dxfId="30">
      <formula>$B$2</formula>
    </cfRule>
  </conditionalFormatting>
  <conditionalFormatting sqref="D15">
    <cfRule type="expression" priority="33" aboveAverage="0" equalAverage="0" bottom="0" percent="0" rank="0" text="" dxfId="31">
      <formula>AND($C15-TODAY()&lt;30,TODAY()&lt;$C15)</formula>
    </cfRule>
    <cfRule type="cellIs" priority="34" operator="lessThan" aboveAverage="0" equalAverage="0" bottom="0" percent="0" rank="0" text="" dxfId="32">
      <formula>$B$2</formula>
    </cfRule>
    <cfRule type="expression" priority="35" aboveAverage="0" equalAverage="0" bottom="0" percent="0" rank="0" text="" dxfId="33">
      <formula>AND($C15-TODAY()&lt;30,TODAY()&lt;$C15)</formula>
    </cfRule>
    <cfRule type="cellIs" priority="36" operator="lessThan" aboveAverage="0" equalAverage="0" bottom="0" percent="0" rank="0" text="" dxfId="34">
      <formula>$B$2</formula>
    </cfRule>
  </conditionalFormatting>
  <conditionalFormatting sqref="F15">
    <cfRule type="cellIs" priority="37" operator="equal" aboveAverage="0" equalAverage="0" bottom="0" percent="0" rank="0" text="" dxfId="35">
      <formula>"已过期"</formula>
    </cfRule>
  </conditionalFormatting>
  <conditionalFormatting sqref="G15">
    <cfRule type="cellIs" priority="38" operator="lessThan" aboveAverage="0" equalAverage="0" bottom="0" percent="0" rank="0" text="" dxfId="36">
      <formula>$B$2</formula>
    </cfRule>
  </conditionalFormatting>
  <conditionalFormatting sqref="A16:C16">
    <cfRule type="cellIs" priority="39" operator="equal" aboveAverage="0" equalAverage="0" bottom="0" percent="0" rank="0" text="" dxfId="37">
      <formula>"已过期"</formula>
    </cfRule>
  </conditionalFormatting>
  <conditionalFormatting sqref="E16:G16">
    <cfRule type="cellIs" priority="40" operator="equal" aboveAverage="0" equalAverage="0" bottom="0" percent="0" rank="0" text="" dxfId="38">
      <formula>"已过期"</formula>
    </cfRule>
  </conditionalFormatting>
  <conditionalFormatting sqref="C20:D20">
    <cfRule type="expression" priority="41" aboveAverage="0" equalAverage="0" bottom="0" percent="0" rank="0" text="" dxfId="39">
      <formula>AND($C20-TODAY()&lt;30,TODAY()&lt;$C20)</formula>
    </cfRule>
  </conditionalFormatting>
  <conditionalFormatting sqref="G20">
    <cfRule type="expression" priority="42" aboveAverage="0" equalAverage="0" bottom="0" percent="0" rank="0" text="" dxfId="40">
      <formula>AND(#ref!-TODAY()&lt;30,TODAY(&lt;#ref!)</formula>
    </cfRule>
    <cfRule type="cellIs" priority="43" operator="lessThan" aboveAverage="0" equalAverage="0" bottom="0" percent="0" rank="0" text="" dxfId="41">
      <formula>$B$2</formula>
    </cfRule>
  </conditionalFormatting>
  <conditionalFormatting sqref="G21">
    <cfRule type="expression" priority="44" aboveAverage="0" equalAverage="0" bottom="0" percent="0" rank="0" text="" dxfId="42">
      <formula>AND(#ref!-TODAY()&lt;30,TODAY(&lt;#ref!)</formula>
    </cfRule>
    <cfRule type="cellIs" priority="45" operator="lessThan" aboveAverage="0" equalAverage="0" bottom="0" percent="0" rank="0" text="" dxfId="43">
      <formula>$B$2</formula>
    </cfRule>
  </conditionalFormatting>
  <conditionalFormatting sqref="C9:C10">
    <cfRule type="expression" priority="46" aboveAverage="0" equalAverage="0" bottom="0" percent="0" rank="0" text="" dxfId="44">
      <formula>AND($C9-TODAY()&lt;30,TODAY()&lt;$C9)</formula>
    </cfRule>
    <cfRule type="cellIs" priority="47" operator="lessThan" aboveAverage="0" equalAverage="0" bottom="0" percent="0" rank="0" text="" dxfId="45">
      <formula>$B$2</formula>
    </cfRule>
  </conditionalFormatting>
  <conditionalFormatting sqref="B4:B11 F4:F11 B13 F13:F14">
    <cfRule type="cellIs" priority="48" operator="equal" aboveAverage="0" equalAverage="0" bottom="0" percent="0" rank="0" text="" dxfId="46">
      <formula>"已过期"</formula>
    </cfRule>
  </conditionalFormatting>
  <conditionalFormatting sqref="D16 C4:D5 D7:D12 C13:D13 C12">
    <cfRule type="expression" priority="49" aboveAverage="0" equalAverage="0" bottom="0" percent="0" rank="0" text="" dxfId="47">
      <formula>AND($C4-TODAY()&lt;30,TODAY()&lt;$C4)</formula>
    </cfRule>
  </conditionalFormatting>
  <conditionalFormatting sqref="C20:D20 G4 C4:D5 C13:D13">
    <cfRule type="cellIs" priority="50" operator="lessThan" aboveAverage="0" equalAverage="0" bottom="0" percent="0" rank="0" text="" dxfId="48">
      <formula>$B$2</formula>
    </cfRule>
  </conditionalFormatting>
  <conditionalFormatting sqref="G5 G7 G9">
    <cfRule type="cellIs" priority="51" operator="lessThan" aboveAverage="0" equalAverage="0" bottom="0" percent="0" rank="0" text="" dxfId="49">
      <formula>$B$2</formula>
    </cfRule>
  </conditionalFormatting>
  <conditionalFormatting sqref="C6:D6 D14 D16">
    <cfRule type="expression" priority="52" aboveAverage="0" equalAverage="0" bottom="0" percent="0" rank="0" text="" dxfId="50">
      <formula>AND($C6-TODAY()&lt;30,TODAY()&lt;$C6)</formula>
    </cfRule>
  </conditionalFormatting>
  <conditionalFormatting sqref="G6 G8 G10 C6:D6 D7:D12 D14 D16">
    <cfRule type="cellIs" priority="53" operator="lessThan" aboveAverage="0" equalAverage="0" bottom="0" percent="0" rank="0" text="" dxfId="51">
      <formula>$B$2</formula>
    </cfRule>
  </conditionalFormatting>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46</TotalTime>
  <Application>Ultra_Office/6.2.3.2$Windows_x86 LibreOffice_project/</Application>
  <Company>Sky123.Org</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2015-07-13T07:17:00Z</dcterms:created>
  <dc:creator>Sky123.Org</dc:creator>
  <dc:description/>
  <dc:language>zh-CN</dc:language>
  <cp:lastModifiedBy/>
  <cp:lastPrinted>2017-03-01T09:15:00Z</cp:lastPrinted>
  <dcterms:modified xsi:type="dcterms:W3CDTF">2024-01-16T16:33:07Z</dcterms:modified>
  <cp:revision>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Company">
    <vt:lpwstr>Sky123.Org</vt:lpwstr>
  </property>
  <property fmtid="{D5CDD505-2E9C-101B-9397-08002B2CF9AE}" pid="4" name="DocSecurity">
    <vt:i4>0</vt:i4>
  </property>
  <property fmtid="{D5CDD505-2E9C-101B-9397-08002B2CF9AE}" pid="5" name="HyperlinksChanged">
    <vt:bool>0</vt:bool>
  </property>
  <property fmtid="{D5CDD505-2E9C-101B-9397-08002B2CF9AE}" pid="6" name="ICV">
    <vt:lpwstr>D8371003904D49C5A3CBD4253C9A5D02_12</vt:lpwstr>
  </property>
  <property fmtid="{D5CDD505-2E9C-101B-9397-08002B2CF9AE}" pid="7" name="KSOProductBuildVer">
    <vt:lpwstr>2052-11.1.0.14309</vt:lpwstr>
  </property>
  <property fmtid="{D5CDD505-2E9C-101B-9397-08002B2CF9AE}" pid="8" name="LinksUpToDate">
    <vt:bool>0</vt:bool>
  </property>
  <property fmtid="{D5CDD505-2E9C-101B-9397-08002B2CF9AE}" pid="9" name="ScaleCrop">
    <vt:bool>0</vt:bool>
  </property>
  <property fmtid="{D5CDD505-2E9C-101B-9397-08002B2CF9AE}" pid="10" name="ShareDoc">
    <vt:bool>0</vt:bool>
  </property>
</Properties>
</file>